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9_Reims\Hermont\"/>
    </mc:Choice>
  </mc:AlternateContent>
  <xr:revisionPtr revIDLastSave="0" documentId="13_ncr:1_{969BF3DD-4291-456A-A429-64E2750A62DD}" xr6:coauthVersionLast="47" xr6:coauthVersionMax="47" xr10:uidLastSave="{00000000-0000-0000-0000-000000000000}"/>
  <bookViews>
    <workbookView xWindow="-28920" yWindow="-3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B46" i="1"/>
  <c r="D45" i="1"/>
  <c r="D44" i="1"/>
  <c r="D43" i="1"/>
  <c r="D42" i="1"/>
  <c r="D41" i="1"/>
  <c r="D40" i="1"/>
  <c r="D39" i="1"/>
  <c r="D38" i="1"/>
  <c r="D37" i="1"/>
  <c r="B198" i="1" l="1"/>
  <c r="D197" i="1"/>
  <c r="B197" i="1"/>
  <c r="D196" i="1"/>
  <c r="B196" i="1"/>
  <c r="B195" i="1"/>
  <c r="B194" i="1"/>
  <c r="B193" i="1"/>
  <c r="B192" i="1"/>
  <c r="B121" i="1" l="1"/>
  <c r="D121" i="1" s="1"/>
  <c r="D120" i="1"/>
  <c r="D119" i="1"/>
  <c r="D118" i="1"/>
  <c r="D117" i="1"/>
  <c r="D116" i="1"/>
  <c r="D115" i="1"/>
  <c r="D95" i="1"/>
  <c r="B95" i="1"/>
  <c r="D94" i="1"/>
  <c r="D93" i="1"/>
  <c r="D92" i="1"/>
  <c r="D91" i="1"/>
  <c r="D90" i="1"/>
  <c r="D89" i="1"/>
  <c r="D69" i="1"/>
  <c r="B69" i="1"/>
  <c r="D68" i="1"/>
  <c r="D67" i="1"/>
  <c r="D66" i="1"/>
  <c r="D65" i="1"/>
  <c r="D64" i="1"/>
  <c r="D63" i="1"/>
  <c r="I31" i="6" l="1"/>
  <c r="I29" i="6"/>
  <c r="I27" i="6"/>
  <c r="I25" i="6"/>
  <c r="I22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A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FS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E43" i="2"/>
  <c r="EQ43" i="2"/>
  <c r="EH43" i="2"/>
  <c r="CJ43" i="2"/>
  <c r="FP43" i="2"/>
  <c r="FB43" i="2"/>
  <c r="ER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G43" i="2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A53" i="2"/>
  <c r="EU53" i="2"/>
  <c r="EG53" i="2"/>
  <c r="DW53" i="2"/>
  <c r="DB53" i="2"/>
  <c r="GH53" i="2"/>
  <c r="FL53" i="2"/>
  <c r="FC53" i="2"/>
  <c r="DZ53" i="2"/>
  <c r="DE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E63" i="2"/>
  <c r="EQ63" i="2"/>
  <c r="EH63" i="2"/>
  <c r="CJ63" i="2"/>
  <c r="GR63" i="2"/>
  <c r="FB63" i="2"/>
  <c r="ER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A73" i="2"/>
  <c r="EU73" i="2"/>
  <c r="EG73" i="2"/>
  <c r="DW73" i="2"/>
  <c r="DB73" i="2"/>
  <c r="DZ73" i="2"/>
  <c r="CR73" i="2"/>
  <c r="DE73" i="2"/>
  <c r="CQ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ED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D155" i="2"/>
  <c r="EB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D160" i="2"/>
  <c r="HH161" i="2"/>
  <c r="EB161" i="2"/>
  <c r="HG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D161" i="2"/>
  <c r="EY161" i="2"/>
  <c r="EC162" i="2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DH164" i="2"/>
  <c r="DI163" i="2"/>
  <c r="EA164" i="2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D171" i="2"/>
  <c r="EW172" i="2"/>
  <c r="EA172" i="2"/>
  <c r="EB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EA175" i="2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V179" i="2"/>
  <c r="EB179" i="2"/>
  <c r="HH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Y179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EA186" i="2"/>
  <c r="EB186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EB189" i="2"/>
  <c r="AA189" i="2"/>
  <c r="HH189" i="2"/>
  <c r="EC189" i="2"/>
  <c r="FS189" i="2"/>
  <c r="HI189" i="2"/>
  <c r="EX189" i="2"/>
  <c r="EY189" i="2" s="1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C192" i="2"/>
  <c r="EA192" i="2"/>
  <c r="EB192" i="2"/>
  <c r="EW192" i="2"/>
  <c r="HG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D192" i="2"/>
  <c r="EX193" i="2"/>
  <c r="EB193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Y194" i="2"/>
  <c r="EA195" i="2"/>
  <c r="EB195" i="2"/>
  <c r="DH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HI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A199" i="2"/>
  <c r="HH199" i="2"/>
  <c r="EV199" i="2"/>
  <c r="EW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Y200" i="2" l="1"/>
  <c r="ED200" i="2"/>
  <c r="EB201" i="2"/>
  <c r="EA201" i="2"/>
  <c r="HH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HG202" i="2"/>
  <c r="FZ6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47" i="2" a="1"/>
  <c r="BC47" i="2" s="1"/>
  <c r="BC82" i="2" a="1"/>
  <c r="BC82" i="2" s="1"/>
  <c r="BC126" i="2" a="1"/>
  <c r="BC126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42" i="2" a="1"/>
  <c r="EI142" i="2" s="1"/>
  <c r="DN186" i="2" a="1"/>
  <c r="DN186" i="2" s="1"/>
  <c r="EI195" i="2" a="1"/>
  <c r="EI195" i="2" s="1"/>
  <c r="AH151" i="2" a="1"/>
  <c r="AH151" i="2" s="1"/>
  <c r="DN103" i="2" a="1"/>
  <c r="DN103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24" i="2" a="1"/>
  <c r="CS24" i="2" s="1"/>
  <c r="CS134" i="2" a="1"/>
  <c r="CS134" i="2" s="1"/>
  <c r="FD82" i="2" a="1"/>
  <c r="FD82" i="2" s="1"/>
  <c r="HJ202" i="2"/>
  <c r="EY202" i="2"/>
  <c r="AX200" i="2"/>
  <c r="EI178" i="2" l="1" a="1"/>
  <c r="EI178" i="2" s="1"/>
  <c r="EI150" i="2" a="1"/>
  <c r="EI150" i="2" s="1"/>
  <c r="EI106" i="2" a="1"/>
  <c r="EI106" i="2" s="1"/>
  <c r="EI162" i="2" a="1"/>
  <c r="EI162" i="2" s="1"/>
  <c r="EI29" i="2" a="1"/>
  <c r="EI29" i="2" s="1"/>
  <c r="EI153" i="2" a="1"/>
  <c r="EI153" i="2" s="1"/>
  <c r="EI166" i="2" a="1"/>
  <c r="EI166" i="2" s="1"/>
  <c r="EI198" i="2" a="1"/>
  <c r="EI198" i="2" s="1"/>
  <c r="EI145" i="2" a="1"/>
  <c r="EI145" i="2" s="1"/>
  <c r="BC68" i="2" a="1"/>
  <c r="BC68" i="2" s="1"/>
  <c r="BC114" i="2" a="1"/>
  <c r="BC114" i="2" s="1"/>
  <c r="DN164" i="2" a="1"/>
  <c r="DN164" i="2" s="1"/>
  <c r="DN190" i="2" a="1"/>
  <c r="DN190" i="2" s="1"/>
  <c r="CS105" i="2" a="1"/>
  <c r="CS105" i="2" s="1"/>
  <c r="CS77" i="2" a="1"/>
  <c r="CS77" i="2" s="1"/>
  <c r="DN150" i="2" a="1"/>
  <c r="DN150" i="2" s="1"/>
  <c r="DN170" i="2" a="1"/>
  <c r="DN170" i="2" s="1"/>
  <c r="DN155" i="2" a="1"/>
  <c r="DN155" i="2" s="1"/>
  <c r="HG203" i="2"/>
  <c r="DN132" i="2" a="1"/>
  <c r="DN132" i="2" s="1"/>
  <c r="DN133" i="2" a="1"/>
  <c r="DN133" i="2" s="1"/>
  <c r="DN162" i="2" a="1"/>
  <c r="DN162" i="2" s="1"/>
  <c r="CS185" i="2" a="1"/>
  <c r="CS185" i="2" s="1"/>
  <c r="CS161" i="2" a="1"/>
  <c r="CS161" i="2" s="1"/>
  <c r="DN114" i="2" a="1"/>
  <c r="DN114" i="2" s="1"/>
  <c r="DN192" i="2" a="1"/>
  <c r="DN192" i="2" s="1"/>
  <c r="DN129" i="2" a="1"/>
  <c r="DN129" i="2" s="1"/>
  <c r="AH92" i="2" a="1"/>
  <c r="AH92" i="2" s="1"/>
  <c r="DN135" i="2" a="1"/>
  <c r="DN135" i="2" s="1"/>
  <c r="AH199" i="2" a="1"/>
  <c r="AH199" i="2" s="1"/>
  <c r="CS137" i="2" a="1"/>
  <c r="CS137" i="2" s="1"/>
  <c r="DN86" i="2" a="1"/>
  <c r="DN86" i="2" s="1"/>
  <c r="CS129" i="2" a="1"/>
  <c r="CS129" i="2" s="1"/>
  <c r="FS203" i="2"/>
  <c r="DN188" i="2" a="1"/>
  <c r="DN188" i="2" s="1"/>
  <c r="FR203" i="2"/>
  <c r="DN110" i="2" a="1"/>
  <c r="DN110" i="2" s="1"/>
  <c r="AH166" i="2" a="1"/>
  <c r="AH166" i="2" s="1"/>
  <c r="DN123" i="2" a="1"/>
  <c r="DN123" i="2" s="1"/>
  <c r="DN177" i="2" a="1"/>
  <c r="DN177" i="2" s="1"/>
  <c r="DN184" i="2" a="1"/>
  <c r="DN184" i="2" s="1"/>
  <c r="CS52" i="2" a="1"/>
  <c r="CS52" i="2" s="1"/>
  <c r="DN137" i="2" a="1"/>
  <c r="DN137" i="2" s="1"/>
  <c r="DN187" i="2" a="1"/>
  <c r="DN187" i="2" s="1"/>
  <c r="BX107" i="2" a="1"/>
  <c r="BX107" i="2" s="1"/>
  <c r="CS114" i="2" a="1"/>
  <c r="CS114" i="2" s="1"/>
  <c r="AH19" i="2" a="1"/>
  <c r="AH19" i="2" s="1"/>
  <c r="DN115" i="2" a="1"/>
  <c r="DN115" i="2" s="1"/>
  <c r="DN152" i="2" a="1"/>
  <c r="DN152" i="2" s="1"/>
  <c r="DN124" i="2" a="1"/>
  <c r="DN124" i="2" s="1"/>
  <c r="BP203" i="2"/>
  <c r="HH203" i="2"/>
  <c r="DN113" i="2" a="1"/>
  <c r="DN113" i="2" s="1"/>
  <c r="CS72" i="2" a="1"/>
  <c r="CS72" i="2" s="1"/>
  <c r="DN176" i="2" a="1"/>
  <c r="DN176" i="2" s="1"/>
  <c r="DN167" i="2" a="1"/>
  <c r="DN167" i="2" s="1"/>
  <c r="CS56" i="2" a="1"/>
  <c r="CS56" i="2" s="1"/>
  <c r="CS38" i="2" a="1"/>
  <c r="CS38" i="2" s="1"/>
  <c r="AH90" i="2" a="1"/>
  <c r="AH90" i="2" s="1"/>
  <c r="CS116" i="2" a="1"/>
  <c r="CS116" i="2" s="1"/>
  <c r="DN153" i="2" a="1"/>
  <c r="DN153" i="2" s="1"/>
  <c r="CS66" i="2" a="1"/>
  <c r="CS6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28" i="2" a="1"/>
  <c r="DN128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146" i="2" a="1"/>
  <c r="DN146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181" i="2" a="1"/>
  <c r="DN181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EI180" i="2" a="1"/>
  <c r="EI180" i="2" s="1"/>
  <c r="EI70" i="2" a="1"/>
  <c r="EI70" i="2" s="1"/>
  <c r="GT56" i="2" a="1"/>
  <c r="GT56" i="2" s="1"/>
  <c r="GT164" i="2" a="1"/>
  <c r="GT164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0" i="2" l="1"/>
  <c r="CY45" i="2"/>
  <c r="CY24" i="2"/>
  <c r="CY66" i="2"/>
  <c r="CY101" i="2"/>
  <c r="CY25" i="2"/>
  <c r="CY82" i="2"/>
  <c r="CY3" i="2"/>
  <c r="C10" i="4" s="1"/>
  <c r="E10" i="4" s="1"/>
  <c r="F10" i="4" s="1"/>
  <c r="G10" i="4" s="1"/>
  <c r="L10" i="4" s="1"/>
  <c r="CY126" i="2"/>
  <c r="CY69" i="2"/>
  <c r="CY193" i="2"/>
  <c r="CY145" i="2"/>
  <c r="CY152" i="2"/>
  <c r="CY34" i="2"/>
  <c r="CY202" i="2"/>
  <c r="CY129" i="2"/>
  <c r="CY164" i="2"/>
  <c r="CY186" i="2"/>
  <c r="CY31" i="2"/>
  <c r="CY172" i="2"/>
  <c r="CY65" i="2"/>
  <c r="CY137" i="2"/>
  <c r="CY191" i="2"/>
  <c r="CY148" i="2"/>
  <c r="CY91" i="2"/>
  <c r="CY86" i="2"/>
  <c r="CY146" i="2"/>
  <c r="CY176" i="2"/>
  <c r="CY78" i="2"/>
  <c r="CY170" i="2"/>
  <c r="CY23" i="2"/>
  <c r="CY173" i="2"/>
  <c r="CY118" i="2"/>
  <c r="CY161" i="2"/>
  <c r="CY106" i="2"/>
  <c r="CY17" i="2"/>
  <c r="CY190" i="2"/>
  <c r="CY147" i="2"/>
  <c r="CY52" i="2"/>
  <c r="CY92" i="2"/>
  <c r="CY47" i="2"/>
  <c r="CY132" i="2"/>
  <c r="CY149" i="2"/>
  <c r="CY58" i="2"/>
  <c r="CY22" i="2"/>
  <c r="CY89" i="2"/>
  <c r="CY168" i="2"/>
  <c r="CY38" i="2"/>
  <c r="CY62" i="2"/>
  <c r="CY15" i="2"/>
  <c r="CY180" i="2"/>
  <c r="CY131" i="2"/>
  <c r="CY33" i="2"/>
  <c r="CY135" i="2"/>
  <c r="CY115" i="2"/>
  <c r="CY138" i="2"/>
  <c r="CY108" i="2"/>
  <c r="CY54" i="2"/>
  <c r="CY8" i="2"/>
  <c r="CY48" i="2"/>
  <c r="CY68" i="2"/>
  <c r="CY63" i="2"/>
  <c r="CY83" i="2"/>
  <c r="CY182" i="2"/>
  <c r="CY74" i="2"/>
  <c r="CY195" i="2"/>
  <c r="CY55" i="2"/>
  <c r="CY85" i="2"/>
  <c r="CY5" i="2"/>
  <c r="CY151" i="2"/>
  <c r="CY72" i="2"/>
  <c r="CY175" i="2"/>
  <c r="CY100" i="2"/>
  <c r="CY178" i="2"/>
  <c r="CY32" i="2"/>
  <c r="CY87" i="2"/>
  <c r="CY56" i="2"/>
  <c r="CY185" i="2"/>
  <c r="CY158" i="2"/>
  <c r="CY197" i="2"/>
  <c r="CY73" i="2"/>
  <c r="CY122" i="2"/>
  <c r="CY166" i="2"/>
  <c r="CY28" i="2"/>
  <c r="CY165" i="2"/>
  <c r="CY94" i="2"/>
  <c r="CY199" i="2"/>
  <c r="CY79" i="2"/>
  <c r="CY43" i="2"/>
  <c r="CY198" i="2"/>
  <c r="CY42" i="2"/>
  <c r="CY80" i="2"/>
  <c r="CY111" i="2"/>
  <c r="CY155" i="2"/>
  <c r="CY130" i="2"/>
  <c r="CY105" i="2"/>
  <c r="CY119" i="2"/>
  <c r="CY194" i="2"/>
  <c r="CY112" i="2"/>
  <c r="CY142" i="2"/>
  <c r="CY44" i="2"/>
  <c r="CY103" i="2"/>
  <c r="CY203" i="2"/>
  <c r="CY30" i="2"/>
  <c r="CY35" i="2"/>
  <c r="CY40" i="2"/>
  <c r="CY179" i="2"/>
  <c r="CY196" i="2"/>
  <c r="CY127" i="2"/>
  <c r="CY157" i="2"/>
  <c r="CY136" i="2"/>
  <c r="CY88" i="2"/>
  <c r="CY75" i="2"/>
  <c r="CY188" i="2"/>
  <c r="CY187" i="2"/>
  <c r="CY162" i="2"/>
  <c r="CY60" i="2"/>
  <c r="CY163" i="2"/>
  <c r="CY21" i="2"/>
  <c r="CY11" i="2"/>
  <c r="CY183" i="2"/>
  <c r="CY93" i="2"/>
  <c r="CY9" i="2"/>
  <c r="CY90" i="2"/>
  <c r="CY200" i="2"/>
  <c r="CY160" i="2"/>
  <c r="CY41" i="2"/>
  <c r="CY29" i="2"/>
  <c r="CY67" i="2"/>
  <c r="CY16" i="2"/>
  <c r="CY50" i="2"/>
  <c r="CY96" i="2"/>
  <c r="CY144" i="2"/>
  <c r="CY134" i="2"/>
  <c r="CY110" i="2"/>
  <c r="CY27" i="2"/>
  <c r="CY128" i="2"/>
  <c r="CY167" i="2"/>
  <c r="CY6" i="2"/>
  <c r="CY114" i="2"/>
  <c r="CY201" i="2"/>
  <c r="CY139" i="2"/>
  <c r="CY189" i="2"/>
  <c r="CY104" i="2"/>
  <c r="CY59" i="2"/>
  <c r="CY171" i="2"/>
  <c r="CY36" i="2"/>
  <c r="CY12" i="2"/>
  <c r="CY71" i="2"/>
  <c r="CY4" i="2"/>
  <c r="CY49" i="2"/>
  <c r="CY70" i="2"/>
  <c r="CY18" i="2"/>
  <c r="CY107" i="2"/>
  <c r="CY19" i="2"/>
  <c r="CY121" i="2"/>
  <c r="CY113" i="2"/>
  <c r="CY156" i="2"/>
  <c r="CY26" i="2"/>
  <c r="CY84" i="2"/>
  <c r="CY97" i="2"/>
  <c r="CY64" i="2"/>
  <c r="CY39" i="2"/>
  <c r="CY51" i="2"/>
  <c r="CY120" i="2"/>
  <c r="CY76" i="2"/>
  <c r="CY77" i="2"/>
  <c r="CY95" i="2"/>
  <c r="CY117" i="2"/>
  <c r="CY10" i="2"/>
  <c r="CY46" i="2"/>
  <c r="CY125" i="2"/>
  <c r="CY98" i="2"/>
  <c r="CY181" i="2"/>
  <c r="CY116" i="2"/>
  <c r="CY13" i="2"/>
  <c r="CY150" i="2"/>
  <c r="CY14" i="2"/>
  <c r="CY61" i="2"/>
  <c r="CY7" i="2"/>
  <c r="CY143" i="2"/>
  <c r="CY140" i="2"/>
  <c r="CY169" i="2"/>
  <c r="CY37" i="2"/>
  <c r="CY133" i="2"/>
  <c r="CY159" i="2"/>
  <c r="CY57" i="2"/>
  <c r="CY141" i="2"/>
  <c r="CY81" i="2"/>
  <c r="CY153" i="2"/>
  <c r="CY109" i="2"/>
  <c r="CY124" i="2"/>
  <c r="CY192" i="2"/>
  <c r="CY154" i="2"/>
  <c r="CY53" i="2"/>
  <c r="CY102" i="2"/>
  <c r="CY99" i="2"/>
  <c r="CY123" i="2"/>
  <c r="CY174" i="2"/>
  <c r="CY177" i="2"/>
  <c r="CY184" i="2"/>
  <c r="CD60" i="2"/>
  <c r="CD168" i="2"/>
  <c r="CD133" i="2"/>
  <c r="CD41" i="2"/>
  <c r="CD24" i="2"/>
  <c r="CD97" i="2"/>
  <c r="CD136" i="2"/>
  <c r="CD48" i="2"/>
  <c r="CD95" i="2"/>
  <c r="CD81" i="2"/>
  <c r="CD182" i="2"/>
  <c r="CD30" i="2"/>
  <c r="CD104" i="2"/>
  <c r="CD87" i="2"/>
  <c r="CD122" i="2"/>
  <c r="CD157" i="2"/>
  <c r="CD18" i="2"/>
  <c r="CD42" i="2"/>
  <c r="CD38" i="2"/>
  <c r="CD80" i="2"/>
  <c r="CD69" i="2"/>
  <c r="CD28" i="2"/>
  <c r="CD62" i="2"/>
  <c r="CD173" i="2"/>
  <c r="CD151" i="2"/>
  <c r="CD198" i="2"/>
  <c r="CD129" i="2"/>
  <c r="CD64" i="2"/>
  <c r="CD107" i="2"/>
  <c r="CD183" i="2"/>
  <c r="CD138" i="2"/>
  <c r="CD50" i="2"/>
  <c r="CD105" i="2"/>
  <c r="CD179" i="2"/>
  <c r="CD141" i="2"/>
  <c r="CD35" i="2"/>
  <c r="CD27" i="2"/>
  <c r="CD19" i="2"/>
  <c r="CD10" i="2"/>
  <c r="CD84" i="2"/>
  <c r="CD103" i="2"/>
  <c r="CD90" i="2"/>
  <c r="CD196" i="2"/>
  <c r="CD120" i="2"/>
  <c r="CD85" i="2"/>
  <c r="CD114" i="2"/>
  <c r="CD177" i="2"/>
  <c r="CD83" i="2"/>
  <c r="CD202" i="2"/>
  <c r="CD140" i="2"/>
  <c r="CD89" i="2"/>
  <c r="CD199" i="2"/>
  <c r="CD110" i="2"/>
  <c r="CD59" i="2"/>
  <c r="CD139" i="2"/>
  <c r="CD119" i="2"/>
  <c r="CD22" i="2"/>
  <c r="CD174" i="2"/>
  <c r="CD29" i="2"/>
  <c r="CD175" i="2"/>
  <c r="CD158" i="2"/>
  <c r="CD143" i="2"/>
  <c r="CD55" i="2"/>
  <c r="CD14" i="2"/>
  <c r="CD44" i="2"/>
  <c r="CD11" i="2"/>
  <c r="CD16" i="2"/>
  <c r="CD94" i="2"/>
  <c r="CD146" i="2"/>
  <c r="CD203" i="2"/>
  <c r="CD126" i="2"/>
  <c r="CD26" i="2"/>
  <c r="CD101" i="2"/>
  <c r="CD57" i="2"/>
  <c r="CD32" i="2"/>
  <c r="CD75" i="2"/>
  <c r="CD34" i="2"/>
  <c r="CD197" i="2"/>
  <c r="CD49" i="2"/>
  <c r="CD31" i="2"/>
  <c r="CD115" i="2"/>
  <c r="CD33" i="2"/>
  <c r="CD118" i="2"/>
  <c r="CD93" i="2"/>
  <c r="CD178" i="2"/>
  <c r="CD201" i="2"/>
  <c r="CD99" i="2"/>
  <c r="CD132" i="2"/>
  <c r="CD145" i="2"/>
  <c r="CD155" i="2"/>
  <c r="CD128" i="2"/>
  <c r="CD112" i="2"/>
  <c r="CD161" i="2"/>
  <c r="CD66" i="2"/>
  <c r="CD54" i="2"/>
  <c r="CD53" i="2"/>
  <c r="CD142" i="2"/>
  <c r="CD186" i="2"/>
  <c r="CD184" i="2"/>
  <c r="CD131" i="2"/>
  <c r="CD68" i="2"/>
  <c r="CD167" i="2"/>
  <c r="CD149" i="2"/>
  <c r="CD67" i="2"/>
  <c r="CD102" i="2"/>
  <c r="CD77" i="2"/>
  <c r="CD185" i="2"/>
  <c r="CD25" i="2"/>
  <c r="CD137" i="2"/>
  <c r="CD144" i="2"/>
  <c r="CD170" i="2"/>
  <c r="CD52" i="2"/>
  <c r="CD37" i="2"/>
  <c r="CD190" i="2"/>
  <c r="CD61" i="2"/>
  <c r="CD46" i="2"/>
  <c r="CD176" i="2"/>
  <c r="CD56" i="2"/>
  <c r="CD156" i="2"/>
  <c r="CD98" i="2"/>
  <c r="CD7" i="2"/>
  <c r="CD194" i="2"/>
  <c r="CD86" i="2"/>
  <c r="CD3" i="2"/>
  <c r="C9" i="4" s="1"/>
  <c r="E9" i="4" s="1"/>
  <c r="F9" i="4" s="1"/>
  <c r="G9" i="4" s="1"/>
  <c r="L9" i="4" s="1"/>
  <c r="CD13" i="2"/>
  <c r="CD74" i="2"/>
  <c r="CD164" i="2"/>
  <c r="CD76" i="2"/>
  <c r="CD189" i="2"/>
  <c r="CD65" i="2"/>
  <c r="CD92" i="2"/>
  <c r="CD117" i="2"/>
  <c r="CD160" i="2"/>
  <c r="CD181" i="2"/>
  <c r="CD125" i="2"/>
  <c r="CD172" i="2"/>
  <c r="CD123" i="2"/>
  <c r="CD51" i="2"/>
  <c r="CD47" i="2"/>
  <c r="CD154" i="2"/>
  <c r="CD116" i="2"/>
  <c r="CD70" i="2"/>
  <c r="CD88" i="2"/>
  <c r="CD147" i="2"/>
  <c r="CD148" i="2"/>
  <c r="CD17" i="2"/>
  <c r="CD163" i="2"/>
  <c r="CD171" i="2"/>
  <c r="CD58" i="2"/>
  <c r="CD12" i="2"/>
  <c r="CD134" i="2"/>
  <c r="CD106" i="2"/>
  <c r="CD108" i="2"/>
  <c r="CD15" i="2"/>
  <c r="CD6" i="2"/>
  <c r="CD45" i="2"/>
  <c r="CD91" i="2"/>
  <c r="CD195" i="2"/>
  <c r="CD9" i="2"/>
  <c r="CD71" i="2"/>
  <c r="CD169" i="2"/>
  <c r="CD121" i="2"/>
  <c r="CD36" i="2"/>
  <c r="CD40" i="2"/>
  <c r="CD162" i="2"/>
  <c r="CD23" i="2"/>
  <c r="CD188" i="2"/>
  <c r="CD109" i="2"/>
  <c r="CD63" i="2"/>
  <c r="CD72" i="2"/>
  <c r="CD180" i="2"/>
  <c r="CD152" i="2"/>
  <c r="CD150" i="2"/>
  <c r="CD73" i="2"/>
  <c r="CD187" i="2"/>
  <c r="CD79" i="2"/>
  <c r="CD39" i="2"/>
  <c r="CD192" i="2"/>
  <c r="CD130" i="2"/>
  <c r="CD8" i="2"/>
  <c r="CD165" i="2"/>
  <c r="CD135" i="2"/>
  <c r="CD166" i="2"/>
  <c r="CD5" i="2"/>
  <c r="CD193" i="2"/>
  <c r="CD153" i="2"/>
  <c r="CD21" i="2"/>
  <c r="CD200" i="2"/>
  <c r="CD124" i="2"/>
  <c r="CD127" i="2"/>
  <c r="CD43" i="2"/>
  <c r="CD20" i="2"/>
  <c r="CD82" i="2"/>
  <c r="CD111" i="2"/>
  <c r="CD78" i="2"/>
  <c r="CD100" i="2"/>
  <c r="CD4" i="2"/>
  <c r="CD191" i="2"/>
  <c r="CD96" i="2"/>
  <c r="CD159" i="2"/>
  <c r="CD113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DM13" i="2"/>
  <c r="DL73" i="2"/>
  <c r="DO7" i="2"/>
  <c r="DP7" i="2" s="1"/>
  <c r="DL33" i="2"/>
  <c r="DL23" i="2"/>
  <c r="DL53" i="2"/>
  <c r="DN78" i="2" a="1"/>
  <c r="DN78" i="2" s="1"/>
  <c r="I172" i="1"/>
  <c r="DM83" i="2" s="1"/>
  <c r="I167" i="1"/>
  <c r="DM33" i="2" s="1"/>
  <c r="DL63" i="2"/>
  <c r="I169" i="1"/>
  <c r="DM53" i="2"/>
  <c r="DO23" i="2"/>
  <c r="DP23" i="2" s="1"/>
  <c r="I166" i="1"/>
  <c r="DM23" i="2" s="1"/>
  <c r="DL205" i="2"/>
  <c r="I170" i="1"/>
  <c r="DM63" i="2" s="1"/>
  <c r="I171" i="1"/>
  <c r="DM73" i="2" s="1"/>
  <c r="I168" i="1"/>
  <c r="DM43" i="2" s="1"/>
  <c r="DL43" i="2"/>
  <c r="DN11" i="2" l="1" a="1"/>
  <c r="DN11" i="2" s="1"/>
  <c r="DN6" i="2" a="1"/>
  <c r="DN6" i="2" s="1"/>
  <c r="DN5" i="2" a="1"/>
  <c r="DN5" i="2" s="1"/>
  <c r="DN22" i="2" a="1"/>
  <c r="DN22" i="2" s="1"/>
  <c r="DN17" i="2" a="1"/>
  <c r="DN17" i="2" s="1"/>
  <c r="DN10" i="2" a="1"/>
  <c r="DN10" i="2" s="1"/>
  <c r="DN9" i="2" a="1"/>
  <c r="DN9" i="2" s="1"/>
  <c r="DN8" i="2" a="1"/>
  <c r="DN8" i="2" s="1"/>
  <c r="DN14" i="2" a="1"/>
  <c r="DN14" i="2" s="1"/>
  <c r="DN18" i="2" a="1"/>
  <c r="DN18" i="2" s="1"/>
  <c r="DN12" i="2" a="1"/>
  <c r="DN12" i="2" s="1"/>
  <c r="DN4" i="2" a="1"/>
  <c r="DN4" i="2" s="1"/>
  <c r="DN16" i="2" a="1"/>
  <c r="DN16" i="2" s="1"/>
  <c r="DN20" i="2" a="1"/>
  <c r="DN20" i="2" s="1"/>
  <c r="DN23" i="2" a="1"/>
  <c r="DN23" i="2" s="1"/>
  <c r="DN7" i="2" a="1"/>
  <c r="DN7" i="2" s="1"/>
  <c r="DN19" i="2" a="1"/>
  <c r="DN19" i="2" s="1"/>
  <c r="DN13" i="2" a="1"/>
  <c r="DN13" i="2" s="1"/>
  <c r="DN15" i="2" a="1"/>
  <c r="DN15" i="2" s="1"/>
  <c r="DN21" i="2" a="1"/>
  <c r="DN21" i="2" s="1"/>
  <c r="DN70" i="2" a="1"/>
  <c r="DN70" i="2" s="1"/>
  <c r="DN67" i="2" a="1"/>
  <c r="DN67" i="2" s="1"/>
  <c r="DN72" i="2" a="1"/>
  <c r="DN72" i="2" s="1"/>
  <c r="DN73" i="2" a="1"/>
  <c r="DN73" i="2" s="1"/>
  <c r="DN69" i="2" a="1"/>
  <c r="DN69" i="2" s="1"/>
  <c r="DN64" i="2" a="1"/>
  <c r="DN64" i="2" s="1"/>
  <c r="DN71" i="2" a="1"/>
  <c r="DN71" i="2" s="1"/>
  <c r="DN65" i="2" a="1"/>
  <c r="DN65" i="2" s="1"/>
  <c r="DN66" i="2" a="1"/>
  <c r="DN66" i="2" s="1"/>
  <c r="DN68" i="2" a="1"/>
  <c r="DN68" i="2" s="1"/>
  <c r="DN62" i="2" a="1"/>
  <c r="DN62" i="2" s="1"/>
  <c r="DN57" i="2" a="1"/>
  <c r="DN57" i="2" s="1"/>
  <c r="DN54" i="2" a="1"/>
  <c r="DN54" i="2" s="1"/>
  <c r="DN61" i="2" a="1"/>
  <c r="DN61" i="2" s="1"/>
  <c r="DN56" i="2" a="1"/>
  <c r="DN56" i="2" s="1"/>
  <c r="DN55" i="2" a="1"/>
  <c r="DN55" i="2" s="1"/>
  <c r="DN59" i="2" a="1"/>
  <c r="DN59" i="2" s="1"/>
  <c r="DN60" i="2" a="1"/>
  <c r="DN60" i="2" s="1"/>
  <c r="DN63" i="2" a="1"/>
  <c r="DN63" i="2" s="1"/>
  <c r="DN58" i="2" a="1"/>
  <c r="DN58" i="2" s="1"/>
  <c r="DN38" i="2" a="1"/>
  <c r="DN38" i="2" s="1"/>
  <c r="DN37" i="2" a="1"/>
  <c r="DN37" i="2" s="1"/>
  <c r="DN39" i="2" a="1"/>
  <c r="DN39" i="2" s="1"/>
  <c r="DN26" i="2" a="1"/>
  <c r="DN26" i="2" s="1"/>
  <c r="DN43" i="2" a="1"/>
  <c r="DN43" i="2" s="1"/>
  <c r="DN42" i="2" a="1"/>
  <c r="DN42" i="2" s="1"/>
  <c r="DN36" i="2" a="1"/>
  <c r="DN36" i="2" s="1"/>
  <c r="DN34" i="2" a="1"/>
  <c r="DN34" i="2" s="1"/>
  <c r="DN40" i="2" a="1"/>
  <c r="DN40" i="2" s="1"/>
  <c r="DN35" i="2" a="1"/>
  <c r="DN35" i="2" s="1"/>
  <c r="DN25" i="2" a="1"/>
  <c r="DN25" i="2" s="1"/>
  <c r="DN41" i="2" a="1"/>
  <c r="DN41" i="2" s="1"/>
  <c r="DO18" i="2"/>
  <c r="DP18" i="2" s="1"/>
  <c r="DO15" i="2"/>
  <c r="DP15" i="2" s="1"/>
  <c r="DO12" i="2"/>
  <c r="DP12" i="2" s="1"/>
  <c r="DO22" i="2"/>
  <c r="DP22" i="2" s="1"/>
  <c r="DO9" i="2"/>
  <c r="DP9" i="2" s="1"/>
  <c r="DO14" i="2"/>
  <c r="DP14" i="2" s="1"/>
  <c r="DO6" i="2"/>
  <c r="DP6" i="2" s="1"/>
  <c r="DO4" i="2"/>
  <c r="DP4" i="2" s="1"/>
  <c r="DO16" i="2"/>
  <c r="DP16" i="2" s="1"/>
  <c r="DO5" i="2"/>
  <c r="DP5" i="2" s="1"/>
  <c r="DO10" i="2"/>
  <c r="DP10" i="2" s="1"/>
  <c r="DN79" i="2" a="1"/>
  <c r="DN79" i="2" s="1"/>
  <c r="DN74" i="2" a="1"/>
  <c r="DN74" i="2" s="1"/>
  <c r="DN76" i="2" a="1"/>
  <c r="DN76" i="2" s="1"/>
  <c r="DN82" i="2" a="1"/>
  <c r="DN82" i="2" s="1"/>
  <c r="DN75" i="2" a="1"/>
  <c r="DN75" i="2" s="1"/>
  <c r="DN81" i="2" a="1"/>
  <c r="DN81" i="2" s="1"/>
  <c r="DN80" i="2" a="1"/>
  <c r="DN80" i="2" s="1"/>
  <c r="DN83" i="2" a="1"/>
  <c r="DN83" i="2" s="1"/>
  <c r="DO20" i="2"/>
  <c r="DP20" i="2" s="1"/>
  <c r="DN24" i="2" a="1"/>
  <c r="DN24" i="2" s="1"/>
  <c r="DN33" i="2" a="1"/>
  <c r="DN33" i="2" s="1"/>
  <c r="DN28" i="2" a="1"/>
  <c r="DN28" i="2" s="1"/>
  <c r="DN30" i="2" a="1"/>
  <c r="DN30" i="2" s="1"/>
  <c r="DN77" i="2" a="1"/>
  <c r="DN77" i="2" s="1"/>
  <c r="DQ7" i="2"/>
  <c r="DR7" i="2"/>
  <c r="DS7" i="2" s="1"/>
  <c r="DO8" i="2"/>
  <c r="DP8" i="2" s="1"/>
  <c r="DN31" i="2" a="1"/>
  <c r="DN31" i="2" s="1"/>
  <c r="DO11" i="2"/>
  <c r="DP11" i="2" s="1"/>
  <c r="DO24" i="2"/>
  <c r="DN45" i="2" a="1"/>
  <c r="DN45" i="2" s="1"/>
  <c r="DN52" i="2" a="1"/>
  <c r="DN52" i="2" s="1"/>
  <c r="DN48" i="2" a="1"/>
  <c r="DN48" i="2" s="1"/>
  <c r="DN46" i="2" a="1"/>
  <c r="DN46" i="2" s="1"/>
  <c r="DN44" i="2" a="1"/>
  <c r="DN44" i="2" s="1"/>
  <c r="DN47" i="2" a="1"/>
  <c r="DN47" i="2" s="1"/>
  <c r="DN51" i="2" a="1"/>
  <c r="DN51" i="2" s="1"/>
  <c r="DN50" i="2" a="1"/>
  <c r="DN50" i="2" s="1"/>
  <c r="DN49" i="2" a="1"/>
  <c r="DN49" i="2" s="1"/>
  <c r="DN53" i="2" a="1"/>
  <c r="DN53" i="2" s="1"/>
  <c r="DN32" i="2" a="1"/>
  <c r="DN32" i="2" s="1"/>
  <c r="DO21" i="2"/>
  <c r="DP21" i="2" s="1"/>
  <c r="DQ23" i="2"/>
  <c r="DR23" i="2" s="1"/>
  <c r="DS23" i="2" s="1"/>
  <c r="DN27" i="2" a="1"/>
  <c r="DN27" i="2" s="1"/>
  <c r="DO19" i="2"/>
  <c r="DP19" i="2" s="1"/>
  <c r="DO13" i="2"/>
  <c r="DP13" i="2" s="1"/>
  <c r="DO17" i="2"/>
  <c r="DP17" i="2" s="1"/>
  <c r="DN29" i="2" a="1"/>
  <c r="DN29" i="2" s="1"/>
  <c r="DQ10" i="2" l="1"/>
  <c r="DR10" i="2"/>
  <c r="DS10" i="2" s="1"/>
  <c r="DQ12" i="2"/>
  <c r="DR12" i="2" s="1"/>
  <c r="DS12" i="2" s="1"/>
  <c r="DQ20" i="2"/>
  <c r="DR20" i="2"/>
  <c r="DS20" i="2" s="1"/>
  <c r="DQ5" i="2"/>
  <c r="DR5" i="2"/>
  <c r="DS5" i="2" s="1"/>
  <c r="DQ15" i="2"/>
  <c r="DR15" i="2" s="1"/>
  <c r="DS15" i="2" s="1"/>
  <c r="DQ17" i="2"/>
  <c r="DR17" i="2" s="1"/>
  <c r="DS17" i="2" s="1"/>
  <c r="DQ16" i="2"/>
  <c r="DR16" i="2"/>
  <c r="DS16" i="2" s="1"/>
  <c r="DQ18" i="2"/>
  <c r="DR18" i="2" s="1"/>
  <c r="DS18" i="2" s="1"/>
  <c r="DQ21" i="2"/>
  <c r="DR21" i="2" s="1"/>
  <c r="DS21" i="2" s="1"/>
  <c r="DQ4" i="2"/>
  <c r="DR4" i="2" s="1"/>
  <c r="DS4" i="2" s="1"/>
  <c r="DQ8" i="2"/>
  <c r="DR8" i="2" s="1"/>
  <c r="DS8" i="2" s="1"/>
  <c r="DQ13" i="2"/>
  <c r="DR13" i="2" s="1"/>
  <c r="DS13" i="2" s="1"/>
  <c r="DQ19" i="2"/>
  <c r="DR19" i="2" s="1"/>
  <c r="DS19" i="2" s="1"/>
  <c r="DP24" i="2"/>
  <c r="DO25" i="2"/>
  <c r="DQ6" i="2"/>
  <c r="DR6" i="2" s="1"/>
  <c r="DS6" i="2" s="1"/>
  <c r="DQ11" i="2"/>
  <c r="DR11" i="2" s="1"/>
  <c r="DS11" i="2" s="1"/>
  <c r="DQ14" i="2"/>
  <c r="DR14" i="2"/>
  <c r="DS14" i="2" s="1"/>
  <c r="DQ22" i="2"/>
  <c r="DR22" i="2"/>
  <c r="DS22" i="2" s="1"/>
  <c r="DQ9" i="2"/>
  <c r="DR9" i="2" s="1"/>
  <c r="DS9" i="2" s="1"/>
  <c r="DP25" i="2" l="1"/>
  <c r="DO26" i="2"/>
  <c r="DQ24" i="2"/>
  <c r="DR24" i="2" s="1"/>
  <c r="DS24" i="2" s="1"/>
  <c r="DP26" i="2" l="1"/>
  <c r="DO27" i="2"/>
  <c r="DQ25" i="2"/>
  <c r="DR25" i="2" s="1"/>
  <c r="DS25" i="2" s="1"/>
  <c r="DP27" i="2" l="1"/>
  <c r="DO28" i="2"/>
  <c r="DQ26" i="2"/>
  <c r="DR26" i="2" s="1"/>
  <c r="DS26" i="2" s="1"/>
  <c r="DP28" i="2" l="1"/>
  <c r="DO29" i="2"/>
  <c r="DQ27" i="2"/>
  <c r="DR27" i="2" s="1"/>
  <c r="DS27" i="2" s="1"/>
  <c r="DQ28" i="2" l="1"/>
  <c r="DR28" i="2" s="1"/>
  <c r="DS28" i="2" s="1"/>
  <c r="DP29" i="2"/>
  <c r="DO30" i="2"/>
  <c r="DP30" i="2" l="1"/>
  <c r="DO31" i="2"/>
  <c r="DQ29" i="2"/>
  <c r="DR29" i="2" s="1"/>
  <c r="DS29" i="2" s="1"/>
  <c r="DP31" i="2" l="1"/>
  <c r="DO32" i="2"/>
  <c r="DR30" i="2"/>
  <c r="DS30" i="2" s="1"/>
  <c r="DQ30" i="2"/>
  <c r="DQ31" i="2" l="1"/>
  <c r="DR31" i="2" s="1"/>
  <c r="DS31" i="2" s="1"/>
  <c r="DP32" i="2"/>
  <c r="DO33" i="2"/>
  <c r="DO34" i="2" l="1"/>
  <c r="DP33" i="2"/>
  <c r="DR32" i="2"/>
  <c r="DS32" i="2" s="1"/>
  <c r="DQ32" i="2"/>
  <c r="DR33" i="2" l="1"/>
  <c r="DS33" i="2" s="1"/>
  <c r="DU3" i="2" s="1"/>
  <c r="DQ33" i="2"/>
  <c r="DP34" i="2"/>
  <c r="DO35" i="2"/>
  <c r="DU185" i="2" l="1"/>
  <c r="DU40" i="2"/>
  <c r="DU55" i="2"/>
  <c r="DU78" i="2"/>
  <c r="DU35" i="2"/>
  <c r="DU191" i="2"/>
  <c r="DU144" i="2"/>
  <c r="DU79" i="2"/>
  <c r="DU164" i="2"/>
  <c r="DU80" i="2"/>
  <c r="DU82" i="2"/>
  <c r="DU58" i="2"/>
  <c r="DU156" i="2"/>
  <c r="DU14" i="2"/>
  <c r="DU154" i="2"/>
  <c r="DU159" i="2"/>
  <c r="DU95" i="2"/>
  <c r="DU138" i="2"/>
  <c r="DU88" i="2"/>
  <c r="DU172" i="2"/>
  <c r="DU155" i="2"/>
  <c r="DU15" i="2"/>
  <c r="DU62" i="2"/>
  <c r="DU50" i="2"/>
  <c r="DU181" i="2"/>
  <c r="DU18" i="2"/>
  <c r="DU59" i="2"/>
  <c r="DU162" i="2"/>
  <c r="DU5" i="2"/>
  <c r="DU65" i="2"/>
  <c r="D11" i="4"/>
  <c r="DU46" i="2"/>
  <c r="DU108" i="2"/>
  <c r="DU13" i="2"/>
  <c r="DU136" i="2"/>
  <c r="DU83" i="2"/>
  <c r="DU69" i="2"/>
  <c r="DU66" i="2"/>
  <c r="DU36" i="2"/>
  <c r="DU130" i="2"/>
  <c r="DU60" i="2"/>
  <c r="DU27" i="2"/>
  <c r="DU111" i="2"/>
  <c r="DU127" i="2"/>
  <c r="DU49" i="2"/>
  <c r="DU61" i="2"/>
  <c r="DU10" i="2"/>
  <c r="DU193" i="2"/>
  <c r="DU93" i="2"/>
  <c r="DU114" i="2"/>
  <c r="DU100" i="2"/>
  <c r="DU92" i="2"/>
  <c r="DU44" i="2"/>
  <c r="DU72" i="2"/>
  <c r="DU105" i="2"/>
  <c r="DU112" i="2"/>
  <c r="DU133" i="2"/>
  <c r="DU179" i="2"/>
  <c r="DU180" i="2"/>
  <c r="DU143" i="2"/>
  <c r="DU202" i="2"/>
  <c r="DU33" i="2"/>
  <c r="DU110" i="2"/>
  <c r="DU45" i="2"/>
  <c r="DU52" i="2"/>
  <c r="DU24" i="2"/>
  <c r="DU196" i="2"/>
  <c r="DU103" i="2"/>
  <c r="DU174" i="2"/>
  <c r="DU8" i="2"/>
  <c r="DU22" i="2"/>
  <c r="DU182" i="2"/>
  <c r="DU97" i="2"/>
  <c r="DU150" i="2"/>
  <c r="DU90" i="2"/>
  <c r="DU166" i="2"/>
  <c r="DU173" i="2"/>
  <c r="DU170" i="2"/>
  <c r="DU39" i="2"/>
  <c r="DU67" i="2"/>
  <c r="DU194" i="2"/>
  <c r="DU199" i="2"/>
  <c r="DU157" i="2"/>
  <c r="DU148" i="2"/>
  <c r="DU53" i="2"/>
  <c r="DU89" i="2"/>
  <c r="DU165" i="2"/>
  <c r="DU75" i="2"/>
  <c r="DU102" i="2"/>
  <c r="DU107" i="2"/>
  <c r="DU145" i="2"/>
  <c r="DU87" i="2"/>
  <c r="DU195" i="2"/>
  <c r="DU190" i="2"/>
  <c r="DU135" i="2"/>
  <c r="DU121" i="2"/>
  <c r="DU192" i="2"/>
  <c r="DU141" i="2"/>
  <c r="DU99" i="2"/>
  <c r="DU17" i="2"/>
  <c r="DU43" i="2"/>
  <c r="DU132" i="2"/>
  <c r="DU115" i="2"/>
  <c r="DU34" i="2"/>
  <c r="DU167" i="2"/>
  <c r="DU9" i="2"/>
  <c r="DU19" i="2"/>
  <c r="DU198" i="2"/>
  <c r="DU26" i="2"/>
  <c r="DU142" i="2"/>
  <c r="DU31" i="2"/>
  <c r="DU6" i="2"/>
  <c r="DU56" i="2"/>
  <c r="DU203" i="2"/>
  <c r="DU161" i="2"/>
  <c r="DU37" i="2"/>
  <c r="DU7" i="2"/>
  <c r="DU96" i="2"/>
  <c r="DU153" i="2"/>
  <c r="DU147" i="2"/>
  <c r="DU126" i="2"/>
  <c r="DU104" i="2"/>
  <c r="DU42" i="2"/>
  <c r="DU84" i="2"/>
  <c r="DU38" i="2"/>
  <c r="DU76" i="2"/>
  <c r="DU73" i="2"/>
  <c r="DU116" i="2"/>
  <c r="DU129" i="2"/>
  <c r="DU16" i="2"/>
  <c r="DU4" i="2"/>
  <c r="DU57" i="2"/>
  <c r="DU29" i="2"/>
  <c r="DU137" i="2"/>
  <c r="DU25" i="2"/>
  <c r="DU54" i="2"/>
  <c r="DU152" i="2"/>
  <c r="DU134" i="2"/>
  <c r="DU32" i="2"/>
  <c r="DU91" i="2"/>
  <c r="DU187" i="2"/>
  <c r="DU71" i="2"/>
  <c r="DU183" i="2"/>
  <c r="DU149" i="2"/>
  <c r="DU201" i="2"/>
  <c r="DU81" i="2"/>
  <c r="DU178" i="2"/>
  <c r="DU41" i="2"/>
  <c r="DU176" i="2"/>
  <c r="DU146" i="2"/>
  <c r="DU23" i="2"/>
  <c r="DU94" i="2"/>
  <c r="DU70" i="2"/>
  <c r="DU122" i="2"/>
  <c r="DU64" i="2"/>
  <c r="DU168" i="2"/>
  <c r="DU30" i="2"/>
  <c r="DU48" i="2"/>
  <c r="DU106" i="2"/>
  <c r="DU184" i="2"/>
  <c r="DU109" i="2"/>
  <c r="DU20" i="2"/>
  <c r="DU77" i="2"/>
  <c r="DU118" i="2"/>
  <c r="DU175" i="2"/>
  <c r="DU28" i="2"/>
  <c r="DU86" i="2"/>
  <c r="DU163" i="2"/>
  <c r="DU186" i="2"/>
  <c r="DU63" i="2"/>
  <c r="DU177" i="2"/>
  <c r="DU101" i="2"/>
  <c r="DU11" i="2"/>
  <c r="DU171" i="2"/>
  <c r="DU68" i="2"/>
  <c r="DU47" i="2"/>
  <c r="DU131" i="2"/>
  <c r="DU169" i="2"/>
  <c r="DU197" i="2"/>
  <c r="DU113" i="2"/>
  <c r="DU120" i="2"/>
  <c r="DU125" i="2"/>
  <c r="DU158" i="2"/>
  <c r="DU140" i="2"/>
  <c r="DU21" i="2"/>
  <c r="DU119" i="2"/>
  <c r="DU189" i="2"/>
  <c r="DU85" i="2"/>
  <c r="DU128" i="2"/>
  <c r="DU98" i="2"/>
  <c r="DU151" i="2"/>
  <c r="DU200" i="2"/>
  <c r="DU51" i="2"/>
  <c r="DU188" i="2"/>
  <c r="DU160" i="2"/>
  <c r="DU12" i="2"/>
  <c r="DU74" i="2"/>
  <c r="DU139" i="2"/>
  <c r="DU123" i="2"/>
  <c r="DU117" i="2"/>
  <c r="DU124" i="2"/>
  <c r="DQ34" i="2"/>
  <c r="DR34" i="2" s="1"/>
  <c r="DS34" i="2" s="1"/>
  <c r="DP35" i="2"/>
  <c r="DO36" i="2"/>
  <c r="DQ35" i="2" l="1"/>
  <c r="DR35" i="2"/>
  <c r="DS35" i="2" s="1"/>
  <c r="DP36" i="2"/>
  <c r="DO37" i="2"/>
  <c r="DP37" i="2" l="1"/>
  <c r="DO38" i="2"/>
  <c r="DQ36" i="2"/>
  <c r="DR36" i="2" s="1"/>
  <c r="DS36" i="2" s="1"/>
  <c r="DO39" i="2" l="1"/>
  <c r="DP38" i="2"/>
  <c r="DQ37" i="2"/>
  <c r="DR37" i="2" s="1"/>
  <c r="DS37" i="2" s="1"/>
  <c r="DQ38" i="2" l="1"/>
  <c r="DR38" i="2" s="1"/>
  <c r="DS38" i="2" s="1"/>
  <c r="DO40" i="2"/>
  <c r="DP39" i="2"/>
  <c r="DQ39" i="2" l="1"/>
  <c r="DR39" i="2"/>
  <c r="DS39" i="2" s="1"/>
  <c r="DO41" i="2"/>
  <c r="DP40" i="2"/>
  <c r="DO42" i="2" l="1"/>
  <c r="DP41" i="2"/>
  <c r="DQ40" i="2"/>
  <c r="DR40" i="2" s="1"/>
  <c r="DS40" i="2" s="1"/>
  <c r="DP42" i="2" l="1"/>
  <c r="DO43" i="2"/>
  <c r="DQ41" i="2"/>
  <c r="DR41" i="2" s="1"/>
  <c r="DS41" i="2" s="1"/>
  <c r="DQ42" i="2" l="1"/>
  <c r="DR42" i="2" s="1"/>
  <c r="DS42" i="2" s="1"/>
  <c r="DP43" i="2"/>
  <c r="DO44" i="2"/>
  <c r="DP44" i="2" l="1"/>
  <c r="DO45" i="2"/>
  <c r="DR43" i="2"/>
  <c r="DS43" i="2" s="1"/>
  <c r="DQ43" i="2"/>
  <c r="DP45" i="2" l="1"/>
  <c r="DO46" i="2"/>
  <c r="DQ44" i="2"/>
  <c r="DR44" i="2" s="1"/>
  <c r="DS44" i="2" s="1"/>
  <c r="DO47" i="2" l="1"/>
  <c r="DP46" i="2"/>
  <c r="DQ45" i="2"/>
  <c r="DR45" i="2" s="1"/>
  <c r="DS45" i="2" s="1"/>
  <c r="DQ46" i="2" l="1"/>
  <c r="DR46" i="2" s="1"/>
  <c r="DS46" i="2" s="1"/>
  <c r="DO48" i="2"/>
  <c r="DP47" i="2"/>
  <c r="DO49" i="2" l="1"/>
  <c r="DP48" i="2"/>
  <c r="DQ47" i="2"/>
  <c r="DR47" i="2" s="1"/>
  <c r="DS47" i="2" s="1"/>
  <c r="DQ48" i="2" l="1"/>
  <c r="DR48" i="2" s="1"/>
  <c r="DS48" i="2" s="1"/>
  <c r="DO50" i="2"/>
  <c r="DP49" i="2"/>
  <c r="DP50" i="2" l="1"/>
  <c r="DO51" i="2"/>
  <c r="DQ49" i="2"/>
  <c r="DR49" i="2" s="1"/>
  <c r="DS49" i="2" s="1"/>
  <c r="DP51" i="2" l="1"/>
  <c r="DO52" i="2"/>
  <c r="DQ50" i="2"/>
  <c r="DR50" i="2" s="1"/>
  <c r="DS50" i="2" s="1"/>
  <c r="DP52" i="2" l="1"/>
  <c r="DO53" i="2"/>
  <c r="DQ51" i="2"/>
  <c r="DR51" i="2" s="1"/>
  <c r="DS51" i="2" s="1"/>
  <c r="DP53" i="2" l="1"/>
  <c r="DO54" i="2"/>
  <c r="DQ52" i="2"/>
  <c r="DR52" i="2" s="1"/>
  <c r="DS52" i="2" s="1"/>
  <c r="DO55" i="2" l="1"/>
  <c r="DP54" i="2"/>
  <c r="DQ53" i="2"/>
  <c r="DR53" i="2" s="1"/>
  <c r="DS53" i="2" s="1"/>
  <c r="DQ54" i="2" l="1"/>
  <c r="DR54" i="2" s="1"/>
  <c r="DS54" i="2" s="1"/>
  <c r="DO56" i="2"/>
  <c r="DP55" i="2"/>
  <c r="DO57" i="2" l="1"/>
  <c r="DP56" i="2"/>
  <c r="DQ55" i="2"/>
  <c r="DR55" i="2" s="1"/>
  <c r="DS55" i="2" s="1"/>
  <c r="DO58" i="2" l="1"/>
  <c r="DP57" i="2"/>
  <c r="DQ56" i="2"/>
  <c r="DR56" i="2" s="1"/>
  <c r="DS56" i="2" s="1"/>
  <c r="DQ57" i="2" l="1"/>
  <c r="DR57" i="2" s="1"/>
  <c r="DS57" i="2" s="1"/>
  <c r="DP58" i="2"/>
  <c r="DO59" i="2"/>
  <c r="DP59" i="2" l="1"/>
  <c r="DO60" i="2"/>
  <c r="DQ58" i="2"/>
  <c r="DR58" i="2" s="1"/>
  <c r="DS58" i="2" s="1"/>
  <c r="DP60" i="2" l="1"/>
  <c r="DO61" i="2"/>
  <c r="DQ59" i="2"/>
  <c r="DR59" i="2" s="1"/>
  <c r="DS59" i="2" s="1"/>
  <c r="DP61" i="2" l="1"/>
  <c r="DO62" i="2"/>
  <c r="DQ60" i="2"/>
  <c r="DR60" i="2" s="1"/>
  <c r="DS60" i="2" s="1"/>
  <c r="DO63" i="2" l="1"/>
  <c r="DP62" i="2"/>
  <c r="DQ61" i="2"/>
  <c r="DR61" i="2" s="1"/>
  <c r="DS61" i="2" s="1"/>
  <c r="DQ62" i="2" l="1"/>
  <c r="DR62" i="2" s="1"/>
  <c r="DS62" i="2" s="1"/>
  <c r="DO64" i="2"/>
  <c r="DP63" i="2"/>
  <c r="DO65" i="2" l="1"/>
  <c r="DP64" i="2"/>
  <c r="DQ63" i="2"/>
  <c r="DR63" i="2"/>
  <c r="DS63" i="2" s="1"/>
  <c r="DQ64" i="2" l="1"/>
  <c r="DR64" i="2" s="1"/>
  <c r="DS64" i="2" s="1"/>
  <c r="DO66" i="2"/>
  <c r="DP65" i="2"/>
  <c r="DQ65" i="2" l="1"/>
  <c r="DR65" i="2" s="1"/>
  <c r="DS65" i="2" s="1"/>
  <c r="DP66" i="2"/>
  <c r="DO67" i="2"/>
  <c r="DP67" i="2" l="1"/>
  <c r="DO68" i="2"/>
  <c r="DQ66" i="2"/>
  <c r="DR66" i="2" s="1"/>
  <c r="DS66" i="2" s="1"/>
  <c r="DP68" i="2" l="1"/>
  <c r="DO69" i="2"/>
  <c r="DQ67" i="2"/>
  <c r="DR67" i="2" s="1"/>
  <c r="DS67" i="2" s="1"/>
  <c r="DP69" i="2" l="1"/>
  <c r="DO70" i="2"/>
  <c r="DQ68" i="2"/>
  <c r="DR68" i="2" s="1"/>
  <c r="DS68" i="2" s="1"/>
  <c r="DO71" i="2" l="1"/>
  <c r="DP70" i="2"/>
  <c r="DQ69" i="2"/>
  <c r="DR69" i="2" s="1"/>
  <c r="DS69" i="2" s="1"/>
  <c r="DQ70" i="2" l="1"/>
  <c r="DR70" i="2"/>
  <c r="DS70" i="2" s="1"/>
  <c r="DO72" i="2"/>
  <c r="DP71" i="2"/>
  <c r="DQ71" i="2" l="1"/>
  <c r="DR71" i="2" s="1"/>
  <c r="DS71" i="2" s="1"/>
  <c r="DO73" i="2"/>
  <c r="DP72" i="2"/>
  <c r="DQ72" i="2" l="1"/>
  <c r="DR72" i="2" s="1"/>
  <c r="DS72" i="2" s="1"/>
  <c r="DO74" i="2"/>
  <c r="DP73" i="2"/>
  <c r="DQ73" i="2" l="1"/>
  <c r="DR73" i="2" s="1"/>
  <c r="DS73" i="2" s="1"/>
  <c r="DO75" i="2"/>
  <c r="DP74" i="2"/>
  <c r="DQ74" i="2" l="1"/>
  <c r="DR74" i="2"/>
  <c r="DS74" i="2" s="1"/>
  <c r="DP75" i="2"/>
  <c r="DO76" i="2"/>
  <c r="DP76" i="2" l="1"/>
  <c r="DO77" i="2"/>
  <c r="DQ75" i="2"/>
  <c r="DR75" i="2" s="1"/>
  <c r="DS75" i="2" s="1"/>
  <c r="DO78" i="2" l="1"/>
  <c r="DP77" i="2"/>
  <c r="DQ76" i="2"/>
  <c r="DR76" i="2" s="1"/>
  <c r="DS76" i="2" s="1"/>
  <c r="DQ77" i="2" l="1"/>
  <c r="DR77" i="2" s="1"/>
  <c r="DS77" i="2" s="1"/>
  <c r="DP78" i="2"/>
  <c r="DO79" i="2"/>
  <c r="DP79" i="2" l="1"/>
  <c r="DO80" i="2"/>
  <c r="DQ78" i="2"/>
  <c r="DR78" i="2" s="1"/>
  <c r="DS78" i="2" s="1"/>
  <c r="DP80" i="2" l="1"/>
  <c r="DO81" i="2"/>
  <c r="DQ79" i="2"/>
  <c r="DR79" i="2" s="1"/>
  <c r="DS79" i="2" s="1"/>
  <c r="DO82" i="2" l="1"/>
  <c r="DP81" i="2"/>
  <c r="DQ80" i="2"/>
  <c r="DR80" i="2" s="1"/>
  <c r="DS80" i="2" s="1"/>
  <c r="DQ81" i="2" l="1"/>
  <c r="DR81" i="2" s="1"/>
  <c r="DS81" i="2" s="1"/>
  <c r="DP82" i="2"/>
  <c r="DO83" i="2"/>
  <c r="DP83" i="2" l="1"/>
  <c r="DO84" i="2"/>
  <c r="DQ82" i="2"/>
  <c r="DR82" i="2" s="1"/>
  <c r="DS82" i="2" s="1"/>
  <c r="DP84" i="2" l="1"/>
  <c r="DO85" i="2"/>
  <c r="DQ83" i="2"/>
  <c r="DR83" i="2" s="1"/>
  <c r="DS83" i="2" s="1"/>
  <c r="DT3" i="2" l="1"/>
  <c r="C11" i="4" s="1"/>
  <c r="E11" i="4" s="1"/>
  <c r="F11" i="4" s="1"/>
  <c r="DT11" i="2"/>
  <c r="DT176" i="2"/>
  <c r="DT44" i="2"/>
  <c r="DT182" i="2"/>
  <c r="DT133" i="2"/>
  <c r="DT51" i="2"/>
  <c r="DT58" i="2"/>
  <c r="DT139" i="2"/>
  <c r="DT85" i="2"/>
  <c r="DT115" i="2"/>
  <c r="DT113" i="2"/>
  <c r="DT31" i="2"/>
  <c r="DT124" i="2"/>
  <c r="DT45" i="2"/>
  <c r="DT55" i="2"/>
  <c r="DT130" i="2"/>
  <c r="DT21" i="2"/>
  <c r="DT38" i="2"/>
  <c r="DT103" i="2"/>
  <c r="DT110" i="2"/>
  <c r="DT83" i="2"/>
  <c r="DT165" i="2"/>
  <c r="DT75" i="2"/>
  <c r="DT173" i="2"/>
  <c r="DT181" i="2"/>
  <c r="DT126" i="2"/>
  <c r="DT172" i="2"/>
  <c r="DT125" i="2"/>
  <c r="DT59" i="2"/>
  <c r="DT43" i="2"/>
  <c r="DT26" i="2"/>
  <c r="DT7" i="2"/>
  <c r="DT39" i="2"/>
  <c r="DT86" i="2"/>
  <c r="DT175" i="2"/>
  <c r="DT198" i="2"/>
  <c r="DT167" i="2"/>
  <c r="DT102" i="2"/>
  <c r="DT29" i="2"/>
  <c r="DT179" i="2"/>
  <c r="DT122" i="2"/>
  <c r="DT49" i="2"/>
  <c r="DT72" i="2"/>
  <c r="DT53" i="2"/>
  <c r="DT120" i="2"/>
  <c r="DT94" i="2"/>
  <c r="DT22" i="2"/>
  <c r="DT41" i="2"/>
  <c r="DT67" i="2"/>
  <c r="DT141" i="2"/>
  <c r="DT156" i="2"/>
  <c r="DT144" i="2"/>
  <c r="DT171" i="2"/>
  <c r="DT118" i="2"/>
  <c r="DT24" i="2"/>
  <c r="DT193" i="2"/>
  <c r="DT15" i="2"/>
  <c r="DT52" i="2"/>
  <c r="DT127" i="2"/>
  <c r="DT91" i="2"/>
  <c r="DT54" i="2"/>
  <c r="DT196" i="2"/>
  <c r="DT194" i="2"/>
  <c r="DT132" i="2"/>
  <c r="DT82" i="2"/>
  <c r="DT69" i="2"/>
  <c r="DT107" i="2"/>
  <c r="DT142" i="2"/>
  <c r="DT192" i="2"/>
  <c r="DT5" i="2"/>
  <c r="DT81" i="2"/>
  <c r="DT17" i="2"/>
  <c r="DT185" i="2"/>
  <c r="DT174" i="2"/>
  <c r="DT34" i="2"/>
  <c r="DT16" i="2"/>
  <c r="DT186" i="2"/>
  <c r="DT189" i="2"/>
  <c r="DT119" i="2"/>
  <c r="DT116" i="2"/>
  <c r="DT199" i="2"/>
  <c r="DT47" i="2"/>
  <c r="DT37" i="2"/>
  <c r="DT84" i="2"/>
  <c r="DT23" i="2"/>
  <c r="DT151" i="2"/>
  <c r="DT12" i="2"/>
  <c r="DT101" i="2"/>
  <c r="DT197" i="2"/>
  <c r="DT138" i="2"/>
  <c r="DT42" i="2"/>
  <c r="DT99" i="2"/>
  <c r="DT79" i="2"/>
  <c r="DT30" i="2"/>
  <c r="DT134" i="2"/>
  <c r="DT111" i="2"/>
  <c r="DT33" i="2"/>
  <c r="DT50" i="2"/>
  <c r="DT187" i="2"/>
  <c r="DT8" i="2"/>
  <c r="DT166" i="2"/>
  <c r="DT105" i="2"/>
  <c r="DT78" i="2"/>
  <c r="DT90" i="2"/>
  <c r="DT143" i="2"/>
  <c r="DT170" i="2"/>
  <c r="DT18" i="2"/>
  <c r="DT87" i="2"/>
  <c r="DT66" i="2"/>
  <c r="DT168" i="2"/>
  <c r="DT20" i="2"/>
  <c r="DT97" i="2"/>
  <c r="DT74" i="2"/>
  <c r="DT177" i="2"/>
  <c r="DT129" i="2"/>
  <c r="DT149" i="2"/>
  <c r="DT183" i="2"/>
  <c r="DT95" i="2"/>
  <c r="DT13" i="2"/>
  <c r="DT80" i="2"/>
  <c r="DT100" i="2"/>
  <c r="DT190" i="2"/>
  <c r="DT150" i="2"/>
  <c r="DT117" i="2"/>
  <c r="DT154" i="2"/>
  <c r="DT140" i="2"/>
  <c r="DT108" i="2"/>
  <c r="DT19" i="2"/>
  <c r="DT35" i="2"/>
  <c r="DT10" i="2"/>
  <c r="DT146" i="2"/>
  <c r="DT160" i="2"/>
  <c r="DT158" i="2"/>
  <c r="DT152" i="2"/>
  <c r="DT169" i="2"/>
  <c r="DT27" i="2"/>
  <c r="DT178" i="2"/>
  <c r="DT64" i="2"/>
  <c r="DT9" i="2"/>
  <c r="DT73" i="2"/>
  <c r="DT148" i="2"/>
  <c r="DT93" i="2"/>
  <c r="DT145" i="2"/>
  <c r="DT136" i="2"/>
  <c r="DT202" i="2"/>
  <c r="DT112" i="2"/>
  <c r="DT89" i="2"/>
  <c r="DT188" i="2"/>
  <c r="DT32" i="2"/>
  <c r="DT114" i="2"/>
  <c r="DT163" i="2"/>
  <c r="DT65" i="2"/>
  <c r="DT62" i="2"/>
  <c r="DT147" i="2"/>
  <c r="DT88" i="2"/>
  <c r="DT28" i="2"/>
  <c r="DT184" i="2"/>
  <c r="DT137" i="2"/>
  <c r="DT195" i="2"/>
  <c r="DT159" i="2"/>
  <c r="DT96" i="2"/>
  <c r="DT180" i="2"/>
  <c r="DT68" i="2"/>
  <c r="DT40" i="2"/>
  <c r="DT109" i="2"/>
  <c r="DT153" i="2"/>
  <c r="DT56" i="2"/>
  <c r="DT162" i="2"/>
  <c r="DT121" i="2"/>
  <c r="DT161" i="2"/>
  <c r="DT70" i="2"/>
  <c r="DT131" i="2"/>
  <c r="DT36" i="2"/>
  <c r="DT46" i="2"/>
  <c r="DT61" i="2"/>
  <c r="DT157" i="2"/>
  <c r="DT123" i="2"/>
  <c r="DT135" i="2"/>
  <c r="DT48" i="2"/>
  <c r="DT4" i="2"/>
  <c r="DT200" i="2"/>
  <c r="DT155" i="2"/>
  <c r="DT98" i="2"/>
  <c r="DT76" i="2"/>
  <c r="DT92" i="2"/>
  <c r="DT104" i="2"/>
  <c r="DT6" i="2"/>
  <c r="DT203" i="2"/>
  <c r="DT14" i="2"/>
  <c r="DT201" i="2"/>
  <c r="DT57" i="2"/>
  <c r="DT71" i="2"/>
  <c r="DT63" i="2"/>
  <c r="DT25" i="2"/>
  <c r="DT77" i="2"/>
  <c r="DT106" i="2"/>
  <c r="DT60" i="2"/>
  <c r="DT191" i="2"/>
  <c r="DT128" i="2"/>
  <c r="DT164" i="2"/>
  <c r="DO86" i="2"/>
  <c r="DP85" i="2"/>
  <c r="DQ84" i="2"/>
  <c r="DR84" i="2" s="1"/>
  <c r="DS84" i="2" s="1"/>
  <c r="DQ85" i="2" l="1"/>
  <c r="DR85" i="2"/>
  <c r="DS85" i="2" s="1"/>
  <c r="DP86" i="2"/>
  <c r="DO87" i="2"/>
  <c r="G11" i="4"/>
  <c r="F16" i="4"/>
  <c r="G16" i="4" l="1"/>
  <c r="L11" i="4"/>
  <c r="L16" i="4" s="1"/>
  <c r="DP87" i="2"/>
  <c r="DO88" i="2"/>
  <c r="DQ86" i="2"/>
  <c r="DR86" i="2"/>
  <c r="DS86" i="2" s="1"/>
  <c r="DP88" i="2" l="1"/>
  <c r="DO89" i="2"/>
  <c r="DQ87" i="2"/>
  <c r="DR87" i="2" s="1"/>
  <c r="DS87" i="2" s="1"/>
  <c r="DP89" i="2" l="1"/>
  <c r="DO90" i="2"/>
  <c r="DQ88" i="2"/>
  <c r="DR88" i="2"/>
  <c r="DS88" i="2" s="1"/>
  <c r="DO91" i="2" l="1"/>
  <c r="DP90" i="2"/>
  <c r="DQ89" i="2"/>
  <c r="DR89" i="2" s="1"/>
  <c r="DS89" i="2" s="1"/>
  <c r="DQ90" i="2" l="1"/>
  <c r="DR90" i="2"/>
  <c r="DS90" i="2" s="1"/>
  <c r="DP91" i="2"/>
  <c r="DO92" i="2"/>
  <c r="DQ91" i="2" l="1"/>
  <c r="DR91" i="2"/>
  <c r="DS91" i="2" s="1"/>
  <c r="DP92" i="2"/>
  <c r="DO93" i="2"/>
  <c r="DP93" i="2" l="1"/>
  <c r="DO94" i="2"/>
  <c r="DQ92" i="2"/>
  <c r="DR92" i="2"/>
  <c r="DS92" i="2" s="1"/>
  <c r="DO95" i="2" l="1"/>
  <c r="DP94" i="2"/>
  <c r="DQ93" i="2"/>
  <c r="DR93" i="2" s="1"/>
  <c r="DS93" i="2" s="1"/>
  <c r="DQ94" i="2" l="1"/>
  <c r="DR94" i="2"/>
  <c r="DS94" i="2" s="1"/>
  <c r="DP95" i="2"/>
  <c r="DO96" i="2"/>
  <c r="DP96" i="2" l="1"/>
  <c r="DO97" i="2"/>
  <c r="DQ95" i="2"/>
  <c r="DR95" i="2" s="1"/>
  <c r="DS95" i="2" s="1"/>
  <c r="DP97" i="2" l="1"/>
  <c r="DO98" i="2"/>
  <c r="DQ96" i="2"/>
  <c r="DR96" i="2" s="1"/>
  <c r="DS96" i="2" s="1"/>
  <c r="DO99" i="2" l="1"/>
  <c r="DP98" i="2"/>
  <c r="DQ97" i="2"/>
  <c r="DR97" i="2" s="1"/>
  <c r="DS97" i="2" s="1"/>
  <c r="DQ98" i="2" l="1"/>
  <c r="DR98" i="2"/>
  <c r="DS98" i="2" s="1"/>
  <c r="DO100" i="2"/>
  <c r="DP99" i="2"/>
  <c r="DQ99" i="2" l="1"/>
  <c r="DR99" i="2" s="1"/>
  <c r="DS99" i="2" s="1"/>
  <c r="DP100" i="2"/>
  <c r="DO101" i="2"/>
  <c r="DP101" i="2" l="1"/>
  <c r="DO102" i="2"/>
  <c r="DQ100" i="2"/>
  <c r="DR100" i="2" s="1"/>
  <c r="DS100" i="2" s="1"/>
  <c r="DO103" i="2" l="1"/>
  <c r="DP102" i="2"/>
  <c r="DQ101" i="2"/>
  <c r="DR101" i="2" s="1"/>
  <c r="DS101" i="2" s="1"/>
  <c r="DQ102" i="2" l="1"/>
  <c r="DR102" i="2"/>
  <c r="DS102" i="2" s="1"/>
  <c r="DO104" i="2"/>
  <c r="DP103" i="2"/>
  <c r="DQ103" i="2" l="1"/>
  <c r="DR103" i="2" s="1"/>
  <c r="DS103" i="2" s="1"/>
  <c r="DP104" i="2"/>
  <c r="DO105" i="2"/>
  <c r="DP105" i="2" l="1"/>
  <c r="DO106" i="2"/>
  <c r="DQ104" i="2"/>
  <c r="DR104" i="2" s="1"/>
  <c r="DS104" i="2" s="1"/>
  <c r="DO107" i="2" l="1"/>
  <c r="DP106" i="2"/>
  <c r="DQ105" i="2"/>
  <c r="DR105" i="2" s="1"/>
  <c r="DS105" i="2" s="1"/>
  <c r="DQ106" i="2" l="1"/>
  <c r="DR106" i="2"/>
  <c r="DS106" i="2" s="1"/>
  <c r="DP107" i="2"/>
  <c r="DO108" i="2"/>
  <c r="DQ107" i="2" l="1"/>
  <c r="DR107" i="2"/>
  <c r="DS107" i="2" s="1"/>
  <c r="DP108" i="2"/>
  <c r="DO109" i="2"/>
  <c r="DQ108" i="2" l="1"/>
  <c r="DR108" i="2" s="1"/>
  <c r="DS108" i="2" s="1"/>
  <c r="DP109" i="2"/>
  <c r="DO110" i="2"/>
  <c r="DO111" i="2" l="1"/>
  <c r="DP110" i="2"/>
  <c r="DQ109" i="2"/>
  <c r="DR109" i="2" s="1"/>
  <c r="DS109" i="2" s="1"/>
  <c r="DQ110" i="2" l="1"/>
  <c r="DR110" i="2"/>
  <c r="DS110" i="2" s="1"/>
  <c r="DO112" i="2"/>
  <c r="DP111" i="2"/>
  <c r="DQ111" i="2" l="1"/>
  <c r="DR111" i="2" s="1"/>
  <c r="DS111" i="2" s="1"/>
  <c r="DP112" i="2"/>
  <c r="DO113" i="2"/>
  <c r="DP113" i="2" l="1"/>
  <c r="DO114" i="2"/>
  <c r="DQ112" i="2"/>
  <c r="DR112" i="2" s="1"/>
  <c r="DS112" i="2" s="1"/>
  <c r="DP114" i="2" l="1"/>
  <c r="DO115" i="2"/>
  <c r="DQ113" i="2"/>
  <c r="DR113" i="2" s="1"/>
  <c r="DS113" i="2" s="1"/>
  <c r="DP115" i="2" l="1"/>
  <c r="DO116" i="2"/>
  <c r="DQ114" i="2"/>
  <c r="DR114" i="2" s="1"/>
  <c r="DS114" i="2" s="1"/>
  <c r="DP116" i="2" l="1"/>
  <c r="DO117" i="2"/>
  <c r="DQ115" i="2"/>
  <c r="DR115" i="2" s="1"/>
  <c r="DS115" i="2" s="1"/>
  <c r="DO118" i="2" l="1"/>
  <c r="DP117" i="2"/>
  <c r="DQ116" i="2"/>
  <c r="DR116" i="2" s="1"/>
  <c r="DS116" i="2" s="1"/>
  <c r="DQ117" i="2" l="1"/>
  <c r="DR117" i="2" s="1"/>
  <c r="DS117" i="2" s="1"/>
  <c r="DO119" i="2"/>
  <c r="DP118" i="2"/>
  <c r="DQ118" i="2" l="1"/>
  <c r="DR118" i="2" s="1"/>
  <c r="DS118" i="2" s="1"/>
  <c r="DP119" i="2"/>
  <c r="DO120" i="2"/>
  <c r="DP120" i="2" l="1"/>
  <c r="DO121" i="2"/>
  <c r="DQ119" i="2"/>
  <c r="DR119" i="2" s="1"/>
  <c r="DS119" i="2" s="1"/>
  <c r="DP121" i="2" l="1"/>
  <c r="DO122" i="2"/>
  <c r="DQ120" i="2"/>
  <c r="DR120" i="2" s="1"/>
  <c r="DS120" i="2" s="1"/>
  <c r="DP122" i="2" l="1"/>
  <c r="DO123" i="2"/>
  <c r="DQ121" i="2"/>
  <c r="DR121" i="2" s="1"/>
  <c r="DS121" i="2" s="1"/>
  <c r="DP123" i="2" l="1"/>
  <c r="DO124" i="2"/>
  <c r="DQ122" i="2"/>
  <c r="DR122" i="2" s="1"/>
  <c r="DS122" i="2" s="1"/>
  <c r="DO125" i="2" l="1"/>
  <c r="DP124" i="2"/>
  <c r="DQ123" i="2"/>
  <c r="DR123" i="2" s="1"/>
  <c r="DS123" i="2" s="1"/>
  <c r="DQ124" i="2" l="1"/>
  <c r="DR124" i="2" s="1"/>
  <c r="DS124" i="2" s="1"/>
  <c r="DO126" i="2"/>
  <c r="DP125" i="2"/>
  <c r="DQ125" i="2" l="1"/>
  <c r="DR125" i="2" s="1"/>
  <c r="DS125" i="2" s="1"/>
  <c r="DP126" i="2"/>
  <c r="DO127" i="2"/>
  <c r="DP127" i="2" l="1"/>
  <c r="DO128" i="2"/>
  <c r="DQ126" i="2"/>
  <c r="DR126" i="2" s="1"/>
  <c r="DS126" i="2" s="1"/>
  <c r="DO129" i="2" l="1"/>
  <c r="DP128" i="2"/>
  <c r="DQ127" i="2"/>
  <c r="DR127" i="2" s="1"/>
  <c r="DS127" i="2" s="1"/>
  <c r="DQ128" i="2" l="1"/>
  <c r="DR128" i="2"/>
  <c r="DS128" i="2" s="1"/>
  <c r="DO130" i="2"/>
  <c r="DP129" i="2"/>
  <c r="DP130" i="2" l="1"/>
  <c r="DO131" i="2"/>
  <c r="DQ129" i="2"/>
  <c r="DR129" i="2" s="1"/>
  <c r="DS129" i="2" s="1"/>
  <c r="DP131" i="2" l="1"/>
  <c r="DO132" i="2"/>
  <c r="DQ130" i="2"/>
  <c r="DR130" i="2" s="1"/>
  <c r="DS130" i="2" s="1"/>
  <c r="DO133" i="2" l="1"/>
  <c r="DP132" i="2"/>
  <c r="DQ131" i="2"/>
  <c r="DR131" i="2"/>
  <c r="DS131" i="2" s="1"/>
  <c r="DQ132" i="2" l="1"/>
  <c r="DR132" i="2" s="1"/>
  <c r="DS132" i="2" s="1"/>
  <c r="DO134" i="2"/>
  <c r="DP133" i="2"/>
  <c r="DP134" i="2" l="1"/>
  <c r="DO135" i="2"/>
  <c r="DQ133" i="2"/>
  <c r="DR133" i="2" s="1"/>
  <c r="DS133" i="2" s="1"/>
  <c r="DP135" i="2" l="1"/>
  <c r="DO136" i="2"/>
  <c r="DQ134" i="2"/>
  <c r="DR134" i="2" s="1"/>
  <c r="DS134" i="2" s="1"/>
  <c r="DO137" i="2" l="1"/>
  <c r="DP136" i="2"/>
  <c r="DQ135" i="2"/>
  <c r="DR135" i="2" s="1"/>
  <c r="DS135" i="2" s="1"/>
  <c r="DQ136" i="2" l="1"/>
  <c r="DR136" i="2"/>
  <c r="DS136" i="2" s="1"/>
  <c r="DP137" i="2"/>
  <c r="DO138" i="2"/>
  <c r="DP138" i="2" l="1"/>
  <c r="DO139" i="2"/>
  <c r="DQ137" i="2"/>
  <c r="DR137" i="2" s="1"/>
  <c r="DS137" i="2" s="1"/>
  <c r="DP139" i="2" l="1"/>
  <c r="DO140" i="2"/>
  <c r="DQ138" i="2"/>
  <c r="DR138" i="2" s="1"/>
  <c r="DS138" i="2" s="1"/>
  <c r="DP140" i="2" l="1"/>
  <c r="DO141" i="2"/>
  <c r="DQ139" i="2"/>
  <c r="DR139" i="2" s="1"/>
  <c r="DS139" i="2" s="1"/>
  <c r="DP141" i="2" l="1"/>
  <c r="DO142" i="2"/>
  <c r="DQ140" i="2"/>
  <c r="DR140" i="2" s="1"/>
  <c r="DS140" i="2" s="1"/>
  <c r="DO143" i="2" l="1"/>
  <c r="DP142" i="2"/>
  <c r="DQ141" i="2"/>
  <c r="DR141" i="2" s="1"/>
  <c r="DS141" i="2" s="1"/>
  <c r="DQ142" i="2" l="1"/>
  <c r="DR142" i="2" s="1"/>
  <c r="DS142" i="2" s="1"/>
  <c r="DO144" i="2"/>
  <c r="DP143" i="2"/>
  <c r="DQ143" i="2" l="1"/>
  <c r="DR143" i="2" s="1"/>
  <c r="DS143" i="2" s="1"/>
  <c r="DP144" i="2"/>
  <c r="DO145" i="2"/>
  <c r="DP145" i="2" l="1"/>
  <c r="DO146" i="2"/>
  <c r="DQ144" i="2"/>
  <c r="DR144" i="2" s="1"/>
  <c r="DS144" i="2" s="1"/>
  <c r="DO147" i="2" l="1"/>
  <c r="DP146" i="2"/>
  <c r="DQ145" i="2"/>
  <c r="DR145" i="2" s="1"/>
  <c r="DS145" i="2" s="1"/>
  <c r="DQ146" i="2" l="1"/>
  <c r="DR146" i="2"/>
  <c r="DS146" i="2" s="1"/>
  <c r="DP147" i="2"/>
  <c r="DO148" i="2"/>
  <c r="DP148" i="2" l="1"/>
  <c r="DO149" i="2"/>
  <c r="DQ147" i="2"/>
  <c r="DR147" i="2" s="1"/>
  <c r="DS147" i="2" s="1"/>
  <c r="DP149" i="2" l="1"/>
  <c r="DO150" i="2"/>
  <c r="DQ148" i="2"/>
  <c r="DR148" i="2" s="1"/>
  <c r="DS148" i="2" s="1"/>
  <c r="DO151" i="2" l="1"/>
  <c r="DP150" i="2"/>
  <c r="DQ149" i="2"/>
  <c r="DR149" i="2" s="1"/>
  <c r="DS149" i="2" s="1"/>
  <c r="DQ150" i="2" l="1"/>
  <c r="DR150" i="2"/>
  <c r="DS150" i="2" s="1"/>
  <c r="DO152" i="2"/>
  <c r="DP151" i="2"/>
  <c r="DQ151" i="2" l="1"/>
  <c r="DR151" i="2" s="1"/>
  <c r="DS151" i="2" s="1"/>
  <c r="DP152" i="2"/>
  <c r="DO153" i="2"/>
  <c r="DP153" i="2" l="1"/>
  <c r="DO154" i="2"/>
  <c r="DQ152" i="2"/>
  <c r="DR152" i="2" s="1"/>
  <c r="DS152" i="2" s="1"/>
  <c r="DO155" i="2" l="1"/>
  <c r="DP154" i="2"/>
  <c r="DQ153" i="2"/>
  <c r="DR153" i="2" s="1"/>
  <c r="DS153" i="2" s="1"/>
  <c r="DQ154" i="2" l="1"/>
  <c r="DR154" i="2" s="1"/>
  <c r="DS154" i="2" s="1"/>
  <c r="DO156" i="2"/>
  <c r="DP155" i="2"/>
  <c r="DQ155" i="2" l="1"/>
  <c r="DR155" i="2"/>
  <c r="DS155" i="2" s="1"/>
  <c r="DP156" i="2"/>
  <c r="DO157" i="2"/>
  <c r="DP157" i="2" l="1"/>
  <c r="DO158" i="2"/>
  <c r="DQ156" i="2"/>
  <c r="DR156" i="2" s="1"/>
  <c r="DS156" i="2" s="1"/>
  <c r="DO159" i="2" l="1"/>
  <c r="DP158" i="2"/>
  <c r="DQ157" i="2"/>
  <c r="DR157" i="2" s="1"/>
  <c r="DS157" i="2" s="1"/>
  <c r="DQ158" i="2" l="1"/>
  <c r="DR158" i="2" s="1"/>
  <c r="DS158" i="2" s="1"/>
  <c r="DO160" i="2"/>
  <c r="DP159" i="2"/>
  <c r="DQ159" i="2" l="1"/>
  <c r="DR159" i="2" s="1"/>
  <c r="DS159" i="2" s="1"/>
  <c r="DP160" i="2"/>
  <c r="DO161" i="2"/>
  <c r="DP161" i="2" l="1"/>
  <c r="DO162" i="2"/>
  <c r="DQ160" i="2"/>
  <c r="DR160" i="2" s="1"/>
  <c r="DS160" i="2" s="1"/>
  <c r="DO163" i="2" l="1"/>
  <c r="DP162" i="2"/>
  <c r="DQ161" i="2"/>
  <c r="DR161" i="2" s="1"/>
  <c r="DS161" i="2" s="1"/>
  <c r="DQ162" i="2" l="1"/>
  <c r="DR162" i="2" s="1"/>
  <c r="DS162" i="2" s="1"/>
  <c r="DO164" i="2"/>
  <c r="DP163" i="2"/>
  <c r="DQ163" i="2" l="1"/>
  <c r="DR163" i="2" s="1"/>
  <c r="DS163" i="2" s="1"/>
  <c r="DP164" i="2"/>
  <c r="DO165" i="2"/>
  <c r="DP165" i="2" l="1"/>
  <c r="DO166" i="2"/>
  <c r="DQ164" i="2"/>
  <c r="DR164" i="2" s="1"/>
  <c r="DS164" i="2" s="1"/>
  <c r="DO167" i="2" l="1"/>
  <c r="DP166" i="2"/>
  <c r="DQ165" i="2"/>
  <c r="DR165" i="2" s="1"/>
  <c r="DS165" i="2" s="1"/>
  <c r="DQ166" i="2" l="1"/>
  <c r="DR166" i="2" s="1"/>
  <c r="DS166" i="2" s="1"/>
  <c r="DO168" i="2"/>
  <c r="DP167" i="2"/>
  <c r="DQ167" i="2" l="1"/>
  <c r="DR167" i="2" s="1"/>
  <c r="DS167" i="2" s="1"/>
  <c r="DP168" i="2"/>
  <c r="DO169" i="2"/>
  <c r="DP169" i="2" l="1"/>
  <c r="DO170" i="2"/>
  <c r="DQ168" i="2"/>
  <c r="DR168" i="2" s="1"/>
  <c r="DS168" i="2" s="1"/>
  <c r="DO171" i="2" l="1"/>
  <c r="DP170" i="2"/>
  <c r="DQ169" i="2"/>
  <c r="DR169" i="2" s="1"/>
  <c r="DS169" i="2" s="1"/>
  <c r="DQ170" i="2" l="1"/>
  <c r="DR170" i="2"/>
  <c r="DS170" i="2" s="1"/>
  <c r="DO172" i="2"/>
  <c r="DP171" i="2"/>
  <c r="DP172" i="2" l="1"/>
  <c r="DO173" i="2"/>
  <c r="DQ171" i="2"/>
  <c r="DR171" i="2" s="1"/>
  <c r="DS171" i="2" s="1"/>
  <c r="DP173" i="2" l="1"/>
  <c r="DO174" i="2"/>
  <c r="DQ172" i="2"/>
  <c r="DR172" i="2" s="1"/>
  <c r="DS172" i="2" s="1"/>
  <c r="DO175" i="2" l="1"/>
  <c r="DP174" i="2"/>
  <c r="DQ173" i="2"/>
  <c r="DR173" i="2" s="1"/>
  <c r="DS173" i="2" s="1"/>
  <c r="DQ174" i="2" l="1"/>
  <c r="DR174" i="2" s="1"/>
  <c r="DS174" i="2" s="1"/>
  <c r="DO176" i="2"/>
  <c r="DP175" i="2"/>
  <c r="DQ175" i="2" l="1"/>
  <c r="DR175" i="2" s="1"/>
  <c r="DS175" i="2" s="1"/>
  <c r="DP176" i="2"/>
  <c r="DO177" i="2"/>
  <c r="DQ176" i="2" l="1"/>
  <c r="DR176" i="2"/>
  <c r="DS176" i="2" s="1"/>
  <c r="DP177" i="2"/>
  <c r="DO178" i="2"/>
  <c r="DQ177" i="2" l="1"/>
  <c r="DR177" i="2" s="1"/>
  <c r="DS177" i="2" s="1"/>
  <c r="DO179" i="2"/>
  <c r="DP178" i="2"/>
  <c r="DO180" i="2" l="1"/>
  <c r="DP179" i="2"/>
  <c r="DQ178" i="2"/>
  <c r="DR178" i="2" s="1"/>
  <c r="DS178" i="2" s="1"/>
  <c r="DQ179" i="2" l="1"/>
  <c r="DR179" i="2" s="1"/>
  <c r="DS179" i="2" s="1"/>
  <c r="DP180" i="2"/>
  <c r="DO181" i="2"/>
  <c r="DQ180" i="2" l="1"/>
  <c r="DR180" i="2" s="1"/>
  <c r="DS180" i="2" s="1"/>
  <c r="DP181" i="2"/>
  <c r="DO182" i="2"/>
  <c r="DO183" i="2" l="1"/>
  <c r="DP182" i="2"/>
  <c r="DQ181" i="2"/>
  <c r="DR181" i="2" s="1"/>
  <c r="DS181" i="2" s="1"/>
  <c r="DQ182" i="2" l="1"/>
  <c r="DR182" i="2" s="1"/>
  <c r="DS182" i="2" s="1"/>
  <c r="DO184" i="2"/>
  <c r="DP183" i="2"/>
  <c r="DP184" i="2" l="1"/>
  <c r="DO185" i="2"/>
  <c r="DQ183" i="2"/>
  <c r="DR183" i="2" s="1"/>
  <c r="DS183" i="2" s="1"/>
  <c r="DP185" i="2" l="1"/>
  <c r="DO186" i="2"/>
  <c r="DQ184" i="2"/>
  <c r="DR184" i="2"/>
  <c r="DS184" i="2" s="1"/>
  <c r="DO187" i="2" l="1"/>
  <c r="DP186" i="2"/>
  <c r="DQ185" i="2"/>
  <c r="DR185" i="2" s="1"/>
  <c r="DS185" i="2" s="1"/>
  <c r="DQ186" i="2" l="1"/>
  <c r="DR186" i="2" s="1"/>
  <c r="DS186" i="2" s="1"/>
  <c r="DO188" i="2"/>
  <c r="DP187" i="2"/>
  <c r="DQ187" i="2" l="1"/>
  <c r="DR187" i="2" s="1"/>
  <c r="DS187" i="2" s="1"/>
  <c r="DP188" i="2"/>
  <c r="DO189" i="2"/>
  <c r="DP189" i="2" l="1"/>
  <c r="DO190" i="2"/>
  <c r="DQ188" i="2"/>
  <c r="DR188" i="2"/>
  <c r="DS188" i="2" s="1"/>
  <c r="DO191" i="2" l="1"/>
  <c r="DP190" i="2"/>
  <c r="DQ189" i="2"/>
  <c r="DR189" i="2"/>
  <c r="DS189" i="2" s="1"/>
  <c r="DQ190" i="2" l="1"/>
  <c r="DR190" i="2" s="1"/>
  <c r="DS190" i="2" s="1"/>
  <c r="DO192" i="2"/>
  <c r="DP191" i="2"/>
  <c r="DP192" i="2" l="1"/>
  <c r="DO193" i="2"/>
  <c r="DQ191" i="2"/>
  <c r="DR191" i="2" s="1"/>
  <c r="DS191" i="2" s="1"/>
  <c r="DP193" i="2" l="1"/>
  <c r="DO194" i="2"/>
  <c r="DQ192" i="2"/>
  <c r="DR192" i="2" s="1"/>
  <c r="DS192" i="2" s="1"/>
  <c r="DO195" i="2" l="1"/>
  <c r="DP194" i="2"/>
  <c r="DQ193" i="2"/>
  <c r="DR193" i="2" s="1"/>
  <c r="DS193" i="2" s="1"/>
  <c r="DQ194" i="2" l="1"/>
  <c r="DR194" i="2" s="1"/>
  <c r="DS194" i="2" s="1"/>
  <c r="DP195" i="2"/>
  <c r="DO196" i="2"/>
  <c r="DP196" i="2" l="1"/>
  <c r="DO197" i="2"/>
  <c r="DQ195" i="2"/>
  <c r="DR195" i="2" s="1"/>
  <c r="DS195" i="2" s="1"/>
  <c r="DO198" i="2" l="1"/>
  <c r="DP197" i="2"/>
  <c r="DQ196" i="2"/>
  <c r="DR196" i="2" s="1"/>
  <c r="DS196" i="2" s="1"/>
  <c r="DQ197" i="2" l="1"/>
  <c r="DR197" i="2" s="1"/>
  <c r="DS197" i="2" s="1"/>
  <c r="DP198" i="2"/>
  <c r="DO199" i="2"/>
  <c r="DP199" i="2" l="1"/>
  <c r="DO200" i="2"/>
  <c r="DQ198" i="2"/>
  <c r="DR198" i="2" s="1"/>
  <c r="DS198" i="2" s="1"/>
  <c r="DO201" i="2" l="1"/>
  <c r="DP200" i="2"/>
  <c r="DQ199" i="2"/>
  <c r="DR199" i="2" s="1"/>
  <c r="DS199" i="2" s="1"/>
  <c r="DQ200" i="2" l="1"/>
  <c r="DR200" i="2" s="1"/>
  <c r="DS200" i="2" s="1"/>
  <c r="DP201" i="2"/>
  <c r="DO202" i="2"/>
  <c r="DP202" i="2" l="1"/>
  <c r="DO203" i="2"/>
  <c r="DP203" i="2" s="1"/>
  <c r="DQ201" i="2"/>
  <c r="DR201" i="2" s="1"/>
  <c r="DS201" i="2" s="1"/>
  <c r="DQ203" i="2" l="1"/>
  <c r="DR203" i="2" s="1"/>
  <c r="DS203" i="2" s="1"/>
  <c r="DQ202" i="2"/>
  <c r="DR202" i="2" s="1"/>
  <c r="DS202" i="2" s="1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<sst xmlns="http://schemas.openxmlformats.org/spreadsheetml/2006/main" count="1176" uniqueCount="324">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</sst>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609.91120610652558</c:v>
                </c:pt>
                <c:pt idx="112">
                  <c:v>620.21540909579812</c:v>
                </c:pt>
                <c:pt idx="113">
                  <c:v>630.51606604803237</c:v>
                </c:pt>
                <c:pt idx="114">
                  <c:v>640.81324304839393</c:v>
                </c:pt>
                <c:pt idx="115">
                  <c:v>651.10700388552448</c:v>
                </c:pt>
                <c:pt idx="116">
                  <c:v>661.39741016716164</c:v>
                </c:pt>
                <c:pt idx="117">
                  <c:v>671.68452142819569</c:v>
                </c:pt>
                <c:pt idx="118">
                  <c:v>681.96839523176038</c:v>
                </c:pt>
                <c:pt idx="119">
                  <c:v>692.24908726391561</c:v>
                </c:pt>
                <c:pt idx="120">
                  <c:v>702.52665142241358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50.012073725257359</c:v>
                </c:pt>
                <c:pt idx="12">
                  <c:v>77.08120966239666</c:v>
                </c:pt>
                <c:pt idx="13">
                  <c:v>103.90440983308274</c:v>
                </c:pt>
                <c:pt idx="14">
                  <c:v>130.55517654420012</c:v>
                </c:pt>
                <c:pt idx="15">
                  <c:v>157.07393134451593</c:v>
                </c:pt>
                <c:pt idx="16">
                  <c:v>183.48617958317871</c:v>
                </c:pt>
                <c:pt idx="17">
                  <c:v>209.80943579279696</c:v>
                </c:pt>
                <c:pt idx="18">
                  <c:v>236.05644310479684</c:v>
                </c:pt>
                <c:pt idx="19">
                  <c:v>262.23687244847355</c:v>
                </c:pt>
                <c:pt idx="20">
                  <c:v>288.35830325418613</c:v>
                </c:pt>
                <c:pt idx="21">
                  <c:v>172.79475770327392</c:v>
                </c:pt>
                <c:pt idx="22">
                  <c:v>201.38794810744199</c:v>
                </c:pt>
                <c:pt idx="23">
                  <c:v>229.88698491526694</c:v>
                </c:pt>
                <c:pt idx="24">
                  <c:v>258.30518668908661</c:v>
                </c:pt>
                <c:pt idx="25">
                  <c:v>286.65269579557503</c:v>
                </c:pt>
                <c:pt idx="26">
                  <c:v>314.93748241651093</c:v>
                </c:pt>
                <c:pt idx="27">
                  <c:v>343.16596745045558</c:v>
                </c:pt>
                <c:pt idx="28">
                  <c:v>371.34342911371255</c:v>
                </c:pt>
                <c:pt idx="29">
                  <c:v>399.47427941517589</c:v>
                </c:pt>
                <c:pt idx="30">
                  <c:v>427.56225857158444</c:v>
                </c:pt>
                <c:pt idx="31">
                  <c:v>309.14898880791981</c:v>
                </c:pt>
                <c:pt idx="32">
                  <c:v>333.30905135288299</c:v>
                </c:pt>
                <c:pt idx="33">
                  <c:v>357.43052450627101</c:v>
                </c:pt>
                <c:pt idx="34">
                  <c:v>381.51637667477098</c:v>
                </c:pt>
                <c:pt idx="35">
                  <c:v>405.56917103469459</c:v>
                </c:pt>
                <c:pt idx="36">
                  <c:v>429.591142098538</c:v>
                </c:pt>
                <c:pt idx="37">
                  <c:v>453.58425425555083</c:v>
                </c:pt>
                <c:pt idx="38">
                  <c:v>477.55024727803635</c:v>
                </c:pt>
                <c:pt idx="39">
                  <c:v>501.49067221683981</c:v>
                </c:pt>
                <c:pt idx="40">
                  <c:v>525.40692008667054</c:v>
                </c:pt>
                <c:pt idx="41">
                  <c:v>404.89205924312722</c:v>
                </c:pt>
                <c:pt idx="42">
                  <c:v>422.8273897461234</c:v>
                </c:pt>
                <c:pt idx="43">
                  <c:v>440.74634931773704</c:v>
                </c:pt>
                <c:pt idx="44">
                  <c:v>458.64969689218077</c:v>
                </c:pt>
                <c:pt idx="45">
                  <c:v>476.53812734890556</c:v>
                </c:pt>
                <c:pt idx="46">
                  <c:v>494.41227916982399</c:v>
                </c:pt>
                <c:pt idx="47">
                  <c:v>512.27274093187054</c:v>
                </c:pt>
                <c:pt idx="48">
                  <c:v>530.12005684727092</c:v>
                </c:pt>
                <c:pt idx="49">
                  <c:v>547.95473151918964</c:v>
                </c:pt>
                <c:pt idx="50">
                  <c:v>565.77723404629717</c:v>
                </c:pt>
                <c:pt idx="51">
                  <c:v>499.97405284862151</c:v>
                </c:pt>
                <c:pt idx="52">
                  <c:v>513.28331243589093</c:v>
                </c:pt>
                <c:pt idx="53">
                  <c:v>526.5852874427726</c:v>
                </c:pt>
                <c:pt idx="54">
                  <c:v>539.88018776365902</c:v>
                </c:pt>
                <c:pt idx="55">
                  <c:v>553.16821211526496</c:v>
                </c:pt>
                <c:pt idx="56">
                  <c:v>566.44954889170663</c:v>
                </c:pt>
                <c:pt idx="57">
                  <c:v>579.72437693524057</c:v>
                </c:pt>
                <c:pt idx="58">
                  <c:v>592.99286623276146</c:v>
                </c:pt>
                <c:pt idx="59">
                  <c:v>606.25517854674536</c:v>
                </c:pt>
                <c:pt idx="60">
                  <c:v>619.51146798813386</c:v>
                </c:pt>
                <c:pt idx="61">
                  <c:v>570.14698291036473</c:v>
                </c:pt>
                <c:pt idx="62">
                  <c:v>579.55638109772792</c:v>
                </c:pt>
                <c:pt idx="63">
                  <c:v>588.96259328593146</c:v>
                </c:pt>
                <c:pt idx="64">
                  <c:v>598.36567752986139</c:v>
                </c:pt>
                <c:pt idx="65">
                  <c:v>607.76568991108991</c:v>
                </c:pt>
                <c:pt idx="66">
                  <c:v>617.16268463508527</c:v>
                </c:pt>
                <c:pt idx="67">
                  <c:v>626.55671412219226</c:v>
                </c:pt>
                <c:pt idx="68">
                  <c:v>635.94782909287676</c:v>
                </c:pt>
                <c:pt idx="69">
                  <c:v>645.3360786476718</c:v>
                </c:pt>
                <c:pt idx="70">
                  <c:v>654.72151034223259</c:v>
                </c:pt>
                <c:pt idx="71">
                  <c:v>610.11521941995238</c:v>
                </c:pt>
                <c:pt idx="72">
                  <c:v>617.49823644137302</c:v>
                </c:pt>
                <c:pt idx="73">
                  <c:v>624.8794240523298</c:v>
                </c:pt>
                <c:pt idx="74">
                  <c:v>632.25880691092414</c:v>
                </c:pt>
                <c:pt idx="75">
                  <c:v>639.63640905269369</c:v>
                </c:pt>
                <c:pt idx="76">
                  <c:v>647.01225391348623</c:v>
                </c:pt>
                <c:pt idx="77">
                  <c:v>654.38636435123374</c:v>
                </c:pt>
                <c:pt idx="78">
                  <c:v>661.75876266669763</c:v>
                </c:pt>
                <c:pt idx="79">
                  <c:v>669.12947062323872</c:v>
                </c:pt>
                <c:pt idx="80">
                  <c:v>676.49850946567256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2.2484083617422774</c:v>
                </c:pt>
                <c:pt idx="2">
                  <c:v>2.9858086378882205</c:v>
                </c:pt>
                <c:pt idx="3">
                  <c:v>3.966049385322425</c:v>
                </c:pt>
                <c:pt idx="4">
                  <c:v>5.2694125595905703</c:v>
                </c:pt>
                <c:pt idx="5">
                  <c:v>7.0028166718675555</c:v>
                </c:pt>
                <c:pt idx="6">
                  <c:v>9.308683920204837</c:v>
                </c:pt>
                <c:pt idx="7">
                  <c:v>12.376768160861985</c:v>
                </c:pt>
                <c:pt idx="8">
                  <c:v>16.45993513943974</c:v>
                </c:pt>
                <c:pt idx="9">
                  <c:v>21.895219213522427</c:v>
                </c:pt>
                <c:pt idx="10">
                  <c:v>29.131925588483782</c:v>
                </c:pt>
                <c:pt idx="11">
                  <c:v>41.415745299575981</c:v>
                </c:pt>
                <c:pt idx="12">
                  <c:v>63.81843825622601</c:v>
                </c:pt>
                <c:pt idx="13">
                  <c:v>86.013966511545632</c:v>
                </c:pt>
                <c:pt idx="14">
                  <c:v>108.06424494547456</c:v>
                </c:pt>
                <c:pt idx="15">
                  <c:v>130.00332276605772</c:v>
                </c:pt>
                <c:pt idx="16">
                  <c:v>151.85268447762266</c:v>
                </c:pt>
                <c:pt idx="17">
                  <c:v>173.62708349716581</c:v>
                </c:pt>
                <c:pt idx="18">
                  <c:v>195.33725403815262</c:v>
                </c:pt>
                <c:pt idx="19">
                  <c:v>216.99134243573351</c:v>
                </c:pt>
                <c:pt idx="20">
                  <c:v>238.59573324490532</c:v>
                </c:pt>
                <c:pt idx="21">
                  <c:v>143.00844977881681</c:v>
                </c:pt>
                <c:pt idx="22">
                  <c:v>166.66102635506257</c:v>
                </c:pt>
                <c:pt idx="23">
                  <c:v>190.23429237820369</c:v>
                </c:pt>
                <c:pt idx="24">
                  <c:v>213.73946677759179</c:v>
                </c:pt>
                <c:pt idx="25">
                  <c:v>237.18509300501151</c:v>
                </c:pt>
                <c:pt idx="26">
                  <c:v>260.57788476604372</c:v>
                </c:pt>
                <c:pt idx="27">
                  <c:v>283.92325072308773</c:v>
                </c:pt>
                <c:pt idx="28">
                  <c:v>307.22563699685173</c:v>
                </c:pt>
                <c:pt idx="29">
                  <c:v>330.48876005573726</c:v>
                </c:pt>
                <c:pt idx="30">
                  <c:v>353.71577048208854</c:v>
                </c:pt>
                <c:pt idx="31">
                  <c:v>255.79061309504979</c:v>
                </c:pt>
                <c:pt idx="32">
                  <c:v>275.77153112750057</c:v>
                </c:pt>
                <c:pt idx="33">
                  <c:v>295.71994327479496</c:v>
                </c:pt>
                <c:pt idx="34">
                  <c:v>315.63834998285682</c:v>
                </c:pt>
                <c:pt idx="35">
                  <c:v>335.52891035063584</c:v>
                </c:pt>
                <c:pt idx="36">
                  <c:v>355.39350662617022</c:v>
                </c:pt>
                <c:pt idx="37">
                  <c:v>375.23379351840293</c:v>
                </c:pt>
                <c:pt idx="38">
                  <c:v>395.05123652954552</c:v>
                </c:pt>
                <c:pt idx="39">
                  <c:v>414.84714219174538</c:v>
                </c:pt>
                <c:pt idx="40">
                  <c:v>434.62268223024984</c:v>
                </c:pt>
                <c:pt idx="41">
                  <c:v>334.96897652893739</c:v>
                </c:pt>
                <c:pt idx="42">
                  <c:v>349.80037281261349</c:v>
                </c:pt>
                <c:pt idx="43">
                  <c:v>364.61797899508036</c:v>
                </c:pt>
                <c:pt idx="44">
                  <c:v>379.42243436675818</c:v>
                </c:pt>
                <c:pt idx="45">
                  <c:v>394.21432426135425</c:v>
                </c:pt>
                <c:pt idx="46">
                  <c:v>408.99418650594697</c:v>
                </c:pt>
                <c:pt idx="47">
                  <c:v>423.76251689001248</c:v>
                </c:pt>
                <c:pt idx="48">
                  <c:v>438.51977383228672</c:v>
                </c:pt>
                <c:pt idx="49">
                  <c:v>453.26638238669898</c:v>
                </c:pt>
                <c:pt idx="50">
                  <c:v>468.0027376998658</c:v>
                </c:pt>
                <c:pt idx="51">
                  <c:v>413.59308830259016</c:v>
                </c:pt>
                <c:pt idx="52">
                  <c:v>424.59812483785123</c:v>
                </c:pt>
                <c:pt idx="53">
                  <c:v>435.59702518583845</c:v>
                </c:pt>
                <c:pt idx="54">
                  <c:v>446.58996615169758</c:v>
                </c:pt>
                <c:pt idx="55">
                  <c:v>457.57711512502578</c:v>
                </c:pt>
                <c:pt idx="56">
                  <c:v>468.55863080014979</c:v>
                </c:pt>
                <c:pt idx="57">
                  <c:v>479.53466382535976</c:v>
                </c:pt>
                <c:pt idx="58">
                  <c:v>490.50535738960565</c:v>
                </c:pt>
                <c:pt idx="59">
                  <c:v>501.47084775397519</c:v>
                </c:pt>
                <c:pt idx="60">
                  <c:v>512.43126473426423</c:v>
                </c:pt>
                <c:pt idx="61">
                  <c:v>471.61579214130296</c:v>
                </c:pt>
                <c:pt idx="62">
                  <c:v>479.39576035930628</c:v>
                </c:pt>
                <c:pt idx="63">
                  <c:v>487.17304484173968</c:v>
                </c:pt>
                <c:pt idx="64">
                  <c:v>494.94769449130371</c:v>
                </c:pt>
                <c:pt idx="65">
                  <c:v>502.71975654847216</c:v>
                </c:pt>
                <c:pt idx="66">
                  <c:v>510.48927667337716</c:v>
                </c:pt>
                <c:pt idx="67">
                  <c:v>518.25629902244748</c:v>
                </c:pt>
                <c:pt idx="68">
                  <c:v>526.02086632021383</c:v>
                </c:pt>
                <c:pt idx="69">
                  <c:v>533.78301992665138</c:v>
                </c:pt>
                <c:pt idx="70">
                  <c:v>541.54279990040311</c:v>
                </c:pt>
                <c:pt idx="71">
                  <c:v>504.66237313585816</c:v>
                </c:pt>
                <c:pt idx="72">
                  <c:v>510.76671308078591</c:v>
                </c:pt>
                <c:pt idx="73">
                  <c:v>516.86951201653937</c:v>
                </c:pt>
                <c:pt idx="74">
                  <c:v>522.97079071394126</c:v>
                </c:pt>
                <c:pt idx="75">
                  <c:v>529.07056941939652</c:v>
                </c:pt>
                <c:pt idx="76">
                  <c:v>535.16886787415831</c:v>
                </c:pt>
                <c:pt idx="77">
                  <c:v>541.26570533267216</c:v>
                </c:pt>
                <c:pt idx="78">
                  <c:v>547.36110058004817</c:v>
                </c:pt>
                <c:pt idx="79">
                  <c:v>553.45507194871618</c:v>
                </c:pt>
                <c:pt idx="80">
                  <c:v>559.54763733430775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2.2999352776840598</c:v>
                </c:pt>
                <c:pt idx="2">
                  <c:v>3.0542964343687884</c:v>
                </c:pt>
                <c:pt idx="3">
                  <c:v>4.0571027961893833</c:v>
                </c:pt>
                <c:pt idx="4">
                  <c:v>5.3904951439042428</c:v>
                </c:pt>
                <c:pt idx="5">
                  <c:v>7.1638693726092955</c:v>
                </c:pt>
                <c:pt idx="6">
                  <c:v>9.5229500962251041</c:v>
                </c:pt>
                <c:pt idx="7">
                  <c:v>12.661894206823819</c:v>
                </c:pt>
                <c:pt idx="8">
                  <c:v>16.839439003248639</c:v>
                </c:pt>
                <c:pt idx="9">
                  <c:v>22.400450117584857</c:v>
                </c:pt>
                <c:pt idx="10">
                  <c:v>29.804679689998366</c:v>
                </c:pt>
                <c:pt idx="11">
                  <c:v>42.373095779811386</c:v>
                </c:pt>
                <c:pt idx="12">
                  <c:v>65.295343472326451</c:v>
                </c:pt>
                <c:pt idx="13">
                  <c:v>88.006074099376448</c:v>
                </c:pt>
                <c:pt idx="14">
                  <c:v>110.56850332284465</c:v>
                </c:pt>
                <c:pt idx="15">
                  <c:v>133.01739569731413</c:v>
                </c:pt>
                <c:pt idx="16">
                  <c:v>155.37468709930809</c:v>
                </c:pt>
                <c:pt idx="17">
                  <c:v>177.65544090327498</c:v>
                </c:pt>
                <c:pt idx="18">
                  <c:v>199.87061683989143</c:v>
                </c:pt>
                <c:pt idx="19">
                  <c:v>222.02853239227241</c:v>
                </c:pt>
                <c:pt idx="20">
                  <c:v>244.13570624979195</c:v>
                </c:pt>
                <c:pt idx="21">
                  <c:v>146.32482962783615</c:v>
                </c:pt>
                <c:pt idx="22">
                  <c:v>170.52737422542671</c:v>
                </c:pt>
                <c:pt idx="23">
                  <c:v>194.64894201883502</c:v>
                </c:pt>
                <c:pt idx="24">
                  <c:v>218.70098763811575</c:v>
                </c:pt>
                <c:pt idx="25">
                  <c:v>242.69223402611973</c:v>
                </c:pt>
                <c:pt idx="26">
                  <c:v>266.62953593799466</c:v>
                </c:pt>
                <c:pt idx="27">
                  <c:v>290.51841566779655</c:v>
                </c:pt>
                <c:pt idx="28">
                  <c:v>314.36341274566212</c:v>
                </c:pt>
                <c:pt idx="29">
                  <c:v>338.16832172001136</c:v>
                </c:pt>
                <c:pt idx="30">
                  <c:v>361.93635936439568</c:v>
                </c:pt>
                <c:pt idx="31">
                  <c:v>261.73082261209686</c:v>
                </c:pt>
                <c:pt idx="32">
                  <c:v>282.17690071187525</c:v>
                </c:pt>
                <c:pt idx="33">
                  <c:v>302.5897900039347</c:v>
                </c:pt>
                <c:pt idx="34">
                  <c:v>322.97204346656122</c:v>
                </c:pt>
                <c:pt idx="35">
                  <c:v>343.32586555964104</c:v>
                </c:pt>
                <c:pt idx="36">
                  <c:v>363.65317807573314</c:v>
                </c:pt>
                <c:pt idx="37">
                  <c:v>383.95567048788757</c:v>
                </c:pt>
                <c:pt idx="38">
                  <c:v>404.2348390873413</c:v>
                </c:pt>
                <c:pt idx="39">
                  <c:v>424.49201785543391</c:v>
                </c:pt>
                <c:pt idx="40">
                  <c:v>444.72840313441958</c:v>
                </c:pt>
                <c:pt idx="41">
                  <c:v>342.75288975194485</c:v>
                </c:pt>
                <c:pt idx="42">
                  <c:v>357.92975475173733</c:v>
                </c:pt>
                <c:pt idx="43">
                  <c:v>373.09253993135985</c:v>
                </c:pt>
                <c:pt idx="44">
                  <c:v>388.24189801221178</c:v>
                </c:pt>
                <c:pt idx="45">
                  <c:v>403.37842662539168</c:v>
                </c:pt>
                <c:pt idx="46">
                  <c:v>418.50267489729328</c:v>
                </c:pt>
                <c:pt idx="47">
                  <c:v>433.61514903353162</c:v>
                </c:pt>
                <c:pt idx="48">
                  <c:v>448.71631708385286</c:v>
                </c:pt>
                <c:pt idx="49">
                  <c:v>463.80661303222786</c:v>
                </c:pt>
                <c:pt idx="50">
                  <c:v>478.88644032698647</c:v>
                </c:pt>
                <c:pt idx="51">
                  <c:v>423.20874129250711</c:v>
                </c:pt>
                <c:pt idx="52">
                  <c:v>434.47022977240499</c:v>
                </c:pt>
                <c:pt idx="53">
                  <c:v>445.72545314865829</c:v>
                </c:pt>
                <c:pt idx="54">
                  <c:v>456.97459194094716</c:v>
                </c:pt>
                <c:pt idx="55">
                  <c:v>468.21781705559005</c:v>
                </c:pt>
                <c:pt idx="56">
                  <c:v>479.45529052095389</c:v>
                </c:pt>
                <c:pt idx="57">
                  <c:v>490.68716615032821</c:v>
                </c:pt>
                <c:pt idx="58">
                  <c:v>501.9135901409486</c:v>
                </c:pt>
                <c:pt idx="59">
                  <c:v>513.13470161663849</c:v>
                </c:pt>
                <c:pt idx="60">
                  <c:v>524.35063312051977</c:v>
                </c:pt>
                <c:pt idx="61">
                  <c:v>482.58371061014009</c:v>
                </c:pt>
                <c:pt idx="62">
                  <c:v>490.5450248774855</c:v>
                </c:pt>
                <c:pt idx="63">
                  <c:v>498.5035990261303</c:v>
                </c:pt>
                <c:pt idx="64">
                  <c:v>506.45948298618123</c:v>
                </c:pt>
                <c:pt idx="65">
                  <c:v>514.41272499059698</c:v>
                </c:pt>
                <c:pt idx="66">
                  <c:v>522.36337165879229</c:v>
                </c:pt>
                <c:pt idx="67">
                  <c:v>530.31146807488699</c:v>
                </c:pt>
                <c:pt idx="68">
                  <c:v>538.25705786101969</c:v>
                </c:pt>
                <c:pt idx="69">
                  <c:v>546.20018324610555</c:v>
                </c:pt>
                <c:pt idx="70">
                  <c:v>554.1408851303878</c:v>
                </c:pt>
                <c:pt idx="71">
                  <c:v>516.40062818366073</c:v>
                </c:pt>
                <c:pt idx="72">
                  <c:v>522.64727589535312</c:v>
                </c:pt>
                <c:pt idx="73">
                  <c:v>528.892350222505</c:v>
                </c:pt>
                <c:pt idx="74">
                  <c:v>535.13587237231798</c:v>
                </c:pt>
                <c:pt idx="75">
                  <c:v>541.3778630165566</c:v>
                </c:pt>
                <c:pt idx="76">
                  <c:v>547.61834231122282</c:v>
                </c:pt>
                <c:pt idx="77">
                  <c:v>553.85732991528209</c:v>
                </c:pt>
                <c:pt idx="78">
                  <c:v>560.09484500850499</c:v>
                </c:pt>
                <c:pt idx="79">
                  <c:v>566.33090630847084</c:v>
                </c:pt>
                <c:pt idx="80">
                  <c:v>572.56553208678417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207.79830222105878</c:v>
                </c:pt>
                <c:pt idx="22">
                  <c:v>233.04610621025813</c:v>
                </c:pt>
                <c:pt idx="23">
                  <c:v>258.2314337725993</c:v>
                </c:pt>
                <c:pt idx="24">
                  <c:v>283.36123337871362</c:v>
                </c:pt>
                <c:pt idx="25">
                  <c:v>308.44111949657554</c:v>
                </c:pt>
                <c:pt idx="26">
                  <c:v>333.47571872180373</c:v>
                </c:pt>
                <c:pt idx="27">
                  <c:v>358.46890629665114</c:v>
                </c:pt>
                <c:pt idx="28">
                  <c:v>383.42397311131054</c:v>
                </c:pt>
                <c:pt idx="29">
                  <c:v>408.34374690780311</c:v>
                </c:pt>
                <c:pt idx="30">
                  <c:v>433.2306823305874</c:v>
                </c:pt>
                <c:pt idx="31">
                  <c:v>290.66553097703115</c:v>
                </c:pt>
                <c:pt idx="32">
                  <c:v>312.18040027213084</c:v>
                </c:pt>
                <c:pt idx="33">
                  <c:v>333.66238399485127</c:v>
                </c:pt>
                <c:pt idx="34">
                  <c:v>355.11389600890448</c:v>
                </c:pt>
                <c:pt idx="35">
                  <c:v>376.53703482084643</c:v>
                </c:pt>
                <c:pt idx="36">
                  <c:v>397.93364074958509</c:v>
                </c:pt>
                <c:pt idx="37">
                  <c:v>419.30534015273292</c:v>
                </c:pt>
                <c:pt idx="38">
                  <c:v>440.65358016358806</c:v>
                </c:pt>
                <c:pt idx="39">
                  <c:v>461.9796563449915</c:v>
                </c:pt>
                <c:pt idx="40">
                  <c:v>483.28473497109502</c:v>
                </c:pt>
                <c:pt idx="41">
                  <c:v>350.26654178094645</c:v>
                </c:pt>
                <c:pt idx="42">
                  <c:v>367.78479630486146</c:v>
                </c:pt>
                <c:pt idx="43">
                  <c:v>385.28484395959777</c:v>
                </c:pt>
                <c:pt idx="44">
                  <c:v>402.76762782233146</c:v>
                </c:pt>
                <c:pt idx="45">
                  <c:v>420.23400244347687</c:v>
                </c:pt>
                <c:pt idx="46">
                  <c:v>437.68474556682287</c:v>
                </c:pt>
                <c:pt idx="47">
                  <c:v>455.12056788314362</c:v>
                </c:pt>
                <c:pt idx="48">
                  <c:v>472.54212121143911</c:v>
                </c:pt>
                <c:pt idx="49">
                  <c:v>489.95000541105492</c:v>
                </c:pt>
                <c:pt idx="50">
                  <c:v>507.34477426054764</c:v>
                </c:pt>
                <c:pt idx="51">
                  <c:v>392.72638504489879</c:v>
                </c:pt>
                <c:pt idx="52">
                  <c:v>406.11349808426439</c:v>
                </c:pt>
                <c:pt idx="53">
                  <c:v>419.49107615312863</c:v>
                </c:pt>
                <c:pt idx="54">
                  <c:v>432.85946614650538</c:v>
                </c:pt>
                <c:pt idx="55">
                  <c:v>446.21899178570385</c:v>
                </c:pt>
                <c:pt idx="56">
                  <c:v>459.56995582844667</c:v>
                </c:pt>
                <c:pt idx="57">
                  <c:v>472.9126420088009</c:v>
                </c:pt>
                <c:pt idx="58">
                  <c:v>486.24731674679327</c:v>
                </c:pt>
                <c:pt idx="59">
                  <c:v>499.57423066075063</c:v>
                </c:pt>
                <c:pt idx="60">
                  <c:v>512.89361990988994</c:v>
                </c:pt>
                <c:pt idx="61">
                  <c:v>421.34833884363485</c:v>
                </c:pt>
                <c:pt idx="62">
                  <c:v>431.74577653680234</c:v>
                </c:pt>
                <c:pt idx="63">
                  <c:v>442.1378364455864</c:v>
                </c:pt>
                <c:pt idx="64">
                  <c:v>452.5246628164245</c:v>
                </c:pt>
                <c:pt idx="65">
                  <c:v>462.90639273248468</c:v>
                </c:pt>
                <c:pt idx="66">
                  <c:v>473.28315662550813</c:v>
                </c:pt>
                <c:pt idx="67">
                  <c:v>483.65507874042174</c:v>
                </c:pt>
                <c:pt idx="68">
                  <c:v>494.02227755801908</c:v>
                </c:pt>
                <c:pt idx="69">
                  <c:v>504.38486618031328</c:v>
                </c:pt>
                <c:pt idx="70">
                  <c:v>514.74295268257481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1.8510430507580544</c:v>
                </c:pt>
                <c:pt idx="2">
                  <c:v>2.3058316732073441</c:v>
                </c:pt>
                <c:pt idx="3">
                  <c:v>2.8727984002675409</c:v>
                </c:pt>
                <c:pt idx="4">
                  <c:v>3.5797155610335625</c:v>
                </c:pt>
                <c:pt idx="5">
                  <c:v>4.4612549775413051</c:v>
                </c:pt>
                <c:pt idx="6">
                  <c:v>5.5607075151174739</c:v>
                </c:pt>
                <c:pt idx="7">
                  <c:v>6.9321324631357442</c:v>
                </c:pt>
                <c:pt idx="8">
                  <c:v>8.6430444812223346</c:v>
                </c:pt>
                <c:pt idx="9">
                  <c:v>10.777772916101375</c:v>
                </c:pt>
                <c:pt idx="10">
                  <c:v>13.441662181499327</c:v>
                </c:pt>
                <c:pt idx="11">
                  <c:v>16.76632431806793</c:v>
                </c:pt>
                <c:pt idx="12">
                  <c:v>20.916207967242084</c:v>
                </c:pt>
                <c:pt idx="13">
                  <c:v>26.096814502422657</c:v>
                </c:pt>
                <c:pt idx="14">
                  <c:v>32.56497534599827</c:v>
                </c:pt>
                <c:pt idx="15">
                  <c:v>40.641708800719108</c:v>
                </c:pt>
                <c:pt idx="16">
                  <c:v>50.728305351086817</c:v>
                </c:pt>
                <c:pt idx="17">
                  <c:v>63.326454002081753</c:v>
                </c:pt>
                <c:pt idx="18">
                  <c:v>79.063427162213927</c:v>
                </c:pt>
                <c:pt idx="19">
                  <c:v>98.723598302890579</c:v>
                </c:pt>
                <c:pt idx="20">
                  <c:v>123.28788824388072</c:v>
                </c:pt>
                <c:pt idx="21">
                  <c:v>117.90687433183335</c:v>
                </c:pt>
                <c:pt idx="22">
                  <c:v>135.03153213090025</c:v>
                </c:pt>
                <c:pt idx="23">
                  <c:v>152.10383523740367</c:v>
                </c:pt>
                <c:pt idx="24">
                  <c:v>169.13049361981277</c:v>
                </c:pt>
                <c:pt idx="25">
                  <c:v>186.11675240985835</c:v>
                </c:pt>
                <c:pt idx="26">
                  <c:v>203.06681934036999</c:v>
                </c:pt>
                <c:pt idx="27">
                  <c:v>219.98414136772388</c:v>
                </c:pt>
                <c:pt idx="28">
                  <c:v>236.87159145642934</c:v>
                </c:pt>
                <c:pt idx="29">
                  <c:v>253.7315991661691</c:v>
                </c:pt>
                <c:pt idx="30">
                  <c:v>270.56624463958923</c:v>
                </c:pt>
                <c:pt idx="31">
                  <c:v>187.23133003907148</c:v>
                </c:pt>
                <c:pt idx="32">
                  <c:v>207.51529266966909</c:v>
                </c:pt>
                <c:pt idx="33">
                  <c:v>227.7534570775949</c:v>
                </c:pt>
                <c:pt idx="34">
                  <c:v>247.95046538826136</c:v>
                </c:pt>
                <c:pt idx="35">
                  <c:v>268.11014108610436</c:v>
                </c:pt>
                <c:pt idx="36">
                  <c:v>288.23568542706721</c:v>
                </c:pt>
                <c:pt idx="37">
                  <c:v>308.32981600884312</c:v>
                </c:pt>
                <c:pt idx="38">
                  <c:v>328.39486727133897</c:v>
                </c:pt>
                <c:pt idx="39">
                  <c:v>348.4328651212947</c:v>
                </c:pt>
                <c:pt idx="40">
                  <c:v>368.44558347854678</c:v>
                </c:pt>
                <c:pt idx="41">
                  <c:v>285.90572437062957</c:v>
                </c:pt>
                <c:pt idx="42">
                  <c:v>306.12582263909644</c:v>
                </c:pt>
                <c:pt idx="43">
                  <c:v>326.31624264800934</c:v>
                </c:pt>
                <c:pt idx="44">
                  <c:v>346.47907819091415</c:v>
                </c:pt>
                <c:pt idx="45">
                  <c:v>366.61615952799934</c:v>
                </c:pt>
                <c:pt idx="46">
                  <c:v>386.72909950918734</c:v>
                </c:pt>
                <c:pt idx="47">
                  <c:v>406.81932959706637</c:v>
                </c:pt>
                <c:pt idx="48">
                  <c:v>426.88812840091845</c:v>
                </c:pt>
                <c:pt idx="49">
                  <c:v>446.93664456457844</c:v>
                </c:pt>
                <c:pt idx="50">
                  <c:v>466.96591533351813</c:v>
                </c:pt>
                <c:pt idx="51">
                  <c:v>383.0739302557767</c:v>
                </c:pt>
                <c:pt idx="52">
                  <c:v>401.34235261702321</c:v>
                </c:pt>
                <c:pt idx="53">
                  <c:v>419.59278797381813</c:v>
                </c:pt>
                <c:pt idx="54">
                  <c:v>437.82612841573808</c:v>
                </c:pt>
                <c:pt idx="55">
                  <c:v>456.04318570157602</c:v>
                </c:pt>
                <c:pt idx="56">
                  <c:v>474.24470147881487</c:v>
                </c:pt>
                <c:pt idx="57">
                  <c:v>492.4313558527835</c:v>
                </c:pt>
                <c:pt idx="58">
                  <c:v>510.60377462430955</c:v>
                </c:pt>
                <c:pt idx="59">
                  <c:v>528.76253544371991</c:v>
                </c:pt>
                <c:pt idx="60">
                  <c:v>546.90817307581324</c:v>
                </c:pt>
                <c:pt idx="61">
                  <c:v>463.08290945831232</c:v>
                </c:pt>
                <c:pt idx="62">
                  <c:v>478.61082944673996</c:v>
                </c:pt>
                <c:pt idx="63">
                  <c:v>494.12804135171672</c:v>
                </c:pt>
                <c:pt idx="64">
                  <c:v>509.63492867034546</c:v>
                </c:pt>
                <c:pt idx="65">
                  <c:v>525.13184966823439</c:v>
                </c:pt>
                <c:pt idx="66">
                  <c:v>540.61913975057496</c:v>
                </c:pt>
                <c:pt idx="67">
                  <c:v>556.09711354748151</c:v>
                </c:pt>
                <c:pt idx="68">
                  <c:v>571.56606675517878</c:v>
                </c:pt>
                <c:pt idx="69">
                  <c:v>587.02627776758936</c:v>
                </c:pt>
                <c:pt idx="70">
                  <c:v>602.47800912718367</c:v>
                </c:pt>
                <c:pt idx="71">
                  <c:v>530.94069473974423</c:v>
                </c:pt>
                <c:pt idx="72">
                  <c:v>544.00573204236105</c:v>
                </c:pt>
                <c:pt idx="73">
                  <c:v>557.06418442564905</c:v>
                </c:pt>
                <c:pt idx="74">
                  <c:v>570.11622795495225</c:v>
                </c:pt>
                <c:pt idx="75">
                  <c:v>583.1620299792811</c:v>
                </c:pt>
                <c:pt idx="76">
                  <c:v>596.20174975224438</c:v>
                </c:pt>
                <c:pt idx="77">
                  <c:v>609.23553899585147</c:v>
                </c:pt>
                <c:pt idx="78">
                  <c:v>622.26354241358206</c:v>
                </c:pt>
                <c:pt idx="79">
                  <c:v>635.28589815827161</c:v>
                </c:pt>
                <c:pt idx="80">
                  <c:v>648.30273825965764</c:v>
                </c:pt>
                <c:pt idx="81">
                  <c:v>1.9021243988890057E-12</c:v>
                </c:pt>
                <c:pt idx="82">
                  <c:v>1.9021243988890057E-12</c:v>
                </c:pt>
                <c:pt idx="83">
                  <c:v>1.9021243988890057E-12</c:v>
                </c:pt>
                <c:pt idx="84">
                  <c:v>1.9021243988890057E-12</c:v>
                </c:pt>
                <c:pt idx="85">
                  <c:v>1.9021243988890057E-12</c:v>
                </c:pt>
                <c:pt idx="86">
                  <c:v>1.9021243988890057E-12</c:v>
                </c:pt>
                <c:pt idx="87">
                  <c:v>1.9021243988890057E-12</c:v>
                </c:pt>
                <c:pt idx="88">
                  <c:v>1.9021243988890057E-12</c:v>
                </c:pt>
                <c:pt idx="89">
                  <c:v>1.9021243988890057E-12</c:v>
                </c:pt>
                <c:pt idx="90">
                  <c:v>1.9021243988890057E-12</c:v>
                </c:pt>
                <c:pt idx="91">
                  <c:v>1.9021243988890057E-12</c:v>
                </c:pt>
                <c:pt idx="92">
                  <c:v>1.9021243988890057E-12</c:v>
                </c:pt>
                <c:pt idx="93">
                  <c:v>1.9021243988890057E-12</c:v>
                </c:pt>
                <c:pt idx="94">
                  <c:v>1.9021243988890057E-12</c:v>
                </c:pt>
                <c:pt idx="95">
                  <c:v>1.9021243988890057E-12</c:v>
                </c:pt>
                <c:pt idx="96">
                  <c:v>1.9021243988890057E-12</c:v>
                </c:pt>
                <c:pt idx="97">
                  <c:v>1.9021243988890057E-12</c:v>
                </c:pt>
                <c:pt idx="98">
                  <c:v>1.9021243988890057E-12</c:v>
                </c:pt>
                <c:pt idx="99">
                  <c:v>1.9021243988890057E-12</c:v>
                </c:pt>
                <c:pt idx="100">
                  <c:v>1.9021243988890057E-12</c:v>
                </c:pt>
                <c:pt idx="101">
                  <c:v>1.9021243988890057E-12</c:v>
                </c:pt>
                <c:pt idx="102">
                  <c:v>1.9021243988890057E-12</c:v>
                </c:pt>
                <c:pt idx="103">
                  <c:v>1.9021243988890057E-12</c:v>
                </c:pt>
                <c:pt idx="104">
                  <c:v>1.9021243988890057E-12</c:v>
                </c:pt>
                <c:pt idx="105">
                  <c:v>1.9021243988890057E-12</c:v>
                </c:pt>
                <c:pt idx="106">
                  <c:v>1.9021243988890057E-12</c:v>
                </c:pt>
                <c:pt idx="107">
                  <c:v>1.9021243988890057E-12</c:v>
                </c:pt>
                <c:pt idx="108">
                  <c:v>1.9021243988890057E-12</c:v>
                </c:pt>
                <c:pt idx="109">
                  <c:v>1.9021243988890057E-12</c:v>
                </c:pt>
                <c:pt idx="110">
                  <c:v>1.9021243988890057E-12</c:v>
                </c:pt>
                <c:pt idx="111">
                  <c:v>1.9021243988890057E-12</c:v>
                </c:pt>
                <c:pt idx="112">
                  <c:v>1.9021243988890057E-12</c:v>
                </c:pt>
                <c:pt idx="113">
                  <c:v>1.9021243988890057E-12</c:v>
                </c:pt>
                <c:pt idx="114">
                  <c:v>1.9021243988890057E-12</c:v>
                </c:pt>
                <c:pt idx="115">
                  <c:v>1.9021243988890057E-12</c:v>
                </c:pt>
                <c:pt idx="116">
                  <c:v>1.9021243988890057E-12</c:v>
                </c:pt>
                <c:pt idx="117">
                  <c:v>1.9021243988890057E-12</c:v>
                </c:pt>
                <c:pt idx="118">
                  <c:v>1.9021243988890057E-12</c:v>
                </c:pt>
                <c:pt idx="119">
                  <c:v>1.9021243988890057E-12</c:v>
                </c:pt>
                <c:pt idx="120">
                  <c:v>1.9021243988890057E-12</c:v>
                </c:pt>
                <c:pt idx="121">
                  <c:v>1.9021243988890057E-12</c:v>
                </c:pt>
                <c:pt idx="122">
                  <c:v>1.9021243988890057E-12</c:v>
                </c:pt>
                <c:pt idx="123">
                  <c:v>1.9021243988890057E-12</c:v>
                </c:pt>
                <c:pt idx="124">
                  <c:v>1.9021243988890057E-12</c:v>
                </c:pt>
                <c:pt idx="125">
                  <c:v>1.9021243988890057E-12</c:v>
                </c:pt>
                <c:pt idx="126">
                  <c:v>1.9021243988890057E-12</c:v>
                </c:pt>
                <c:pt idx="127">
                  <c:v>1.9021243988890057E-12</c:v>
                </c:pt>
                <c:pt idx="128">
                  <c:v>1.9021243988890057E-12</c:v>
                </c:pt>
                <c:pt idx="129">
                  <c:v>1.9021243988890057E-12</c:v>
                </c:pt>
                <c:pt idx="130">
                  <c:v>1.9021243988890057E-12</c:v>
                </c:pt>
                <c:pt idx="131">
                  <c:v>1.9021243988890057E-12</c:v>
                </c:pt>
                <c:pt idx="132">
                  <c:v>1.9021243988890057E-12</c:v>
                </c:pt>
                <c:pt idx="133">
                  <c:v>1.9021243988890057E-12</c:v>
                </c:pt>
                <c:pt idx="134">
                  <c:v>1.9021243988890057E-12</c:v>
                </c:pt>
                <c:pt idx="135">
                  <c:v>1.9021243988890057E-12</c:v>
                </c:pt>
                <c:pt idx="136">
                  <c:v>1.9021243988890057E-12</c:v>
                </c:pt>
                <c:pt idx="137">
                  <c:v>1.9021243988890057E-12</c:v>
                </c:pt>
                <c:pt idx="138">
                  <c:v>1.9021243988890057E-12</c:v>
                </c:pt>
                <c:pt idx="139">
                  <c:v>1.9021243988890057E-12</c:v>
                </c:pt>
                <c:pt idx="140">
                  <c:v>1.9021243988890057E-12</c:v>
                </c:pt>
                <c:pt idx="141">
                  <c:v>1.9021243988890057E-12</c:v>
                </c:pt>
                <c:pt idx="142">
                  <c:v>1.9021243988890057E-12</c:v>
                </c:pt>
                <c:pt idx="143">
                  <c:v>1.9021243988890057E-12</c:v>
                </c:pt>
                <c:pt idx="144">
                  <c:v>1.9021243988890057E-12</c:v>
                </c:pt>
                <c:pt idx="145">
                  <c:v>1.9021243988890057E-12</c:v>
                </c:pt>
                <c:pt idx="146">
                  <c:v>1.9021243988890057E-12</c:v>
                </c:pt>
                <c:pt idx="147">
                  <c:v>1.9021243988890057E-12</c:v>
                </c:pt>
                <c:pt idx="148">
                  <c:v>1.9021243988890057E-12</c:v>
                </c:pt>
                <c:pt idx="149">
                  <c:v>1.9021243988890057E-12</c:v>
                </c:pt>
                <c:pt idx="150">
                  <c:v>1.9021243988890057E-12</c:v>
                </c:pt>
                <c:pt idx="151">
                  <c:v>1.9021243988890057E-12</c:v>
                </c:pt>
                <c:pt idx="152">
                  <c:v>1.9021243988890057E-12</c:v>
                </c:pt>
                <c:pt idx="153">
                  <c:v>1.9021243988890057E-12</c:v>
                </c:pt>
                <c:pt idx="154">
                  <c:v>1.9021243988890057E-12</c:v>
                </c:pt>
                <c:pt idx="155">
                  <c:v>1.9021243988890057E-12</c:v>
                </c:pt>
                <c:pt idx="156">
                  <c:v>1.9021243988890057E-12</c:v>
                </c:pt>
                <c:pt idx="157">
                  <c:v>1.9021243988890057E-12</c:v>
                </c:pt>
                <c:pt idx="158">
                  <c:v>1.9021243988890057E-12</c:v>
                </c:pt>
                <c:pt idx="159">
                  <c:v>1.9021243988890057E-12</c:v>
                </c:pt>
                <c:pt idx="160">
                  <c:v>1.9021243988890057E-12</c:v>
                </c:pt>
                <c:pt idx="161">
                  <c:v>1.9021243988890057E-12</c:v>
                </c:pt>
                <c:pt idx="162">
                  <c:v>1.9021243988890057E-12</c:v>
                </c:pt>
                <c:pt idx="163">
                  <c:v>1.9021243988890057E-12</c:v>
                </c:pt>
                <c:pt idx="164">
                  <c:v>1.9021243988890057E-12</c:v>
                </c:pt>
                <c:pt idx="165">
                  <c:v>1.9021243988890057E-12</c:v>
                </c:pt>
                <c:pt idx="166">
                  <c:v>1.9021243988890057E-12</c:v>
                </c:pt>
                <c:pt idx="167">
                  <c:v>1.9021243988890057E-12</c:v>
                </c:pt>
                <c:pt idx="168">
                  <c:v>1.9021243988890057E-12</c:v>
                </c:pt>
                <c:pt idx="169">
                  <c:v>1.9021243988890057E-12</c:v>
                </c:pt>
                <c:pt idx="170">
                  <c:v>1.9021243988890057E-12</c:v>
                </c:pt>
                <c:pt idx="171">
                  <c:v>1.9021243988890057E-12</c:v>
                </c:pt>
                <c:pt idx="172">
                  <c:v>1.9021243988890057E-12</c:v>
                </c:pt>
                <c:pt idx="173">
                  <c:v>1.9021243988890057E-12</c:v>
                </c:pt>
                <c:pt idx="174">
                  <c:v>1.9021243988890057E-12</c:v>
                </c:pt>
                <c:pt idx="175">
                  <c:v>1.9021243988890057E-12</c:v>
                </c:pt>
                <c:pt idx="176">
                  <c:v>1.9021243988890057E-12</c:v>
                </c:pt>
                <c:pt idx="177">
                  <c:v>1.9021243988890057E-12</c:v>
                </c:pt>
                <c:pt idx="178">
                  <c:v>1.9021243988890057E-12</c:v>
                </c:pt>
                <c:pt idx="179">
                  <c:v>1.9021243988890057E-12</c:v>
                </c:pt>
                <c:pt idx="180">
                  <c:v>1.9021243988890057E-12</c:v>
                </c:pt>
                <c:pt idx="181">
                  <c:v>1.9021243988890057E-12</c:v>
                </c:pt>
                <c:pt idx="182">
                  <c:v>1.9021243988890057E-12</c:v>
                </c:pt>
                <c:pt idx="183">
                  <c:v>1.9021243988890057E-12</c:v>
                </c:pt>
                <c:pt idx="184">
                  <c:v>1.9021243988890057E-12</c:v>
                </c:pt>
                <c:pt idx="185">
                  <c:v>1.9021243988890057E-12</c:v>
                </c:pt>
                <c:pt idx="186">
                  <c:v>1.9021243988890057E-12</c:v>
                </c:pt>
                <c:pt idx="187">
                  <c:v>1.9021243988890057E-12</c:v>
                </c:pt>
                <c:pt idx="188">
                  <c:v>1.9021243988890057E-12</c:v>
                </c:pt>
                <c:pt idx="189">
                  <c:v>1.9021243988890057E-12</c:v>
                </c:pt>
                <c:pt idx="190">
                  <c:v>1.9021243988890057E-12</c:v>
                </c:pt>
                <c:pt idx="191">
                  <c:v>1.9021243988890057E-12</c:v>
                </c:pt>
                <c:pt idx="192">
                  <c:v>1.9021243988890057E-12</c:v>
                </c:pt>
                <c:pt idx="193">
                  <c:v>1.9021243988890057E-12</c:v>
                </c:pt>
                <c:pt idx="194">
                  <c:v>1.9021243988890057E-12</c:v>
                </c:pt>
                <c:pt idx="195">
                  <c:v>1.9021243988890057E-12</c:v>
                </c:pt>
                <c:pt idx="196">
                  <c:v>1.9021243988890057E-12</c:v>
                </c:pt>
                <c:pt idx="197">
                  <c:v>1.9021243988890057E-12</c:v>
                </c:pt>
                <c:pt idx="198">
                  <c:v>1.9021243988890057E-12</c:v>
                </c:pt>
                <c:pt idx="199">
                  <c:v>1.9021243988890057E-12</c:v>
                </c:pt>
                <c:pt idx="200">
                  <c:v>1.9021243988890057E-12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1.4743586527804835</c:v>
                </c:pt>
                <c:pt idx="2">
                  <c:v>1.8743396117083309</c:v>
                </c:pt>
                <c:pt idx="3">
                  <c:v>2.3832719334383721</c:v>
                </c:pt>
                <c:pt idx="4">
                  <c:v>3.030946396011732</c:v>
                </c:pt>
                <c:pt idx="5">
                  <c:v>3.8553286221630647</c:v>
                </c:pt>
                <c:pt idx="6">
                  <c:v>4.9048097657531677</c:v>
                </c:pt>
                <c:pt idx="7">
                  <c:v>6.2410787491366309</c:v>
                </c:pt>
                <c:pt idx="8">
                  <c:v>7.9427881805820597</c:v>
                </c:pt>
                <c:pt idx="9">
                  <c:v>10.110233871237673</c:v>
                </c:pt>
                <c:pt idx="10">
                  <c:v>12.871328960907347</c:v>
                </c:pt>
                <c:pt idx="11">
                  <c:v>16.389231759852411</c:v>
                </c:pt>
                <c:pt idx="12">
                  <c:v>20.872086264950017</c:v>
                </c:pt>
                <c:pt idx="13">
                  <c:v>26.585461984011399</c:v>
                </c:pt>
                <c:pt idx="14">
                  <c:v>33.868242970563898</c:v>
                </c:pt>
                <c:pt idx="15">
                  <c:v>43.15292477445589</c:v>
                </c:pt>
                <c:pt idx="16">
                  <c:v>54.991545074318275</c:v>
                </c:pt>
                <c:pt idx="17">
                  <c:v>70.088815360258224</c:v>
                </c:pt>
                <c:pt idx="18">
                  <c:v>89.344458022350253</c:v>
                </c:pt>
                <c:pt idx="19">
                  <c:v>113.90731225314703</c:v>
                </c:pt>
                <c:pt idx="20">
                  <c:v>145.24448744581247</c:v>
                </c:pt>
                <c:pt idx="21">
                  <c:v>130.40075402195623</c:v>
                </c:pt>
                <c:pt idx="22">
                  <c:v>158.89931292207936</c:v>
                </c:pt>
                <c:pt idx="23">
                  <c:v>187.2763602166568</c:v>
                </c:pt>
                <c:pt idx="24">
                  <c:v>215.55293641173822</c:v>
                </c:pt>
                <c:pt idx="25">
                  <c:v>243.74408573623475</c:v>
                </c:pt>
                <c:pt idx="26">
                  <c:v>271.86107869891106</c:v>
                </c:pt>
                <c:pt idx="27">
                  <c:v>299.91266045555579</c:v>
                </c:pt>
                <c:pt idx="28">
                  <c:v>327.90580533484467</c:v>
                </c:pt>
                <c:pt idx="29">
                  <c:v>355.84619931458207</c:v>
                </c:pt>
                <c:pt idx="30">
                  <c:v>383.73856266069237</c:v>
                </c:pt>
                <c:pt idx="31">
                  <c:v>280.11241578986949</c:v>
                </c:pt>
                <c:pt idx="32">
                  <c:v>308.80841467664595</c:v>
                </c:pt>
                <c:pt idx="33">
                  <c:v>337.44519493848435</c:v>
                </c:pt>
                <c:pt idx="34">
                  <c:v>366.0284841249711</c:v>
                </c:pt>
                <c:pt idx="35">
                  <c:v>394.56304238296235</c:v>
                </c:pt>
                <c:pt idx="36">
                  <c:v>423.05288546788398</c:v>
                </c:pt>
                <c:pt idx="37">
                  <c:v>451.50144447888039</c:v>
                </c:pt>
                <c:pt idx="38">
                  <c:v>479.9116832075656</c:v>
                </c:pt>
                <c:pt idx="39">
                  <c:v>508.28618624105167</c:v>
                </c:pt>
                <c:pt idx="40">
                  <c:v>536.62722636570436</c:v>
                </c:pt>
                <c:pt idx="41">
                  <c:v>428.78337061858036</c:v>
                </c:pt>
                <c:pt idx="42">
                  <c:v>452.15820843624448</c:v>
                </c:pt>
                <c:pt idx="43">
                  <c:v>475.50721744383367</c:v>
                </c:pt>
                <c:pt idx="44">
                  <c:v>498.83184311406302</c:v>
                </c:pt>
                <c:pt idx="45">
                  <c:v>522.13338483445693</c:v>
                </c:pt>
                <c:pt idx="46">
                  <c:v>545.41301666320317</c:v>
                </c:pt>
                <c:pt idx="47">
                  <c:v>568.67180435846149</c:v>
                </c:pt>
                <c:pt idx="48">
                  <c:v>591.91071947818978</c:v>
                </c:pt>
                <c:pt idx="49">
                  <c:v>615.13065115189056</c:v>
                </c:pt>
                <c:pt idx="50">
                  <c:v>638.33241598373809</c:v>
                </c:pt>
                <c:pt idx="51">
                  <c:v>553.07478965746782</c:v>
                </c:pt>
                <c:pt idx="52">
                  <c:v>571.37934940611046</c:v>
                </c:pt>
                <c:pt idx="53">
                  <c:v>589.67166430237864</c:v>
                </c:pt>
                <c:pt idx="54">
                  <c:v>607.95216738604984</c:v>
                </c:pt>
                <c:pt idx="55">
                  <c:v>626.22126355197111</c:v>
                </c:pt>
                <c:pt idx="56">
                  <c:v>644.47933216373974</c:v>
                </c:pt>
                <c:pt idx="57">
                  <c:v>662.72672935601315</c:v>
                </c:pt>
                <c:pt idx="58">
                  <c:v>680.96379007026428</c:v>
                </c:pt>
                <c:pt idx="59">
                  <c:v>699.19082986129933</c:v>
                </c:pt>
                <c:pt idx="60">
                  <c:v>717.40814650576385</c:v>
                </c:pt>
                <c:pt idx="61">
                  <c:v>652.95264432142005</c:v>
                </c:pt>
                <c:pt idx="62">
                  <c:v>665.70490610361924</c:v>
                </c:pt>
                <c:pt idx="63">
                  <c:v>678.4521439605877</c:v>
                </c:pt>
                <c:pt idx="64">
                  <c:v>691.19446553922319</c:v>
                </c:pt>
                <c:pt idx="65">
                  <c:v>703.93197419594719</c:v>
                </c:pt>
                <c:pt idx="66">
                  <c:v>716.66476924386734</c:v>
                </c:pt>
                <c:pt idx="67">
                  <c:v>729.39294618147471</c:v>
                </c:pt>
                <c:pt idx="68">
                  <c:v>742.11659690456054</c:v>
                </c:pt>
                <c:pt idx="69">
                  <c:v>754.83580990284963</c:v>
                </c:pt>
                <c:pt idx="70">
                  <c:v>767.55067044270493</c:v>
                </c:pt>
                <c:pt idx="71">
                  <c:v>717.31522520850922</c:v>
                </c:pt>
                <c:pt idx="72">
                  <c:v>725.58426243648853</c:v>
                </c:pt>
                <c:pt idx="73">
                  <c:v>733.85137810403364</c:v>
                </c:pt>
                <c:pt idx="74">
                  <c:v>742.11659690456054</c:v>
                </c:pt>
                <c:pt idx="75">
                  <c:v>750.37994293674865</c:v>
                </c:pt>
                <c:pt idx="76">
                  <c:v>758.6414397253975</c:v>
                </c:pt>
                <c:pt idx="77">
                  <c:v>766.90111024132477</c:v>
                </c:pt>
                <c:pt idx="78">
                  <c:v>775.1589769203656</c:v>
                </c:pt>
                <c:pt idx="79">
                  <c:v>783.41506168152102</c:v>
                </c:pt>
                <c:pt idx="80">
                  <c:v>791.66938594429939</c:v>
                </c:pt>
                <c:pt idx="81">
                  <c:v>4.0228505074329168E-12</c:v>
                </c:pt>
                <c:pt idx="82">
                  <c:v>4.0228505074329168E-12</c:v>
                </c:pt>
                <c:pt idx="83">
                  <c:v>4.0228505074329168E-12</c:v>
                </c:pt>
                <c:pt idx="84">
                  <c:v>4.0228505074329168E-12</c:v>
                </c:pt>
                <c:pt idx="85">
                  <c:v>4.0228505074329168E-12</c:v>
                </c:pt>
                <c:pt idx="86">
                  <c:v>4.0228505074329168E-12</c:v>
                </c:pt>
                <c:pt idx="87">
                  <c:v>4.0228505074329168E-12</c:v>
                </c:pt>
                <c:pt idx="88">
                  <c:v>4.0228505074329168E-12</c:v>
                </c:pt>
                <c:pt idx="89">
                  <c:v>4.0228505074329168E-12</c:v>
                </c:pt>
                <c:pt idx="90">
                  <c:v>4.0228505074329168E-12</c:v>
                </c:pt>
                <c:pt idx="91">
                  <c:v>4.0228505074329168E-12</c:v>
                </c:pt>
                <c:pt idx="92">
                  <c:v>4.0228505074329168E-12</c:v>
                </c:pt>
                <c:pt idx="93">
                  <c:v>4.0228505074329168E-12</c:v>
                </c:pt>
                <c:pt idx="94">
                  <c:v>4.0228505074329168E-12</c:v>
                </c:pt>
                <c:pt idx="95">
                  <c:v>4.0228505074329168E-12</c:v>
                </c:pt>
                <c:pt idx="96">
                  <c:v>4.0228505074329168E-12</c:v>
                </c:pt>
                <c:pt idx="97">
                  <c:v>4.0228505074329168E-12</c:v>
                </c:pt>
                <c:pt idx="98">
                  <c:v>4.0228505074329168E-12</c:v>
                </c:pt>
                <c:pt idx="99">
                  <c:v>4.0228505074329168E-12</c:v>
                </c:pt>
                <c:pt idx="100">
                  <c:v>4.0228505074329168E-12</c:v>
                </c:pt>
                <c:pt idx="101">
                  <c:v>4.0228505074329168E-12</c:v>
                </c:pt>
                <c:pt idx="102">
                  <c:v>4.0228505074329168E-12</c:v>
                </c:pt>
                <c:pt idx="103">
                  <c:v>4.0228505074329168E-12</c:v>
                </c:pt>
                <c:pt idx="104">
                  <c:v>4.0228505074329168E-12</c:v>
                </c:pt>
                <c:pt idx="105">
                  <c:v>4.0228505074329168E-12</c:v>
                </c:pt>
                <c:pt idx="106">
                  <c:v>4.0228505074329168E-12</c:v>
                </c:pt>
                <c:pt idx="107">
                  <c:v>4.0228505074329168E-12</c:v>
                </c:pt>
                <c:pt idx="108">
                  <c:v>4.0228505074329168E-12</c:v>
                </c:pt>
                <c:pt idx="109">
                  <c:v>4.0228505074329168E-12</c:v>
                </c:pt>
                <c:pt idx="110">
                  <c:v>4.0228505074329168E-12</c:v>
                </c:pt>
                <c:pt idx="111">
                  <c:v>4.0228505074329168E-12</c:v>
                </c:pt>
                <c:pt idx="112">
                  <c:v>4.0228505074329168E-12</c:v>
                </c:pt>
                <c:pt idx="113">
                  <c:v>4.0228505074329168E-12</c:v>
                </c:pt>
                <c:pt idx="114">
                  <c:v>4.0228505074329168E-12</c:v>
                </c:pt>
                <c:pt idx="115">
                  <c:v>4.0228505074329168E-12</c:v>
                </c:pt>
                <c:pt idx="116">
                  <c:v>4.0228505074329168E-12</c:v>
                </c:pt>
                <c:pt idx="117">
                  <c:v>4.0228505074329168E-12</c:v>
                </c:pt>
                <c:pt idx="118">
                  <c:v>4.0228505074329168E-12</c:v>
                </c:pt>
                <c:pt idx="119">
                  <c:v>4.0228505074329168E-12</c:v>
                </c:pt>
                <c:pt idx="120">
                  <c:v>4.0228505074329168E-12</c:v>
                </c:pt>
                <c:pt idx="121">
                  <c:v>4.0228505074329168E-12</c:v>
                </c:pt>
                <c:pt idx="122">
                  <c:v>4.0228505074329168E-12</c:v>
                </c:pt>
                <c:pt idx="123">
                  <c:v>4.0228505074329168E-12</c:v>
                </c:pt>
                <c:pt idx="124">
                  <c:v>4.0228505074329168E-12</c:v>
                </c:pt>
                <c:pt idx="125">
                  <c:v>4.0228505074329168E-12</c:v>
                </c:pt>
                <c:pt idx="126">
                  <c:v>4.0228505074329168E-12</c:v>
                </c:pt>
                <c:pt idx="127">
                  <c:v>4.0228505074329168E-12</c:v>
                </c:pt>
                <c:pt idx="128">
                  <c:v>4.0228505074329168E-12</c:v>
                </c:pt>
                <c:pt idx="129">
                  <c:v>4.0228505074329168E-12</c:v>
                </c:pt>
                <c:pt idx="130">
                  <c:v>4.0228505074329168E-12</c:v>
                </c:pt>
                <c:pt idx="131">
                  <c:v>4.0228505074329168E-12</c:v>
                </c:pt>
                <c:pt idx="132">
                  <c:v>4.0228505074329168E-12</c:v>
                </c:pt>
                <c:pt idx="133">
                  <c:v>4.0228505074329168E-12</c:v>
                </c:pt>
                <c:pt idx="134">
                  <c:v>4.0228505074329168E-12</c:v>
                </c:pt>
                <c:pt idx="135">
                  <c:v>4.0228505074329168E-12</c:v>
                </c:pt>
                <c:pt idx="136">
                  <c:v>4.0228505074329168E-12</c:v>
                </c:pt>
                <c:pt idx="137">
                  <c:v>4.0228505074329168E-12</c:v>
                </c:pt>
                <c:pt idx="138">
                  <c:v>4.0228505074329168E-12</c:v>
                </c:pt>
                <c:pt idx="139">
                  <c:v>4.0228505074329168E-12</c:v>
                </c:pt>
                <c:pt idx="140">
                  <c:v>4.0228505074329168E-12</c:v>
                </c:pt>
                <c:pt idx="141">
                  <c:v>4.0228505074329168E-12</c:v>
                </c:pt>
                <c:pt idx="142">
                  <c:v>4.0228505074329168E-12</c:v>
                </c:pt>
                <c:pt idx="143">
                  <c:v>4.0228505074329168E-12</c:v>
                </c:pt>
                <c:pt idx="144">
                  <c:v>4.0228505074329168E-12</c:v>
                </c:pt>
                <c:pt idx="145">
                  <c:v>4.0228505074329168E-12</c:v>
                </c:pt>
                <c:pt idx="146">
                  <c:v>4.0228505074329168E-12</c:v>
                </c:pt>
                <c:pt idx="147">
                  <c:v>4.0228505074329168E-12</c:v>
                </c:pt>
                <c:pt idx="148">
                  <c:v>4.0228505074329168E-12</c:v>
                </c:pt>
                <c:pt idx="149">
                  <c:v>4.0228505074329168E-12</c:v>
                </c:pt>
                <c:pt idx="150">
                  <c:v>4.0228505074329168E-12</c:v>
                </c:pt>
                <c:pt idx="151">
                  <c:v>4.0228505074329168E-12</c:v>
                </c:pt>
                <c:pt idx="152">
                  <c:v>4.0228505074329168E-12</c:v>
                </c:pt>
                <c:pt idx="153">
                  <c:v>4.0228505074329168E-12</c:v>
                </c:pt>
                <c:pt idx="154">
                  <c:v>4.0228505074329168E-12</c:v>
                </c:pt>
                <c:pt idx="155">
                  <c:v>4.0228505074329168E-12</c:v>
                </c:pt>
                <c:pt idx="156">
                  <c:v>4.0228505074329168E-12</c:v>
                </c:pt>
                <c:pt idx="157">
                  <c:v>4.0228505074329168E-12</c:v>
                </c:pt>
                <c:pt idx="158">
                  <c:v>4.0228505074329168E-12</c:v>
                </c:pt>
                <c:pt idx="159">
                  <c:v>4.0228505074329168E-12</c:v>
                </c:pt>
                <c:pt idx="160">
                  <c:v>4.0228505074329168E-12</c:v>
                </c:pt>
                <c:pt idx="161">
                  <c:v>4.0228505074329168E-12</c:v>
                </c:pt>
                <c:pt idx="162">
                  <c:v>4.0228505074329168E-12</c:v>
                </c:pt>
                <c:pt idx="163">
                  <c:v>4.0228505074329168E-12</c:v>
                </c:pt>
                <c:pt idx="164">
                  <c:v>4.0228505074329168E-12</c:v>
                </c:pt>
                <c:pt idx="165">
                  <c:v>4.0228505074329168E-12</c:v>
                </c:pt>
                <c:pt idx="166">
                  <c:v>4.0228505074329168E-12</c:v>
                </c:pt>
                <c:pt idx="167">
                  <c:v>4.0228505074329168E-12</c:v>
                </c:pt>
                <c:pt idx="168">
                  <c:v>4.0228505074329168E-12</c:v>
                </c:pt>
                <c:pt idx="169">
                  <c:v>4.0228505074329168E-12</c:v>
                </c:pt>
                <c:pt idx="170">
                  <c:v>4.0228505074329168E-12</c:v>
                </c:pt>
                <c:pt idx="171">
                  <c:v>4.0228505074329168E-12</c:v>
                </c:pt>
                <c:pt idx="172">
                  <c:v>4.0228505074329168E-12</c:v>
                </c:pt>
                <c:pt idx="173">
                  <c:v>4.0228505074329168E-12</c:v>
                </c:pt>
                <c:pt idx="174">
                  <c:v>4.0228505074329168E-12</c:v>
                </c:pt>
                <c:pt idx="175">
                  <c:v>4.0228505074329168E-12</c:v>
                </c:pt>
                <c:pt idx="176">
                  <c:v>4.0228505074329168E-12</c:v>
                </c:pt>
                <c:pt idx="177">
                  <c:v>4.0228505074329168E-12</c:v>
                </c:pt>
                <c:pt idx="178">
                  <c:v>4.0228505074329168E-12</c:v>
                </c:pt>
                <c:pt idx="179">
                  <c:v>4.0228505074329168E-12</c:v>
                </c:pt>
                <c:pt idx="180">
                  <c:v>4.0228505074329168E-12</c:v>
                </c:pt>
                <c:pt idx="181">
                  <c:v>4.0228505074329168E-12</c:v>
                </c:pt>
                <c:pt idx="182">
                  <c:v>4.0228505074329168E-12</c:v>
                </c:pt>
                <c:pt idx="183">
                  <c:v>4.0228505074329168E-12</c:v>
                </c:pt>
                <c:pt idx="184">
                  <c:v>4.0228505074329168E-12</c:v>
                </c:pt>
                <c:pt idx="185">
                  <c:v>4.0228505074329168E-12</c:v>
                </c:pt>
                <c:pt idx="186">
                  <c:v>4.0228505074329168E-12</c:v>
                </c:pt>
                <c:pt idx="187">
                  <c:v>4.0228505074329168E-12</c:v>
                </c:pt>
                <c:pt idx="188">
                  <c:v>4.0228505074329168E-12</c:v>
                </c:pt>
                <c:pt idx="189">
                  <c:v>4.0228505074329168E-12</c:v>
                </c:pt>
                <c:pt idx="190">
                  <c:v>4.0228505074329168E-12</c:v>
                </c:pt>
                <c:pt idx="191">
                  <c:v>4.0228505074329168E-12</c:v>
                </c:pt>
                <c:pt idx="192">
                  <c:v>4.0228505074329168E-12</c:v>
                </c:pt>
                <c:pt idx="193">
                  <c:v>4.0228505074329168E-12</c:v>
                </c:pt>
                <c:pt idx="194">
                  <c:v>4.0228505074329168E-12</c:v>
                </c:pt>
                <c:pt idx="195">
                  <c:v>4.0228505074329168E-12</c:v>
                </c:pt>
                <c:pt idx="196">
                  <c:v>4.0228505074329168E-12</c:v>
                </c:pt>
                <c:pt idx="197">
                  <c:v>4.0228505074329168E-12</c:v>
                </c:pt>
                <c:pt idx="198">
                  <c:v>4.0228505074329168E-12</c:v>
                </c:pt>
                <c:pt idx="199">
                  <c:v>4.0228505074329168E-12</c:v>
                </c:pt>
                <c:pt idx="200">
                  <c:v>4.0228505074329168E-12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T22" sqref="T22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6" zoomScale="80" zoomScaleNormal="80" workbookViewId="0">
      <selection activeCell="M43" sqref="M4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13.79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0.496</v>
      </c>
      <c r="D9" s="33">
        <f t="shared" ref="D9:D18" si="0">C9*$C$5</f>
        <v>6.8398399999999997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22</v>
      </c>
      <c r="C10" s="32">
        <v>7.0999999999999994E-2</v>
      </c>
      <c r="D10" s="33">
        <f t="shared" si="0"/>
        <v>0.9790899999999999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4</v>
      </c>
      <c r="C11" s="32">
        <v>7.0999999999999994E-2</v>
      </c>
      <c r="D11" s="33">
        <f t="shared" si="0"/>
        <v>0.9790899999999999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50</v>
      </c>
      <c r="C12" s="32">
        <v>7.0999999999999994E-2</v>
      </c>
      <c r="D12" s="33">
        <f t="shared" si="0"/>
        <v>0.9790899999999999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13</v>
      </c>
      <c r="C13" s="32">
        <v>0.13400000000000001</v>
      </c>
      <c r="D13" s="33">
        <f t="shared" si="0"/>
        <v>1.8478600000000001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41</v>
      </c>
      <c r="C14" s="32">
        <v>0.121</v>
      </c>
      <c r="D14" s="33">
        <f t="shared" si="0"/>
        <v>1.6685899999999998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156</v>
      </c>
      <c r="C15" s="32">
        <v>3.5999999999999997E-2</v>
      </c>
      <c r="D15" s="33">
        <f t="shared" si="0"/>
        <v>0.49643999999999994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0.99999999999999989</v>
      </c>
      <c r="D19" s="38">
        <f>SUM(D9:D18)</f>
        <v>13.79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73</v>
      </c>
      <c r="C36" s="60">
        <v>1</v>
      </c>
      <c r="D36" s="60">
        <v>6</v>
      </c>
      <c r="E36" s="51"/>
      <c r="F36" s="51">
        <v>0.25</v>
      </c>
      <c r="G36" s="51">
        <v>0.25</v>
      </c>
      <c r="H36" s="51">
        <v>0.5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149</v>
      </c>
      <c r="C37" s="60">
        <v>2</v>
      </c>
      <c r="D37" s="60">
        <f>28+28</f>
        <v>56</v>
      </c>
      <c r="E37" s="51">
        <v>0.1</v>
      </c>
      <c r="F37" s="51">
        <v>0.45</v>
      </c>
      <c r="G37" s="51">
        <v>0.45</v>
      </c>
      <c r="H37" s="51"/>
      <c r="I37" s="53">
        <f t="shared" ref="I37:I55" si="1">IF(A37&lt;&gt;0,(B37-(B36-D36))/(A37-A36),"")</f>
        <v>8.1999999999999993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203</v>
      </c>
      <c r="C38" s="60">
        <v>3</v>
      </c>
      <c r="D38" s="60">
        <f>28+28</f>
        <v>56</v>
      </c>
      <c r="E38" s="51"/>
      <c r="F38" s="51"/>
      <c r="G38" s="51"/>
      <c r="H38" s="51"/>
      <c r="I38" s="53">
        <f t="shared" si="1"/>
        <v>11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259</v>
      </c>
      <c r="C39" s="60">
        <v>4</v>
      </c>
      <c r="D39" s="60">
        <f>28+28</f>
        <v>56</v>
      </c>
      <c r="E39" s="51"/>
      <c r="F39" s="51"/>
      <c r="G39" s="51"/>
      <c r="H39" s="51"/>
      <c r="I39" s="49">
        <f t="shared" si="1"/>
        <v>11.2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301</v>
      </c>
      <c r="C40" s="60">
        <v>5</v>
      </c>
      <c r="D40" s="60">
        <f t="shared" ref="D40:D43" si="2">28+28</f>
        <v>56</v>
      </c>
      <c r="E40" s="51"/>
      <c r="F40" s="51"/>
      <c r="G40" s="51"/>
      <c r="H40" s="51"/>
      <c r="I40" s="49">
        <f t="shared" si="1"/>
        <v>9.8000000000000007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330</v>
      </c>
      <c r="C41" s="60">
        <v>6</v>
      </c>
      <c r="D41" s="60">
        <f t="shared" si="2"/>
        <v>56</v>
      </c>
      <c r="E41" s="51"/>
      <c r="F41" s="51"/>
      <c r="G41" s="51"/>
      <c r="H41" s="51"/>
      <c r="I41" s="53">
        <f t="shared" si="1"/>
        <v>8.5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348</v>
      </c>
      <c r="C42" s="60">
        <v>7</v>
      </c>
      <c r="D42" s="60">
        <f t="shared" si="2"/>
        <v>56</v>
      </c>
      <c r="E42" s="51"/>
      <c r="F42" s="51"/>
      <c r="G42" s="51"/>
      <c r="H42" s="51"/>
      <c r="I42" s="53">
        <f t="shared" si="1"/>
        <v>7.4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358</v>
      </c>
      <c r="C43" s="60">
        <v>8</v>
      </c>
      <c r="D43" s="60">
        <f t="shared" si="2"/>
        <v>56</v>
      </c>
      <c r="E43" s="51"/>
      <c r="F43" s="51"/>
      <c r="G43" s="51"/>
      <c r="H43" s="51"/>
      <c r="I43" s="49">
        <f t="shared" si="1"/>
        <v>6.6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361</v>
      </c>
      <c r="C44" s="60">
        <v>9</v>
      </c>
      <c r="D44" s="60">
        <f>28+27</f>
        <v>55</v>
      </c>
      <c r="E44" s="51"/>
      <c r="F44" s="51"/>
      <c r="G44" s="51"/>
      <c r="H44" s="51"/>
      <c r="I44" s="49">
        <f t="shared" si="1"/>
        <v>5.9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v>358</v>
      </c>
      <c r="C45" s="60">
        <v>10</v>
      </c>
      <c r="D45" s="60">
        <f>26+25</f>
        <v>51</v>
      </c>
      <c r="E45" s="51"/>
      <c r="F45" s="51"/>
      <c r="G45" s="51"/>
      <c r="H45" s="51"/>
      <c r="I45" s="49">
        <f t="shared" si="1"/>
        <v>5.2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f>306+27+28</f>
        <v>361</v>
      </c>
      <c r="C46" s="60">
        <v>11</v>
      </c>
      <c r="D46" s="60">
        <f>B46</f>
        <v>361</v>
      </c>
      <c r="E46" s="51"/>
      <c r="F46" s="51"/>
      <c r="G46" s="51"/>
      <c r="H46" s="51"/>
      <c r="I46" s="49">
        <f t="shared" si="1"/>
        <v>5.4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Erable plane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19</v>
      </c>
      <c r="C62" s="60">
        <v>1</v>
      </c>
      <c r="D62" s="60">
        <v>7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1.9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165</v>
      </c>
      <c r="C63" s="60">
        <v>2</v>
      </c>
      <c r="D63" s="60">
        <f>42+42</f>
        <v>84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15.3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247</v>
      </c>
      <c r="C64" s="60">
        <v>3</v>
      </c>
      <c r="D64" s="60">
        <f>42+42</f>
        <v>84</v>
      </c>
      <c r="E64" s="51">
        <v>0.1</v>
      </c>
      <c r="F64" s="51">
        <v>0.45</v>
      </c>
      <c r="G64" s="51">
        <v>0.45</v>
      </c>
      <c r="H64" s="51"/>
      <c r="I64" s="49">
        <f>IF(A64&lt;&gt;0,(B64-(B63-D63))/(A64-A63),"")</f>
        <v>16.600000000000001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305</v>
      </c>
      <c r="C65" s="60">
        <v>4</v>
      </c>
      <c r="D65" s="60">
        <f>42+40</f>
        <v>82</v>
      </c>
      <c r="E65" s="51"/>
      <c r="F65" s="51"/>
      <c r="G65" s="51"/>
      <c r="H65" s="51"/>
      <c r="I65" s="49">
        <f>IF(A65&lt;&gt;0,(B65-(B64-D64))/(A65-A64),"")</f>
        <v>14.2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50</v>
      </c>
      <c r="B66" s="60">
        <v>329</v>
      </c>
      <c r="C66" s="60">
        <v>5</v>
      </c>
      <c r="D66" s="60">
        <f>26+21</f>
        <v>47</v>
      </c>
      <c r="E66" s="51"/>
      <c r="F66" s="51"/>
      <c r="G66" s="51"/>
      <c r="H66" s="51"/>
      <c r="I66" s="49">
        <f t="shared" ref="I66:I81" si="3">IF(A66&lt;&gt;0,(B66-(B65-D65))/(A66-A65),"")</f>
        <v>10.6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361</v>
      </c>
      <c r="C67" s="60">
        <v>6</v>
      </c>
      <c r="D67" s="60">
        <f>18+17</f>
        <v>35</v>
      </c>
      <c r="E67" s="51"/>
      <c r="F67" s="51"/>
      <c r="G67" s="51"/>
      <c r="H67" s="51"/>
      <c r="I67" s="49">
        <f t="shared" si="3"/>
        <v>7.9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70</v>
      </c>
      <c r="B68" s="60">
        <v>382</v>
      </c>
      <c r="C68" s="60">
        <v>7</v>
      </c>
      <c r="D68" s="60">
        <f>16+15</f>
        <v>31</v>
      </c>
      <c r="E68" s="51"/>
      <c r="F68" s="51"/>
      <c r="G68" s="51"/>
      <c r="H68" s="51"/>
      <c r="I68" s="49">
        <f t="shared" si="3"/>
        <v>5.6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80</v>
      </c>
      <c r="B69" s="50">
        <f>368+14+13</f>
        <v>395</v>
      </c>
      <c r="C69" s="50">
        <v>8</v>
      </c>
      <c r="D69" s="50">
        <f>B69</f>
        <v>395</v>
      </c>
      <c r="E69" s="51"/>
      <c r="F69" s="51"/>
      <c r="G69" s="51"/>
      <c r="H69" s="51"/>
      <c r="I69" s="49">
        <f t="shared" si="3"/>
        <v>4.4000000000000004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Aulne glutineux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19</v>
      </c>
      <c r="C88" s="60">
        <v>1</v>
      </c>
      <c r="D88" s="60">
        <v>7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165</v>
      </c>
      <c r="C89" s="60">
        <v>2</v>
      </c>
      <c r="D89" s="60">
        <f>42+42</f>
        <v>84</v>
      </c>
      <c r="E89" s="51"/>
      <c r="F89" s="51">
        <v>0.25</v>
      </c>
      <c r="G89" s="51">
        <v>0.25</v>
      </c>
      <c r="H89" s="87">
        <v>0.5</v>
      </c>
      <c r="I89" s="53">
        <f t="shared" ref="I89:I107" si="4">IF(A89&lt;&gt;0,(B89-(B88-D88))/(A89-A88),"")</f>
        <v>15.3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247</v>
      </c>
      <c r="C90" s="60">
        <v>3</v>
      </c>
      <c r="D90" s="60">
        <f>42+42</f>
        <v>84</v>
      </c>
      <c r="E90" s="87">
        <v>0.1</v>
      </c>
      <c r="F90" s="87">
        <v>0.45</v>
      </c>
      <c r="G90" s="87">
        <v>0.45</v>
      </c>
      <c r="H90" s="87"/>
      <c r="I90" s="53">
        <f t="shared" si="4"/>
        <v>16.600000000000001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305</v>
      </c>
      <c r="C91" s="60">
        <v>4</v>
      </c>
      <c r="D91" s="60">
        <f>42+40</f>
        <v>82</v>
      </c>
      <c r="E91" s="87"/>
      <c r="F91" s="87"/>
      <c r="G91" s="87"/>
      <c r="H91" s="87"/>
      <c r="I91" s="53">
        <f t="shared" si="4"/>
        <v>14.2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329</v>
      </c>
      <c r="C92" s="60">
        <v>5</v>
      </c>
      <c r="D92" s="60">
        <f>26+21</f>
        <v>47</v>
      </c>
      <c r="E92" s="87"/>
      <c r="F92" s="87"/>
      <c r="G92" s="87"/>
      <c r="H92" s="87"/>
      <c r="I92" s="53">
        <f t="shared" si="4"/>
        <v>10.6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361</v>
      </c>
      <c r="C93" s="60">
        <v>6</v>
      </c>
      <c r="D93" s="60">
        <f>18+17</f>
        <v>35</v>
      </c>
      <c r="E93" s="87"/>
      <c r="F93" s="87"/>
      <c r="G93" s="87"/>
      <c r="H93" s="87"/>
      <c r="I93" s="53">
        <f t="shared" si="4"/>
        <v>7.9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382</v>
      </c>
      <c r="C94" s="60">
        <v>7</v>
      </c>
      <c r="D94" s="60">
        <f>16+15</f>
        <v>31</v>
      </c>
      <c r="E94" s="87"/>
      <c r="F94" s="87"/>
      <c r="G94" s="87"/>
      <c r="H94" s="87"/>
      <c r="I94" s="53">
        <f t="shared" si="4"/>
        <v>5.6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f>368+14+13</f>
        <v>395</v>
      </c>
      <c r="C95" s="60">
        <v>8</v>
      </c>
      <c r="D95" s="60">
        <f>B95</f>
        <v>395</v>
      </c>
      <c r="E95" s="87"/>
      <c r="F95" s="87"/>
      <c r="G95" s="87"/>
      <c r="H95" s="87"/>
      <c r="I95" s="53">
        <f t="shared" si="4"/>
        <v>4.4000000000000004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Tilleul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19</v>
      </c>
      <c r="C114" s="50">
        <v>1</v>
      </c>
      <c r="D114" s="60">
        <v>7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165</v>
      </c>
      <c r="C115" s="50">
        <v>2</v>
      </c>
      <c r="D115" s="60">
        <f>42+42</f>
        <v>84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5">IF(A115&lt;&gt;0,(B115-(B114-D114))/(A115-A114),"")</f>
        <v>15.3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247</v>
      </c>
      <c r="C116" s="50">
        <v>3</v>
      </c>
      <c r="D116" s="60">
        <f>42+42</f>
        <v>84</v>
      </c>
      <c r="E116" s="51">
        <v>0.1</v>
      </c>
      <c r="F116" s="51">
        <v>0.45</v>
      </c>
      <c r="G116" s="51">
        <v>0.45</v>
      </c>
      <c r="H116" s="51"/>
      <c r="I116" s="53">
        <f t="shared" si="5"/>
        <v>16.600000000000001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305</v>
      </c>
      <c r="C117" s="50">
        <v>4</v>
      </c>
      <c r="D117" s="60">
        <f>42+40</f>
        <v>82</v>
      </c>
      <c r="E117" s="51"/>
      <c r="F117" s="51"/>
      <c r="G117" s="51"/>
      <c r="H117" s="51"/>
      <c r="I117" s="53">
        <f t="shared" si="5"/>
        <v>14.2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329</v>
      </c>
      <c r="C118" s="50">
        <v>5</v>
      </c>
      <c r="D118" s="60">
        <f>26+21</f>
        <v>47</v>
      </c>
      <c r="E118" s="51"/>
      <c r="F118" s="51"/>
      <c r="G118" s="51"/>
      <c r="H118" s="51"/>
      <c r="I118" s="53">
        <f t="shared" si="5"/>
        <v>10.6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361</v>
      </c>
      <c r="C119" s="50">
        <v>6</v>
      </c>
      <c r="D119" s="60">
        <f>18+17</f>
        <v>35</v>
      </c>
      <c r="E119" s="51"/>
      <c r="F119" s="51"/>
      <c r="G119" s="51"/>
      <c r="H119" s="51"/>
      <c r="I119" s="53">
        <f t="shared" si="5"/>
        <v>7.9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382</v>
      </c>
      <c r="C120" s="60">
        <v>7</v>
      </c>
      <c r="D120" s="60">
        <f>16+15</f>
        <v>31</v>
      </c>
      <c r="E120" s="87"/>
      <c r="F120" s="87"/>
      <c r="G120" s="87"/>
      <c r="H120" s="87"/>
      <c r="I120" s="53">
        <f t="shared" si="5"/>
        <v>5.6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f>368+14+13</f>
        <v>395</v>
      </c>
      <c r="C121" s="60">
        <v>8</v>
      </c>
      <c r="D121" s="60">
        <f>B121</f>
        <v>395</v>
      </c>
      <c r="E121" s="87"/>
      <c r="F121" s="87"/>
      <c r="G121" s="87"/>
      <c r="H121" s="87"/>
      <c r="I121" s="53">
        <f t="shared" si="5"/>
        <v>4.4000000000000004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rouge d'Amérique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15</v>
      </c>
      <c r="B140" s="60">
        <v>87</v>
      </c>
      <c r="C140" s="50">
        <v>1</v>
      </c>
      <c r="D140" s="60">
        <v>21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5.8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137</v>
      </c>
      <c r="C141" s="50">
        <v>2</v>
      </c>
      <c r="D141" s="60">
        <v>43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6">IF(A141&lt;&gt;0,(B141-(B140-D140))/(A141-A140),"")</f>
        <v>14.2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228</v>
      </c>
      <c r="C142" s="50">
        <v>3</v>
      </c>
      <c r="D142" s="60">
        <v>88</v>
      </c>
      <c r="E142" s="51">
        <v>0.2</v>
      </c>
      <c r="F142" s="51">
        <v>0.4</v>
      </c>
      <c r="G142" s="51">
        <v>0.4</v>
      </c>
      <c r="H142" s="51"/>
      <c r="I142" s="57">
        <f t="shared" si="6"/>
        <v>13.4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255</v>
      </c>
      <c r="C143" s="50">
        <v>4</v>
      </c>
      <c r="D143" s="60">
        <v>81</v>
      </c>
      <c r="E143" s="51"/>
      <c r="F143" s="51"/>
      <c r="G143" s="51"/>
      <c r="H143" s="51"/>
      <c r="I143" s="57">
        <f t="shared" si="6"/>
        <v>11.5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50</v>
      </c>
      <c r="B144" s="60">
        <v>268</v>
      </c>
      <c r="C144" s="50">
        <v>5</v>
      </c>
      <c r="D144" s="60">
        <v>69</v>
      </c>
      <c r="E144" s="51"/>
      <c r="F144" s="51"/>
      <c r="G144" s="51"/>
      <c r="H144" s="51"/>
      <c r="I144" s="57">
        <f t="shared" si="6"/>
        <v>9.4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60</v>
      </c>
      <c r="B145" s="60">
        <v>271</v>
      </c>
      <c r="C145" s="50">
        <v>6</v>
      </c>
      <c r="D145" s="60">
        <v>55</v>
      </c>
      <c r="E145" s="51"/>
      <c r="F145" s="51"/>
      <c r="G145" s="51"/>
      <c r="H145" s="51"/>
      <c r="I145" s="57">
        <f t="shared" si="6"/>
        <v>7.2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70</v>
      </c>
      <c r="B146" s="60">
        <v>272</v>
      </c>
      <c r="C146" s="50">
        <v>7</v>
      </c>
      <c r="D146" s="60">
        <v>272</v>
      </c>
      <c r="E146" s="51"/>
      <c r="F146" s="51"/>
      <c r="G146" s="51"/>
      <c r="H146" s="51"/>
      <c r="I146" s="57">
        <f t="shared" si="6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Pin sylvestre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96</v>
      </c>
      <c r="C166" s="60">
        <v>1</v>
      </c>
      <c r="D166" s="60">
        <v>18</v>
      </c>
      <c r="E166" s="51"/>
      <c r="F166" s="51">
        <v>0.5</v>
      </c>
      <c r="G166" s="51">
        <v>0.5</v>
      </c>
      <c r="H166" s="51"/>
      <c r="I166" s="49">
        <f>IFERROR(B166/A166,"")</f>
        <v>4.8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215</v>
      </c>
      <c r="C167" s="60">
        <v>2</v>
      </c>
      <c r="D167" s="60">
        <v>84</v>
      </c>
      <c r="E167" s="51">
        <v>0.1</v>
      </c>
      <c r="F167" s="51">
        <v>0.45</v>
      </c>
      <c r="G167" s="51">
        <v>0.45</v>
      </c>
      <c r="H167" s="51"/>
      <c r="I167" s="49">
        <f t="shared" ref="I167:I185" si="7">IF(A167&lt;&gt;0,(B167-(B166-D166))/(A167-A166),"")</f>
        <v>13.7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295</v>
      </c>
      <c r="C168" s="60">
        <v>3</v>
      </c>
      <c r="D168" s="60">
        <v>84</v>
      </c>
      <c r="E168" s="51"/>
      <c r="F168" s="51"/>
      <c r="G168" s="51"/>
      <c r="H168" s="51"/>
      <c r="I168" s="49">
        <f t="shared" si="7"/>
        <v>16.399999999999999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376</v>
      </c>
      <c r="C169" s="60">
        <v>4</v>
      </c>
      <c r="D169" s="60">
        <v>84</v>
      </c>
      <c r="E169" s="51"/>
      <c r="F169" s="51"/>
      <c r="G169" s="51"/>
      <c r="H169" s="51"/>
      <c r="I169" s="49">
        <f t="shared" si="7"/>
        <v>16.5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442</v>
      </c>
      <c r="C170" s="60">
        <v>5</v>
      </c>
      <c r="D170" s="60">
        <v>82</v>
      </c>
      <c r="E170" s="51"/>
      <c r="F170" s="51"/>
      <c r="G170" s="51"/>
      <c r="H170" s="51"/>
      <c r="I170" s="49">
        <f t="shared" si="7"/>
        <v>15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488</v>
      </c>
      <c r="C171" s="60">
        <v>6</v>
      </c>
      <c r="D171" s="60">
        <v>70</v>
      </c>
      <c r="E171" s="51"/>
      <c r="F171" s="51"/>
      <c r="G171" s="51"/>
      <c r="H171" s="51"/>
      <c r="I171" s="49">
        <f t="shared" si="7"/>
        <v>12.8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v>526</v>
      </c>
      <c r="C172" s="60">
        <v>7</v>
      </c>
      <c r="D172" s="60">
        <v>526</v>
      </c>
      <c r="E172" s="51"/>
      <c r="F172" s="51"/>
      <c r="G172" s="51"/>
      <c r="H172" s="51"/>
      <c r="I172" s="49">
        <f t="shared" si="7"/>
        <v>10.8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Séquoia toujours vert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f>102+45</f>
        <v>147</v>
      </c>
      <c r="C192" s="60"/>
      <c r="D192" s="60">
        <v>45</v>
      </c>
      <c r="E192" s="51"/>
      <c r="F192" s="51">
        <v>0.5</v>
      </c>
      <c r="G192" s="51">
        <v>0.5</v>
      </c>
      <c r="H192" s="51"/>
      <c r="I192" s="49">
        <f>IFERROR(B192/A192,"")</f>
        <v>7.35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f>258+70+70</f>
        <v>398</v>
      </c>
      <c r="C193" s="60"/>
      <c r="D193" s="60">
        <v>140</v>
      </c>
      <c r="E193" s="51"/>
      <c r="F193" s="51">
        <v>0.5</v>
      </c>
      <c r="G193" s="51">
        <v>0.5</v>
      </c>
      <c r="H193" s="51"/>
      <c r="I193" s="49">
        <f t="shared" ref="I193:I211" si="8">IF(A193&lt;&gt;0,(B193-(B192-D192))/(A193-A192),"")</f>
        <v>29.6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f>421+140</f>
        <v>561</v>
      </c>
      <c r="C194" s="60"/>
      <c r="D194" s="60">
        <v>140</v>
      </c>
      <c r="E194" s="51"/>
      <c r="F194" s="51"/>
      <c r="G194" s="51"/>
      <c r="H194" s="51"/>
      <c r="I194" s="49">
        <f t="shared" si="8"/>
        <v>30.3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f>559+111</f>
        <v>670</v>
      </c>
      <c r="C195" s="60"/>
      <c r="D195" s="60">
        <v>111</v>
      </c>
      <c r="E195" s="51"/>
      <c r="F195" s="51"/>
      <c r="G195" s="51"/>
      <c r="H195" s="51"/>
      <c r="I195" s="49">
        <f t="shared" si="8"/>
        <v>24.9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f>672+39+44</f>
        <v>755</v>
      </c>
      <c r="C196" s="60"/>
      <c r="D196" s="60">
        <f>39+44</f>
        <v>83</v>
      </c>
      <c r="E196" s="51"/>
      <c r="F196" s="51"/>
      <c r="G196" s="51"/>
      <c r="H196" s="51"/>
      <c r="I196" s="49">
        <f t="shared" si="8"/>
        <v>19.600000000000001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f>746+29+34</f>
        <v>809</v>
      </c>
      <c r="C197" s="60"/>
      <c r="D197" s="60">
        <f>29+34</f>
        <v>63</v>
      </c>
      <c r="E197" s="51"/>
      <c r="F197" s="51"/>
      <c r="G197" s="51"/>
      <c r="H197" s="51"/>
      <c r="I197" s="49">
        <f t="shared" si="8"/>
        <v>13.7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f>789+21+25</f>
        <v>835</v>
      </c>
      <c r="C198" s="60"/>
      <c r="D198" s="60">
        <v>835</v>
      </c>
      <c r="E198" s="51"/>
      <c r="F198" s="51"/>
      <c r="G198" s="51"/>
      <c r="H198" s="51"/>
      <c r="I198" s="49">
        <f t="shared" si="8"/>
        <v>8.9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plane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Aulne glutineux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Tilleul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rouge d'Amérique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Pin sylvestre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Séquoia toujours vert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319.18811755575183</v>
      </c>
      <c r="T3" s="59">
        <f>IF('Données projet'!E9&gt;30,$R$33-$H$33,LOOKUP('Données projet'!$E$9,$A$3:$A$203,R3:R203)-LOOKUP('Données projet'!$E$9,$A$3:$A$203,$H$3:$H$203))</f>
        <v>234.87694492493506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314.94704727988847</v>
      </c>
      <c r="AO3" s="59">
        <f>IF('Données projet'!E10&gt;30,$AM$33-$H$33,LOOKUP('Données projet'!$E$10,$A$3:$A$203,AM3:AM203)-LOOKUP('Données projet'!$E$10,$A$3:$A$203,$H$3:$H$203))</f>
        <v>366.49199094166454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246.64951465060813</v>
      </c>
      <c r="BJ3" s="59">
        <f>IF('Données projet'!E11&gt;30,$BH$33-$H$33,LOOKUP('Données projet'!$E$11,$A$3:$A$203,BH3:BH203)-LOOKUP('Données projet'!$E$11,$A$3:$A$203,$H$3:$H$203))</f>
        <v>292.64550285216865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254.25222107710192</v>
      </c>
      <c r="CE3" s="59">
        <f>IF('Données projet'!E12&gt;30,$CC$33-$H$33,LOOKUP('Données projet'!$E$12,$A$3:$A$203,CC3:CC203)-LOOKUP('Données projet'!$E$12,$A$3:$A$203,$H$3:$H$203))</f>
        <v>300.86609173447573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243.38048563215585</v>
      </c>
      <c r="CZ3" s="59">
        <f>IF('Données projet'!E13&gt;30,$CX$33-$H$33,LOOKUP('Données projet'!$E$13,$A$3:$A$203,CX3:CX203)-LOOKUP('Données projet'!$E$13,$A$3:$A$203,$H$3:$H$203))</f>
        <v>372.1604147006675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227.99747790451215</v>
      </c>
      <c r="DU3" s="59">
        <f>IF('Données projet'!E14&gt;30,$DS$33-$H$33,LOOKUP('Données projet'!$E$14,$A$3:$A$203,DS3:DS203)-LOOKUP('Données projet'!$E$14,$A$3:$A$203,$H$3:$H$203))</f>
        <v>209.49597700966933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335.27356627949155</v>
      </c>
      <c r="EP3" s="59">
        <f>IF('Données projet'!E15&gt;30,$EN$33-$H$33,LOOKUP('Données projet'!$E$15,$A$3:$A$203,EN3:EN203)-LOOKUP('Données projet'!$E$15,$A$3:$A$203,$H$3:$H$203))</f>
        <v>322.66829503077247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296.17432310550635</v>
      </c>
      <c r="S4" s="59">
        <f ca="1">AVERAGE(OFFSET($R$3,0,0,'Données projet'!$E$9+1,1))-AVERAGE(OFFSET($H$3,0,0,'Données projet'!$E$9+1,1))</f>
        <v>319.18811755575183</v>
      </c>
      <c r="T4" s="59">
        <f>$T$3</f>
        <v>234.87694492493506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1.9</v>
      </c>
      <c r="AI4" s="13">
        <f>IF('Données projet'!$A$62&gt;35,AI3+AH4-AQ3,IF(A4&lt;'Données projet'!$A$62,$AF$205^A4,IF(A4='Données projet'!$A$62,'Données projet'!$B$62,AI3+AH4-AQ3)))</f>
        <v>1.3423796509621049</v>
      </c>
      <c r="AJ4" s="13">
        <f>AI4*VLOOKUP('Données projet'!$B$10,Paramètres!$A$1:$I$89,3,0)*VLOOKUP('Données projet'!$B$10,Paramètres!$A$1:$I$89,5,0)</f>
        <v>1.0679972503054507</v>
      </c>
      <c r="AK4" s="13">
        <f>EXP(-1.0587+0.8836*LN(AJ4)+0.284)</f>
        <v>0.48842359485523285</v>
      </c>
      <c r="AL4" s="20">
        <f t="shared" ref="AL4:AL67" si="4">(AJ4+AK4)*0.475*44/12</f>
        <v>2.7107663053215236</v>
      </c>
      <c r="AM4" s="59">
        <f t="shared" ref="AM4:AM67" si="5">AL4+(AD4+AE4)*44/12</f>
        <v>296.04409963865481</v>
      </c>
      <c r="AN4" s="59">
        <f ca="1">AVERAGE(OFFSET($AM$3,0,0,'Données projet'!$E$10+1,1))-AVERAGE(OFFSET($H$3,0,0,'Données projet'!$E$10+1,1))</f>
        <v>314.94704727988847</v>
      </c>
      <c r="AO4" s="59">
        <f>$AO$3</f>
        <v>366.49199094166454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1.3423796509621049</v>
      </c>
      <c r="BE4" s="13">
        <f>BD4*VLOOKUP('Données projet'!$B$11,Paramètres!$A$1:$I$89,3,0)*VLOOKUP('Données projet'!$B$11,Paramètres!$A$1:$I$89,5,0)</f>
        <v>0.87952714731037107</v>
      </c>
      <c r="BF4" s="13">
        <f>EXP(-1.0587+0.8836*LN(BE4)+0.284)</f>
        <v>0.41142502211103227</v>
      </c>
      <c r="BG4" s="20">
        <f t="shared" ref="BG4:BG67" si="7">(BE4+BF4)*0.475*44/12</f>
        <v>2.2484083617422774</v>
      </c>
      <c r="BH4" s="59">
        <f t="shared" ref="BH4:BH67" si="8">BG4+(AY4+AZ4)*44/12</f>
        <v>295.58174169507561</v>
      </c>
      <c r="BI4" s="59">
        <f ca="1">AVERAGE(OFFSET($BH$3,0,0,'Données projet'!$E$11+1,1))-AVERAGE(OFFSET($H$3,0,0,'Données projet'!$E$11+1,1))</f>
        <v>246.64951465060813</v>
      </c>
      <c r="BJ4" s="59">
        <f>$BJ$3</f>
        <v>292.64550285216865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0.90046826986537998</v>
      </c>
      <c r="CA4" s="13">
        <f>EXP(-1.0587+0.8836*LN(BZ4)+0.284)</f>
        <v>0.42006873167570724</v>
      </c>
      <c r="CB4" s="20">
        <f t="shared" ref="CB4:CB67" si="10">(BZ4+CA4)*0.475*44/12</f>
        <v>2.2999352776840598</v>
      </c>
      <c r="CC4" s="59">
        <f t="shared" ref="CC4:CC67" si="11">CB4+(BT4+BU4)*44/12</f>
        <v>295.6332686110174</v>
      </c>
      <c r="CD4" s="59">
        <f ca="1">AVERAGE(OFFSET($CC$3,0,0,'Données projet'!$E$12+1,1))-AVERAGE(OFFSET($H$3,0,0,'Données projet'!$E$12+1,1))</f>
        <v>254.25222107710192</v>
      </c>
      <c r="CE4" s="59">
        <f>$CE$3</f>
        <v>300.86609173447573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5.8</v>
      </c>
      <c r="CT4" s="12">
        <f>IF('Données projet'!$A$140&gt;35,CT3+CS4-DB3,IF(A4&lt;'Données projet'!$A$140,$CQ$205^A4,IF(A4='Données projet'!$A$140,'Données projet'!$B$140,CT3+CS4-DB3)))</f>
        <v>1.3467943429205997</v>
      </c>
      <c r="CU4" s="17">
        <f>CT4*VLOOKUP('Données projet'!$B$13,Paramètres!$A$1:$I$89,3,0)*VLOOKUP('Données projet'!$B$13,Paramètres!$A$1:$I$89,5,0)</f>
        <v>1.1765595379754361</v>
      </c>
      <c r="CV4" s="13">
        <f>EXP(-1.0587+0.8836*LN(CU4)+0.284)</f>
        <v>0.53204273185561757</v>
      </c>
      <c r="CW4" s="20">
        <f t="shared" ref="CW4:CW67" si="13">(CU4+CV4)*0.475*44/12</f>
        <v>2.9758156199557515</v>
      </c>
      <c r="CX4" s="59">
        <f t="shared" ref="CX4:CX67" si="14">CW4+(CO4+CP4)*44/12</f>
        <v>296.30914895328908</v>
      </c>
      <c r="CY4" s="59">
        <f ca="1">AVERAGE(OFFSET($CX$3,0,0,'Données projet'!$E$13+1,1))-AVERAGE(OFFSET($H$3,0,0,'Données projet'!$E$13+1,1))</f>
        <v>243.38048563215585</v>
      </c>
      <c r="CZ4" s="59">
        <f>$CZ$3</f>
        <v>372.1604147006675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4.8</v>
      </c>
      <c r="DO4" s="12">
        <f>IF('Données projet'!$A$166&gt;35,DO3+DN4-DW3,IF(A4&lt;'Données projet'!$A$166,$DL$205^A4,IF(A4='Données projet'!$A$166,'Données projet'!$B$166,DO3+DN4-DW3)))</f>
        <v>1.2563584400948855</v>
      </c>
      <c r="DP4" s="17">
        <f>DO4*VLOOKUP('Données projet'!$B$14,Paramètres!$A$1:$I$89,3,0)*VLOOKUP('Données projet'!$B$14,Paramètres!$A$1:$I$89,5,0)</f>
        <v>0.71863702773427462</v>
      </c>
      <c r="DQ4" s="13">
        <f>EXP(-1.0587+0.8836*LN(DP4)+0.284)</f>
        <v>0.34416281002154625</v>
      </c>
      <c r="DR4" s="20">
        <f t="shared" ref="DR4:DR67" si="16">(DP4+DQ4)*0.475*44/12</f>
        <v>1.8510430507580544</v>
      </c>
      <c r="DS4" s="59">
        <f t="shared" ref="DS4:DS67" si="17">DR4+(DJ4+DK4)*44/12</f>
        <v>295.18437638409137</v>
      </c>
      <c r="DT4" s="59">
        <f ca="1">AVERAGE(OFFSET($DS$3,0,0,'Données projet'!$E$14+1,1))-AVERAGE(OFFSET($H$3,0,0,'Données projet'!$E$14+1,1))</f>
        <v>227.99747790451215</v>
      </c>
      <c r="DU4" s="59">
        <f>$DU$3</f>
        <v>209.49597700966933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7.35</v>
      </c>
      <c r="EJ4" s="12">
        <f>IF('Données projet'!$A$192&gt;35,EJ3+EI4-ER3,IF(A4&lt;'Données projet'!$A$192,$EG$205^A4,IF(A4='Données projet'!$A$192,'Données projet'!$B$192,EJ3+EI4-ER3)))</f>
        <v>1.2834113234941327</v>
      </c>
      <c r="EK4" s="17">
        <f>EJ4*VLOOKUP('Données projet'!$B$15,Paramètres!$A$1:$I$89,3,0)*VLOOKUP('Données projet'!$B$15,Paramètres!$A$1:$I$89,5,0)</f>
        <v>0.56726780498440665</v>
      </c>
      <c r="EL4" s="13">
        <f>EXP(-1.0587+0.8836*LN(EK4)+0.284)</f>
        <v>0.2792539095307035</v>
      </c>
      <c r="EM4" s="20">
        <f t="shared" ref="EM4:EM67" si="19">(EK4+EL4)*0.475*44/12</f>
        <v>1.4743586527804835</v>
      </c>
      <c r="EN4" s="59">
        <f t="shared" ref="EN4:EN67" si="20">EM4+(EE4+EF4)*44/12</f>
        <v>294.80769198611381</v>
      </c>
      <c r="EO4" s="59">
        <f ca="1">AVERAGE(OFFSET($EN$3,0,0,'Données projet'!$E$15+1,1))-AVERAGE(OFFSET($H$3,0,0,'Données projet'!$E$15+1,1))</f>
        <v>335.27356627949155</v>
      </c>
      <c r="EP4" s="59">
        <f>$EP$3</f>
        <v>322.66829503077247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296.82694711009896</v>
      </c>
      <c r="S5" s="59">
        <f ca="1">AVERAGE(OFFSET($R$3,0,0,'Données projet'!$E$9+1,1))-AVERAGE(OFFSET($H$3,0,0,'Données projet'!$E$9+1,1))</f>
        <v>319.18811755575183</v>
      </c>
      <c r="T5" s="59">
        <f t="shared" ref="T5:T68" si="34">$T$3</f>
        <v>234.87694492493506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1.9</v>
      </c>
      <c r="AI5" s="13">
        <f>IF('Données projet'!$A$62&gt;35,AI4+AH5-AQ4,IF(A5&lt;'Données projet'!$A$62,$AF$205^A5,IF(A5='Données projet'!$A$62,'Données projet'!$B$62,AI4+AH5-AQ4)))</f>
        <v>1.8019831273171425</v>
      </c>
      <c r="AJ5" s="13">
        <f>AI5*VLOOKUP('Données projet'!$B$10,Paramètres!$A$1:$I$89,3,0)*VLOOKUP('Données projet'!$B$10,Paramètres!$A$1:$I$89,5,0)</f>
        <v>1.4336577760935185</v>
      </c>
      <c r="AK5" s="13">
        <f t="shared" ref="AK5:AK68" si="35">EXP(-1.0587+0.8836*LN(AJ5)+0.284)</f>
        <v>0.63355934907379652</v>
      </c>
      <c r="AL5" s="20">
        <f t="shared" si="4"/>
        <v>3.6004031596664068</v>
      </c>
      <c r="AM5" s="59">
        <f t="shared" si="5"/>
        <v>296.93373649299974</v>
      </c>
      <c r="AN5" s="59">
        <f ca="1">AVERAGE(OFFSET($AM$3,0,0,'Données projet'!$E$10+1,1))-AVERAGE(OFFSET($H$3,0,0,'Données projet'!$E$10+1,1))</f>
        <v>314.94704727988847</v>
      </c>
      <c r="AO5" s="59">
        <f t="shared" ref="AO5:AO68" si="36">$AO$3</f>
        <v>366.49199094166454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1.8019831273171425</v>
      </c>
      <c r="BE5" s="13">
        <f>BD5*VLOOKUP('Données projet'!$B$11,Paramètres!$A$1:$I$89,3,0)*VLOOKUP('Données projet'!$B$11,Paramètres!$A$1:$I$89,5,0)</f>
        <v>1.1806593450181917</v>
      </c>
      <c r="BF5" s="13">
        <f t="shared" ref="BF5:BF68" si="37">EXP(-1.0587+0.8836*LN(BE5)+0.284)</f>
        <v>0.5336805427645186</v>
      </c>
      <c r="BG5" s="20">
        <f t="shared" si="7"/>
        <v>2.9858086378882205</v>
      </c>
      <c r="BH5" s="59">
        <f t="shared" si="8"/>
        <v>296.31914197122154</v>
      </c>
      <c r="BI5" s="59">
        <f ca="1">AVERAGE(OFFSET($BH$3,0,0,'Données projet'!$E$11+1,1))-AVERAGE(OFFSET($H$3,0,0,'Données projet'!$E$11+1,1))</f>
        <v>246.64951465060813</v>
      </c>
      <c r="BJ5" s="59">
        <f t="shared" ref="BJ5:BJ68" si="38">$BJ$3</f>
        <v>292.64550285216865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1.2087702818043391</v>
      </c>
      <c r="CA5" s="13">
        <f t="shared" ref="CA5:CA68" si="39">EXP(-1.0587+0.8836*LN(BZ5)+0.284)</f>
        <v>0.54489274271362542</v>
      </c>
      <c r="CB5" s="20">
        <f t="shared" si="10"/>
        <v>3.0542964343687884</v>
      </c>
      <c r="CC5" s="59">
        <f t="shared" si="11"/>
        <v>296.38762976770209</v>
      </c>
      <c r="CD5" s="59">
        <f ca="1">AVERAGE(OFFSET($CC$3,0,0,'Données projet'!$E$12+1,1))-AVERAGE(OFFSET($H$3,0,0,'Données projet'!$E$12+1,1))</f>
        <v>254.25222107710192</v>
      </c>
      <c r="CE5" s="59">
        <f t="shared" ref="CE5:CE68" si="40">$CE$3</f>
        <v>300.86609173447573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5.8</v>
      </c>
      <c r="CT5" s="12">
        <f>IF('Données projet'!$A$140&gt;35,CT4+CS5-DB4,IF(A5&lt;'Données projet'!$A$140,$CQ$205^A5,IF(A5='Données projet'!$A$140,'Données projet'!$B$140,CT4+CS5-DB4)))</f>
        <v>1.81385500212293</v>
      </c>
      <c r="CU5" s="17">
        <f>CT5*VLOOKUP('Données projet'!$B$13,Paramètres!$A$1:$I$89,3,0)*VLOOKUP('Données projet'!$B$13,Paramètres!$A$1:$I$89,5,0)</f>
        <v>1.5845837298545919</v>
      </c>
      <c r="CV5" s="13">
        <f t="shared" ref="CV5:CV68" si="41">EXP(-1.0587+0.8836*LN(CU5)+0.284)</f>
        <v>0.69214506839939893</v>
      </c>
      <c r="CW5" s="20">
        <f t="shared" si="13"/>
        <v>3.9653026569590337</v>
      </c>
      <c r="CX5" s="59">
        <f t="shared" si="14"/>
        <v>297.29863599029233</v>
      </c>
      <c r="CY5" s="59">
        <f ca="1">AVERAGE(OFFSET($CX$3,0,0,'Données projet'!$E$13+1,1))-AVERAGE(OFFSET($H$3,0,0,'Données projet'!$E$13+1,1))</f>
        <v>243.38048563215585</v>
      </c>
      <c r="CZ5" s="59">
        <f t="shared" ref="CZ5:CZ68" si="42">$CZ$3</f>
        <v>372.1604147006675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4.8</v>
      </c>
      <c r="DO5" s="12">
        <f>IF('Données projet'!$A$166&gt;35,DO4+DN5-DW4,IF(A5&lt;'Données projet'!$A$166,$DL$205^A5,IF(A5='Données projet'!$A$166,'Données projet'!$B$166,DO4+DN5-DW4)))</f>
        <v>1.5784365299976539</v>
      </c>
      <c r="DP5" s="17">
        <f>DO5*VLOOKUP('Données projet'!$B$14,Paramètres!$A$1:$I$89,3,0)*VLOOKUP('Données projet'!$B$14,Paramètres!$A$1:$I$89,5,0)</f>
        <v>0.902865695158658</v>
      </c>
      <c r="DQ5" s="13">
        <f t="shared" ref="DQ5:DQ68" si="43">EXP(-1.0587+0.8836*LN(DP5)+0.284)</f>
        <v>0.42105679663503215</v>
      </c>
      <c r="DR5" s="20">
        <f t="shared" si="16"/>
        <v>2.3058316732073441</v>
      </c>
      <c r="DS5" s="59">
        <f t="shared" si="17"/>
        <v>295.63916500654068</v>
      </c>
      <c r="DT5" s="59">
        <f ca="1">AVERAGE(OFFSET($DS$3,0,0,'Données projet'!$E$14+1,1))-AVERAGE(OFFSET($H$3,0,0,'Données projet'!$E$14+1,1))</f>
        <v>227.99747790451215</v>
      </c>
      <c r="DU5" s="59">
        <f t="shared" ref="DU5:DU68" si="44">$DU$3</f>
        <v>209.49597700966933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7.35</v>
      </c>
      <c r="EJ5" s="12">
        <f>IF('Données projet'!$A$192&gt;35,EJ4+EI5-ER4,IF(A5&lt;'Données projet'!$A$192,$EG$205^A5,IF(A5='Données projet'!$A$192,'Données projet'!$B$192,EJ4+EI5-ER4)))</f>
        <v>1.6471446252729613</v>
      </c>
      <c r="EK5" s="17">
        <f>EJ5*VLOOKUP('Données projet'!$B$15,Paramètres!$A$1:$I$89,3,0)*VLOOKUP('Données projet'!$B$15,Paramètres!$A$1:$I$89,5,0)</f>
        <v>0.72803792437064907</v>
      </c>
      <c r="EL5" s="13">
        <f t="shared" ref="EL5:EL68" si="45">EXP(-1.0587+0.8836*LN(EK5)+0.284)</f>
        <v>0.34813792924178949</v>
      </c>
      <c r="EM5" s="20">
        <f t="shared" si="19"/>
        <v>1.8743396117083309</v>
      </c>
      <c r="EN5" s="59">
        <f t="shared" si="20"/>
        <v>295.20767294504162</v>
      </c>
      <c r="EO5" s="59">
        <f ca="1">AVERAGE(OFFSET($EN$3,0,0,'Données projet'!$E$15+1,1))-AVERAGE(OFFSET($H$3,0,0,'Données projet'!$E$15+1,1))</f>
        <v>335.27356627949155</v>
      </c>
      <c r="EP5" s="59">
        <f t="shared" ref="EP5:EP68" si="46">$EP$3</f>
        <v>322.66829503077247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297.63006022433916</v>
      </c>
      <c r="S6" s="59">
        <f ca="1">AVERAGE(OFFSET($R$3,0,0,'Données projet'!$E$9+1,1))-AVERAGE(OFFSET($H$3,0,0,'Données projet'!$E$9+1,1))</f>
        <v>319.18811755575183</v>
      </c>
      <c r="T6" s="59">
        <f t="shared" si="34"/>
        <v>234.87694492493506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1.9</v>
      </c>
      <c r="AI6" s="13">
        <f>IF('Données projet'!$A$62&gt;35,AI5+AH6-AQ5,IF(A6&lt;'Données projet'!$A$62,$AF$205^A6,IF(A6='Données projet'!$A$62,'Données projet'!$B$62,AI5+AH6-AQ5)))</f>
        <v>2.4189454814875879</v>
      </c>
      <c r="AJ6" s="13">
        <f>AI6*VLOOKUP('Données projet'!$B$10,Paramètres!$A$1:$I$89,3,0)*VLOOKUP('Données projet'!$B$10,Paramètres!$A$1:$I$89,5,0)</f>
        <v>1.9245130250715252</v>
      </c>
      <c r="AK6" s="13">
        <f t="shared" si="35"/>
        <v>0.82182239561499026</v>
      </c>
      <c r="AL6" s="20">
        <f t="shared" si="4"/>
        <v>4.7832008576956815</v>
      </c>
      <c r="AM6" s="59">
        <f t="shared" si="5"/>
        <v>298.11653419102902</v>
      </c>
      <c r="AN6" s="59">
        <f ca="1">AVERAGE(OFFSET($AM$3,0,0,'Données projet'!$E$10+1,1))-AVERAGE(OFFSET($H$3,0,0,'Données projet'!$E$10+1,1))</f>
        <v>314.94704727988847</v>
      </c>
      <c r="AO6" s="59">
        <f t="shared" si="36"/>
        <v>366.49199094166454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2.4189454814875879</v>
      </c>
      <c r="BE6" s="13">
        <f>BD6*VLOOKUP('Données projet'!$B$11,Paramètres!$A$1:$I$89,3,0)*VLOOKUP('Données projet'!$B$11,Paramètres!$A$1:$I$89,5,0)</f>
        <v>1.5848930794706675</v>
      </c>
      <c r="BF6" s="13">
        <f t="shared" si="37"/>
        <v>0.69226446234125116</v>
      </c>
      <c r="BG6" s="20">
        <f t="shared" si="7"/>
        <v>3.966049385322425</v>
      </c>
      <c r="BH6" s="59">
        <f t="shared" si="8"/>
        <v>297.29938271865575</v>
      </c>
      <c r="BI6" s="59">
        <f ca="1">AVERAGE(OFFSET($BH$3,0,0,'Données projet'!$E$11+1,1))-AVERAGE(OFFSET($H$3,0,0,'Données projet'!$E$11+1,1))</f>
        <v>246.64951465060813</v>
      </c>
      <c r="BJ6" s="59">
        <f t="shared" si="38"/>
        <v>292.64550285216865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1.6226286289818741</v>
      </c>
      <c r="CA6" s="13">
        <f t="shared" si="39"/>
        <v>0.70680838318427885</v>
      </c>
      <c r="CB6" s="20">
        <f t="shared" si="10"/>
        <v>4.0571027961893833</v>
      </c>
      <c r="CC6" s="59">
        <f t="shared" si="11"/>
        <v>297.3904361295227</v>
      </c>
      <c r="CD6" s="59">
        <f ca="1">AVERAGE(OFFSET($CC$3,0,0,'Données projet'!$E$12+1,1))-AVERAGE(OFFSET($H$3,0,0,'Données projet'!$E$12+1,1))</f>
        <v>254.25222107710192</v>
      </c>
      <c r="CE6" s="59">
        <f t="shared" si="40"/>
        <v>300.86609173447573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5.8</v>
      </c>
      <c r="CT6" s="12">
        <f>IF('Données projet'!$A$140&gt;35,CT5+CS6-DB5,IF(A6&lt;'Données projet'!$A$140,$CQ$205^A6,IF(A6='Données projet'!$A$140,'Données projet'!$B$140,CT5+CS6-DB5)))</f>
        <v>2.4428896557373947</v>
      </c>
      <c r="CU6" s="17">
        <f>CT6*VLOOKUP('Données projet'!$B$13,Paramètres!$A$1:$I$89,3,0)*VLOOKUP('Données projet'!$B$13,Paramètres!$A$1:$I$89,5,0)</f>
        <v>2.1341084032521884</v>
      </c>
      <c r="CV6" s="13">
        <f t="shared" si="41"/>
        <v>0.90042541139273424</v>
      </c>
      <c r="CW6" s="20">
        <f t="shared" si="13"/>
        <v>5.2851463938399075</v>
      </c>
      <c r="CX6" s="59">
        <f t="shared" si="14"/>
        <v>298.61847972717322</v>
      </c>
      <c r="CY6" s="59">
        <f ca="1">AVERAGE(OFFSET($CX$3,0,0,'Données projet'!$E$13+1,1))-AVERAGE(OFFSET($H$3,0,0,'Données projet'!$E$13+1,1))</f>
        <v>243.38048563215585</v>
      </c>
      <c r="CZ6" s="59">
        <f t="shared" si="42"/>
        <v>372.1604147006675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4.8</v>
      </c>
      <c r="DO6" s="12">
        <f>IF('Données projet'!$A$166&gt;35,DO5+DN6-DW5,IF(A6&lt;'Données projet'!$A$166,$DL$205^A6,IF(A6='Données projet'!$A$166,'Données projet'!$B$166,DO5+DN6-DW5)))</f>
        <v>1.9830820566166365</v>
      </c>
      <c r="DP6" s="17">
        <f>DO6*VLOOKUP('Données projet'!$B$14,Paramètres!$A$1:$I$89,3,0)*VLOOKUP('Données projet'!$B$14,Paramètres!$A$1:$I$89,5,0)</f>
        <v>1.134322936384716</v>
      </c>
      <c r="DQ6" s="13">
        <f t="shared" si="43"/>
        <v>0.51513069056315441</v>
      </c>
      <c r="DR6" s="20">
        <f t="shared" si="16"/>
        <v>2.8727984002675409</v>
      </c>
      <c r="DS6" s="59">
        <f t="shared" si="17"/>
        <v>296.20613173360084</v>
      </c>
      <c r="DT6" s="59">
        <f ca="1">AVERAGE(OFFSET($DS$3,0,0,'Données projet'!$E$14+1,1))-AVERAGE(OFFSET($H$3,0,0,'Données projet'!$E$14+1,1))</f>
        <v>227.99747790451215</v>
      </c>
      <c r="DU6" s="59">
        <f t="shared" si="44"/>
        <v>209.49597700966933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7.35</v>
      </c>
      <c r="EJ6" s="12">
        <f>IF('Données projet'!$A$192&gt;35,EJ5+EI6-ER5,IF(A6&lt;'Données projet'!$A$192,$EG$205^A6,IF(A6='Données projet'!$A$192,'Données projet'!$B$192,EJ5+EI6-ER5)))</f>
        <v>2.1139640635078187</v>
      </c>
      <c r="EK6" s="17">
        <f>EJ6*VLOOKUP('Données projet'!$B$15,Paramètres!$A$1:$I$89,3,0)*VLOOKUP('Données projet'!$B$15,Paramètres!$A$1:$I$89,5,0)</f>
        <v>0.93437211607045589</v>
      </c>
      <c r="EL6" s="13">
        <f t="shared" si="45"/>
        <v>0.43401368303291554</v>
      </c>
      <c r="EM6" s="20">
        <f t="shared" si="19"/>
        <v>2.3832719334383721</v>
      </c>
      <c r="EN6" s="59">
        <f t="shared" si="20"/>
        <v>295.71660526677169</v>
      </c>
      <c r="EO6" s="59">
        <f ca="1">AVERAGE(OFFSET($EN$3,0,0,'Données projet'!$E$15+1,1))-AVERAGE(OFFSET($H$3,0,0,'Données projet'!$E$15+1,1))</f>
        <v>335.27356627949155</v>
      </c>
      <c r="EP6" s="59">
        <f t="shared" si="46"/>
        <v>322.66829503077247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298.61848781128475</v>
      </c>
      <c r="S7" s="59">
        <f ca="1">AVERAGE(OFFSET($R$3,0,0,'Données projet'!$E$9+1,1))-AVERAGE(OFFSET($H$3,0,0,'Données projet'!$E$9+1,1))</f>
        <v>319.18811755575183</v>
      </c>
      <c r="T7" s="59">
        <f t="shared" si="34"/>
        <v>234.87694492493506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1.9</v>
      </c>
      <c r="AI7" s="13">
        <f>IF('Données projet'!$A$62&gt;35,AI6+AH7-AQ6,IF(A7&lt;'Données projet'!$A$62,$AF$205^A7,IF(A7='Données projet'!$A$62,'Données projet'!$B$62,AI6+AH7-AQ6)))</f>
        <v>3.247143191135669</v>
      </c>
      <c r="AJ7" s="13">
        <f>AI7*VLOOKUP('Données projet'!$B$10,Paramètres!$A$1:$I$89,3,0)*VLOOKUP('Données projet'!$B$10,Paramètres!$A$1:$I$89,5,0)</f>
        <v>2.5834271228675387</v>
      </c>
      <c r="AK7" s="13">
        <f t="shared" si="35"/>
        <v>1.066028069701316</v>
      </c>
      <c r="AL7" s="20">
        <f t="shared" si="4"/>
        <v>6.3561344603907548</v>
      </c>
      <c r="AM7" s="59">
        <f t="shared" si="5"/>
        <v>299.68946779372408</v>
      </c>
      <c r="AN7" s="59">
        <f ca="1">AVERAGE(OFFSET($AM$3,0,0,'Données projet'!$E$10+1,1))-AVERAGE(OFFSET($H$3,0,0,'Données projet'!$E$10+1,1))</f>
        <v>314.94704727988847</v>
      </c>
      <c r="AO7" s="59">
        <f t="shared" si="36"/>
        <v>366.49199094166454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3.247143191135669</v>
      </c>
      <c r="BE7" s="13">
        <f>BD7*VLOOKUP('Données projet'!$B$11,Paramètres!$A$1:$I$89,3,0)*VLOOKUP('Données projet'!$B$11,Paramètres!$A$1:$I$89,5,0)</f>
        <v>2.1275282188320901</v>
      </c>
      <c r="BF7" s="13">
        <f t="shared" si="37"/>
        <v>0.89797181538259174</v>
      </c>
      <c r="BG7" s="20">
        <f t="shared" si="7"/>
        <v>5.2694125595905703</v>
      </c>
      <c r="BH7" s="59">
        <f t="shared" si="8"/>
        <v>298.60274589292391</v>
      </c>
      <c r="BI7" s="59">
        <f ca="1">AVERAGE(OFFSET($BH$3,0,0,'Données projet'!$E$11+1,1))-AVERAGE(OFFSET($H$3,0,0,'Données projet'!$E$11+1,1))</f>
        <v>246.64951465060813</v>
      </c>
      <c r="BJ7" s="59">
        <f t="shared" si="38"/>
        <v>292.64550285216865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2.1781836526138068</v>
      </c>
      <c r="CA7" s="13">
        <f t="shared" si="39"/>
        <v>0.91683748264221798</v>
      </c>
      <c r="CB7" s="20">
        <f t="shared" si="10"/>
        <v>5.3904951439042428</v>
      </c>
      <c r="CC7" s="59">
        <f t="shared" si="11"/>
        <v>298.72382847723753</v>
      </c>
      <c r="CD7" s="59">
        <f ca="1">AVERAGE(OFFSET($CC$3,0,0,'Données projet'!$E$12+1,1))-AVERAGE(OFFSET($H$3,0,0,'Données projet'!$E$12+1,1))</f>
        <v>254.25222107710192</v>
      </c>
      <c r="CE7" s="59">
        <f t="shared" si="40"/>
        <v>300.86609173447573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5.8</v>
      </c>
      <c r="CT7" s="12">
        <f>IF('Données projet'!$A$140&gt;35,CT6+CS7-DB6,IF(A7&lt;'Données projet'!$A$140,$CQ$205^A7,IF(A7='Données projet'!$A$140,'Données projet'!$B$140,CT6+CS7-DB6)))</f>
        <v>3.2900699687263746</v>
      </c>
      <c r="CU7" s="17">
        <f>CT7*VLOOKUP('Données projet'!$B$13,Paramètres!$A$1:$I$89,3,0)*VLOOKUP('Données projet'!$B$13,Paramètres!$A$1:$I$89,5,0)</f>
        <v>2.874205124679361</v>
      </c>
      <c r="CV7" s="13">
        <f t="shared" si="41"/>
        <v>1.1713814899478936</v>
      </c>
      <c r="CW7" s="20">
        <f t="shared" si="13"/>
        <v>7.0460633538091342</v>
      </c>
      <c r="CX7" s="59">
        <f t="shared" si="14"/>
        <v>300.37939668714245</v>
      </c>
      <c r="CY7" s="59">
        <f ca="1">AVERAGE(OFFSET($CX$3,0,0,'Données projet'!$E$13+1,1))-AVERAGE(OFFSET($H$3,0,0,'Données projet'!$E$13+1,1))</f>
        <v>243.38048563215585</v>
      </c>
      <c r="CZ7" s="59">
        <f t="shared" si="42"/>
        <v>372.1604147006675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4.8</v>
      </c>
      <c r="DO7" s="12">
        <f>IF('Données projet'!$A$166&gt;35,DO6+DN7-DW6,IF(A7&lt;'Données projet'!$A$166,$DL$205^A7,IF(A7='Données projet'!$A$166,'Données projet'!$B$166,DO6+DN7-DW6)))</f>
        <v>2.4914618792310348</v>
      </c>
      <c r="DP7" s="17">
        <f>DO7*VLOOKUP('Données projet'!$B$14,Paramètres!$A$1:$I$89,3,0)*VLOOKUP('Données projet'!$B$14,Paramètres!$A$1:$I$89,5,0)</f>
        <v>1.4251161949201521</v>
      </c>
      <c r="DQ7" s="13">
        <f t="shared" si="43"/>
        <v>0.63022288318524267</v>
      </c>
      <c r="DR7" s="20">
        <f t="shared" si="16"/>
        <v>3.5797155610335625</v>
      </c>
      <c r="DS7" s="59">
        <f t="shared" si="17"/>
        <v>296.91304889436685</v>
      </c>
      <c r="DT7" s="59">
        <f ca="1">AVERAGE(OFFSET($DS$3,0,0,'Données projet'!$E$14+1,1))-AVERAGE(OFFSET($H$3,0,0,'Données projet'!$E$14+1,1))</f>
        <v>227.99747790451215</v>
      </c>
      <c r="DU7" s="59">
        <f t="shared" si="44"/>
        <v>209.49597700966933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7.35</v>
      </c>
      <c r="EJ7" s="12">
        <f>IF('Données projet'!$A$192&gt;35,EJ6+EI7-ER6,IF(A7&lt;'Données projet'!$A$192,$EG$205^A7,IF(A7='Données projet'!$A$192,'Données projet'!$B$192,EJ6+EI7-ER6)))</f>
        <v>2.7130854165656042</v>
      </c>
      <c r="EK7" s="17">
        <f>EJ7*VLOOKUP('Données projet'!$B$15,Paramètres!$A$1:$I$89,3,0)*VLOOKUP('Données projet'!$B$15,Paramètres!$A$1:$I$89,5,0)</f>
        <v>1.1991837541219972</v>
      </c>
      <c r="EL7" s="13">
        <f t="shared" si="45"/>
        <v>0.54107254980818376</v>
      </c>
      <c r="EM7" s="20">
        <f t="shared" si="19"/>
        <v>3.030946396011732</v>
      </c>
      <c r="EN7" s="59">
        <f t="shared" si="20"/>
        <v>296.36427972934507</v>
      </c>
      <c r="EO7" s="59">
        <f ca="1">AVERAGE(OFFSET($EN$3,0,0,'Données projet'!$E$15+1,1))-AVERAGE(OFFSET($H$3,0,0,'Données projet'!$E$15+1,1))</f>
        <v>335.27356627949155</v>
      </c>
      <c r="EP7" s="59">
        <f t="shared" si="46"/>
        <v>322.66829503077247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299.83514117239878</v>
      </c>
      <c r="S8" s="59">
        <f ca="1">AVERAGE(OFFSET($R$3,0,0,'Données projet'!$E$9+1,1))-AVERAGE(OFFSET($H$3,0,0,'Données projet'!$E$9+1,1))</f>
        <v>319.18811755575183</v>
      </c>
      <c r="T8" s="59">
        <f t="shared" si="34"/>
        <v>234.87694492493506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1.9</v>
      </c>
      <c r="AI8" s="13">
        <f>IF('Données projet'!$A$62&gt;35,AI7+AH8-AQ7,IF(A8&lt;'Données projet'!$A$62,$AF$205^A8,IF(A8='Données projet'!$A$62,'Données projet'!$B$62,AI7+AH8-AQ7)))</f>
        <v>4.3588989435406749</v>
      </c>
      <c r="AJ8" s="13">
        <f>AI8*VLOOKUP('Données projet'!$B$10,Paramètres!$A$1:$I$89,3,0)*VLOOKUP('Données projet'!$B$10,Paramètres!$A$1:$I$89,5,0)</f>
        <v>3.467939999480961</v>
      </c>
      <c r="AK8" s="13">
        <f t="shared" si="35"/>
        <v>1.382799801337496</v>
      </c>
      <c r="AL8" s="20">
        <f t="shared" si="4"/>
        <v>8.4483718197588118</v>
      </c>
      <c r="AM8" s="59">
        <f t="shared" si="5"/>
        <v>301.7817051530921</v>
      </c>
      <c r="AN8" s="59">
        <f ca="1">AVERAGE(OFFSET($AM$3,0,0,'Données projet'!$E$10+1,1))-AVERAGE(OFFSET($H$3,0,0,'Données projet'!$E$10+1,1))</f>
        <v>314.94704727988847</v>
      </c>
      <c r="AO8" s="59">
        <f t="shared" si="36"/>
        <v>366.49199094166454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4.3588989435406749</v>
      </c>
      <c r="BE8" s="13">
        <f>BD8*VLOOKUP('Données projet'!$B$11,Paramètres!$A$1:$I$89,3,0)*VLOOKUP('Données projet'!$B$11,Paramètres!$A$1:$I$89,5,0)</f>
        <v>2.8559505878078499</v>
      </c>
      <c r="BF8" s="13">
        <f t="shared" si="37"/>
        <v>1.1648053960395504</v>
      </c>
      <c r="BG8" s="20">
        <f t="shared" si="7"/>
        <v>7.0028166718675555</v>
      </c>
      <c r="BH8" s="59">
        <f t="shared" si="8"/>
        <v>300.33615000520086</v>
      </c>
      <c r="BI8" s="59">
        <f ca="1">AVERAGE(OFFSET($BH$3,0,0,'Données projet'!$E$11+1,1))-AVERAGE(OFFSET($H$3,0,0,'Données projet'!$E$11+1,1))</f>
        <v>246.64951465060813</v>
      </c>
      <c r="BJ8" s="59">
        <f t="shared" si="38"/>
        <v>292.64550285216865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2.9239494113270847</v>
      </c>
      <c r="CA8" s="13">
        <f t="shared" si="39"/>
        <v>1.1892770227069605</v>
      </c>
      <c r="CB8" s="20">
        <f t="shared" si="10"/>
        <v>7.1638693726092955</v>
      </c>
      <c r="CC8" s="59">
        <f t="shared" si="11"/>
        <v>300.49720270594258</v>
      </c>
      <c r="CD8" s="59">
        <f ca="1">AVERAGE(OFFSET($CC$3,0,0,'Données projet'!$E$12+1,1))-AVERAGE(OFFSET($H$3,0,0,'Données projet'!$E$12+1,1))</f>
        <v>254.25222107710192</v>
      </c>
      <c r="CE8" s="59">
        <f t="shared" si="40"/>
        <v>300.86609173447573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5.8</v>
      </c>
      <c r="CT8" s="12">
        <f>IF('Données projet'!$A$140&gt;35,CT7+CS8-DB7,IF(A8&lt;'Données projet'!$A$140,$CQ$205^A8,IF(A8='Données projet'!$A$140,'Données projet'!$B$140,CT7+CS8-DB7)))</f>
        <v>4.4310476216936356</v>
      </c>
      <c r="CU8" s="17">
        <f>CT8*VLOOKUP('Données projet'!$B$13,Paramètres!$A$1:$I$89,3,0)*VLOOKUP('Données projet'!$B$13,Paramètres!$A$1:$I$89,5,0)</f>
        <v>3.8709632023115605</v>
      </c>
      <c r="CV8" s="13">
        <f t="shared" si="41"/>
        <v>1.5238736908481918</v>
      </c>
      <c r="CW8" s="20">
        <f t="shared" si="13"/>
        <v>9.3960075889199022</v>
      </c>
      <c r="CX8" s="59">
        <f t="shared" si="14"/>
        <v>302.72934092225324</v>
      </c>
      <c r="CY8" s="59">
        <f ca="1">AVERAGE(OFFSET($CX$3,0,0,'Données projet'!$E$13+1,1))-AVERAGE(OFFSET($H$3,0,0,'Données projet'!$E$13+1,1))</f>
        <v>243.38048563215585</v>
      </c>
      <c r="CZ8" s="59">
        <f t="shared" si="42"/>
        <v>372.1604147006675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4.8</v>
      </c>
      <c r="DO8" s="12">
        <f>IF('Données projet'!$A$166&gt;35,DO7+DN8-DW7,IF(A8&lt;'Données projet'!$A$166,$DL$205^A8,IF(A8='Données projet'!$A$166,'Données projet'!$B$166,DO7+DN8-DW7)))</f>
        <v>3.1301691601465751</v>
      </c>
      <c r="DP8" s="17">
        <f>DO8*VLOOKUP('Données projet'!$B$14,Paramètres!$A$1:$I$89,3,0)*VLOOKUP('Données projet'!$B$14,Paramètres!$A$1:$I$89,5,0)</f>
        <v>1.790456759603841</v>
      </c>
      <c r="DQ8" s="13">
        <f t="shared" si="43"/>
        <v>0.7710293519031286</v>
      </c>
      <c r="DR8" s="20">
        <f t="shared" si="16"/>
        <v>4.4612549775413051</v>
      </c>
      <c r="DS8" s="59">
        <f t="shared" si="17"/>
        <v>297.79458831087464</v>
      </c>
      <c r="DT8" s="59">
        <f ca="1">AVERAGE(OFFSET($DS$3,0,0,'Données projet'!$E$14+1,1))-AVERAGE(OFFSET($H$3,0,0,'Données projet'!$E$14+1,1))</f>
        <v>227.99747790451215</v>
      </c>
      <c r="DU8" s="59">
        <f t="shared" si="44"/>
        <v>209.49597700966933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7.35</v>
      </c>
      <c r="EJ8" s="12">
        <f>IF('Données projet'!$A$192&gt;35,EJ7+EI8-ER7,IF(A8&lt;'Données projet'!$A$192,$EG$205^A8,IF(A8='Données projet'!$A$192,'Données projet'!$B$192,EJ7+EI8-ER7)))</f>
        <v>3.4820045452270922</v>
      </c>
      <c r="EK8" s="17">
        <f>EJ8*VLOOKUP('Données projet'!$B$15,Paramètres!$A$1:$I$89,3,0)*VLOOKUP('Données projet'!$B$15,Paramètres!$A$1:$I$89,5,0)</f>
        <v>1.5390460089903748</v>
      </c>
      <c r="EL8" s="13">
        <f t="shared" si="45"/>
        <v>0.67453980277789205</v>
      </c>
      <c r="EM8" s="20">
        <f t="shared" si="19"/>
        <v>3.8553286221630647</v>
      </c>
      <c r="EN8" s="59">
        <f t="shared" si="20"/>
        <v>297.1886619554964</v>
      </c>
      <c r="EO8" s="59">
        <f ca="1">AVERAGE(OFFSET($EN$3,0,0,'Données projet'!$E$15+1,1))-AVERAGE(OFFSET($H$3,0,0,'Données projet'!$E$15+1,1))</f>
        <v>335.27356627949155</v>
      </c>
      <c r="EP8" s="59">
        <f t="shared" si="46"/>
        <v>322.66829503077247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301.33290077663611</v>
      </c>
      <c r="S9" s="59">
        <f ca="1">AVERAGE(OFFSET($R$3,0,0,'Données projet'!$E$9+1,1))-AVERAGE(OFFSET($H$3,0,0,'Données projet'!$E$9+1,1))</f>
        <v>319.18811755575183</v>
      </c>
      <c r="T9" s="59">
        <f t="shared" si="34"/>
        <v>234.87694492493506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1.9</v>
      </c>
      <c r="AI9" s="13">
        <f>IF('Données projet'!$A$62&gt;35,AI8+AH9-AQ8,IF(A9&lt;'Données projet'!$A$62,$AF$205^A9,IF(A9='Données projet'!$A$62,'Données projet'!$B$62,AI8+AH9-AQ8)))</f>
        <v>5.8512972424092187</v>
      </c>
      <c r="AJ9" s="13">
        <f>AI9*VLOOKUP('Données projet'!$B$10,Paramètres!$A$1:$I$89,3,0)*VLOOKUP('Données projet'!$B$10,Paramètres!$A$1:$I$89,5,0)</f>
        <v>4.6552920860607747</v>
      </c>
      <c r="AK9" s="13">
        <f t="shared" si="35"/>
        <v>1.7937006960002178</v>
      </c>
      <c r="AL9" s="20">
        <f t="shared" si="4"/>
        <v>11.231995762089561</v>
      </c>
      <c r="AM9" s="59">
        <f t="shared" si="5"/>
        <v>304.5653290954229</v>
      </c>
      <c r="AN9" s="59">
        <f ca="1">AVERAGE(OFFSET($AM$3,0,0,'Données projet'!$E$10+1,1))-AVERAGE(OFFSET($H$3,0,0,'Données projet'!$E$10+1,1))</f>
        <v>314.94704727988847</v>
      </c>
      <c r="AO9" s="59">
        <f t="shared" si="36"/>
        <v>366.49199094166454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5.8512972424092187</v>
      </c>
      <c r="BE9" s="13">
        <f>BD9*VLOOKUP('Données projet'!$B$11,Paramètres!$A$1:$I$89,3,0)*VLOOKUP('Données projet'!$B$11,Paramètres!$A$1:$I$89,5,0)</f>
        <v>3.8337699532265201</v>
      </c>
      <c r="BF9" s="13">
        <f t="shared" si="37"/>
        <v>1.510928948326496</v>
      </c>
      <c r="BG9" s="20">
        <f t="shared" si="7"/>
        <v>9.308683920204837</v>
      </c>
      <c r="BH9" s="59">
        <f t="shared" si="8"/>
        <v>302.64201725353814</v>
      </c>
      <c r="BI9" s="59">
        <f ca="1">AVERAGE(OFFSET($BH$3,0,0,'Données projet'!$E$11+1,1))-AVERAGE(OFFSET($H$3,0,0,'Données projet'!$E$11+1,1))</f>
        <v>246.64951465060813</v>
      </c>
      <c r="BJ9" s="59">
        <f t="shared" si="38"/>
        <v>292.64550285216865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3.9250501902081041</v>
      </c>
      <c r="CA9" s="13">
        <f t="shared" si="39"/>
        <v>1.5426723530790381</v>
      </c>
      <c r="CB9" s="20">
        <f t="shared" si="10"/>
        <v>9.5229500962251041</v>
      </c>
      <c r="CC9" s="59">
        <f t="shared" si="11"/>
        <v>302.8562834295584</v>
      </c>
      <c r="CD9" s="59">
        <f ca="1">AVERAGE(OFFSET($CC$3,0,0,'Données projet'!$E$12+1,1))-AVERAGE(OFFSET($H$3,0,0,'Données projet'!$E$12+1,1))</f>
        <v>254.25222107710192</v>
      </c>
      <c r="CE9" s="59">
        <f t="shared" si="40"/>
        <v>300.86609173447573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5.8</v>
      </c>
      <c r="CT9" s="12">
        <f>IF('Données projet'!$A$140&gt;35,CT8+CS9-DB8,IF(A9&lt;'Données projet'!$A$140,$CQ$205^A9,IF(A9='Données projet'!$A$140,'Données projet'!$B$140,CT8+CS9-DB8)))</f>
        <v>5.9677098701087665</v>
      </c>
      <c r="CU9" s="17">
        <f>CT9*VLOOKUP('Données projet'!$B$13,Paramètres!$A$1:$I$89,3,0)*VLOOKUP('Données projet'!$B$13,Paramètres!$A$1:$I$89,5,0)</f>
        <v>5.2133913425270189</v>
      </c>
      <c r="CV9" s="13">
        <f t="shared" si="41"/>
        <v>1.9824378698032765</v>
      </c>
      <c r="CW9" s="20">
        <f t="shared" si="13"/>
        <v>12.53273587814193</v>
      </c>
      <c r="CX9" s="59">
        <f t="shared" si="14"/>
        <v>305.86606921147524</v>
      </c>
      <c r="CY9" s="59">
        <f ca="1">AVERAGE(OFFSET($CX$3,0,0,'Données projet'!$E$13+1,1))-AVERAGE(OFFSET($H$3,0,0,'Données projet'!$E$13+1,1))</f>
        <v>243.38048563215585</v>
      </c>
      <c r="CZ9" s="59">
        <f t="shared" si="42"/>
        <v>372.1604147006675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4.8</v>
      </c>
      <c r="DO9" s="12">
        <f>IF('Données projet'!$A$166&gt;35,DO8+DN9-DW8,IF(A9&lt;'Données projet'!$A$166,$DL$205^A9,IF(A9='Données projet'!$A$166,'Données projet'!$B$166,DO8+DN9-DW8)))</f>
        <v>3.9326144432748684</v>
      </c>
      <c r="DP9" s="17">
        <f>DO9*VLOOKUP('Données projet'!$B$14,Paramètres!$A$1:$I$89,3,0)*VLOOKUP('Données projet'!$B$14,Paramètres!$A$1:$I$89,5,0)</f>
        <v>2.2494554615532247</v>
      </c>
      <c r="DQ9" s="13">
        <f t="shared" si="43"/>
        <v>0.94329526483001391</v>
      </c>
      <c r="DR9" s="20">
        <f t="shared" si="16"/>
        <v>5.5607075151174739</v>
      </c>
      <c r="DS9" s="59">
        <f t="shared" si="17"/>
        <v>298.8940408484508</v>
      </c>
      <c r="DT9" s="59">
        <f ca="1">AVERAGE(OFFSET($DS$3,0,0,'Données projet'!$E$14+1,1))-AVERAGE(OFFSET($H$3,0,0,'Données projet'!$E$14+1,1))</f>
        <v>227.99747790451215</v>
      </c>
      <c r="DU9" s="59">
        <f t="shared" si="44"/>
        <v>209.49597700966933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7.35</v>
      </c>
      <c r="EJ9" s="12">
        <f>IF('Données projet'!$A$192&gt;35,EJ8+EI9-ER8,IF(A9&lt;'Données projet'!$A$192,$EG$205^A9,IF(A9='Données projet'!$A$192,'Données projet'!$B$192,EJ8+EI9-ER8)))</f>
        <v>4.4688440618024883</v>
      </c>
      <c r="EK9" s="17">
        <f>EJ9*VLOOKUP('Données projet'!$B$15,Paramètres!$A$1:$I$89,3,0)*VLOOKUP('Données projet'!$B$15,Paramètres!$A$1:$I$89,5,0)</f>
        <v>1.9752290753167001</v>
      </c>
      <c r="EL9" s="13">
        <f t="shared" si="45"/>
        <v>0.84092964186215247</v>
      </c>
      <c r="EM9" s="20">
        <f t="shared" si="19"/>
        <v>4.9048097657531677</v>
      </c>
      <c r="EN9" s="59">
        <f t="shared" si="20"/>
        <v>298.23814309908647</v>
      </c>
      <c r="EO9" s="59">
        <f ca="1">AVERAGE(OFFSET($EN$3,0,0,'Données projet'!$E$15+1,1))-AVERAGE(OFFSET($H$3,0,0,'Données projet'!$E$15+1,1))</f>
        <v>335.27356627949155</v>
      </c>
      <c r="EP9" s="59">
        <f t="shared" si="46"/>
        <v>322.66829503077247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303.17693934275616</v>
      </c>
      <c r="S10" s="59">
        <f ca="1">AVERAGE(OFFSET($R$3,0,0,'Données projet'!$E$9+1,1))-AVERAGE(OFFSET($H$3,0,0,'Données projet'!$E$9+1,1))</f>
        <v>319.18811755575183</v>
      </c>
      <c r="T10" s="59">
        <f t="shared" si="34"/>
        <v>234.87694492493506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1.9</v>
      </c>
      <c r="AI10" s="13">
        <f>IF('Données projet'!$A$62&gt;35,AI9+AH10-AQ9,IF(A10&lt;'Données projet'!$A$62,$AF$205^A10,IF(A10='Données projet'!$A$62,'Données projet'!$B$62,AI9+AH10-AQ9)))</f>
        <v>7.8546623499408135</v>
      </c>
      <c r="AJ10" s="13">
        <f>AI10*VLOOKUP('Données projet'!$B$10,Paramètres!$A$1:$I$89,3,0)*VLOOKUP('Données projet'!$B$10,Paramètres!$A$1:$I$89,5,0)</f>
        <v>6.2491693656129108</v>
      </c>
      <c r="AK10" s="13">
        <f t="shared" si="35"/>
        <v>2.326701366112224</v>
      </c>
      <c r="AL10" s="20">
        <f t="shared" si="4"/>
        <v>14.936308191087944</v>
      </c>
      <c r="AM10" s="59">
        <f t="shared" si="5"/>
        <v>308.26964152442127</v>
      </c>
      <c r="AN10" s="59">
        <f ca="1">AVERAGE(OFFSET($AM$3,0,0,'Données projet'!$E$10+1,1))-AVERAGE(OFFSET($H$3,0,0,'Données projet'!$E$10+1,1))</f>
        <v>314.94704727988847</v>
      </c>
      <c r="AO10" s="59">
        <f t="shared" si="36"/>
        <v>366.49199094166454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7.8546623499408135</v>
      </c>
      <c r="BE10" s="13">
        <f>BD10*VLOOKUP('Données projet'!$B$11,Paramètres!$A$1:$I$89,3,0)*VLOOKUP('Données projet'!$B$11,Paramètres!$A$1:$I$89,5,0)</f>
        <v>5.1463747716812209</v>
      </c>
      <c r="BF10" s="13">
        <f t="shared" si="37"/>
        <v>1.9599035981916897</v>
      </c>
      <c r="BG10" s="20">
        <f t="shared" si="7"/>
        <v>12.376768160861985</v>
      </c>
      <c r="BH10" s="59">
        <f t="shared" si="8"/>
        <v>305.71010149419533</v>
      </c>
      <c r="BI10" s="59">
        <f ca="1">AVERAGE(OFFSET($BH$3,0,0,'Données projet'!$E$11+1,1))-AVERAGE(OFFSET($H$3,0,0,'Données projet'!$E$11+1,1))</f>
        <v>246.64951465060813</v>
      </c>
      <c r="BJ10" s="59">
        <f t="shared" si="38"/>
        <v>292.64550285216865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5.268907504340298</v>
      </c>
      <c r="CA10" s="13">
        <f t="shared" si="39"/>
        <v>2.0010796000561526</v>
      </c>
      <c r="CB10" s="20">
        <f t="shared" si="10"/>
        <v>12.661894206823819</v>
      </c>
      <c r="CC10" s="59">
        <f t="shared" si="11"/>
        <v>305.99522754015715</v>
      </c>
      <c r="CD10" s="59">
        <f ca="1">AVERAGE(OFFSET($CC$3,0,0,'Données projet'!$E$12+1,1))-AVERAGE(OFFSET($H$3,0,0,'Données projet'!$E$12+1,1))</f>
        <v>254.25222107710192</v>
      </c>
      <c r="CE10" s="59">
        <f t="shared" si="40"/>
        <v>300.86609173447573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5.8</v>
      </c>
      <c r="CT10" s="12">
        <f>IF('Données projet'!$A$140&gt;35,CT9+CS10-DB9,IF(A10&lt;'Données projet'!$A$140,$CQ$205^A10,IF(A10='Données projet'!$A$140,'Données projet'!$B$140,CT9+CS10-DB9)))</f>
        <v>8.0372778932539148</v>
      </c>
      <c r="CU10" s="17">
        <f>CT10*VLOOKUP('Données projet'!$B$13,Paramètres!$A$1:$I$89,3,0)*VLOOKUP('Données projet'!$B$13,Paramètres!$A$1:$I$89,5,0)</f>
        <v>7.0213659675466209</v>
      </c>
      <c r="CV10" s="13">
        <f t="shared" si="41"/>
        <v>2.5789932139603198</v>
      </c>
      <c r="CW10" s="20">
        <f t="shared" si="13"/>
        <v>16.72062557445792</v>
      </c>
      <c r="CX10" s="59">
        <f t="shared" si="14"/>
        <v>310.05395890779124</v>
      </c>
      <c r="CY10" s="59">
        <f ca="1">AVERAGE(OFFSET($CX$3,0,0,'Données projet'!$E$13+1,1))-AVERAGE(OFFSET($H$3,0,0,'Données projet'!$E$13+1,1))</f>
        <v>243.38048563215585</v>
      </c>
      <c r="CZ10" s="59">
        <f t="shared" si="42"/>
        <v>372.1604147006675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4.8</v>
      </c>
      <c r="DO10" s="12">
        <f>IF('Données projet'!$A$166&gt;35,DO9+DN10-DW9,IF(A10&lt;'Données projet'!$A$166,$DL$205^A10,IF(A10='Données projet'!$A$166,'Données projet'!$B$166,DO9+DN10-DW9)))</f>
        <v>4.9407733474474309</v>
      </c>
      <c r="DP10" s="17">
        <f>DO10*VLOOKUP('Données projet'!$B$14,Paramètres!$A$1:$I$89,3,0)*VLOOKUP('Données projet'!$B$14,Paramètres!$A$1:$I$89,5,0)</f>
        <v>2.8261223547399306</v>
      </c>
      <c r="DQ10" s="13">
        <f t="shared" si="43"/>
        <v>1.1540493944289176</v>
      </c>
      <c r="DR10" s="20">
        <f t="shared" si="16"/>
        <v>6.9321324631357442</v>
      </c>
      <c r="DS10" s="59">
        <f t="shared" si="17"/>
        <v>300.26546579646907</v>
      </c>
      <c r="DT10" s="59">
        <f ca="1">AVERAGE(OFFSET($DS$3,0,0,'Données projet'!$E$14+1,1))-AVERAGE(OFFSET($H$3,0,0,'Données projet'!$E$14+1,1))</f>
        <v>227.99747790451215</v>
      </c>
      <c r="DU10" s="59">
        <f t="shared" si="44"/>
        <v>209.49597700966933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7.35</v>
      </c>
      <c r="EJ10" s="12">
        <f>IF('Données projet'!$A$192&gt;35,EJ9+EI10-ER9,IF(A10&lt;'Données projet'!$A$192,$EG$205^A10,IF(A10='Données projet'!$A$192,'Données projet'!$B$192,EJ9+EI10-ER9)))</f>
        <v>5.7353650718468279</v>
      </c>
      <c r="EK10" s="17">
        <f>EJ10*VLOOKUP('Données projet'!$B$15,Paramètres!$A$1:$I$89,3,0)*VLOOKUP('Données projet'!$B$15,Paramètres!$A$1:$I$89,5,0)</f>
        <v>2.5350313617562983</v>
      </c>
      <c r="EL10" s="13">
        <f t="shared" si="45"/>
        <v>1.0483631353556433</v>
      </c>
      <c r="EM10" s="20">
        <f t="shared" si="19"/>
        <v>6.2410787491366309</v>
      </c>
      <c r="EN10" s="59">
        <f t="shared" si="20"/>
        <v>299.57441208246996</v>
      </c>
      <c r="EO10" s="59">
        <f ca="1">AVERAGE(OFFSET($EN$3,0,0,'Données projet'!$E$15+1,1))-AVERAGE(OFFSET($H$3,0,0,'Données projet'!$E$15+1,1))</f>
        <v>335.27356627949155</v>
      </c>
      <c r="EP10" s="59">
        <f t="shared" si="46"/>
        <v>322.66829503077247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305.44758777557922</v>
      </c>
      <c r="S11" s="59">
        <f ca="1">AVERAGE(OFFSET($R$3,0,0,'Données projet'!$E$9+1,1))-AVERAGE(OFFSET($H$3,0,0,'Données projet'!$E$9+1,1))</f>
        <v>319.18811755575183</v>
      </c>
      <c r="T11" s="59">
        <f t="shared" si="34"/>
        <v>234.87694492493506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1.9</v>
      </c>
      <c r="AI11" s="13">
        <f>IF('Données projet'!$A$62&gt;35,AI10+AH11-AQ10,IF(A11&lt;'Données projet'!$A$62,$AF$205^A11,IF(A11='Données projet'!$A$62,'Données projet'!$B$62,AI10+AH11-AQ10)))</f>
        <v>10.543938903738736</v>
      </c>
      <c r="AJ11" s="13">
        <f>AI11*VLOOKUP('Données projet'!$B$10,Paramètres!$A$1:$I$89,3,0)*VLOOKUP('Données projet'!$B$10,Paramètres!$A$1:$I$89,5,0)</f>
        <v>8.3887577918145393</v>
      </c>
      <c r="AK11" s="13">
        <f t="shared" si="35"/>
        <v>3.0180839306915423</v>
      </c>
      <c r="AL11" s="20">
        <f t="shared" si="4"/>
        <v>19.866916000031427</v>
      </c>
      <c r="AM11" s="59">
        <f t="shared" si="5"/>
        <v>313.20024933336475</v>
      </c>
      <c r="AN11" s="59">
        <f ca="1">AVERAGE(OFFSET($AM$3,0,0,'Données projet'!$E$10+1,1))-AVERAGE(OFFSET($H$3,0,0,'Données projet'!$E$10+1,1))</f>
        <v>314.94704727988847</v>
      </c>
      <c r="AO11" s="59">
        <f t="shared" si="36"/>
        <v>366.49199094166454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10.543938903738736</v>
      </c>
      <c r="BE11" s="13">
        <f>BD11*VLOOKUP('Données projet'!$B$11,Paramètres!$A$1:$I$89,3,0)*VLOOKUP('Données projet'!$B$11,Paramètres!$A$1:$I$89,5,0)</f>
        <v>6.90838876972962</v>
      </c>
      <c r="BF11" s="13">
        <f t="shared" si="37"/>
        <v>2.5422916931065935</v>
      </c>
      <c r="BG11" s="20">
        <f t="shared" si="7"/>
        <v>16.45993513943974</v>
      </c>
      <c r="BH11" s="59">
        <f t="shared" si="8"/>
        <v>309.79326847277304</v>
      </c>
      <c r="BI11" s="59">
        <f ca="1">AVERAGE(OFFSET($BH$3,0,0,'Données projet'!$E$11+1,1))-AVERAGE(OFFSET($H$3,0,0,'Données projet'!$E$11+1,1))</f>
        <v>246.64951465060813</v>
      </c>
      <c r="BJ11" s="59">
        <f t="shared" si="38"/>
        <v>292.64550285216865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7.0728742166279446</v>
      </c>
      <c r="CA11" s="13">
        <f t="shared" si="39"/>
        <v>2.5957032015052466</v>
      </c>
      <c r="CB11" s="20">
        <f t="shared" si="10"/>
        <v>16.839439003248639</v>
      </c>
      <c r="CC11" s="59">
        <f t="shared" si="11"/>
        <v>310.17277233658194</v>
      </c>
      <c r="CD11" s="59">
        <f ca="1">AVERAGE(OFFSET($CC$3,0,0,'Données projet'!$E$12+1,1))-AVERAGE(OFFSET($H$3,0,0,'Données projet'!$E$12+1,1))</f>
        <v>254.25222107710192</v>
      </c>
      <c r="CE11" s="59">
        <f t="shared" si="40"/>
        <v>300.86609173447573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5.8</v>
      </c>
      <c r="CT11" s="12">
        <f>IF('Données projet'!$A$140&gt;35,CT10+CS11-DB10,IF(A11&lt;'Données projet'!$A$140,$CQ$205^A11,IF(A11='Données projet'!$A$140,'Données projet'!$B$140,CT10+CS11-DB10)))</f>
        <v>10.824560399115168</v>
      </c>
      <c r="CU11" s="17">
        <f>CT11*VLOOKUP('Données projet'!$B$13,Paramètres!$A$1:$I$89,3,0)*VLOOKUP('Données projet'!$B$13,Paramètres!$A$1:$I$89,5,0)</f>
        <v>9.4563359646670122</v>
      </c>
      <c r="CV11" s="13">
        <f t="shared" si="41"/>
        <v>3.3550640345230081</v>
      </c>
      <c r="CW11" s="20">
        <f t="shared" si="13"/>
        <v>22.313188331922618</v>
      </c>
      <c r="CX11" s="59">
        <f t="shared" si="14"/>
        <v>315.64652166525593</v>
      </c>
      <c r="CY11" s="59">
        <f ca="1">AVERAGE(OFFSET($CX$3,0,0,'Données projet'!$E$13+1,1))-AVERAGE(OFFSET($H$3,0,0,'Données projet'!$E$13+1,1))</f>
        <v>243.38048563215585</v>
      </c>
      <c r="CZ11" s="59">
        <f t="shared" si="42"/>
        <v>372.1604147006675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4.8</v>
      </c>
      <c r="DO11" s="12">
        <f>IF('Données projet'!$A$166&gt;35,DO10+DN11-DW10,IF(A11&lt;'Données projet'!$A$166,$DL$205^A11,IF(A11='Données projet'!$A$166,'Données projet'!$B$166,DO10+DN11-DW10)))</f>
        <v>6.2073822956614393</v>
      </c>
      <c r="DP11" s="17">
        <f>DO11*VLOOKUP('Données projet'!$B$14,Paramètres!$A$1:$I$89,3,0)*VLOOKUP('Données projet'!$B$14,Paramètres!$A$1:$I$89,5,0)</f>
        <v>3.5506226731183435</v>
      </c>
      <c r="DQ11" s="13">
        <f t="shared" si="43"/>
        <v>1.4118909046169685</v>
      </c>
      <c r="DR11" s="20">
        <f t="shared" si="16"/>
        <v>8.6430444812223346</v>
      </c>
      <c r="DS11" s="59">
        <f t="shared" si="17"/>
        <v>301.97637781455563</v>
      </c>
      <c r="DT11" s="59">
        <f ca="1">AVERAGE(OFFSET($DS$3,0,0,'Données projet'!$E$14+1,1))-AVERAGE(OFFSET($H$3,0,0,'Données projet'!$E$14+1,1))</f>
        <v>227.99747790451215</v>
      </c>
      <c r="DU11" s="59">
        <f t="shared" si="44"/>
        <v>209.49597700966933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7.35</v>
      </c>
      <c r="EJ11" s="12">
        <f>IF('Données projet'!$A$192&gt;35,EJ10+EI11-ER10,IF(A11&lt;'Données projet'!$A$192,$EG$205^A11,IF(A11='Données projet'!$A$192,'Données projet'!$B$192,EJ10+EI11-ER10)))</f>
        <v>7.3608324775809582</v>
      </c>
      <c r="EK11" s="17">
        <f>EJ11*VLOOKUP('Données projet'!$B$15,Paramètres!$A$1:$I$89,3,0)*VLOOKUP('Données projet'!$B$15,Paramètres!$A$1:$I$89,5,0)</f>
        <v>3.253487955090784</v>
      </c>
      <c r="EL11" s="13">
        <f t="shared" si="45"/>
        <v>1.3069645887840831</v>
      </c>
      <c r="EM11" s="20">
        <f t="shared" si="19"/>
        <v>7.9427881805820597</v>
      </c>
      <c r="EN11" s="59">
        <f t="shared" si="20"/>
        <v>301.27612151391537</v>
      </c>
      <c r="EO11" s="59">
        <f ca="1">AVERAGE(OFFSET($EN$3,0,0,'Données projet'!$E$15+1,1))-AVERAGE(OFFSET($H$3,0,0,'Données projet'!$E$15+1,1))</f>
        <v>335.27356627949155</v>
      </c>
      <c r="EP11" s="59">
        <f t="shared" si="46"/>
        <v>322.66829503077247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308.24387113376753</v>
      </c>
      <c r="S12" s="59">
        <f ca="1">AVERAGE(OFFSET($R$3,0,0,'Données projet'!$E$9+1,1))-AVERAGE(OFFSET($H$3,0,0,'Données projet'!$E$9+1,1))</f>
        <v>319.18811755575183</v>
      </c>
      <c r="T12" s="59">
        <f t="shared" si="34"/>
        <v>234.87694492493506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1.9</v>
      </c>
      <c r="AI12" s="13">
        <f>IF('Données projet'!$A$62&gt;35,AI11+AH12-AQ11,IF(A12&lt;'Données projet'!$A$62,$AF$205^A12,IF(A12='Données projet'!$A$62,'Données projet'!$B$62,AI11+AH12-AQ11)))</f>
        <v>14.153969025366564</v>
      </c>
      <c r="AJ12" s="13">
        <f>AI12*VLOOKUP('Données projet'!$B$10,Paramètres!$A$1:$I$89,3,0)*VLOOKUP('Données projet'!$B$10,Paramètres!$A$1:$I$89,5,0)</f>
        <v>11.260897756581638</v>
      </c>
      <c r="AK12" s="13">
        <f t="shared" si="35"/>
        <v>3.9149117911590028</v>
      </c>
      <c r="AL12" s="20">
        <f t="shared" si="4"/>
        <v>26.431201628981615</v>
      </c>
      <c r="AM12" s="59">
        <f t="shared" si="5"/>
        <v>319.76453496231494</v>
      </c>
      <c r="AN12" s="59">
        <f ca="1">AVERAGE(OFFSET($AM$3,0,0,'Données projet'!$E$10+1,1))-AVERAGE(OFFSET($H$3,0,0,'Données projet'!$E$10+1,1))</f>
        <v>314.94704727988847</v>
      </c>
      <c r="AO12" s="59">
        <f t="shared" si="36"/>
        <v>366.49199094166454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14.153969025366564</v>
      </c>
      <c r="BE12" s="13">
        <f>BD12*VLOOKUP('Données projet'!$B$11,Paramètres!$A$1:$I$89,3,0)*VLOOKUP('Données projet'!$B$11,Paramètres!$A$1:$I$89,5,0)</f>
        <v>9.2736805054201739</v>
      </c>
      <c r="BF12" s="13">
        <f t="shared" si="37"/>
        <v>3.2977372248319372</v>
      </c>
      <c r="BG12" s="20">
        <f t="shared" si="7"/>
        <v>21.895219213522427</v>
      </c>
      <c r="BH12" s="59">
        <f t="shared" si="8"/>
        <v>315.22855254685572</v>
      </c>
      <c r="BI12" s="59">
        <f ca="1">AVERAGE(OFFSET($BH$3,0,0,'Données projet'!$E$11+1,1))-AVERAGE(OFFSET($H$3,0,0,'Données projet'!$E$11+1,1))</f>
        <v>246.64951465060813</v>
      </c>
      <c r="BJ12" s="59">
        <f t="shared" si="38"/>
        <v>292.64550285216865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9.4944824222158921</v>
      </c>
      <c r="CA12" s="13">
        <f t="shared" si="39"/>
        <v>3.3670200376414416</v>
      </c>
      <c r="CB12" s="20">
        <f t="shared" si="10"/>
        <v>22.400450117584857</v>
      </c>
      <c r="CC12" s="59">
        <f t="shared" si="11"/>
        <v>315.73378345091817</v>
      </c>
      <c r="CD12" s="59">
        <f ca="1">AVERAGE(OFFSET($CC$3,0,0,'Données projet'!$E$12+1,1))-AVERAGE(OFFSET($H$3,0,0,'Données projet'!$E$12+1,1))</f>
        <v>254.25222107710192</v>
      </c>
      <c r="CE12" s="59">
        <f t="shared" si="40"/>
        <v>300.86609173447573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5.8</v>
      </c>
      <c r="CT12" s="12">
        <f>IF('Données projet'!$A$140&gt;35,CT11+CS12-DB11,IF(A12&lt;'Données projet'!$A$140,$CQ$205^A12,IF(A12='Données projet'!$A$140,'Données projet'!$B$140,CT11+CS12-DB11)))</f>
        <v>14.578456710130657</v>
      </c>
      <c r="CU12" s="17">
        <f>CT12*VLOOKUP('Données projet'!$B$13,Paramètres!$A$1:$I$89,3,0)*VLOOKUP('Données projet'!$B$13,Paramètres!$A$1:$I$89,5,0)</f>
        <v>12.735739781970144</v>
      </c>
      <c r="CV12" s="13">
        <f t="shared" si="41"/>
        <v>4.364670141362768</v>
      </c>
      <c r="CW12" s="20">
        <f t="shared" si="13"/>
        <v>29.783213949804821</v>
      </c>
      <c r="CX12" s="59">
        <f t="shared" si="14"/>
        <v>323.11654728313812</v>
      </c>
      <c r="CY12" s="59">
        <f ca="1">AVERAGE(OFFSET($CX$3,0,0,'Données projet'!$E$13+1,1))-AVERAGE(OFFSET($H$3,0,0,'Données projet'!$E$13+1,1))</f>
        <v>243.38048563215585</v>
      </c>
      <c r="CZ12" s="59">
        <f t="shared" si="42"/>
        <v>372.1604147006675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4.8</v>
      </c>
      <c r="DO12" s="12">
        <f>IF('Données projet'!$A$166&gt;35,DO11+DN12-DW11,IF(A12&lt;'Données projet'!$A$166,$DL$205^A12,IF(A12='Données projet'!$A$166,'Données projet'!$B$166,DO11+DN12-DW11)))</f>
        <v>7.7986971380498149</v>
      </c>
      <c r="DP12" s="17">
        <f>DO12*VLOOKUP('Données projet'!$B$14,Paramètres!$A$1:$I$89,3,0)*VLOOKUP('Données projet'!$B$14,Paramètres!$A$1:$I$89,5,0)</f>
        <v>4.4608547629644946</v>
      </c>
      <c r="DQ12" s="13">
        <f t="shared" si="43"/>
        <v>1.7273402127874911</v>
      </c>
      <c r="DR12" s="20">
        <f t="shared" si="16"/>
        <v>10.777772916101375</v>
      </c>
      <c r="DS12" s="59">
        <f t="shared" si="17"/>
        <v>304.11110624943467</v>
      </c>
      <c r="DT12" s="59">
        <f ca="1">AVERAGE(OFFSET($DS$3,0,0,'Données projet'!$E$14+1,1))-AVERAGE(OFFSET($H$3,0,0,'Données projet'!$E$14+1,1))</f>
        <v>227.99747790451215</v>
      </c>
      <c r="DU12" s="59">
        <f t="shared" si="44"/>
        <v>209.49597700966933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7.35</v>
      </c>
      <c r="EJ12" s="12">
        <f>IF('Données projet'!$A$192&gt;35,EJ11+EI12-ER11,IF(A12&lt;'Données projet'!$A$192,$EG$205^A12,IF(A12='Données projet'!$A$192,'Données projet'!$B$192,EJ11+EI12-ER11)))</f>
        <v>9.4469757520707738</v>
      </c>
      <c r="EK12" s="17">
        <f>EJ12*VLOOKUP('Données projet'!$B$15,Paramètres!$A$1:$I$89,3,0)*VLOOKUP('Données projet'!$B$15,Paramètres!$A$1:$I$89,5,0)</f>
        <v>4.1755632824152826</v>
      </c>
      <c r="EL12" s="13">
        <f t="shared" si="45"/>
        <v>1.6293556867163954</v>
      </c>
      <c r="EM12" s="20">
        <f t="shared" si="19"/>
        <v>10.110233871237673</v>
      </c>
      <c r="EN12" s="59">
        <f t="shared" si="20"/>
        <v>303.44356720457097</v>
      </c>
      <c r="EO12" s="59">
        <f ca="1">AVERAGE(OFFSET($EN$3,0,0,'Données projet'!$E$15+1,1))-AVERAGE(OFFSET($H$3,0,0,'Données projet'!$E$15+1,1))</f>
        <v>335.27356627949155</v>
      </c>
      <c r="EP12" s="59">
        <f t="shared" si="46"/>
        <v>322.66829503077247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311.68787167067455</v>
      </c>
      <c r="S13" s="59">
        <f ca="1">AVERAGE(OFFSET($R$3,0,0,'Données projet'!$E$9+1,1))-AVERAGE(OFFSET($H$3,0,0,'Données projet'!$E$9+1,1))</f>
        <v>319.18811755575183</v>
      </c>
      <c r="T13" s="59">
        <f t="shared" si="34"/>
        <v>234.87694492493506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19</v>
      </c>
      <c r="AG13" s="12">
        <f>VLOOKUP(A13,'Données projet'!$A$61:$I$81,9,0)</f>
        <v>1.9</v>
      </c>
      <c r="AH13" s="12">
        <f t="array" ref="AH13">INDEX(AG:AG,MIN(IF(ISNUMBER(AG13:AG209),ROW(AG13:AG209),"")))</f>
        <v>1.9</v>
      </c>
      <c r="AI13" s="13">
        <f>IF('Données projet'!$A$62&gt;35,AI12+AH13-AQ12,IF(A13&lt;'Données projet'!$A$62,$AF$205^A13,IF(A13='Données projet'!$A$62,'Données projet'!$B$62,AI12+AH13-AQ12)))</f>
        <v>19</v>
      </c>
      <c r="AJ13" s="13">
        <f>AI13*VLOOKUP('Données projet'!$B$10,Paramètres!$A$1:$I$89,3,0)*VLOOKUP('Données projet'!$B$10,Paramètres!$A$1:$I$89,5,0)</f>
        <v>15.116400000000001</v>
      </c>
      <c r="AK13" s="13">
        <f t="shared" si="35"/>
        <v>5.0782333044806913</v>
      </c>
      <c r="AL13" s="20">
        <f t="shared" si="4"/>
        <v>35.172319671970541</v>
      </c>
      <c r="AM13" s="59">
        <f t="shared" si="5"/>
        <v>328.50565300530388</v>
      </c>
      <c r="AN13" s="59">
        <f ca="1">AVERAGE(OFFSET($AM$3,0,0,'Données projet'!$E$10+1,1))-AVERAGE(OFFSET($H$3,0,0,'Données projet'!$E$10+1,1))</f>
        <v>314.94704727988847</v>
      </c>
      <c r="AO13" s="59">
        <f t="shared" si="36"/>
        <v>366.49199094166454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0.13250000000000001</v>
      </c>
      <c r="AT13" s="16">
        <f>IF(ISNA(VLOOKUP(A13,'Données projet'!$A$61:$I$81,7,0)),0%,VLOOKUP(A13,'Données projet'!$A$61:$I$81,7,0))</f>
        <v>0.25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0.81253568788100472</v>
      </c>
      <c r="AW13" s="21">
        <f>EXP(-LN(2)/2)*AW12+(1-EXP(-LN(2)/2))/(LN(2)/2)*AQ13*AT13*VLOOKUP('Données projet'!$B$10,Paramètres!$A$1:$I$89,3,0)*0.475*44/12</f>
        <v>1.3136725232050821</v>
      </c>
      <c r="AX13" s="21">
        <f t="shared" si="6"/>
        <v>2.1262082110860869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19</v>
      </c>
      <c r="BB13" s="12">
        <f>VLOOKUP(A13,'Données projet'!$A$87:$I$107,9,0)</f>
        <v>1.9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19</v>
      </c>
      <c r="BE13" s="13">
        <f>BD13*VLOOKUP('Données projet'!$B$11,Paramètres!$A$1:$I$89,3,0)*VLOOKUP('Données projet'!$B$11,Paramètres!$A$1:$I$89,5,0)</f>
        <v>12.4488</v>
      </c>
      <c r="BF13" s="13">
        <f t="shared" si="37"/>
        <v>4.2776644527179633</v>
      </c>
      <c r="BG13" s="20">
        <f t="shared" si="7"/>
        <v>29.131925588483782</v>
      </c>
      <c r="BH13" s="59">
        <f t="shared" si="8"/>
        <v>322.46525892181711</v>
      </c>
      <c r="BI13" s="59">
        <f ca="1">AVERAGE(OFFSET($BH$3,0,0,'Données projet'!$E$11+1,1))-AVERAGE(OFFSET($H$3,0,0,'Données projet'!$E$11+1,1))</f>
        <v>246.64951465060813</v>
      </c>
      <c r="BJ13" s="59">
        <f t="shared" si="38"/>
        <v>292.64550285216865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7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0.1075</v>
      </c>
      <c r="BO13" s="16">
        <f>IF(ISNA(VLOOKUP(A13,'Données projet'!$A$87:$I$107,7,0)),0%,VLOOKUP(A13,'Données projet'!$A$87:$I$107,7,0))</f>
        <v>0.25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0.54289287913913964</v>
      </c>
      <c r="BR13" s="21">
        <f>EXP(-LN(2)/2)*BR12+(1-EXP(-LN(2)/2))/(LN(2)/2)*BL13*BO13*VLOOKUP('Données projet'!$B$11,Paramètres!$A$1:$I$89,3,0)*0.475*44/12</f>
        <v>1.0818479602865383</v>
      </c>
      <c r="BS13" s="22">
        <f t="shared" si="9"/>
        <v>1.6247408394256779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12.745200000000001</v>
      </c>
      <c r="CA13" s="13">
        <f t="shared" si="39"/>
        <v>4.3675347502382973</v>
      </c>
      <c r="CB13" s="20">
        <f t="shared" si="10"/>
        <v>29.804679689998366</v>
      </c>
      <c r="CC13" s="59">
        <f t="shared" si="11"/>
        <v>323.13801302333167</v>
      </c>
      <c r="CD13" s="59">
        <f ca="1">AVERAGE(OFFSET($CC$3,0,0,'Données projet'!$E$12+1,1))-AVERAGE(OFFSET($H$3,0,0,'Données projet'!$E$12+1,1))</f>
        <v>254.25222107710192</v>
      </c>
      <c r="CE13" s="59">
        <f t="shared" si="40"/>
        <v>300.86609173447573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0.13250000000000001</v>
      </c>
      <c r="CJ13" s="16">
        <f>IF(ISNA(VLOOKUP(A13,'Données projet'!$A$113:$I$133,7,0)),0%,VLOOKUP(A13,'Données projet'!$A$113:$I$133,7,0))</f>
        <v>0.25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0.68507910938986682</v>
      </c>
      <c r="CM13" s="21">
        <f>EXP(-LN(2)/2)*CM12+(1-EXP(-LN(2)/2))/(LN(2)/2)*CG13*CJ13*VLOOKUP('Données projet'!$B$12,Paramètres!$A$1:$I$89,3,0)*0.475*44/12</f>
        <v>1.1076062450552653</v>
      </c>
      <c r="CN13" s="22">
        <f t="shared" si="12"/>
        <v>1.792685354445132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5.8</v>
      </c>
      <c r="CT13" s="12">
        <f>IF('Données projet'!$A$140&gt;35,CT12+CS13-DB12,IF(A13&lt;'Données projet'!$A$140,$CQ$205^A13,IF(A13='Données projet'!$A$140,'Données projet'!$B$140,CT12+CS13-DB12)))</f>
        <v>19.634183025716826</v>
      </c>
      <c r="CU13" s="17">
        <f>CT13*VLOOKUP('Données projet'!$B$13,Paramètres!$A$1:$I$89,3,0)*VLOOKUP('Données projet'!$B$13,Paramètres!$A$1:$I$89,5,0)</f>
        <v>17.152422291266223</v>
      </c>
      <c r="CV13" s="13">
        <f t="shared" si="41"/>
        <v>5.678086989362658</v>
      </c>
      <c r="CW13" s="20">
        <f t="shared" si="13"/>
        <v>39.763136997095295</v>
      </c>
      <c r="CX13" s="59">
        <f t="shared" si="14"/>
        <v>333.09647033042859</v>
      </c>
      <c r="CY13" s="59">
        <f ca="1">AVERAGE(OFFSET($CX$3,0,0,'Données projet'!$E$13+1,1))-AVERAGE(OFFSET($H$3,0,0,'Données projet'!$E$13+1,1))</f>
        <v>243.38048563215585</v>
      </c>
      <c r="CZ13" s="59">
        <f t="shared" si="42"/>
        <v>372.1604147006675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4.8</v>
      </c>
      <c r="DO13" s="12">
        <f>IF('Données projet'!$A$166&gt;35,DO12+DN13-DW12,IF(A13&lt;'Données projet'!$A$166,$DL$205^A13,IF(A13='Données projet'!$A$166,'Données projet'!$B$166,DO12+DN13-DW12)))</f>
        <v>9.7979589711327133</v>
      </c>
      <c r="DP13" s="17">
        <f>DO13*VLOOKUP('Données projet'!$B$14,Paramètres!$A$1:$I$89,3,0)*VLOOKUP('Données projet'!$B$14,Paramètres!$A$1:$I$89,5,0)</f>
        <v>5.6044325314879124</v>
      </c>
      <c r="DQ13" s="13">
        <f t="shared" si="43"/>
        <v>2.1132682425786879</v>
      </c>
      <c r="DR13" s="20">
        <f t="shared" si="16"/>
        <v>13.441662181499327</v>
      </c>
      <c r="DS13" s="59">
        <f t="shared" si="17"/>
        <v>306.77499551483265</v>
      </c>
      <c r="DT13" s="59">
        <f ca="1">AVERAGE(OFFSET($DS$3,0,0,'Données projet'!$E$14+1,1))-AVERAGE(OFFSET($H$3,0,0,'Données projet'!$E$14+1,1))</f>
        <v>227.99747790451215</v>
      </c>
      <c r="DU13" s="59">
        <f t="shared" si="44"/>
        <v>209.49597700966933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7.35</v>
      </c>
      <c r="EJ13" s="12">
        <f>IF('Données projet'!$A$192&gt;35,EJ12+EI13-ER12,IF(A13&lt;'Données projet'!$A$192,$EG$205^A13,IF(A13='Données projet'!$A$192,'Données projet'!$B$192,EJ12+EI13-ER12)))</f>
        <v>12.12435565298213</v>
      </c>
      <c r="EK13" s="17">
        <f>EJ13*VLOOKUP('Données projet'!$B$15,Paramètres!$A$1:$I$89,3,0)*VLOOKUP('Données projet'!$B$15,Paramètres!$A$1:$I$89,5,0)</f>
        <v>5.3589651986181019</v>
      </c>
      <c r="EL13" s="13">
        <f t="shared" si="45"/>
        <v>2.0312715253478397</v>
      </c>
      <c r="EM13" s="20">
        <f t="shared" si="19"/>
        <v>12.871328960907347</v>
      </c>
      <c r="EN13" s="59">
        <f t="shared" si="20"/>
        <v>306.20466229424068</v>
      </c>
      <c r="EO13" s="59">
        <f ca="1">AVERAGE(OFFSET($EN$3,0,0,'Données projet'!$E$15+1,1))-AVERAGE(OFFSET($H$3,0,0,'Données projet'!$E$15+1,1))</f>
        <v>335.27356627949155</v>
      </c>
      <c r="EP13" s="59">
        <f t="shared" si="46"/>
        <v>322.66829503077247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315.93011288122739</v>
      </c>
      <c r="S14" s="59">
        <f ca="1">AVERAGE(OFFSET($R$3,0,0,'Données projet'!$E$9+1,1))-AVERAGE(OFFSET($H$3,0,0,'Données projet'!$E$9+1,1))</f>
        <v>319.18811755575183</v>
      </c>
      <c r="T14" s="59">
        <f t="shared" si="34"/>
        <v>234.87694492493506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15.3</v>
      </c>
      <c r="AI14" s="13">
        <f>IF('Données projet'!$A$62&gt;35,AI13+AH14-AQ13,IF(A14&lt;'Données projet'!$A$62,$AF$205^A14,IF(A14='Données projet'!$A$62,'Données projet'!$B$62,AI13+AH14-AQ13)))</f>
        <v>27.299999999999997</v>
      </c>
      <c r="AJ14" s="13">
        <f>AI14*VLOOKUP('Données projet'!$B$10,Paramètres!$A$1:$I$89,3,0)*VLOOKUP('Données projet'!$B$10,Paramètres!$A$1:$I$89,5,0)</f>
        <v>21.719879999999996</v>
      </c>
      <c r="AK14" s="13">
        <f t="shared" si="35"/>
        <v>6.9951862537362919</v>
      </c>
      <c r="AL14" s="20">
        <f t="shared" si="4"/>
        <v>50.012073725257359</v>
      </c>
      <c r="AM14" s="59">
        <f t="shared" si="5"/>
        <v>343.34540705859069</v>
      </c>
      <c r="AN14" s="59">
        <f ca="1">AVERAGE(OFFSET($AM$3,0,0,'Données projet'!$E$10+1,1))-AVERAGE(OFFSET($H$3,0,0,'Données projet'!$E$10+1,1))</f>
        <v>314.94704727988847</v>
      </c>
      <c r="AO14" s="59">
        <f t="shared" si="36"/>
        <v>366.49199094166454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0.79031685676650387</v>
      </c>
      <c r="AW14" s="21">
        <f>EXP(-LN(2)/2)*AW13+(1-EXP(-LN(2)/2))/(LN(2)/2)*AQ14*AT14*VLOOKUP('Données projet'!$B$10,Paramètres!$A$1:$I$89,3,0)*0.475*44/12</f>
        <v>0.92890674941675577</v>
      </c>
      <c r="AX14" s="21">
        <f t="shared" si="6"/>
        <v>1.7192236061832595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15.3</v>
      </c>
      <c r="BD14" s="12">
        <f>IF('Données projet'!$A$88&gt;35,BD13+BC14-BL13,IF(A14&lt;'Données projet'!$A$88,$BA$205^A14,IF(A14='Données projet'!$A$88,'Données projet'!$B$88,BD13+BC14-BL13)))</f>
        <v>27.299999999999997</v>
      </c>
      <c r="BE14" s="13">
        <f>BD14*VLOOKUP('Données projet'!$B$11,Paramètres!$A$1:$I$89,3,0)*VLOOKUP('Données projet'!$B$11,Paramètres!$A$1:$I$89,5,0)</f>
        <v>17.886959999999998</v>
      </c>
      <c r="BF14" s="13">
        <f t="shared" si="37"/>
        <v>5.8924152916225765</v>
      </c>
      <c r="BG14" s="20">
        <f t="shared" si="7"/>
        <v>41.415745299575981</v>
      </c>
      <c r="BH14" s="59">
        <f t="shared" si="8"/>
        <v>334.74907863290929</v>
      </c>
      <c r="BI14" s="59">
        <f ca="1">AVERAGE(OFFSET($BH$3,0,0,'Données projet'!$E$11+1,1))-AVERAGE(OFFSET($H$3,0,0,'Données projet'!$E$11+1,1))</f>
        <v>246.64951465060813</v>
      </c>
      <c r="BJ14" s="59">
        <f t="shared" si="38"/>
        <v>292.64550285216865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0.5280474448095841</v>
      </c>
      <c r="BR14" s="21">
        <f>EXP(-LN(2)/2)*BR13+(1-EXP(-LN(2)/2))/(LN(2)/2)*BL14*BO14*VLOOKUP('Données projet'!$B$11,Paramètres!$A$1:$I$89,3,0)*0.475*44/12</f>
        <v>0.76498202893144607</v>
      </c>
      <c r="BS14" s="22">
        <f t="shared" si="9"/>
        <v>1.2930294737410302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15.3</v>
      </c>
      <c r="BY14" s="12">
        <f>IF('Données projet'!$A$114&gt;35,BY13+BX14-CG13,IF(A14&lt;'Données projet'!$A$114,$BV$205^A14,IF(A14='Données projet'!$A$114,'Données projet'!$B$114,BY13+BX14-CG13)))</f>
        <v>27.299999999999997</v>
      </c>
      <c r="BZ14" s="13">
        <f>BY14*VLOOKUP('Données projet'!$B$12,Paramètres!$A$1:$I$89,3,0)*VLOOKUP('Données projet'!$B$12,Paramètres!$A$1:$I$89,5,0)</f>
        <v>18.312839999999998</v>
      </c>
      <c r="CA14" s="13">
        <f t="shared" si="39"/>
        <v>6.0162102085041491</v>
      </c>
      <c r="CB14" s="20">
        <f t="shared" si="10"/>
        <v>42.373095779811386</v>
      </c>
      <c r="CC14" s="59">
        <f t="shared" si="11"/>
        <v>335.70642911314468</v>
      </c>
      <c r="CD14" s="59">
        <f ca="1">AVERAGE(OFFSET($CC$3,0,0,'Données projet'!$E$12+1,1))-AVERAGE(OFFSET($H$3,0,0,'Données projet'!$E$12+1,1))</f>
        <v>254.25222107710192</v>
      </c>
      <c r="CE14" s="59">
        <f t="shared" si="40"/>
        <v>300.86609173447573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0.66634558511685638</v>
      </c>
      <c r="CM14" s="21">
        <f>EXP(-LN(2)/2)*CM13+(1-EXP(-LN(2)/2))/(LN(2)/2)*CG14*CJ14*VLOOKUP('Données projet'!$B$12,Paramètres!$A$1:$I$89,3,0)*0.475*44/12</f>
        <v>0.78319588676314711</v>
      </c>
      <c r="CN14" s="22">
        <f t="shared" si="12"/>
        <v>1.4495414718800035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5.8</v>
      </c>
      <c r="CT14" s="12">
        <f>IF('Données projet'!$A$140&gt;35,CT13+CS14-DB13,IF(A14&lt;'Données projet'!$A$140,$CQ$205^A14,IF(A14='Données projet'!$A$140,'Données projet'!$B$140,CT13+CS14-DB13)))</f>
        <v>26.443206626903088</v>
      </c>
      <c r="CU14" s="17">
        <f>CT14*VLOOKUP('Données projet'!$B$13,Paramètres!$A$1:$I$89,3,0)*VLOOKUP('Données projet'!$B$13,Paramètres!$A$1:$I$89,5,0)</f>
        <v>23.100785309262541</v>
      </c>
      <c r="CV14" s="13">
        <f t="shared" si="41"/>
        <v>7.3867373282653306</v>
      </c>
      <c r="CW14" s="20">
        <f t="shared" si="13"/>
        <v>53.099101927027704</v>
      </c>
      <c r="CX14" s="59">
        <f t="shared" si="14"/>
        <v>346.43243526036099</v>
      </c>
      <c r="CY14" s="59">
        <f ca="1">AVERAGE(OFFSET($CX$3,0,0,'Données projet'!$E$13+1,1))-AVERAGE(OFFSET($H$3,0,0,'Données projet'!$E$13+1,1))</f>
        <v>243.38048563215585</v>
      </c>
      <c r="CZ14" s="59">
        <f t="shared" si="42"/>
        <v>372.1604147006675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4.8</v>
      </c>
      <c r="DO14" s="12">
        <f>IF('Données projet'!$A$166&gt;35,DO13+DN14-DW13,IF(A14&lt;'Données projet'!$A$166,$DL$205^A14,IF(A14='Données projet'!$A$166,'Données projet'!$B$166,DO13+DN14-DW13)))</f>
        <v>12.309748449085985</v>
      </c>
      <c r="DP14" s="17">
        <f>DO14*VLOOKUP('Données projet'!$B$14,Paramètres!$A$1:$I$89,3,0)*VLOOKUP('Données projet'!$B$14,Paramètres!$A$1:$I$89,5,0)</f>
        <v>7.0411761128771833</v>
      </c>
      <c r="DQ14" s="13">
        <f t="shared" si="43"/>
        <v>2.585421581707275</v>
      </c>
      <c r="DR14" s="20">
        <f t="shared" si="16"/>
        <v>16.76632431806793</v>
      </c>
      <c r="DS14" s="59">
        <f t="shared" si="17"/>
        <v>310.09965765140123</v>
      </c>
      <c r="DT14" s="59">
        <f ca="1">AVERAGE(OFFSET($DS$3,0,0,'Données projet'!$E$14+1,1))-AVERAGE(OFFSET($H$3,0,0,'Données projet'!$E$14+1,1))</f>
        <v>227.99747790451215</v>
      </c>
      <c r="DU14" s="59">
        <f t="shared" si="44"/>
        <v>209.49597700966933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7.35</v>
      </c>
      <c r="EJ14" s="12">
        <f>IF('Données projet'!$A$192&gt;35,EJ13+EI14-ER13,IF(A14&lt;'Données projet'!$A$192,$EG$205^A14,IF(A14='Données projet'!$A$192,'Données projet'!$B$192,EJ13+EI14-ER13)))</f>
        <v>15.560535335107367</v>
      </c>
      <c r="EK14" s="17">
        <f>EJ14*VLOOKUP('Données projet'!$B$15,Paramètres!$A$1:$I$89,3,0)*VLOOKUP('Données projet'!$B$15,Paramètres!$A$1:$I$89,5,0)</f>
        <v>6.8777566181174565</v>
      </c>
      <c r="EL14" s="13">
        <f t="shared" si="45"/>
        <v>2.5323286028504346</v>
      </c>
      <c r="EM14" s="20">
        <f t="shared" si="19"/>
        <v>16.389231759852411</v>
      </c>
      <c r="EN14" s="59">
        <f t="shared" si="20"/>
        <v>309.72256509318572</v>
      </c>
      <c r="EO14" s="59">
        <f ca="1">AVERAGE(OFFSET($EN$3,0,0,'Données projet'!$E$15+1,1))-AVERAGE(OFFSET($H$3,0,0,'Données projet'!$E$15+1,1))</f>
        <v>335.27356627949155</v>
      </c>
      <c r="EP14" s="59">
        <f t="shared" si="46"/>
        <v>322.66829503077247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321.15620406350808</v>
      </c>
      <c r="S15" s="59">
        <f ca="1">AVERAGE(OFFSET($R$3,0,0,'Données projet'!$E$9+1,1))-AVERAGE(OFFSET($H$3,0,0,'Données projet'!$E$9+1,1))</f>
        <v>319.18811755575183</v>
      </c>
      <c r="T15" s="59">
        <f t="shared" si="34"/>
        <v>234.87694492493506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15.3</v>
      </c>
      <c r="AI15" s="13">
        <f>IF('Données projet'!$A$62&gt;35,AI14+AH15-AQ14,IF(A15&lt;'Données projet'!$A$62,$AF$205^A15,IF(A15='Données projet'!$A$62,'Données projet'!$B$62,AI14+AH15-AQ14)))</f>
        <v>42.599999999999994</v>
      </c>
      <c r="AJ15" s="13">
        <f>AI15*VLOOKUP('Données projet'!$B$10,Paramètres!$A$1:$I$89,3,0)*VLOOKUP('Données projet'!$B$10,Paramètres!$A$1:$I$89,5,0)</f>
        <v>33.892560000000003</v>
      </c>
      <c r="AK15" s="13">
        <f t="shared" si="35"/>
        <v>10.364593873146402</v>
      </c>
      <c r="AL15" s="20">
        <f t="shared" si="4"/>
        <v>77.08120966239666</v>
      </c>
      <c r="AM15" s="59">
        <f t="shared" si="5"/>
        <v>370.41454299572996</v>
      </c>
      <c r="AN15" s="59">
        <f ca="1">AVERAGE(OFFSET($AM$3,0,0,'Données projet'!$E$10+1,1))-AVERAGE(OFFSET($H$3,0,0,'Données projet'!$E$10+1,1))</f>
        <v>314.94704727988847</v>
      </c>
      <c r="AO15" s="59">
        <f t="shared" si="36"/>
        <v>366.49199094166454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0.76870560075726657</v>
      </c>
      <c r="AW15" s="21">
        <f>EXP(-LN(2)/2)*AW14+(1-EXP(-LN(2)/2))/(LN(2)/2)*AQ15*AT15*VLOOKUP('Données projet'!$B$10,Paramètres!$A$1:$I$89,3,0)*0.475*44/12</f>
        <v>0.65683626160254105</v>
      </c>
      <c r="AX15" s="21">
        <f t="shared" si="6"/>
        <v>1.4255418623598075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15.3</v>
      </c>
      <c r="BD15" s="12">
        <f>IF('Données projet'!$A$88&gt;35,BD14+BC15-BL14,IF(A15&lt;'Données projet'!$A$88,$BA$205^A15,IF(A15='Données projet'!$A$88,'Données projet'!$B$88,BD14+BC15-BL14)))</f>
        <v>42.599999999999994</v>
      </c>
      <c r="BE15" s="13">
        <f>BD15*VLOOKUP('Données projet'!$B$11,Paramètres!$A$1:$I$89,3,0)*VLOOKUP('Données projet'!$B$11,Paramètres!$A$1:$I$89,5,0)</f>
        <v>27.911519999999996</v>
      </c>
      <c r="BF15" s="13">
        <f t="shared" si="37"/>
        <v>8.7306455059670878</v>
      </c>
      <c r="BG15" s="20">
        <f t="shared" si="7"/>
        <v>63.81843825622601</v>
      </c>
      <c r="BH15" s="59">
        <f t="shared" si="8"/>
        <v>357.1517715895593</v>
      </c>
      <c r="BI15" s="59">
        <f ca="1">AVERAGE(OFFSET($BH$3,0,0,'Données projet'!$E$11+1,1))-AVERAGE(OFFSET($H$3,0,0,'Données projet'!$E$11+1,1))</f>
        <v>246.64951465060813</v>
      </c>
      <c r="BJ15" s="59">
        <f t="shared" si="38"/>
        <v>292.64550285216865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0.51360795966245776</v>
      </c>
      <c r="BR15" s="21">
        <f>EXP(-LN(2)/2)*BR14+(1-EXP(-LN(2)/2))/(LN(2)/2)*BL15*BO15*VLOOKUP('Données projet'!$B$11,Paramètres!$A$1:$I$89,3,0)*0.475*44/12</f>
        <v>0.54092398014326926</v>
      </c>
      <c r="BS15" s="22">
        <f t="shared" si="9"/>
        <v>1.0545319398057269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15.3</v>
      </c>
      <c r="BY15" s="12">
        <f>IF('Données projet'!$A$114&gt;35,BY14+BX15-CG14,IF(A15&lt;'Données projet'!$A$114,$BV$205^A15,IF(A15='Données projet'!$A$114,'Données projet'!$B$114,BY14+BX15-CG14)))</f>
        <v>42.599999999999994</v>
      </c>
      <c r="BZ15" s="13">
        <f>BY15*VLOOKUP('Données projet'!$B$12,Paramètres!$A$1:$I$89,3,0)*VLOOKUP('Données projet'!$B$12,Paramètres!$A$1:$I$89,5,0)</f>
        <v>28.576079999999997</v>
      </c>
      <c r="CA15" s="13">
        <f t="shared" si="39"/>
        <v>8.9140693621013138</v>
      </c>
      <c r="CB15" s="20">
        <f t="shared" si="10"/>
        <v>65.295343472326451</v>
      </c>
      <c r="CC15" s="59">
        <f t="shared" si="11"/>
        <v>358.62867680565978</v>
      </c>
      <c r="CD15" s="59">
        <f ca="1">AVERAGE(OFFSET($CC$3,0,0,'Données projet'!$E$12+1,1))-AVERAGE(OFFSET($H$3,0,0,'Données projet'!$E$12+1,1))</f>
        <v>254.25222107710192</v>
      </c>
      <c r="CE15" s="59">
        <f t="shared" si="40"/>
        <v>300.86609173447573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0.64812433005024461</v>
      </c>
      <c r="CM15" s="21">
        <f>EXP(-LN(2)/2)*CM14+(1-EXP(-LN(2)/2))/(LN(2)/2)*CG15*CJ15*VLOOKUP('Données projet'!$B$12,Paramètres!$A$1:$I$89,3,0)*0.475*44/12</f>
        <v>0.55380312252763275</v>
      </c>
      <c r="CN15" s="22">
        <f t="shared" si="12"/>
        <v>1.2019274525778774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5.8</v>
      </c>
      <c r="CT15" s="12">
        <f>IF('Données projet'!$A$140&gt;35,CT14+CS15-DB14,IF(A15&lt;'Données projet'!$A$140,$CQ$205^A15,IF(A15='Données projet'!$A$140,'Données projet'!$B$140,CT14+CS15-DB14)))</f>
        <v>35.613561093793592</v>
      </c>
      <c r="CU15" s="17">
        <f>CT15*VLOOKUP('Données projet'!$B$13,Paramètres!$A$1:$I$89,3,0)*VLOOKUP('Données projet'!$B$13,Paramètres!$A$1:$I$89,5,0)</f>
        <v>31.112006971538086</v>
      </c>
      <c r="CV15" s="13">
        <f t="shared" si="41"/>
        <v>9.6095548481396289</v>
      </c>
      <c r="CW15" s="20">
        <f t="shared" si="13"/>
        <v>70.9233868359387</v>
      </c>
      <c r="CX15" s="59">
        <f t="shared" si="14"/>
        <v>364.256720169272</v>
      </c>
      <c r="CY15" s="59">
        <f ca="1">AVERAGE(OFFSET($CX$3,0,0,'Données projet'!$E$13+1,1))-AVERAGE(OFFSET($H$3,0,0,'Données projet'!$E$13+1,1))</f>
        <v>243.38048563215585</v>
      </c>
      <c r="CZ15" s="59">
        <f t="shared" si="42"/>
        <v>372.1604147006675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4.8</v>
      </c>
      <c r="DO15" s="12">
        <f>IF('Données projet'!$A$166&gt;35,DO14+DN15-DW14,IF(A15&lt;'Données projet'!$A$166,$DL$205^A15,IF(A15='Données projet'!$A$166,'Données projet'!$B$166,DO14+DN15-DW14)))</f>
        <v>15.465456359454105</v>
      </c>
      <c r="DP15" s="17">
        <f>DO15*VLOOKUP('Données projet'!$B$14,Paramètres!$A$1:$I$89,3,0)*VLOOKUP('Données projet'!$B$14,Paramètres!$A$1:$I$89,5,0)</f>
        <v>8.8462410376077489</v>
      </c>
      <c r="DQ15" s="13">
        <f t="shared" si="43"/>
        <v>3.1630649722920126</v>
      </c>
      <c r="DR15" s="20">
        <f t="shared" si="16"/>
        <v>20.916207967242084</v>
      </c>
      <c r="DS15" s="59">
        <f t="shared" si="17"/>
        <v>314.2495413005754</v>
      </c>
      <c r="DT15" s="59">
        <f ca="1">AVERAGE(OFFSET($DS$3,0,0,'Données projet'!$E$14+1,1))-AVERAGE(OFFSET($H$3,0,0,'Données projet'!$E$14+1,1))</f>
        <v>227.99747790451215</v>
      </c>
      <c r="DU15" s="59">
        <f t="shared" si="44"/>
        <v>209.49597700966933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7.35</v>
      </c>
      <c r="EJ15" s="12">
        <f>IF('Données projet'!$A$192&gt;35,EJ14+EI15-ER14,IF(A15&lt;'Données projet'!$A$192,$EG$205^A15,IF(A15='Données projet'!$A$192,'Données projet'!$B$192,EJ14+EI15-ER14)))</f>
        <v>19.970567248707361</v>
      </c>
      <c r="EK15" s="17">
        <f>EJ15*VLOOKUP('Données projet'!$B$15,Paramètres!$A$1:$I$89,3,0)*VLOOKUP('Données projet'!$B$15,Paramètres!$A$1:$I$89,5,0)</f>
        <v>8.8269907239286542</v>
      </c>
      <c r="EL15" s="13">
        <f t="shared" si="45"/>
        <v>3.1569822511622658</v>
      </c>
      <c r="EM15" s="20">
        <f t="shared" si="19"/>
        <v>20.872086264950017</v>
      </c>
      <c r="EN15" s="59">
        <f t="shared" si="20"/>
        <v>314.20541959828336</v>
      </c>
      <c r="EO15" s="59">
        <f ca="1">AVERAGE(OFFSET($EN$3,0,0,'Données projet'!$E$15+1,1))-AVERAGE(OFFSET($H$3,0,0,'Données projet'!$E$15+1,1))</f>
        <v>335.27356627949155</v>
      </c>
      <c r="EP15" s="59">
        <f t="shared" si="46"/>
        <v>322.66829503077247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327.59504121177019</v>
      </c>
      <c r="S16" s="59">
        <f ca="1">AVERAGE(OFFSET($R$3,0,0,'Données projet'!$E$9+1,1))-AVERAGE(OFFSET($H$3,0,0,'Données projet'!$E$9+1,1))</f>
        <v>319.18811755575183</v>
      </c>
      <c r="T16" s="59">
        <f t="shared" si="34"/>
        <v>234.87694492493506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15.3</v>
      </c>
      <c r="AI16" s="13">
        <f>IF('Données projet'!$A$62&gt;35,AI15+AH16-AQ15,IF(A16&lt;'Données projet'!$A$62,$AF$205^A16,IF(A16='Données projet'!$A$62,'Données projet'!$B$62,AI15+AH16-AQ15)))</f>
        <v>57.899999999999991</v>
      </c>
      <c r="AJ16" s="13">
        <f>AI16*VLOOKUP('Données projet'!$B$10,Paramètres!$A$1:$I$89,3,0)*VLOOKUP('Données projet'!$B$10,Paramètres!$A$1:$I$89,5,0)</f>
        <v>46.065239999999996</v>
      </c>
      <c r="AK16" s="13">
        <f t="shared" si="35"/>
        <v>13.592794353923109</v>
      </c>
      <c r="AL16" s="20">
        <f t="shared" si="4"/>
        <v>103.90440983308274</v>
      </c>
      <c r="AM16" s="59">
        <f t="shared" si="5"/>
        <v>397.23774316641607</v>
      </c>
      <c r="AN16" s="59">
        <f ca="1">AVERAGE(OFFSET($AM$3,0,0,'Données projet'!$E$10+1,1))-AVERAGE(OFFSET($H$3,0,0,'Données projet'!$E$10+1,1))</f>
        <v>314.94704727988847</v>
      </c>
      <c r="AO16" s="59">
        <f t="shared" si="36"/>
        <v>366.49199094166454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0.74768530568008851</v>
      </c>
      <c r="AW16" s="21">
        <f>EXP(-LN(2)/2)*AW15+(1-EXP(-LN(2)/2))/(LN(2)/2)*AQ16*AT16*VLOOKUP('Données projet'!$B$10,Paramètres!$A$1:$I$89,3,0)*0.475*44/12</f>
        <v>0.46445337470837789</v>
      </c>
      <c r="AX16" s="21">
        <f t="shared" si="6"/>
        <v>1.2121386803884664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15.3</v>
      </c>
      <c r="BD16" s="12">
        <f>IF('Données projet'!$A$88&gt;35,BD15+BC16-BL15,IF(A16&lt;'Données projet'!$A$88,$BA$205^A16,IF(A16='Données projet'!$A$88,'Données projet'!$B$88,BD15+BC16-BL15)))</f>
        <v>57.899999999999991</v>
      </c>
      <c r="BE16" s="13">
        <f>BD16*VLOOKUP('Données projet'!$B$11,Paramètres!$A$1:$I$89,3,0)*VLOOKUP('Données projet'!$B$11,Paramètres!$A$1:$I$89,5,0)</f>
        <v>37.93607999999999</v>
      </c>
      <c r="BF16" s="13">
        <f t="shared" si="37"/>
        <v>11.449929480313299</v>
      </c>
      <c r="BG16" s="20">
        <f t="shared" si="7"/>
        <v>86.013966511545632</v>
      </c>
      <c r="BH16" s="59">
        <f t="shared" si="8"/>
        <v>379.34729984487893</v>
      </c>
      <c r="BI16" s="59">
        <f ca="1">AVERAGE(OFFSET($BH$3,0,0,'Données projet'!$E$11+1,1))-AVERAGE(OFFSET($H$3,0,0,'Données projet'!$E$11+1,1))</f>
        <v>246.64951465060813</v>
      </c>
      <c r="BJ16" s="59">
        <f t="shared" si="38"/>
        <v>292.64550285216865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0.49956332299601913</v>
      </c>
      <c r="BR16" s="21">
        <f>EXP(-LN(2)/2)*BR15+(1-EXP(-LN(2)/2))/(LN(2)/2)*BL16*BO16*VLOOKUP('Données projet'!$B$11,Paramètres!$A$1:$I$89,3,0)*0.475*44/12</f>
        <v>0.38249101446572309</v>
      </c>
      <c r="BS16" s="22">
        <f t="shared" si="9"/>
        <v>0.88205433746174222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15.3</v>
      </c>
      <c r="BY16" s="12">
        <f>IF('Données projet'!$A$114&gt;35,BY15+BX16-CG15,IF(A16&lt;'Données projet'!$A$114,$BV$205^A16,IF(A16='Données projet'!$A$114,'Données projet'!$B$114,BY15+BX16-CG15)))</f>
        <v>57.899999999999991</v>
      </c>
      <c r="BZ16" s="13">
        <f>BY16*VLOOKUP('Données projet'!$B$12,Paramètres!$A$1:$I$89,3,0)*VLOOKUP('Données projet'!$B$12,Paramètres!$A$1:$I$89,5,0)</f>
        <v>38.839319999999994</v>
      </c>
      <c r="CA16" s="13">
        <f t="shared" si="39"/>
        <v>11.690483310646762</v>
      </c>
      <c r="CB16" s="20">
        <f t="shared" si="10"/>
        <v>88.006074099376448</v>
      </c>
      <c r="CC16" s="59">
        <f t="shared" si="11"/>
        <v>381.33940743270978</v>
      </c>
      <c r="CD16" s="59">
        <f ca="1">AVERAGE(OFFSET($CC$3,0,0,'Données projet'!$E$12+1,1))-AVERAGE(OFFSET($H$3,0,0,'Données projet'!$E$12+1,1))</f>
        <v>254.25222107710192</v>
      </c>
      <c r="CE16" s="59">
        <f t="shared" si="40"/>
        <v>300.86609173447573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0.63040133616164351</v>
      </c>
      <c r="CM16" s="21">
        <f>EXP(-LN(2)/2)*CM15+(1-EXP(-LN(2)/2))/(LN(2)/2)*CG16*CJ16*VLOOKUP('Données projet'!$B$12,Paramètres!$A$1:$I$89,3,0)*0.475*44/12</f>
        <v>0.39159794338157361</v>
      </c>
      <c r="CN16" s="22">
        <f t="shared" si="12"/>
        <v>1.0219992795432171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5.8</v>
      </c>
      <c r="CT16" s="12">
        <f>IF('Données projet'!$A$140&gt;35,CT15+CS16-DB15,IF(A16&lt;'Données projet'!$A$140,$CQ$205^A16,IF(A16='Données projet'!$A$140,'Données projet'!$B$140,CT15+CS16-DB15)))</f>
        <v>47.964142612378375</v>
      </c>
      <c r="CU16" s="17">
        <f>CT16*VLOOKUP('Données projet'!$B$13,Paramètres!$A$1:$I$89,3,0)*VLOOKUP('Données projet'!$B$13,Paramètres!$A$1:$I$89,5,0)</f>
        <v>41.901474986173753</v>
      </c>
      <c r="CV16" s="13">
        <f t="shared" si="41"/>
        <v>12.501262773491545</v>
      </c>
      <c r="CW16" s="20">
        <f t="shared" si="13"/>
        <v>94.751434931417066</v>
      </c>
      <c r="CX16" s="59">
        <f t="shared" si="14"/>
        <v>388.08476826475038</v>
      </c>
      <c r="CY16" s="59">
        <f ca="1">AVERAGE(OFFSET($CX$3,0,0,'Données projet'!$E$13+1,1))-AVERAGE(OFFSET($H$3,0,0,'Données projet'!$E$13+1,1))</f>
        <v>243.38048563215585</v>
      </c>
      <c r="CZ16" s="59">
        <f t="shared" si="42"/>
        <v>372.1604147006675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4.8</v>
      </c>
      <c r="DO16" s="12">
        <f>IF('Données projet'!$A$166&gt;35,DO15+DN16-DW15,IF(A16&lt;'Données projet'!$A$166,$DL$205^A16,IF(A16='Données projet'!$A$166,'Données projet'!$B$166,DO15+DN16-DW15)))</f>
        <v>19.430156627119288</v>
      </c>
      <c r="DP16" s="17">
        <f>DO16*VLOOKUP('Données projet'!$B$14,Paramètres!$A$1:$I$89,3,0)*VLOOKUP('Données projet'!$B$14,Paramètres!$A$1:$I$89,5,0)</f>
        <v>11.114049590712233</v>
      </c>
      <c r="DQ16" s="13">
        <f t="shared" si="43"/>
        <v>3.8697673484778101</v>
      </c>
      <c r="DR16" s="20">
        <f t="shared" si="16"/>
        <v>26.096814502422657</v>
      </c>
      <c r="DS16" s="59">
        <f t="shared" si="17"/>
        <v>319.43014783575597</v>
      </c>
      <c r="DT16" s="59">
        <f ca="1">AVERAGE(OFFSET($DS$3,0,0,'Données projet'!$E$14+1,1))-AVERAGE(OFFSET($H$3,0,0,'Données projet'!$E$14+1,1))</f>
        <v>227.99747790451215</v>
      </c>
      <c r="DU16" s="59">
        <f t="shared" si="44"/>
        <v>209.49597700966933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7.35</v>
      </c>
      <c r="EJ16" s="12">
        <f>IF('Données projet'!$A$192&gt;35,EJ15+EI16-ER15,IF(A16&lt;'Données projet'!$A$192,$EG$205^A16,IF(A16='Données projet'!$A$192,'Données projet'!$B$192,EJ15+EI16-ER15)))</f>
        <v>25.630452143592095</v>
      </c>
      <c r="EK16" s="17">
        <f>EJ16*VLOOKUP('Données projet'!$B$15,Paramètres!$A$1:$I$89,3,0)*VLOOKUP('Données projet'!$B$15,Paramètres!$A$1:$I$89,5,0)</f>
        <v>11.328659847467708</v>
      </c>
      <c r="EL16" s="13">
        <f t="shared" si="45"/>
        <v>3.9357202390460144</v>
      </c>
      <c r="EM16" s="20">
        <f t="shared" si="19"/>
        <v>26.585461984011399</v>
      </c>
      <c r="EN16" s="59">
        <f t="shared" si="20"/>
        <v>319.91879531734469</v>
      </c>
      <c r="EO16" s="59">
        <f ca="1">AVERAGE(OFFSET($EN$3,0,0,'Données projet'!$E$15+1,1))-AVERAGE(OFFSET($H$3,0,0,'Données projet'!$E$15+1,1))</f>
        <v>335.27356627949155</v>
      </c>
      <c r="EP16" s="59">
        <f t="shared" si="46"/>
        <v>322.66829503077247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335.52892963000164</v>
      </c>
      <c r="S17" s="59">
        <f ca="1">AVERAGE(OFFSET($R$3,0,0,'Données projet'!$E$9+1,1))-AVERAGE(OFFSET($H$3,0,0,'Données projet'!$E$9+1,1))</f>
        <v>319.18811755575183</v>
      </c>
      <c r="T17" s="59">
        <f t="shared" si="34"/>
        <v>234.87694492493506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15.3</v>
      </c>
      <c r="AI17" s="13">
        <f>IF('Données projet'!$A$62&gt;35,AI16+AH17-AQ16,IF(A17&lt;'Données projet'!$A$62,$AF$205^A17,IF(A17='Données projet'!$A$62,'Données projet'!$B$62,AI16+AH17-AQ16)))</f>
        <v>73.199999999999989</v>
      </c>
      <c r="AJ17" s="13">
        <f>AI17*VLOOKUP('Données projet'!$B$10,Paramètres!$A$1:$I$89,3,0)*VLOOKUP('Données projet'!$B$10,Paramètres!$A$1:$I$89,5,0)</f>
        <v>58.237919999999995</v>
      </c>
      <c r="AK17" s="13">
        <f t="shared" si="35"/>
        <v>16.72198997753117</v>
      </c>
      <c r="AL17" s="20">
        <f t="shared" si="4"/>
        <v>130.55517654420012</v>
      </c>
      <c r="AM17" s="59">
        <f t="shared" si="5"/>
        <v>423.88850987753347</v>
      </c>
      <c r="AN17" s="59">
        <f ca="1">AVERAGE(OFFSET($AM$3,0,0,'Données projet'!$E$10+1,1))-AVERAGE(OFFSET($H$3,0,0,'Données projet'!$E$10+1,1))</f>
        <v>314.94704727988847</v>
      </c>
      <c r="AO17" s="59">
        <f t="shared" si="36"/>
        <v>366.49199094166454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0.72723981167720508</v>
      </c>
      <c r="AW17" s="21">
        <f>EXP(-LN(2)/2)*AW16+(1-EXP(-LN(2)/2))/(LN(2)/2)*AQ17*AT17*VLOOKUP('Données projet'!$B$10,Paramètres!$A$1:$I$89,3,0)*0.475*44/12</f>
        <v>0.32841813080127052</v>
      </c>
      <c r="AX17" s="21">
        <f t="shared" si="6"/>
        <v>1.0556579424784756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15.3</v>
      </c>
      <c r="BD17" s="12">
        <f>IF('Données projet'!$A$88&gt;35,BD16+BC17-BL16,IF(A17&lt;'Données projet'!$A$88,$BA$205^A17,IF(A17='Données projet'!$A$88,'Données projet'!$B$88,BD16+BC17-BL16)))</f>
        <v>73.199999999999989</v>
      </c>
      <c r="BE17" s="13">
        <f>BD17*VLOOKUP('Données projet'!$B$11,Paramètres!$A$1:$I$89,3,0)*VLOOKUP('Données projet'!$B$11,Paramètres!$A$1:$I$89,5,0)</f>
        <v>47.960639999999991</v>
      </c>
      <c r="BF17" s="13">
        <f t="shared" si="37"/>
        <v>14.08581642802368</v>
      </c>
      <c r="BG17" s="20">
        <f t="shared" si="7"/>
        <v>108.06424494547456</v>
      </c>
      <c r="BH17" s="59">
        <f t="shared" si="8"/>
        <v>401.39757827880788</v>
      </c>
      <c r="BI17" s="59">
        <f ca="1">AVERAGE(OFFSET($BH$3,0,0,'Données projet'!$E$11+1,1))-AVERAGE(OFFSET($H$3,0,0,'Données projet'!$E$11+1,1))</f>
        <v>246.64951465060813</v>
      </c>
      <c r="BJ17" s="59">
        <f t="shared" si="38"/>
        <v>292.64550285216865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0.48590273765779962</v>
      </c>
      <c r="BR17" s="21">
        <f>EXP(-LN(2)/2)*BR16+(1-EXP(-LN(2)/2))/(LN(2)/2)*BL17*BO17*VLOOKUP('Données projet'!$B$11,Paramètres!$A$1:$I$89,3,0)*0.475*44/12</f>
        <v>0.27046199007163468</v>
      </c>
      <c r="BS17" s="22">
        <f t="shared" si="9"/>
        <v>0.75636472772943431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15.3</v>
      </c>
      <c r="BY17" s="12">
        <f>IF('Données projet'!$A$114&gt;35,BY16+BX17-CG16,IF(A17&lt;'Données projet'!$A$114,$BV$205^A17,IF(A17='Données projet'!$A$114,'Données projet'!$B$114,BY16+BX17-CG16)))</f>
        <v>73.199999999999989</v>
      </c>
      <c r="BZ17" s="13">
        <f>BY17*VLOOKUP('Données projet'!$B$12,Paramètres!$A$1:$I$89,3,0)*VLOOKUP('Données projet'!$B$12,Paramètres!$A$1:$I$89,5,0)</f>
        <v>49.102559999999997</v>
      </c>
      <c r="CA17" s="13">
        <f t="shared" si="39"/>
        <v>14.38174812794909</v>
      </c>
      <c r="CB17" s="20">
        <f t="shared" si="10"/>
        <v>110.56850332284465</v>
      </c>
      <c r="CC17" s="59">
        <f t="shared" si="11"/>
        <v>403.90183665617798</v>
      </c>
      <c r="CD17" s="59">
        <f ca="1">AVERAGE(OFFSET($CC$3,0,0,'Données projet'!$E$12+1,1))-AVERAGE(OFFSET($H$3,0,0,'Données projet'!$E$12+1,1))</f>
        <v>254.25222107710192</v>
      </c>
      <c r="CE17" s="59">
        <f t="shared" si="40"/>
        <v>300.86609173447573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0.61316297847293788</v>
      </c>
      <c r="CM17" s="21">
        <f>EXP(-LN(2)/2)*CM16+(1-EXP(-LN(2)/2))/(LN(2)/2)*CG17*CJ17*VLOOKUP('Données projet'!$B$12,Paramètres!$A$1:$I$89,3,0)*0.475*44/12</f>
        <v>0.27690156126381643</v>
      </c>
      <c r="CN17" s="22">
        <f t="shared" si="12"/>
        <v>0.89006453973675437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5.8</v>
      </c>
      <c r="CT17" s="12">
        <f>IF('Données projet'!$A$140&gt;35,CT16+CS17-DB16,IF(A17&lt;'Données projet'!$A$140,$CQ$205^A17,IF(A17='Données projet'!$A$140,'Données projet'!$B$140,CT16+CS17-DB16)))</f>
        <v>64.597835933388069</v>
      </c>
      <c r="CU17" s="17">
        <f>CT17*VLOOKUP('Données projet'!$B$13,Paramètres!$A$1:$I$89,3,0)*VLOOKUP('Données projet'!$B$13,Paramètres!$A$1:$I$89,5,0)</f>
        <v>56.432669471407827</v>
      </c>
      <c r="CV17" s="13">
        <f t="shared" si="41"/>
        <v>16.263143652501352</v>
      </c>
      <c r="CW17" s="20">
        <f t="shared" si="13"/>
        <v>126.61187452414181</v>
      </c>
      <c r="CX17" s="59">
        <f t="shared" si="14"/>
        <v>419.94520785747511</v>
      </c>
      <c r="CY17" s="59">
        <f ca="1">AVERAGE(OFFSET($CX$3,0,0,'Données projet'!$E$13+1,1))-AVERAGE(OFFSET($H$3,0,0,'Données projet'!$E$13+1,1))</f>
        <v>243.38048563215585</v>
      </c>
      <c r="CZ17" s="59">
        <f t="shared" si="42"/>
        <v>372.1604147006675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4.8</v>
      </c>
      <c r="DO17" s="12">
        <f>IF('Données projet'!$A$166&gt;35,DO16+DN17-DW16,IF(A17&lt;'Données projet'!$A$166,$DL$205^A17,IF(A17='Données projet'!$A$166,'Données projet'!$B$166,DO16+DN17-DW16)))</f>
        <v>24.411241270846887</v>
      </c>
      <c r="DP17" s="17">
        <f>DO17*VLOOKUP('Données projet'!$B$14,Paramètres!$A$1:$I$89,3,0)*VLOOKUP('Données projet'!$B$14,Paramètres!$A$1:$I$89,5,0)</f>
        <v>13.96323000692442</v>
      </c>
      <c r="DQ17" s="13">
        <f t="shared" si="43"/>
        <v>4.734363493170286</v>
      </c>
      <c r="DR17" s="20">
        <f t="shared" si="16"/>
        <v>32.56497534599827</v>
      </c>
      <c r="DS17" s="59">
        <f t="shared" si="17"/>
        <v>325.89830867933159</v>
      </c>
      <c r="DT17" s="59">
        <f ca="1">AVERAGE(OFFSET($DS$3,0,0,'Données projet'!$E$14+1,1))-AVERAGE(OFFSET($H$3,0,0,'Données projet'!$E$14+1,1))</f>
        <v>227.99747790451215</v>
      </c>
      <c r="DU17" s="59">
        <f t="shared" si="44"/>
        <v>209.49597700966933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7.35</v>
      </c>
      <c r="EJ17" s="12">
        <f>IF('Données projet'!$A$192&gt;35,EJ16+EI17-ER16,IF(A17&lt;'Données projet'!$A$192,$EG$205^A17,IF(A17='Données projet'!$A$192,'Données projet'!$B$192,EJ16+EI17-ER16)))</f>
        <v>32.894412507360563</v>
      </c>
      <c r="EK17" s="17">
        <f>EJ17*VLOOKUP('Données projet'!$B$15,Paramètres!$A$1:$I$89,3,0)*VLOOKUP('Données projet'!$B$15,Paramètres!$A$1:$I$89,5,0)</f>
        <v>14.539330328253371</v>
      </c>
      <c r="EL17" s="13">
        <f t="shared" si="45"/>
        <v>4.9065508031708758</v>
      </c>
      <c r="EM17" s="20">
        <f t="shared" si="19"/>
        <v>33.868242970563898</v>
      </c>
      <c r="EN17" s="59">
        <f t="shared" si="20"/>
        <v>327.20157630389724</v>
      </c>
      <c r="EO17" s="59">
        <f ca="1">AVERAGE(OFFSET($EN$3,0,0,'Données projet'!$E$15+1,1))-AVERAGE(OFFSET($H$3,0,0,'Données projet'!$E$15+1,1))</f>
        <v>335.27356627949155</v>
      </c>
      <c r="EP17" s="59">
        <f t="shared" si="46"/>
        <v>322.66829503077247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345.30607962204783</v>
      </c>
      <c r="S18" s="59">
        <f ca="1">AVERAGE(OFFSET($R$3,0,0,'Données projet'!$E$9+1,1))-AVERAGE(OFFSET($H$3,0,0,'Données projet'!$E$9+1,1))</f>
        <v>319.18811755575183</v>
      </c>
      <c r="T18" s="59">
        <f t="shared" si="34"/>
        <v>234.87694492493506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15.3</v>
      </c>
      <c r="AI18" s="13">
        <f>IF('Données projet'!$A$62&gt;35,AI17+AH18-AQ17,IF(A18&lt;'Données projet'!$A$62,$AF$205^A18,IF(A18='Données projet'!$A$62,'Données projet'!$B$62,AI17+AH18-AQ17)))</f>
        <v>88.499999999999986</v>
      </c>
      <c r="AJ18" s="13">
        <f>AI18*VLOOKUP('Données projet'!$B$10,Paramètres!$A$1:$I$89,3,0)*VLOOKUP('Données projet'!$B$10,Paramètres!$A$1:$I$89,5,0)</f>
        <v>70.410599999999988</v>
      </c>
      <c r="AK18" s="13">
        <f t="shared" si="35"/>
        <v>19.775389288717292</v>
      </c>
      <c r="AL18" s="20">
        <f t="shared" si="4"/>
        <v>157.07393134451593</v>
      </c>
      <c r="AM18" s="59">
        <f t="shared" si="5"/>
        <v>450.40726467784924</v>
      </c>
      <c r="AN18" s="59">
        <f ca="1">AVERAGE(OFFSET($AM$3,0,0,'Données projet'!$E$10+1,1))-AVERAGE(OFFSET($H$3,0,0,'Données projet'!$E$10+1,1))</f>
        <v>314.94704727988847</v>
      </c>
      <c r="AO18" s="59">
        <f t="shared" si="36"/>
        <v>366.49199094166454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0.70735340078301234</v>
      </c>
      <c r="AW18" s="21">
        <f>EXP(-LN(2)/2)*AW17+(1-EXP(-LN(2)/2))/(LN(2)/2)*AQ18*AT18*VLOOKUP('Données projet'!$B$10,Paramètres!$A$1:$I$89,3,0)*0.475*44/12</f>
        <v>0.23222668735418894</v>
      </c>
      <c r="AX18" s="21">
        <f t="shared" si="6"/>
        <v>0.93958008813720129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15.3</v>
      </c>
      <c r="BD18" s="12">
        <f>IF('Données projet'!$A$88&gt;35,BD17+BC18-BL17,IF(A18&lt;'Données projet'!$A$88,$BA$205^A18,IF(A18='Données projet'!$A$88,'Données projet'!$B$88,BD17+BC18-BL17)))</f>
        <v>88.499999999999986</v>
      </c>
      <c r="BE18" s="13">
        <f>BD18*VLOOKUP('Données projet'!$B$11,Paramètres!$A$1:$I$89,3,0)*VLOOKUP('Données projet'!$B$11,Paramètres!$A$1:$I$89,5,0)</f>
        <v>57.985199999999992</v>
      </c>
      <c r="BF18" s="13">
        <f t="shared" si="37"/>
        <v>16.657856133621667</v>
      </c>
      <c r="BG18" s="20">
        <f t="shared" si="7"/>
        <v>130.00332276605772</v>
      </c>
      <c r="BH18" s="59">
        <f t="shared" si="8"/>
        <v>423.33665609939101</v>
      </c>
      <c r="BI18" s="59">
        <f ca="1">AVERAGE(OFFSET($BH$3,0,0,'Données projet'!$E$11+1,1))-AVERAGE(OFFSET($H$3,0,0,'Données projet'!$E$11+1,1))</f>
        <v>246.64951465060813</v>
      </c>
      <c r="BJ18" s="59">
        <f t="shared" si="38"/>
        <v>292.64550285216865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0.47261570174403267</v>
      </c>
      <c r="BR18" s="21">
        <f>EXP(-LN(2)/2)*BR17+(1-EXP(-LN(2)/2))/(LN(2)/2)*BL18*BO18*VLOOKUP('Données projet'!$B$11,Paramètres!$A$1:$I$89,3,0)*0.475*44/12</f>
        <v>0.1912455072328616</v>
      </c>
      <c r="BS18" s="22">
        <f t="shared" si="9"/>
        <v>0.66386120897689427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15.3</v>
      </c>
      <c r="BY18" s="12">
        <f>IF('Données projet'!$A$114&gt;35,BY17+BX18-CG17,IF(A18&lt;'Données projet'!$A$114,$BV$205^A18,IF(A18='Données projet'!$A$114,'Données projet'!$B$114,BY17+BX18-CG17)))</f>
        <v>88.499999999999986</v>
      </c>
      <c r="BZ18" s="13">
        <f>BY18*VLOOKUP('Données projet'!$B$12,Paramètres!$A$1:$I$89,3,0)*VLOOKUP('Données projet'!$B$12,Paramètres!$A$1:$I$89,5,0)</f>
        <v>59.365799999999993</v>
      </c>
      <c r="CA18" s="13">
        <f t="shared" si="39"/>
        <v>17.007824323816742</v>
      </c>
      <c r="CB18" s="20">
        <f t="shared" si="10"/>
        <v>133.01739569731413</v>
      </c>
      <c r="CC18" s="59">
        <f t="shared" si="11"/>
        <v>426.35072903064747</v>
      </c>
      <c r="CD18" s="59">
        <f ca="1">AVERAGE(OFFSET($CC$3,0,0,'Données projet'!$E$12+1,1))-AVERAGE(OFFSET($H$3,0,0,'Données projet'!$E$12+1,1))</f>
        <v>254.25222107710192</v>
      </c>
      <c r="CE18" s="59">
        <f t="shared" si="40"/>
        <v>300.86609173447573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0.59639600458175579</v>
      </c>
      <c r="CM18" s="21">
        <f>EXP(-LN(2)/2)*CM17+(1-EXP(-LN(2)/2))/(LN(2)/2)*CG18*CJ18*VLOOKUP('Données projet'!$B$12,Paramètres!$A$1:$I$89,3,0)*0.475*44/12</f>
        <v>0.19579897169078683</v>
      </c>
      <c r="CN18" s="22">
        <f t="shared" si="12"/>
        <v>0.79219497627254265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87</v>
      </c>
      <c r="CR18" s="12">
        <f>VLOOKUP(A18,'Données projet'!$A$139:$I$159,9,0)</f>
        <v>5.8</v>
      </c>
      <c r="CS18" s="12">
        <f t="array" ref="CS18">INDEX(CR:CR,MIN(IF(ISNUMBER(CR18:CR214),ROW(CR18:CR214),"")))</f>
        <v>5.8</v>
      </c>
      <c r="CT18" s="12">
        <f>IF('Données projet'!$A$140&gt;35,CT17+CS18-DB17,IF(A18&lt;'Données projet'!$A$140,$CQ$205^A18,IF(A18='Données projet'!$A$140,'Données projet'!$B$140,CT17+CS18-DB17)))</f>
        <v>87</v>
      </c>
      <c r="CU18" s="17">
        <f>CT18*VLOOKUP('Données projet'!$B$13,Paramètres!$A$1:$I$89,3,0)*VLOOKUP('Données projet'!$B$13,Paramètres!$A$1:$I$89,5,0)</f>
        <v>76.003200000000007</v>
      </c>
      <c r="CV18" s="13">
        <f t="shared" si="41"/>
        <v>21.157049992000456</v>
      </c>
      <c r="CW18" s="20">
        <f t="shared" si="13"/>
        <v>169.22076873606747</v>
      </c>
      <c r="CX18" s="59">
        <f t="shared" si="14"/>
        <v>462.55410206940076</v>
      </c>
      <c r="CY18" s="59">
        <f ca="1">AVERAGE(OFFSET($CX$3,0,0,'Données projet'!$E$13+1,1))-AVERAGE(OFFSET($H$3,0,0,'Données projet'!$E$13+1,1))</f>
        <v>243.38048563215585</v>
      </c>
      <c r="CZ18" s="59">
        <f t="shared" si="42"/>
        <v>372.1604147006675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21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0.1075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2.1715715165565586</v>
      </c>
      <c r="DH18" s="21">
        <f>EXP(-LN(2)/2)*DH17+(1-EXP(-LN(2)/2))/(LN(2)/2)*DB18*DE18*VLOOKUP('Données projet'!$B$13,Paramètres!$A$1:$I$89,3,0)*0.475*44/12</f>
        <v>4.3273918411461532</v>
      </c>
      <c r="DI18" s="22">
        <f t="shared" si="15"/>
        <v>6.4989633577027117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4.8</v>
      </c>
      <c r="DO18" s="12">
        <f>IF('Données projet'!$A$166&gt;35,DO17+DN18-DW17,IF(A18&lt;'Données projet'!$A$166,$DL$205^A18,IF(A18='Données projet'!$A$166,'Données projet'!$B$166,DO17+DN18-DW17)))</f>
        <v>30.669269003821089</v>
      </c>
      <c r="DP18" s="17">
        <f>DO18*VLOOKUP('Données projet'!$B$14,Paramètres!$A$1:$I$89,3,0)*VLOOKUP('Données projet'!$B$14,Paramètres!$A$1:$I$89,5,0)</f>
        <v>17.542821870185666</v>
      </c>
      <c r="DQ18" s="13">
        <f t="shared" si="43"/>
        <v>5.7921305512798549</v>
      </c>
      <c r="DR18" s="20">
        <f t="shared" si="16"/>
        <v>40.641708800719108</v>
      </c>
      <c r="DS18" s="59">
        <f t="shared" si="17"/>
        <v>333.97504213405244</v>
      </c>
      <c r="DT18" s="59">
        <f ca="1">AVERAGE(OFFSET($DS$3,0,0,'Données projet'!$E$14+1,1))-AVERAGE(OFFSET($H$3,0,0,'Données projet'!$E$14+1,1))</f>
        <v>227.99747790451215</v>
      </c>
      <c r="DU18" s="59">
        <f t="shared" si="44"/>
        <v>209.49597700966933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7.35</v>
      </c>
      <c r="EJ18" s="12">
        <f>IF('Données projet'!$A$192&gt;35,EJ17+EI18-ER17,IF(A18&lt;'Données projet'!$A$192,$EG$205^A18,IF(A18='Données projet'!$A$192,'Données projet'!$B$192,EJ17+EI18-ER17)))</f>
        <v>42.217061491633579</v>
      </c>
      <c r="EK18" s="17">
        <f>EJ18*VLOOKUP('Données projet'!$B$15,Paramètres!$A$1:$I$89,3,0)*VLOOKUP('Données projet'!$B$15,Paramètres!$A$1:$I$89,5,0)</f>
        <v>18.659941179302045</v>
      </c>
      <c r="EL18" s="13">
        <f t="shared" si="45"/>
        <v>6.1168577342611501</v>
      </c>
      <c r="EM18" s="20">
        <f t="shared" si="19"/>
        <v>43.15292477445589</v>
      </c>
      <c r="EN18" s="59">
        <f t="shared" si="20"/>
        <v>336.48625810778918</v>
      </c>
      <c r="EO18" s="59">
        <f ca="1">AVERAGE(OFFSET($EN$3,0,0,'Données projet'!$E$15+1,1))-AVERAGE(OFFSET($H$3,0,0,'Données projet'!$E$15+1,1))</f>
        <v>335.27356627949155</v>
      </c>
      <c r="EP18" s="59">
        <f t="shared" si="46"/>
        <v>322.66829503077247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357.3560328458579</v>
      </c>
      <c r="S19" s="59">
        <f ca="1">AVERAGE(OFFSET($R$3,0,0,'Données projet'!$E$9+1,1))-AVERAGE(OFFSET($H$3,0,0,'Données projet'!$E$9+1,1))</f>
        <v>319.18811755575183</v>
      </c>
      <c r="T19" s="59">
        <f t="shared" si="34"/>
        <v>234.87694492493506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15.3</v>
      </c>
      <c r="AI19" s="13">
        <f>IF('Données projet'!$A$62&gt;35,AI18+AH19-AQ18,IF(A19&lt;'Données projet'!$A$62,$AF$205^A19,IF(A19='Données projet'!$A$62,'Données projet'!$B$62,AI18+AH19-AQ18)))</f>
        <v>103.79999999999998</v>
      </c>
      <c r="AJ19" s="13">
        <f>AI19*VLOOKUP('Données projet'!$B$10,Paramètres!$A$1:$I$89,3,0)*VLOOKUP('Données projet'!$B$10,Paramètres!$A$1:$I$89,5,0)</f>
        <v>82.583280000000002</v>
      </c>
      <c r="AK19" s="13">
        <f t="shared" si="35"/>
        <v>22.767636507088277</v>
      </c>
      <c r="AL19" s="20">
        <f t="shared" si="4"/>
        <v>183.48617958317871</v>
      </c>
      <c r="AM19" s="59">
        <f t="shared" si="5"/>
        <v>476.81951291651205</v>
      </c>
      <c r="AN19" s="59">
        <f ca="1">AVERAGE(OFFSET($AM$3,0,0,'Données projet'!$E$10+1,1))-AVERAGE(OFFSET($H$3,0,0,'Données projet'!$E$10+1,1))</f>
        <v>314.94704727988847</v>
      </c>
      <c r="AO19" s="59">
        <f t="shared" si="36"/>
        <v>366.49199094166454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0.68801078484050215</v>
      </c>
      <c r="AW19" s="21">
        <f>EXP(-LN(2)/2)*AW18+(1-EXP(-LN(2)/2))/(LN(2)/2)*AQ19*AT19*VLOOKUP('Données projet'!$B$10,Paramètres!$A$1:$I$89,3,0)*0.475*44/12</f>
        <v>0.16420906540063526</v>
      </c>
      <c r="AX19" s="21">
        <f t="shared" si="6"/>
        <v>0.85221985024113744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15.3</v>
      </c>
      <c r="BD19" s="12">
        <f>IF('Données projet'!$A$88&gt;35,BD18+BC19-BL18,IF(A19&lt;'Données projet'!$A$88,$BA$205^A19,IF(A19='Données projet'!$A$88,'Données projet'!$B$88,BD18+BC19-BL18)))</f>
        <v>103.79999999999998</v>
      </c>
      <c r="BE19" s="13">
        <f>BD19*VLOOKUP('Données projet'!$B$11,Paramètres!$A$1:$I$89,3,0)*VLOOKUP('Données projet'!$B$11,Paramètres!$A$1:$I$89,5,0)</f>
        <v>68.009759999999986</v>
      </c>
      <c r="BF19" s="13">
        <f t="shared" si="37"/>
        <v>19.178384197678117</v>
      </c>
      <c r="BG19" s="20">
        <f t="shared" si="7"/>
        <v>151.85268447762266</v>
      </c>
      <c r="BH19" s="59">
        <f t="shared" si="8"/>
        <v>445.18601781095595</v>
      </c>
      <c r="BI19" s="59">
        <f ca="1">AVERAGE(OFFSET($BH$3,0,0,'Données projet'!$E$11+1,1))-AVERAGE(OFFSET($H$3,0,0,'Données projet'!$E$11+1,1))</f>
        <v>246.64951465060813</v>
      </c>
      <c r="BJ19" s="59">
        <f t="shared" si="38"/>
        <v>292.64550285216865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0.45969200052606252</v>
      </c>
      <c r="BR19" s="21">
        <f>EXP(-LN(2)/2)*BR18+(1-EXP(-LN(2)/2))/(LN(2)/2)*BL19*BO19*VLOOKUP('Données projet'!$B$11,Paramètres!$A$1:$I$89,3,0)*0.475*44/12</f>
        <v>0.13523099503581737</v>
      </c>
      <c r="BS19" s="22">
        <f t="shared" si="9"/>
        <v>0.59492299556187989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15.3</v>
      </c>
      <c r="BY19" s="12">
        <f>IF('Données projet'!$A$114&gt;35,BY18+BX19-CG18,IF(A19&lt;'Données projet'!$A$114,$BV$205^A19,IF(A19='Données projet'!$A$114,'Données projet'!$B$114,BY18+BX19-CG18)))</f>
        <v>103.79999999999998</v>
      </c>
      <c r="BZ19" s="13">
        <f>BY19*VLOOKUP('Données projet'!$B$12,Paramètres!$A$1:$I$89,3,0)*VLOOKUP('Données projet'!$B$12,Paramètres!$A$1:$I$89,5,0)</f>
        <v>69.629039999999989</v>
      </c>
      <c r="CA19" s="13">
        <f t="shared" si="39"/>
        <v>19.58130665988983</v>
      </c>
      <c r="CB19" s="20">
        <f t="shared" si="10"/>
        <v>155.37468709930809</v>
      </c>
      <c r="CC19" s="59">
        <f t="shared" si="11"/>
        <v>448.70802043264143</v>
      </c>
      <c r="CD19" s="59">
        <f ca="1">AVERAGE(OFFSET($CC$3,0,0,'Données projet'!$E$12+1,1))-AVERAGE(OFFSET($H$3,0,0,'Données projet'!$E$12+1,1))</f>
        <v>254.25222107710192</v>
      </c>
      <c r="CE19" s="59">
        <f t="shared" si="40"/>
        <v>300.86609173447573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0.58008752447336487</v>
      </c>
      <c r="CM19" s="21">
        <f>EXP(-LN(2)/2)*CM18+(1-EXP(-LN(2)/2))/(LN(2)/2)*CG19*CJ19*VLOOKUP('Données projet'!$B$12,Paramètres!$A$1:$I$89,3,0)*0.475*44/12</f>
        <v>0.13845078063190822</v>
      </c>
      <c r="CN19" s="22">
        <f t="shared" si="12"/>
        <v>0.71853830510527306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14.2</v>
      </c>
      <c r="CT19" s="12">
        <f>IF('Données projet'!$A$140&gt;35,CT18+CS19-DB18,IF(A19&lt;'Données projet'!$A$140,$CQ$205^A19,IF(A19='Données projet'!$A$140,'Données projet'!$B$140,CT18+CS19-DB18)))</f>
        <v>80.2</v>
      </c>
      <c r="CU19" s="17">
        <f>CT19*VLOOKUP('Données projet'!$B$13,Paramètres!$A$1:$I$89,3,0)*VLOOKUP('Données projet'!$B$13,Paramètres!$A$1:$I$89,5,0)</f>
        <v>70.062720000000013</v>
      </c>
      <c r="CV19" s="13">
        <f t="shared" si="41"/>
        <v>19.689032345957123</v>
      </c>
      <c r="CW19" s="20">
        <f t="shared" si="13"/>
        <v>156.31763533587534</v>
      </c>
      <c r="CX19" s="59">
        <f t="shared" si="14"/>
        <v>449.65096866920862</v>
      </c>
      <c r="CY19" s="59">
        <f ca="1">AVERAGE(OFFSET($CX$3,0,0,'Données projet'!$E$13+1,1))-AVERAGE(OFFSET($H$3,0,0,'Données projet'!$E$13+1,1))</f>
        <v>243.38048563215585</v>
      </c>
      <c r="CZ19" s="59">
        <f t="shared" si="42"/>
        <v>372.1604147006675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2.1121897792383364</v>
      </c>
      <c r="DH19" s="21">
        <f>EXP(-LN(2)/2)*DH18+(1-EXP(-LN(2)/2))/(LN(2)/2)*DB19*DE19*VLOOKUP('Données projet'!$B$13,Paramètres!$A$1:$I$89,3,0)*0.475*44/12</f>
        <v>3.0599281157257843</v>
      </c>
      <c r="DI19" s="22">
        <f t="shared" si="15"/>
        <v>5.1721178949641207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4.8</v>
      </c>
      <c r="DO19" s="12">
        <f>IF('Données projet'!$A$166&gt;35,DO18+DN19-DW18,IF(A19&lt;'Données projet'!$A$166,$DL$205^A19,IF(A19='Données projet'!$A$166,'Données projet'!$B$166,DO18+DN19-DW18)))</f>
        <v>38.531594964491077</v>
      </c>
      <c r="DP19" s="17">
        <f>DO19*VLOOKUP('Données projet'!$B$14,Paramètres!$A$1:$I$89,3,0)*VLOOKUP('Données projet'!$B$14,Paramètres!$A$1:$I$89,5,0)</f>
        <v>22.0400723196889</v>
      </c>
      <c r="DQ19" s="13">
        <f t="shared" si="43"/>
        <v>7.0862274034231527</v>
      </c>
      <c r="DR19" s="20">
        <f t="shared" si="16"/>
        <v>50.728305351086817</v>
      </c>
      <c r="DS19" s="59">
        <f t="shared" si="17"/>
        <v>344.06163868442013</v>
      </c>
      <c r="DT19" s="59">
        <f ca="1">AVERAGE(OFFSET($DS$3,0,0,'Données projet'!$E$14+1,1))-AVERAGE(OFFSET($H$3,0,0,'Données projet'!$E$14+1,1))</f>
        <v>227.99747790451215</v>
      </c>
      <c r="DU19" s="59">
        <f t="shared" si="44"/>
        <v>209.49597700966933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7.35</v>
      </c>
      <c r="EJ19" s="12">
        <f>IF('Données projet'!$A$192&gt;35,EJ18+EI19-ER18,IF(A19&lt;'Données projet'!$A$192,$EG$205^A19,IF(A19='Données projet'!$A$192,'Données projet'!$B$192,EJ18+EI19-ER18)))</f>
        <v>54.181854763010627</v>
      </c>
      <c r="EK19" s="17">
        <f>EJ19*VLOOKUP('Données projet'!$B$15,Paramètres!$A$1:$I$89,3,0)*VLOOKUP('Données projet'!$B$15,Paramètres!$A$1:$I$89,5,0)</f>
        <v>23.948379805250699</v>
      </c>
      <c r="EL19" s="13">
        <f t="shared" si="45"/>
        <v>7.6257130603865875</v>
      </c>
      <c r="EM19" s="20">
        <f t="shared" si="19"/>
        <v>54.991545074318275</v>
      </c>
      <c r="EN19" s="59">
        <f t="shared" si="20"/>
        <v>348.32487840765157</v>
      </c>
      <c r="EO19" s="59">
        <f ca="1">AVERAGE(OFFSET($EN$3,0,0,'Données projet'!$E$15+1,1))-AVERAGE(OFFSET($H$3,0,0,'Données projet'!$E$15+1,1))</f>
        <v>335.27356627949155</v>
      </c>
      <c r="EP19" s="59">
        <f t="shared" si="46"/>
        <v>322.66829503077247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372.20870820074703</v>
      </c>
      <c r="S20" s="59">
        <f ca="1">AVERAGE(OFFSET($R$3,0,0,'Données projet'!$E$9+1,1))-AVERAGE(OFFSET($H$3,0,0,'Données projet'!$E$9+1,1))</f>
        <v>319.18811755575183</v>
      </c>
      <c r="T20" s="59">
        <f t="shared" si="34"/>
        <v>234.87694492493506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15.3</v>
      </c>
      <c r="AI20" s="13">
        <f>IF('Données projet'!$A$62&gt;35,AI19+AH20-AQ19,IF(A20&lt;'Données projet'!$A$62,$AF$205^A20,IF(A20='Données projet'!$A$62,'Données projet'!$B$62,AI19+AH20-AQ19)))</f>
        <v>119.09999999999998</v>
      </c>
      <c r="AJ20" s="13">
        <f>AI20*VLOOKUP('Données projet'!$B$10,Paramètres!$A$1:$I$89,3,0)*VLOOKUP('Données projet'!$B$10,Paramètres!$A$1:$I$89,5,0)</f>
        <v>94.755959999999988</v>
      </c>
      <c r="AK20" s="13">
        <f t="shared" si="35"/>
        <v>25.708787823615488</v>
      </c>
      <c r="AL20" s="20">
        <f t="shared" si="4"/>
        <v>209.80943579279696</v>
      </c>
      <c r="AM20" s="59">
        <f t="shared" si="5"/>
        <v>503.14276912613025</v>
      </c>
      <c r="AN20" s="59">
        <f ca="1">AVERAGE(OFFSET($AM$3,0,0,'Données projet'!$E$10+1,1))-AVERAGE(OFFSET($H$3,0,0,'Données projet'!$E$10+1,1))</f>
        <v>314.94704727988847</v>
      </c>
      <c r="AO20" s="59">
        <f t="shared" si="36"/>
        <v>366.49199094166454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0.66919709374812397</v>
      </c>
      <c r="AW20" s="21">
        <f>EXP(-LN(2)/2)*AW19+(1-EXP(-LN(2)/2))/(LN(2)/2)*AQ20*AT20*VLOOKUP('Données projet'!$B$10,Paramètres!$A$1:$I$89,3,0)*0.475*44/12</f>
        <v>0.11611334367709447</v>
      </c>
      <c r="AX20" s="21">
        <f t="shared" si="6"/>
        <v>0.78531043742521844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15.3</v>
      </c>
      <c r="BD20" s="12">
        <f>IF('Données projet'!$A$88&gt;35,BD19+BC20-BL19,IF(A20&lt;'Données projet'!$A$88,$BA$205^A20,IF(A20='Données projet'!$A$88,'Données projet'!$B$88,BD19+BC20-BL19)))</f>
        <v>119.09999999999998</v>
      </c>
      <c r="BE20" s="13">
        <f>BD20*VLOOKUP('Données projet'!$B$11,Paramètres!$A$1:$I$89,3,0)*VLOOKUP('Données projet'!$B$11,Paramètres!$A$1:$I$89,5,0)</f>
        <v>78.034319999999994</v>
      </c>
      <c r="BF20" s="13">
        <f t="shared" si="37"/>
        <v>21.655871481626317</v>
      </c>
      <c r="BG20" s="20">
        <f t="shared" si="7"/>
        <v>173.62708349716581</v>
      </c>
      <c r="BH20" s="59">
        <f t="shared" si="8"/>
        <v>466.96041683049913</v>
      </c>
      <c r="BI20" s="59">
        <f ca="1">AVERAGE(OFFSET($BH$3,0,0,'Données projet'!$E$11+1,1))-AVERAGE(OFFSET($H$3,0,0,'Données projet'!$E$11+1,1))</f>
        <v>246.64951465060813</v>
      </c>
      <c r="BJ20" s="59">
        <f t="shared" si="38"/>
        <v>292.64550285216865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0.44712169859752565</v>
      </c>
      <c r="BR20" s="21">
        <f>EXP(-LN(2)/2)*BR19+(1-EXP(-LN(2)/2))/(LN(2)/2)*BL20*BO20*VLOOKUP('Données projet'!$B$11,Paramètres!$A$1:$I$89,3,0)*0.475*44/12</f>
        <v>9.5622753616430814E-2</v>
      </c>
      <c r="BS20" s="22">
        <f t="shared" si="9"/>
        <v>0.54274445221395651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15.3</v>
      </c>
      <c r="BY20" s="12">
        <f>IF('Données projet'!$A$114&gt;35,BY19+BX20-CG19,IF(A20&lt;'Données projet'!$A$114,$BV$205^A20,IF(A20='Données projet'!$A$114,'Données projet'!$B$114,BY19+BX20-CG19)))</f>
        <v>119.09999999999998</v>
      </c>
      <c r="BZ20" s="13">
        <f>BY20*VLOOKUP('Données projet'!$B$12,Paramètres!$A$1:$I$89,3,0)*VLOOKUP('Données projet'!$B$12,Paramètres!$A$1:$I$89,5,0)</f>
        <v>79.89228</v>
      </c>
      <c r="CA20" s="13">
        <f t="shared" si="39"/>
        <v>22.11084396360285</v>
      </c>
      <c r="CB20" s="20">
        <f t="shared" si="10"/>
        <v>177.65544090327498</v>
      </c>
      <c r="CC20" s="59">
        <f t="shared" si="11"/>
        <v>470.98877423660826</v>
      </c>
      <c r="CD20" s="59">
        <f ca="1">AVERAGE(OFFSET($CC$3,0,0,'Données projet'!$E$12+1,1))-AVERAGE(OFFSET($H$3,0,0,'Données projet'!$E$12+1,1))</f>
        <v>254.25222107710192</v>
      </c>
      <c r="CE20" s="59">
        <f t="shared" si="40"/>
        <v>300.86609173447573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0.56422500061116365</v>
      </c>
      <c r="CM20" s="21">
        <f>EXP(-LN(2)/2)*CM19+(1-EXP(-LN(2)/2))/(LN(2)/2)*CG20*CJ20*VLOOKUP('Données projet'!$B$12,Paramètres!$A$1:$I$89,3,0)*0.475*44/12</f>
        <v>9.7899485845393416E-2</v>
      </c>
      <c r="CN20" s="22">
        <f t="shared" si="12"/>
        <v>0.66212448645655708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14.2</v>
      </c>
      <c r="CT20" s="12">
        <f>IF('Données projet'!$A$140&gt;35,CT19+CS20-DB19,IF(A20&lt;'Données projet'!$A$140,$CQ$205^A20,IF(A20='Données projet'!$A$140,'Données projet'!$B$140,CT19+CS20-DB19)))</f>
        <v>94.4</v>
      </c>
      <c r="CU20" s="17">
        <f>CT20*VLOOKUP('Données projet'!$B$13,Paramètres!$A$1:$I$89,3,0)*VLOOKUP('Données projet'!$B$13,Paramètres!$A$1:$I$89,5,0)</f>
        <v>82.467840000000024</v>
      </c>
      <c r="CV20" s="13">
        <f t="shared" si="41"/>
        <v>22.739512759227473</v>
      </c>
      <c r="CW20" s="20">
        <f t="shared" si="13"/>
        <v>183.23613938898788</v>
      </c>
      <c r="CX20" s="59">
        <f t="shared" si="14"/>
        <v>476.56947272232117</v>
      </c>
      <c r="CY20" s="59">
        <f ca="1">AVERAGE(OFFSET($CX$3,0,0,'Données projet'!$E$13+1,1))-AVERAGE(OFFSET($H$3,0,0,'Données projet'!$E$13+1,1))</f>
        <v>243.38048563215585</v>
      </c>
      <c r="CZ20" s="59">
        <f t="shared" si="42"/>
        <v>372.1604147006675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2.054431838649831</v>
      </c>
      <c r="DH20" s="21">
        <f>EXP(-LN(2)/2)*DH19+(1-EXP(-LN(2)/2))/(LN(2)/2)*DB20*DE20*VLOOKUP('Données projet'!$B$13,Paramètres!$A$1:$I$89,3,0)*0.475*44/12</f>
        <v>2.163695920573077</v>
      </c>
      <c r="DI20" s="22">
        <f t="shared" si="15"/>
        <v>4.2181277592229076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4.8</v>
      </c>
      <c r="DO20" s="12">
        <f>IF('Données projet'!$A$166&gt;35,DO19+DN20-DW19,IF(A20&lt;'Données projet'!$A$166,$DL$205^A20,IF(A20='Données projet'!$A$166,'Données projet'!$B$166,DO19+DN20-DW19)))</f>
        <v>48.409494543955958</v>
      </c>
      <c r="DP20" s="17">
        <f>DO20*VLOOKUP('Données projet'!$B$14,Paramètres!$A$1:$I$89,3,0)*VLOOKUP('Données projet'!$B$14,Paramètres!$A$1:$I$89,5,0)</f>
        <v>27.69023087914281</v>
      </c>
      <c r="DQ20" s="13">
        <f t="shared" si="43"/>
        <v>8.6694556292294909</v>
      </c>
      <c r="DR20" s="20">
        <f t="shared" si="16"/>
        <v>63.326454002081753</v>
      </c>
      <c r="DS20" s="59">
        <f t="shared" si="17"/>
        <v>356.65978733541505</v>
      </c>
      <c r="DT20" s="59">
        <f ca="1">AVERAGE(OFFSET($DS$3,0,0,'Données projet'!$E$14+1,1))-AVERAGE(OFFSET($H$3,0,0,'Données projet'!$E$14+1,1))</f>
        <v>227.99747790451215</v>
      </c>
      <c r="DU20" s="59">
        <f t="shared" si="44"/>
        <v>209.49597700966933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7.35</v>
      </c>
      <c r="EJ20" s="12">
        <f>IF('Données projet'!$A$192&gt;35,EJ19+EI20-ER19,IF(A20&lt;'Données projet'!$A$192,$EG$205^A20,IF(A20='Données projet'!$A$192,'Données projet'!$B$192,EJ19+EI20-ER19)))</f>
        <v>69.537605930762339</v>
      </c>
      <c r="EK20" s="17">
        <f>EJ20*VLOOKUP('Données projet'!$B$15,Paramètres!$A$1:$I$89,3,0)*VLOOKUP('Données projet'!$B$15,Paramètres!$A$1:$I$89,5,0)</f>
        <v>30.735621821396958</v>
      </c>
      <c r="EL20" s="13">
        <f t="shared" si="45"/>
        <v>9.5067602036316856</v>
      </c>
      <c r="EM20" s="20">
        <f t="shared" si="19"/>
        <v>70.088815360258224</v>
      </c>
      <c r="EN20" s="59">
        <f t="shared" si="20"/>
        <v>363.42214869359157</v>
      </c>
      <c r="EO20" s="59">
        <f ca="1">AVERAGE(OFFSET($EN$3,0,0,'Données projet'!$E$15+1,1))-AVERAGE(OFFSET($H$3,0,0,'Données projet'!$E$15+1,1))</f>
        <v>335.27356627949155</v>
      </c>
      <c r="EP20" s="59">
        <f t="shared" si="46"/>
        <v>322.66829503077247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390.51791836449235</v>
      </c>
      <c r="S21" s="59">
        <f ca="1">AVERAGE(OFFSET($R$3,0,0,'Données projet'!$E$9+1,1))-AVERAGE(OFFSET($H$3,0,0,'Données projet'!$E$9+1,1))</f>
        <v>319.18811755575183</v>
      </c>
      <c r="T21" s="59">
        <f t="shared" si="34"/>
        <v>234.87694492493506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15.3</v>
      </c>
      <c r="AI21" s="13">
        <f>IF('Données projet'!$A$62&gt;35,AI20+AH21-AQ20,IF(A21&lt;'Données projet'!$A$62,$AF$205^A21,IF(A21='Données projet'!$A$62,'Données projet'!$B$62,AI20+AH21-AQ20)))</f>
        <v>134.39999999999998</v>
      </c>
      <c r="AJ21" s="13">
        <f>AI21*VLOOKUP('Données projet'!$B$10,Paramètres!$A$1:$I$89,3,0)*VLOOKUP('Données projet'!$B$10,Paramètres!$A$1:$I$89,5,0)</f>
        <v>106.92863999999997</v>
      </c>
      <c r="AK21" s="13">
        <f t="shared" si="35"/>
        <v>28.606159868782917</v>
      </c>
      <c r="AL21" s="20">
        <f t="shared" si="4"/>
        <v>236.05644310479684</v>
      </c>
      <c r="AM21" s="59">
        <f t="shared" si="5"/>
        <v>529.38977643813018</v>
      </c>
      <c r="AN21" s="59">
        <f ca="1">AVERAGE(OFFSET($AM$3,0,0,'Données projet'!$E$10+1,1))-AVERAGE(OFFSET($H$3,0,0,'Données projet'!$E$10+1,1))</f>
        <v>314.94704727988847</v>
      </c>
      <c r="AO21" s="59">
        <f t="shared" si="36"/>
        <v>366.49199094166454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0.65089786402803584</v>
      </c>
      <c r="AW21" s="21">
        <f>EXP(-LN(2)/2)*AW20+(1-EXP(-LN(2)/2))/(LN(2)/2)*AQ21*AT21*VLOOKUP('Données projet'!$B$10,Paramètres!$A$1:$I$89,3,0)*0.475*44/12</f>
        <v>8.2104532700317631E-2</v>
      </c>
      <c r="AX21" s="21">
        <f t="shared" si="6"/>
        <v>0.73300239672835343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15.3</v>
      </c>
      <c r="BD21" s="12">
        <f>IF('Données projet'!$A$88&gt;35,BD20+BC21-BL20,IF(A21&lt;'Données projet'!$A$88,$BA$205^A21,IF(A21='Données projet'!$A$88,'Données projet'!$B$88,BD20+BC21-BL20)))</f>
        <v>134.39999999999998</v>
      </c>
      <c r="BE21" s="13">
        <f>BD21*VLOOKUP('Données projet'!$B$11,Paramètres!$A$1:$I$89,3,0)*VLOOKUP('Données projet'!$B$11,Paramètres!$A$1:$I$89,5,0)</f>
        <v>88.058879999999988</v>
      </c>
      <c r="BF21" s="13">
        <f t="shared" si="37"/>
        <v>24.096481170231179</v>
      </c>
      <c r="BG21" s="20">
        <f t="shared" si="7"/>
        <v>195.33725403815262</v>
      </c>
      <c r="BH21" s="59">
        <f t="shared" si="8"/>
        <v>488.67058737148591</v>
      </c>
      <c r="BI21" s="59">
        <f ca="1">AVERAGE(OFFSET($BH$3,0,0,'Données projet'!$E$11+1,1))-AVERAGE(OFFSET($H$3,0,0,'Données projet'!$E$11+1,1))</f>
        <v>246.64951465060813</v>
      </c>
      <c r="BJ21" s="59">
        <f t="shared" si="38"/>
        <v>292.64550285216865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0.43489513223626808</v>
      </c>
      <c r="BR21" s="21">
        <f>EXP(-LN(2)/2)*BR20+(1-EXP(-LN(2)/2))/(LN(2)/2)*BL21*BO21*VLOOKUP('Données projet'!$B$11,Paramètres!$A$1:$I$89,3,0)*0.475*44/12</f>
        <v>6.7615497517908699E-2</v>
      </c>
      <c r="BS21" s="22">
        <f t="shared" si="9"/>
        <v>0.50251062975417682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15.3</v>
      </c>
      <c r="BY21" s="12">
        <f>IF('Données projet'!$A$114&gt;35,BY20+BX21-CG20,IF(A21&lt;'Données projet'!$A$114,$BV$205^A21,IF(A21='Données projet'!$A$114,'Données projet'!$B$114,BY20+BX21-CG20)))</f>
        <v>134.39999999999998</v>
      </c>
      <c r="BZ21" s="13">
        <f>BY21*VLOOKUP('Données projet'!$B$12,Paramètres!$A$1:$I$89,3,0)*VLOOKUP('Données projet'!$B$12,Paramètres!$A$1:$I$89,5,0)</f>
        <v>90.155519999999981</v>
      </c>
      <c r="CA21" s="13">
        <f t="shared" si="39"/>
        <v>24.60272890328697</v>
      </c>
      <c r="CB21" s="20">
        <f t="shared" si="10"/>
        <v>199.87061683989143</v>
      </c>
      <c r="CC21" s="59">
        <f t="shared" si="11"/>
        <v>493.20395017322471</v>
      </c>
      <c r="CD21" s="59">
        <f ca="1">AVERAGE(OFFSET($CC$3,0,0,'Données projet'!$E$12+1,1))-AVERAGE(OFFSET($H$3,0,0,'Données projet'!$E$12+1,1))</f>
        <v>254.25222107710192</v>
      </c>
      <c r="CE21" s="59">
        <f t="shared" si="40"/>
        <v>300.86609173447573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0.54879623829814816</v>
      </c>
      <c r="CM21" s="21">
        <f>EXP(-LN(2)/2)*CM20+(1-EXP(-LN(2)/2))/(LN(2)/2)*CG21*CJ21*VLOOKUP('Données projet'!$B$12,Paramètres!$A$1:$I$89,3,0)*0.475*44/12</f>
        <v>6.9225390315954108E-2</v>
      </c>
      <c r="CN21" s="22">
        <f t="shared" si="12"/>
        <v>0.61802162861410226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14.2</v>
      </c>
      <c r="CT21" s="12">
        <f>IF('Données projet'!$A$140&gt;35,CT20+CS21-DB20,IF(A21&lt;'Données projet'!$A$140,$CQ$205^A21,IF(A21='Données projet'!$A$140,'Données projet'!$B$140,CT20+CS21-DB20)))</f>
        <v>108.60000000000001</v>
      </c>
      <c r="CU21" s="17">
        <f>CT21*VLOOKUP('Données projet'!$B$13,Paramètres!$A$1:$I$89,3,0)*VLOOKUP('Données projet'!$B$13,Paramètres!$A$1:$I$89,5,0)</f>
        <v>94.87296000000002</v>
      </c>
      <c r="CV21" s="13">
        <f t="shared" si="41"/>
        <v>25.736834760472274</v>
      </c>
      <c r="CW21" s="20">
        <f t="shared" si="13"/>
        <v>210.06205920782259</v>
      </c>
      <c r="CX21" s="59">
        <f t="shared" si="14"/>
        <v>503.3953925411559</v>
      </c>
      <c r="CY21" s="59">
        <f ca="1">AVERAGE(OFFSET($CX$3,0,0,'Données projet'!$E$13+1,1))-AVERAGE(OFFSET($H$3,0,0,'Données projet'!$E$13+1,1))</f>
        <v>243.38048563215585</v>
      </c>
      <c r="CZ21" s="59">
        <f t="shared" si="42"/>
        <v>372.1604147006675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1.9982532919840765</v>
      </c>
      <c r="DH21" s="21">
        <f>EXP(-LN(2)/2)*DH20+(1-EXP(-LN(2)/2))/(LN(2)/2)*DB21*DE21*VLOOKUP('Données projet'!$B$13,Paramètres!$A$1:$I$89,3,0)*0.475*44/12</f>
        <v>1.5299640578628924</v>
      </c>
      <c r="DI21" s="22">
        <f t="shared" si="15"/>
        <v>3.5282173498469689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4.8</v>
      </c>
      <c r="DO21" s="12">
        <f>IF('Données projet'!$A$166&gt;35,DO20+DN21-DW20,IF(A21&lt;'Données projet'!$A$166,$DL$205^A21,IF(A21='Données projet'!$A$166,'Données projet'!$B$166,DO20+DN21-DW20)))</f>
        <v>60.819677051026375</v>
      </c>
      <c r="DP21" s="17">
        <f>DO21*VLOOKUP('Données projet'!$B$14,Paramètres!$A$1:$I$89,3,0)*VLOOKUP('Données projet'!$B$14,Paramètres!$A$1:$I$89,5,0)</f>
        <v>34.788855273187089</v>
      </c>
      <c r="DQ21" s="13">
        <f t="shared" si="43"/>
        <v>10.606413910859191</v>
      </c>
      <c r="DR21" s="20">
        <f t="shared" si="16"/>
        <v>79.063427162213927</v>
      </c>
      <c r="DS21" s="59">
        <f t="shared" si="17"/>
        <v>372.39676049554726</v>
      </c>
      <c r="DT21" s="59">
        <f ca="1">AVERAGE(OFFSET($DS$3,0,0,'Données projet'!$E$14+1,1))-AVERAGE(OFFSET($H$3,0,0,'Données projet'!$E$14+1,1))</f>
        <v>227.99747790451215</v>
      </c>
      <c r="DU21" s="59">
        <f t="shared" si="44"/>
        <v>209.49597700966933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7.35</v>
      </c>
      <c r="EJ21" s="12">
        <f>IF('Données projet'!$A$192&gt;35,EJ20+EI21-ER20,IF(A21&lt;'Données projet'!$A$192,$EG$205^A21,IF(A21='Données projet'!$A$192,'Données projet'!$B$192,EJ20+EI21-ER20)))</f>
        <v>89.245350860213151</v>
      </c>
      <c r="EK21" s="17">
        <f>EJ21*VLOOKUP('Données projet'!$B$15,Paramètres!$A$1:$I$89,3,0)*VLOOKUP('Données projet'!$B$15,Paramètres!$A$1:$I$89,5,0)</f>
        <v>39.446445080214218</v>
      </c>
      <c r="EL21" s="13">
        <f t="shared" si="45"/>
        <v>11.851808329747655</v>
      </c>
      <c r="EM21" s="20">
        <f t="shared" si="19"/>
        <v>89.344458022350253</v>
      </c>
      <c r="EN21" s="59">
        <f t="shared" si="20"/>
        <v>382.67779135568355</v>
      </c>
      <c r="EO21" s="59">
        <f ca="1">AVERAGE(OFFSET($EN$3,0,0,'Données projet'!$E$15+1,1))-AVERAGE(OFFSET($H$3,0,0,'Données projet'!$E$15+1,1))</f>
        <v>335.27356627949155</v>
      </c>
      <c r="EP21" s="59">
        <f t="shared" si="46"/>
        <v>322.66829503077247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413.0904086280766</v>
      </c>
      <c r="S22" s="59">
        <f ca="1">AVERAGE(OFFSET($R$3,0,0,'Données projet'!$E$9+1,1))-AVERAGE(OFFSET($H$3,0,0,'Données projet'!$E$9+1,1))</f>
        <v>319.18811755575183</v>
      </c>
      <c r="T22" s="59">
        <f t="shared" si="34"/>
        <v>234.87694492493506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15.3</v>
      </c>
      <c r="AI22" s="13">
        <f>IF('Données projet'!$A$62&gt;35,AI21+AH22-AQ21,IF(A22&lt;'Données projet'!$A$62,$AF$205^A22,IF(A22='Données projet'!$A$62,'Données projet'!$B$62,AI21+AH22-AQ21)))</f>
        <v>149.69999999999999</v>
      </c>
      <c r="AJ22" s="13">
        <f>AI22*VLOOKUP('Données projet'!$B$10,Paramètres!$A$1:$I$89,3,0)*VLOOKUP('Données projet'!$B$10,Paramètres!$A$1:$I$89,5,0)</f>
        <v>119.10132</v>
      </c>
      <c r="AK22" s="13">
        <f t="shared" si="35"/>
        <v>31.465305329267146</v>
      </c>
      <c r="AL22" s="20">
        <f t="shared" si="4"/>
        <v>262.23687244847355</v>
      </c>
      <c r="AM22" s="59">
        <f t="shared" si="5"/>
        <v>555.57020578180686</v>
      </c>
      <c r="AN22" s="59">
        <f ca="1">AVERAGE(OFFSET($AM$3,0,0,'Données projet'!$E$10+1,1))-AVERAGE(OFFSET($H$3,0,0,'Données projet'!$E$10+1,1))</f>
        <v>314.94704727988847</v>
      </c>
      <c r="AO22" s="59">
        <f t="shared" si="36"/>
        <v>366.49199094166454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0.63309902770695814</v>
      </c>
      <c r="AW22" s="21">
        <f>EXP(-LN(2)/2)*AW21+(1-EXP(-LN(2)/2))/(LN(2)/2)*AQ22*AT22*VLOOKUP('Données projet'!$B$10,Paramètres!$A$1:$I$89,3,0)*0.475*44/12</f>
        <v>5.8056671838547236E-2</v>
      </c>
      <c r="AX22" s="21">
        <f t="shared" si="6"/>
        <v>0.69115569954550538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15.3</v>
      </c>
      <c r="BD22" s="12">
        <f>IF('Données projet'!$A$88&gt;35,BD21+BC22-BL21,IF(A22&lt;'Données projet'!$A$88,$BA$205^A22,IF(A22='Données projet'!$A$88,'Données projet'!$B$88,BD21+BC22-BL21)))</f>
        <v>149.69999999999999</v>
      </c>
      <c r="BE22" s="13">
        <f>BD22*VLOOKUP('Données projet'!$B$11,Paramètres!$A$1:$I$89,3,0)*VLOOKUP('Données projet'!$B$11,Paramètres!$A$1:$I$89,5,0)</f>
        <v>98.083439999999996</v>
      </c>
      <c r="BF22" s="13">
        <f t="shared" si="37"/>
        <v>26.504890585110164</v>
      </c>
      <c r="BG22" s="20">
        <f t="shared" si="7"/>
        <v>216.99134243573351</v>
      </c>
      <c r="BH22" s="59">
        <f t="shared" si="8"/>
        <v>510.32467576906686</v>
      </c>
      <c r="BI22" s="59">
        <f ca="1">AVERAGE(OFFSET($BH$3,0,0,'Données projet'!$E$11+1,1))-AVERAGE(OFFSET($H$3,0,0,'Données projet'!$E$11+1,1))</f>
        <v>246.64951465060813</v>
      </c>
      <c r="BJ22" s="59">
        <f t="shared" si="38"/>
        <v>292.64550285216865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0.4230029019751263</v>
      </c>
      <c r="BR22" s="21">
        <f>EXP(-LN(2)/2)*BR21+(1-EXP(-LN(2)/2))/(LN(2)/2)*BL22*BO22*VLOOKUP('Données projet'!$B$11,Paramètres!$A$1:$I$89,3,0)*0.475*44/12</f>
        <v>4.7811376808215414E-2</v>
      </c>
      <c r="BS22" s="22">
        <f t="shared" si="9"/>
        <v>0.4708142787833417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15.3</v>
      </c>
      <c r="BY22" s="12">
        <f>IF('Données projet'!$A$114&gt;35,BY21+BX22-CG21,IF(A22&lt;'Données projet'!$A$114,$BV$205^A22,IF(A22='Données projet'!$A$114,'Données projet'!$B$114,BY21+BX22-CG21)))</f>
        <v>149.69999999999999</v>
      </c>
      <c r="BZ22" s="13">
        <f>BY22*VLOOKUP('Données projet'!$B$12,Paramètres!$A$1:$I$89,3,0)*VLOOKUP('Données projet'!$B$12,Paramètres!$A$1:$I$89,5,0)</f>
        <v>100.41875999999999</v>
      </c>
      <c r="CA22" s="13">
        <f t="shared" si="39"/>
        <v>27.061737067333461</v>
      </c>
      <c r="CB22" s="20">
        <f t="shared" si="10"/>
        <v>222.02853239227241</v>
      </c>
      <c r="CC22" s="59">
        <f t="shared" si="11"/>
        <v>515.36186572560575</v>
      </c>
      <c r="CD22" s="59">
        <f ca="1">AVERAGE(OFFSET($CC$3,0,0,'Données projet'!$E$12+1,1))-AVERAGE(OFFSET($H$3,0,0,'Données projet'!$E$12+1,1))</f>
        <v>254.25222107710192</v>
      </c>
      <c r="CE22" s="59">
        <f t="shared" si="40"/>
        <v>300.86609173447573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0.53378937630194545</v>
      </c>
      <c r="CM22" s="21">
        <f>EXP(-LN(2)/2)*CM21+(1-EXP(-LN(2)/2))/(LN(2)/2)*CG22*CJ22*VLOOKUP('Données projet'!$B$12,Paramètres!$A$1:$I$89,3,0)*0.475*44/12</f>
        <v>4.8949742922696708E-2</v>
      </c>
      <c r="CN22" s="22">
        <f t="shared" si="12"/>
        <v>0.58273911922464217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14.2</v>
      </c>
      <c r="CT22" s="12">
        <f>IF('Données projet'!$A$140&gt;35,CT21+CS22-DB21,IF(A22&lt;'Données projet'!$A$140,$CQ$205^A22,IF(A22='Données projet'!$A$140,'Données projet'!$B$140,CT21+CS22-DB21)))</f>
        <v>122.80000000000001</v>
      </c>
      <c r="CU22" s="17">
        <f>CT22*VLOOKUP('Données projet'!$B$13,Paramètres!$A$1:$I$89,3,0)*VLOOKUP('Données projet'!$B$13,Paramètres!$A$1:$I$89,5,0)</f>
        <v>107.27808000000003</v>
      </c>
      <c r="CV22" s="13">
        <f t="shared" si="41"/>
        <v>28.688746800886673</v>
      </c>
      <c r="CW22" s="20">
        <f t="shared" si="13"/>
        <v>236.80889001154432</v>
      </c>
      <c r="CX22" s="59">
        <f t="shared" si="14"/>
        <v>530.14222334487761</v>
      </c>
      <c r="CY22" s="59">
        <f ca="1">AVERAGE(OFFSET($CX$3,0,0,'Données projet'!$E$13+1,1))-AVERAGE(OFFSET($H$3,0,0,'Données projet'!$E$13+1,1))</f>
        <v>243.38048563215585</v>
      </c>
      <c r="CZ22" s="59">
        <f t="shared" si="42"/>
        <v>372.1604147006675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1.9436109506311985</v>
      </c>
      <c r="DH22" s="21">
        <f>EXP(-LN(2)/2)*DH21+(1-EXP(-LN(2)/2))/(LN(2)/2)*DB22*DE22*VLOOKUP('Données projet'!$B$13,Paramètres!$A$1:$I$89,3,0)*0.475*44/12</f>
        <v>1.0818479602865387</v>
      </c>
      <c r="DI22" s="22">
        <f t="shared" si="15"/>
        <v>3.0254589109177372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4.8</v>
      </c>
      <c r="DO22" s="12">
        <f>IF('Données projet'!$A$166&gt;35,DO21+DN22-DW21,IF(A22&lt;'Données projet'!$A$166,$DL$205^A22,IF(A22='Données projet'!$A$166,'Données projet'!$B$166,DO21+DN22-DW21)))</f>
        <v>76.411314586902208</v>
      </c>
      <c r="DP22" s="17">
        <f>DO22*VLOOKUP('Données projet'!$B$14,Paramètres!$A$1:$I$89,3,0)*VLOOKUP('Données projet'!$B$14,Paramètres!$A$1:$I$89,5,0)</f>
        <v>43.707271943708065</v>
      </c>
      <c r="DQ22" s="13">
        <f t="shared" si="43"/>
        <v>12.976133780439636</v>
      </c>
      <c r="DR22" s="20">
        <f t="shared" si="16"/>
        <v>98.723598302890579</v>
      </c>
      <c r="DS22" s="59">
        <f t="shared" si="17"/>
        <v>392.05693163622391</v>
      </c>
      <c r="DT22" s="59">
        <f ca="1">AVERAGE(OFFSET($DS$3,0,0,'Données projet'!$E$14+1,1))-AVERAGE(OFFSET($H$3,0,0,'Données projet'!$E$14+1,1))</f>
        <v>227.99747790451215</v>
      </c>
      <c r="DU22" s="59">
        <f t="shared" si="44"/>
        <v>209.49597700966933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7.35</v>
      </c>
      <c r="EJ22" s="12">
        <f>IF('Données projet'!$A$192&gt;35,EJ21+EI22-ER21,IF(A22&lt;'Données projet'!$A$192,$EG$205^A22,IF(A22='Données projet'!$A$192,'Données projet'!$B$192,EJ21+EI22-ER21)))</f>
        <v>114.53849386320441</v>
      </c>
      <c r="EK22" s="17">
        <f>EJ22*VLOOKUP('Données projet'!$B$15,Paramètres!$A$1:$I$89,3,0)*VLOOKUP('Données projet'!$B$15,Paramètres!$A$1:$I$89,5,0)</f>
        <v>50.62601428753635</v>
      </c>
      <c r="EL22" s="13">
        <f t="shared" si="45"/>
        <v>14.775313321926065</v>
      </c>
      <c r="EM22" s="20">
        <f t="shared" si="19"/>
        <v>113.90731225314703</v>
      </c>
      <c r="EN22" s="59">
        <f t="shared" si="20"/>
        <v>407.24064558648035</v>
      </c>
      <c r="EO22" s="59">
        <f ca="1">AVERAGE(OFFSET($EN$3,0,0,'Données projet'!$E$15+1,1))-AVERAGE(OFFSET($H$3,0,0,'Données projet'!$E$15+1,1))</f>
        <v>335.27356627949155</v>
      </c>
      <c r="EP22" s="59">
        <f t="shared" si="46"/>
        <v>322.66829503077247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440.92171753768048</v>
      </c>
      <c r="S23" s="59">
        <f ca="1">AVERAGE(OFFSET($R$3,0,0,'Données projet'!$E$9+1,1))-AVERAGE(OFFSET($H$3,0,0,'Données projet'!$E$9+1,1))</f>
        <v>319.18811755575183</v>
      </c>
      <c r="T23" s="59">
        <f t="shared" si="34"/>
        <v>234.87694492493506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0.64260789775653271</v>
      </c>
      <c r="AB23" s="21">
        <f>EXP(-LN(2)/2)*AB22+(1-EXP(-LN(2)/2))/(LN(2)/2)*V23*Y23*VLOOKUP('Données projet'!$B$9,Paramètres!$A$1:$I$89,3,0)*0.475*44/12</f>
        <v>1.2805547285024328</v>
      </c>
      <c r="AC23" s="22">
        <f t="shared" si="3"/>
        <v>1.9231626262589656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165</v>
      </c>
      <c r="AG23" s="12">
        <f>VLOOKUP(A23,'Données projet'!$A$61:$I$81,9,0)</f>
        <v>15.3</v>
      </c>
      <c r="AH23" s="12">
        <f t="array" ref="AH23">INDEX(AG:AG,MIN(IF(ISNUMBER(AG23:AG219),ROW(AG23:AG219),"")))</f>
        <v>15.3</v>
      </c>
      <c r="AI23" s="13">
        <f>IF('Données projet'!$A$62&gt;35,AI22+AH23-AQ22,IF(A23&lt;'Données projet'!$A$62,$AF$205^A23,IF(A23='Données projet'!$A$62,'Données projet'!$B$62,AI22+AH23-AQ22)))</f>
        <v>165</v>
      </c>
      <c r="AJ23" s="13">
        <f>AI23*VLOOKUP('Données projet'!$B$10,Paramètres!$A$1:$I$89,3,0)*VLOOKUP('Données projet'!$B$10,Paramètres!$A$1:$I$89,5,0)</f>
        <v>131.274</v>
      </c>
      <c r="AK23" s="13">
        <f t="shared" si="35"/>
        <v>34.290576031111669</v>
      </c>
      <c r="AL23" s="20">
        <f t="shared" si="4"/>
        <v>288.35830325418613</v>
      </c>
      <c r="AM23" s="59">
        <f t="shared" si="5"/>
        <v>581.6916365875195</v>
      </c>
      <c r="AN23" s="59">
        <f ca="1">AVERAGE(OFFSET($AM$3,0,0,'Données projet'!$E$10+1,1))-AVERAGE(OFFSET($H$3,0,0,'Données projet'!$E$10+1,1))</f>
        <v>314.94704727988847</v>
      </c>
      <c r="AO23" s="59">
        <f t="shared" si="36"/>
        <v>366.49199094166454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84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0.13250000000000001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10.366215156073137</v>
      </c>
      <c r="AW23" s="21">
        <f>EXP(-LN(2)/2)*AW22+(1-EXP(-LN(2)/2))/(LN(2)/2)*AQ23*AT23*VLOOKUP('Données projet'!$B$10,Paramètres!$A$1:$I$89,3,0)*0.475*44/12</f>
        <v>15.805122544811143</v>
      </c>
      <c r="AX23" s="21">
        <f t="shared" si="6"/>
        <v>26.17133770088428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165</v>
      </c>
      <c r="BB23" s="12">
        <f>VLOOKUP(A23,'Données projet'!$A$87:$I$107,9,0)</f>
        <v>15.3</v>
      </c>
      <c r="BC23" s="12">
        <f t="array" ref="BC23">INDEX(BB:BB,MIN(IF(ISNUMBER(BB23:BB219),ROW(BB23:BB219),"")))</f>
        <v>15.3</v>
      </c>
      <c r="BD23" s="12">
        <f>IF('Données projet'!$A$88&gt;35,BD22+BC23-BL22,IF(A23&lt;'Données projet'!$A$88,$BA$205^A23,IF(A23='Données projet'!$A$88,'Données projet'!$B$88,BD22+BC23-BL22)))</f>
        <v>165</v>
      </c>
      <c r="BE23" s="13">
        <f>BD23*VLOOKUP('Données projet'!$B$11,Paramètres!$A$1:$I$89,3,0)*VLOOKUP('Données projet'!$B$11,Paramètres!$A$1:$I$89,5,0)</f>
        <v>108.108</v>
      </c>
      <c r="BF23" s="13">
        <f t="shared" si="37"/>
        <v>28.884765499467161</v>
      </c>
      <c r="BG23" s="20">
        <f t="shared" si="7"/>
        <v>238.59573324490532</v>
      </c>
      <c r="BH23" s="59">
        <f t="shared" si="8"/>
        <v>531.92906657823869</v>
      </c>
      <c r="BI23" s="59">
        <f ca="1">AVERAGE(OFFSET($BH$3,0,0,'Données projet'!$E$11+1,1))-AVERAGE(OFFSET($H$3,0,0,'Données projet'!$E$11+1,1))</f>
        <v>246.64951465060813</v>
      </c>
      <c r="BJ23" s="59">
        <f t="shared" si="38"/>
        <v>292.64550285216865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84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6.9261504150455364</v>
      </c>
      <c r="BR23" s="21">
        <f>EXP(-LN(2)/2)*BR22+(1-EXP(-LN(2)/2))/(LN(2)/2)*BL23*BO23*VLOOKUP('Données projet'!$B$11,Paramètres!$A$1:$I$89,3,0)*0.475*44/12</f>
        <v>13.015983272197412</v>
      </c>
      <c r="BS23" s="22">
        <f t="shared" si="9"/>
        <v>19.942133687242947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165</v>
      </c>
      <c r="BW23" s="12">
        <f>VLOOKUP(A23,'Données projet'!$A$113:$I$133,9,0)</f>
        <v>15.3</v>
      </c>
      <c r="BX23" s="12">
        <f t="array" ref="BX23">INDEX(BW:BW,MIN(IF(ISNUMBER(BW23:BW219),ROW(BW23:BW219),"")))</f>
        <v>15.3</v>
      </c>
      <c r="BY23" s="12">
        <f>IF('Données projet'!$A$114&gt;35,BY22+BX23-CG22,IF(A23&lt;'Données projet'!$A$114,$BV$205^A23,IF(A23='Données projet'!$A$114,'Données projet'!$B$114,BY22+BX23-CG22)))</f>
        <v>165</v>
      </c>
      <c r="BZ23" s="13">
        <f>BY23*VLOOKUP('Données projet'!$B$12,Paramètres!$A$1:$I$89,3,0)*VLOOKUP('Données projet'!$B$12,Paramètres!$A$1:$I$89,5,0)</f>
        <v>110.682</v>
      </c>
      <c r="CA23" s="13">
        <f t="shared" si="39"/>
        <v>29.49161124389969</v>
      </c>
      <c r="CB23" s="20">
        <f t="shared" si="10"/>
        <v>244.13570624979195</v>
      </c>
      <c r="CC23" s="59">
        <f t="shared" si="11"/>
        <v>537.46903958312532</v>
      </c>
      <c r="CD23" s="59">
        <f ca="1">AVERAGE(OFFSET($CC$3,0,0,'Données projet'!$E$12+1,1))-AVERAGE(OFFSET($H$3,0,0,'Données projet'!$E$12+1,1))</f>
        <v>254.25222107710192</v>
      </c>
      <c r="CE23" s="59">
        <f t="shared" si="40"/>
        <v>300.86609173447573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84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0.13250000000000001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8.7401421904146073</v>
      </c>
      <c r="CM23" s="21">
        <f>EXP(-LN(2)/2)*CM22+(1-EXP(-LN(2)/2))/(LN(2)/2)*CG23*CJ23*VLOOKUP('Données projet'!$B$12,Paramètres!$A$1:$I$89,3,0)*0.475*44/12</f>
        <v>13.325887635821161</v>
      </c>
      <c r="CN23" s="22">
        <f t="shared" si="12"/>
        <v>22.06602982623577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137</v>
      </c>
      <c r="CR23" s="12">
        <f>VLOOKUP(A23,'Données projet'!$A$139:$I$159,9,0)</f>
        <v>14.2</v>
      </c>
      <c r="CS23" s="12">
        <f t="array" ref="CS23">INDEX(CR:CR,MIN(IF(ISNUMBER(CR23:CR219),ROW(CR23:CR219),"")))</f>
        <v>14.2</v>
      </c>
      <c r="CT23" s="12">
        <f>IF('Données projet'!$A$140&gt;35,CT22+CS23-DB22,IF(A23&lt;'Données projet'!$A$140,$CQ$205^A23,IF(A23='Données projet'!$A$140,'Données projet'!$B$140,CT22+CS23-DB22)))</f>
        <v>137</v>
      </c>
      <c r="CU23" s="17">
        <f>CT23*VLOOKUP('Données projet'!$B$13,Paramètres!$A$1:$I$89,3,0)*VLOOKUP('Données projet'!$B$13,Paramètres!$A$1:$I$89,5,0)</f>
        <v>119.68320000000003</v>
      </c>
      <c r="CV23" s="13">
        <f t="shared" si="41"/>
        <v>31.601099532596194</v>
      </c>
      <c r="CW23" s="20">
        <f t="shared" si="13"/>
        <v>263.48682168593842</v>
      </c>
      <c r="CX23" s="59">
        <f t="shared" si="14"/>
        <v>556.82015501927174</v>
      </c>
      <c r="CY23" s="59">
        <f ca="1">AVERAGE(OFFSET($CX$3,0,0,'Données projet'!$E$13+1,1))-AVERAGE(OFFSET($H$3,0,0,'Données projet'!$E$13+1,1))</f>
        <v>243.38048563215585</v>
      </c>
      <c r="CZ23" s="59">
        <f t="shared" si="42"/>
        <v>372.1604147006675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6.3370140075443224</v>
      </c>
      <c r="DH23" s="21">
        <f>EXP(-LN(2)/2)*DH22+(1-EXP(-LN(2)/2))/(LN(2)/2)*DB23*DE23*VLOOKUP('Données projet'!$B$13,Paramètres!$A$1:$I$89,3,0)*0.475*44/12</f>
        <v>9.6258319893735695</v>
      </c>
      <c r="DI23" s="22">
        <f t="shared" si="15"/>
        <v>15.962845996917892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96</v>
      </c>
      <c r="DM23" s="12">
        <f>VLOOKUP(A23,'Données projet'!$A$165:$I$185,9,0)</f>
        <v>4.8</v>
      </c>
      <c r="DN23" s="12">
        <f t="array" ref="DN23">INDEX(DM:DM,MIN(IF(ISNUMBER(DM23:DM219),ROW(DM23:DM219),"")))</f>
        <v>4.8</v>
      </c>
      <c r="DO23" s="12">
        <f>IF('Données projet'!$A$166&gt;35,DO22+DN23-DW22,IF(A23&lt;'Données projet'!$A$166,$DL$205^A23,IF(A23='Données projet'!$A$166,'Données projet'!$B$166,DO22+DN23-DW22)))</f>
        <v>96</v>
      </c>
      <c r="DP23" s="17">
        <f>DO23*VLOOKUP('Données projet'!$B$14,Paramètres!$A$1:$I$89,3,0)*VLOOKUP('Données projet'!$B$14,Paramètres!$A$1:$I$89,5,0)</f>
        <v>54.912000000000006</v>
      </c>
      <c r="DQ23" s="13">
        <f t="shared" si="43"/>
        <v>15.875304254859749</v>
      </c>
      <c r="DR23" s="20">
        <f t="shared" si="16"/>
        <v>123.28788824388072</v>
      </c>
      <c r="DS23" s="59">
        <f t="shared" si="17"/>
        <v>416.62122157721404</v>
      </c>
      <c r="DT23" s="59">
        <f ca="1">AVERAGE(OFFSET($DS$3,0,0,'Données projet'!$E$14+1,1))-AVERAGE(OFFSET($H$3,0,0,'Données projet'!$E$14+1,1))</f>
        <v>227.99747790451215</v>
      </c>
      <c r="DU23" s="59">
        <f t="shared" si="44"/>
        <v>209.49597700966933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18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0.22500000000000001</v>
      </c>
      <c r="DZ23" s="16">
        <f>IF(ISNA(VLOOKUP(A23,'Données projet'!$A$165:$I$185,7,0)),0%,VLOOKUP(A23,'Données projet'!$A$165:$I$185,7,0))</f>
        <v>0.5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3.0610191761618322</v>
      </c>
      <c r="EC23" s="21">
        <f>EXP(-LN(2)/2)*EC22+(1-EXP(-LN(2)/2))/(LN(2)/2)*DW23*DZ23*VLOOKUP('Données projet'!$B$14,Paramètres!$A$1:$I$89,3,0)*0.475*44/12</f>
        <v>5.8287318676662458</v>
      </c>
      <c r="ED23" s="22">
        <f t="shared" si="18"/>
        <v>8.8897510438280776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147</v>
      </c>
      <c r="EH23" s="12">
        <f>VLOOKUP(A23,'Données projet'!$A$191:$I$211,9,0)</f>
        <v>7.35</v>
      </c>
      <c r="EI23" s="12">
        <f t="array" ref="EI23">INDEX(EH:EH,MIN(IF(ISNUMBER(EH23:EH219),ROW(EH23:EH219),"")))</f>
        <v>7.35</v>
      </c>
      <c r="EJ23" s="12">
        <f>IF('Données projet'!$A$192&gt;35,EJ22+EI23-ER22,IF(A23&lt;'Données projet'!$A$192,$EG$205^A23,IF(A23='Données projet'!$A$192,'Données projet'!$B$192,EJ22+EI23-ER22)))</f>
        <v>147</v>
      </c>
      <c r="EK23" s="17">
        <f>EJ23*VLOOKUP('Données projet'!$B$15,Paramètres!$A$1:$I$89,3,0)*VLOOKUP('Données projet'!$B$15,Paramètres!$A$1:$I$89,5,0)</f>
        <v>64.974000000000004</v>
      </c>
      <c r="EL23" s="13">
        <f t="shared" si="45"/>
        <v>18.419964083720068</v>
      </c>
      <c r="EM23" s="20">
        <f t="shared" si="19"/>
        <v>145.24448744581247</v>
      </c>
      <c r="EN23" s="59">
        <f t="shared" si="20"/>
        <v>438.57782077914578</v>
      </c>
      <c r="EO23" s="59">
        <f ca="1">AVERAGE(OFFSET($EN$3,0,0,'Données projet'!$E$15+1,1))-AVERAGE(OFFSET($H$3,0,0,'Données projet'!$E$15+1,1))</f>
        <v>335.27356627949155</v>
      </c>
      <c r="EP23" s="59">
        <f t="shared" si="46"/>
        <v>322.66829503077247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45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0.27500000000000002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7.2274063881598813</v>
      </c>
      <c r="EX23" s="21">
        <f>EXP(-LN(2)/2)*EX22+(1-EXP(-LN(2)/2))/(LN(2)/2)*ER23*EU23*VLOOKUP('Données projet'!$B$15,Paramètres!$A$1:$I$89,3,0)*0.475*44/12</f>
        <v>11.260050198900705</v>
      </c>
      <c r="EY23" s="22">
        <f t="shared" si="21"/>
        <v>18.487456587060585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8.1999999999999993</v>
      </c>
      <c r="N24" s="13">
        <f>IF('Données projet'!$A$36&gt;35,N23+M24-V23,IF(A24&lt;'Données projet'!$A$36,$K$205^A24,IF(A24='Données projet'!$A$36,'Données projet'!$B$36,N23+M24-V23)))</f>
        <v>75.2</v>
      </c>
      <c r="O24" s="13">
        <f>N24*VLOOKUP('Données projet'!$B$9,Paramètres!$A$1:$I$89,3,0)*VLOOKUP('Données projet'!$B$9,Paramètres!$A$1:$I$89,5,0)</f>
        <v>68.040959999999998</v>
      </c>
      <c r="P24" s="13">
        <f t="shared" si="33"/>
        <v>19.186158107165539</v>
      </c>
      <c r="Q24" s="20">
        <f t="shared" si="2"/>
        <v>151.92056403664665</v>
      </c>
      <c r="R24" s="59">
        <f t="shared" si="0"/>
        <v>445.25389736998</v>
      </c>
      <c r="S24" s="59">
        <f ca="1">AVERAGE(OFFSET($R$3,0,0,'Données projet'!$E$9+1,1))-AVERAGE(OFFSET($H$3,0,0,'Données projet'!$E$9+1,1))</f>
        <v>319.18811755575183</v>
      </c>
      <c r="T24" s="59">
        <f t="shared" si="34"/>
        <v>234.87694492493506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0.62503575099909969</v>
      </c>
      <c r="AB24" s="21">
        <f>EXP(-LN(2)/2)*AB23+(1-EXP(-LN(2)/2))/(LN(2)/2)*V24*Y24*VLOOKUP('Données projet'!$B$9,Paramètres!$A$1:$I$89,3,0)*0.475*44/12</f>
        <v>0.90548893220456861</v>
      </c>
      <c r="AC24" s="22">
        <f t="shared" si="3"/>
        <v>1.5305246832036683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16.600000000000001</v>
      </c>
      <c r="AI24" s="13">
        <f>IF('Données projet'!$A$62&gt;35,AI23+AH24-AQ23,IF(A24&lt;'Données projet'!$A$62,$AF$205^A24,IF(A24='Données projet'!$A$62,'Données projet'!$B$62,AI23+AH24-AQ23)))</f>
        <v>97.6</v>
      </c>
      <c r="AJ24" s="13">
        <f>AI24*VLOOKUP('Données projet'!$B$10,Paramètres!$A$1:$I$89,3,0)*VLOOKUP('Données projet'!$B$10,Paramètres!$A$1:$I$89,5,0)</f>
        <v>77.650559999999999</v>
      </c>
      <c r="AK24" s="13">
        <f t="shared" si="35"/>
        <v>21.561741073650076</v>
      </c>
      <c r="AL24" s="20">
        <f t="shared" si="4"/>
        <v>172.79475770327392</v>
      </c>
      <c r="AM24" s="59">
        <f t="shared" si="5"/>
        <v>466.1280910366072</v>
      </c>
      <c r="AN24" s="59">
        <f ca="1">AVERAGE(OFFSET($AM$3,0,0,'Données projet'!$E$10+1,1))-AVERAGE(OFFSET($H$3,0,0,'Données projet'!$E$10+1,1))</f>
        <v>314.94704727988847</v>
      </c>
      <c r="AO24" s="59">
        <f t="shared" si="36"/>
        <v>366.49199094166454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10.082750457494754</v>
      </c>
      <c r="AW24" s="21">
        <f>EXP(-LN(2)/2)*AW23+(1-EXP(-LN(2)/2))/(LN(2)/2)*AQ24*AT24*VLOOKUP('Données projet'!$B$10,Paramètres!$A$1:$I$89,3,0)*0.475*44/12</f>
        <v>11.175909328920342</v>
      </c>
      <c r="AX24" s="21">
        <f t="shared" si="6"/>
        <v>21.258659786415095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16.600000000000001</v>
      </c>
      <c r="BD24" s="12">
        <f>IF('Données projet'!$A$88&gt;35,BD23+BC24-BL23,IF(A24&lt;'Données projet'!$A$88,$BA$205^A24,IF(A24='Données projet'!$A$88,'Données projet'!$B$88,BD23+BC24-BL23)))</f>
        <v>97.6</v>
      </c>
      <c r="BE24" s="13">
        <f>BD24*VLOOKUP('Données projet'!$B$11,Paramètres!$A$1:$I$89,3,0)*VLOOKUP('Données projet'!$B$11,Paramètres!$A$1:$I$89,5,0)</f>
        <v>63.947519999999997</v>
      </c>
      <c r="BF24" s="13">
        <f t="shared" si="37"/>
        <v>18.162594705540755</v>
      </c>
      <c r="BG24" s="20">
        <f t="shared" si="7"/>
        <v>143.00844977881681</v>
      </c>
      <c r="BH24" s="59">
        <f t="shared" si="8"/>
        <v>436.3417831121501</v>
      </c>
      <c r="BI24" s="59">
        <f ca="1">AVERAGE(OFFSET($BH$3,0,0,'Données projet'!$E$11+1,1))-AVERAGE(OFFSET($H$3,0,0,'Données projet'!$E$11+1,1))</f>
        <v>246.64951465060813</v>
      </c>
      <c r="BJ24" s="59">
        <f t="shared" si="38"/>
        <v>292.64550285216865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6.7367544677156959</v>
      </c>
      <c r="BR24" s="21">
        <f>EXP(-LN(2)/2)*BR23+(1-EXP(-LN(2)/2))/(LN(2)/2)*BL24*BO24*VLOOKUP('Données projet'!$B$11,Paramètres!$A$1:$I$89,3,0)*0.475*44/12</f>
        <v>9.2036900355814577</v>
      </c>
      <c r="BS24" s="22">
        <f t="shared" si="9"/>
        <v>15.940444503297154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16.600000000000001</v>
      </c>
      <c r="BY24" s="12">
        <f>IF('Données projet'!$A$114&gt;35,BY23+BX24-CG23,IF(A24&lt;'Données projet'!$A$114,$BV$205^A24,IF(A24='Données projet'!$A$114,'Données projet'!$B$114,BY23+BX24-CG23)))</f>
        <v>97.6</v>
      </c>
      <c r="BZ24" s="13">
        <f>BY24*VLOOKUP('Données projet'!$B$12,Paramètres!$A$1:$I$89,3,0)*VLOOKUP('Données projet'!$B$12,Paramètres!$A$1:$I$89,5,0)</f>
        <v>65.470079999999996</v>
      </c>
      <c r="CA24" s="13">
        <f t="shared" si="39"/>
        <v>18.544176245647545</v>
      </c>
      <c r="CB24" s="20">
        <f t="shared" si="10"/>
        <v>146.32482962783615</v>
      </c>
      <c r="CC24" s="59">
        <f t="shared" si="11"/>
        <v>439.65816296116947</v>
      </c>
      <c r="CD24" s="59">
        <f ca="1">AVERAGE(OFFSET($CC$3,0,0,'Données projet'!$E$12+1,1))-AVERAGE(OFFSET($H$3,0,0,'Données projet'!$E$12+1,1))</f>
        <v>254.25222107710192</v>
      </c>
      <c r="CE24" s="59">
        <f t="shared" si="40"/>
        <v>300.86609173447573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8.5011425425936178</v>
      </c>
      <c r="CM24" s="21">
        <f>EXP(-LN(2)/2)*CM23+(1-EXP(-LN(2)/2))/(LN(2)/2)*CG24*CJ24*VLOOKUP('Données projet'!$B$12,Paramètres!$A$1:$I$89,3,0)*0.475*44/12</f>
        <v>9.4228255126191129</v>
      </c>
      <c r="CN24" s="22">
        <f t="shared" si="12"/>
        <v>17.923968055212733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13.4</v>
      </c>
      <c r="CT24" s="12">
        <f>IF('Données projet'!$A$140&gt;35,CT23+CS24-DB23,IF(A24&lt;'Données projet'!$A$140,$CQ$205^A24,IF(A24='Données projet'!$A$140,'Données projet'!$B$140,CT23+CS24-DB23)))</f>
        <v>107.4</v>
      </c>
      <c r="CU24" s="17">
        <f>CT24*VLOOKUP('Données projet'!$B$13,Paramètres!$A$1:$I$89,3,0)*VLOOKUP('Données projet'!$B$13,Paramètres!$A$1:$I$89,5,0)</f>
        <v>93.824640000000016</v>
      </c>
      <c r="CV24" s="13">
        <f t="shared" si="41"/>
        <v>25.48538998338303</v>
      </c>
      <c r="CW24" s="20">
        <f t="shared" si="13"/>
        <v>207.79830222105878</v>
      </c>
      <c r="CX24" s="59">
        <f t="shared" si="14"/>
        <v>501.13163555439212</v>
      </c>
      <c r="CY24" s="59">
        <f ca="1">AVERAGE(OFFSET($CX$3,0,0,'Données projet'!$E$13+1,1))-AVERAGE(OFFSET($H$3,0,0,'Données projet'!$E$13+1,1))</f>
        <v>243.38048563215585</v>
      </c>
      <c r="CZ24" s="59">
        <f t="shared" si="42"/>
        <v>372.1604147006675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6.1637280262589398</v>
      </c>
      <c r="DH24" s="21">
        <f>EXP(-LN(2)/2)*DH23+(1-EXP(-LN(2)/2))/(LN(2)/2)*DB24*DE24*VLOOKUP('Données projet'!$B$13,Paramètres!$A$1:$I$89,3,0)*0.475*44/12</f>
        <v>6.8064910742484468</v>
      </c>
      <c r="DI24" s="22">
        <f t="shared" si="15"/>
        <v>12.970219100507386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13.7</v>
      </c>
      <c r="DO24" s="12">
        <f>IF('Données projet'!$A$166&gt;35,DO23+DN24-DW23,IF(A24&lt;'Données projet'!$A$166,$DL$205^A24,IF(A24='Données projet'!$A$166,'Données projet'!$B$166,DO23+DN24-DW23)))</f>
        <v>91.7</v>
      </c>
      <c r="DP24" s="17">
        <f>DO24*VLOOKUP('Données projet'!$B$14,Paramètres!$A$1:$I$89,3,0)*VLOOKUP('Données projet'!$B$14,Paramètres!$A$1:$I$89,5,0)</f>
        <v>52.452399999999997</v>
      </c>
      <c r="DQ24" s="13">
        <f t="shared" si="43"/>
        <v>15.245326889090922</v>
      </c>
      <c r="DR24" s="20">
        <f t="shared" si="16"/>
        <v>117.90687433183335</v>
      </c>
      <c r="DS24" s="59">
        <f t="shared" si="17"/>
        <v>411.24020766516668</v>
      </c>
      <c r="DT24" s="59">
        <f ca="1">AVERAGE(OFFSET($DS$3,0,0,'Données projet'!$E$14+1,1))-AVERAGE(OFFSET($H$3,0,0,'Données projet'!$E$14+1,1))</f>
        <v>227.99747790451215</v>
      </c>
      <c r="DU24" s="59">
        <f t="shared" si="44"/>
        <v>209.49597700966933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2.9773154458176845</v>
      </c>
      <c r="EC24" s="21">
        <f>EXP(-LN(2)/2)*EC23+(1-EXP(-LN(2)/2))/(LN(2)/2)*DW24*DZ24*VLOOKUP('Données projet'!$B$14,Paramètres!$A$1:$I$89,3,0)*0.475*44/12</f>
        <v>4.1215358293449329</v>
      </c>
      <c r="ED24" s="22">
        <f t="shared" si="18"/>
        <v>7.0988512751626178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29.6</v>
      </c>
      <c r="EJ24" s="12">
        <f>IF('Données projet'!$A$192&gt;35,EJ23+EI24-ER23,IF(A24&lt;'Données projet'!$A$192,$EG$205^A24,IF(A24='Données projet'!$A$192,'Données projet'!$B$192,EJ23+EI24-ER23)))</f>
        <v>131.6</v>
      </c>
      <c r="EK24" s="17">
        <f>EJ24*VLOOKUP('Données projet'!$B$15,Paramètres!$A$1:$I$89,3,0)*VLOOKUP('Données projet'!$B$15,Paramètres!$A$1:$I$89,5,0)</f>
        <v>58.167200000000001</v>
      </c>
      <c r="EL24" s="13">
        <f t="shared" si="45"/>
        <v>16.704046328395918</v>
      </c>
      <c r="EM24" s="20">
        <f t="shared" si="19"/>
        <v>130.40075402195623</v>
      </c>
      <c r="EN24" s="59">
        <f t="shared" si="20"/>
        <v>423.73408735528955</v>
      </c>
      <c r="EO24" s="59">
        <f ca="1">AVERAGE(OFFSET($EN$3,0,0,'Données projet'!$E$15+1,1))-AVERAGE(OFFSET($H$3,0,0,'Données projet'!$E$15+1,1))</f>
        <v>335.27356627949155</v>
      </c>
      <c r="EP24" s="59">
        <f t="shared" si="46"/>
        <v>322.66829503077247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7.0297725804028657</v>
      </c>
      <c r="EX24" s="21">
        <f>EXP(-LN(2)/2)*EX23+(1-EXP(-LN(2)/2))/(LN(2)/2)*ER24*EU24*VLOOKUP('Données projet'!$B$15,Paramètres!$A$1:$I$89,3,0)*0.475*44/12</f>
        <v>7.9620578521436229</v>
      </c>
      <c r="EY24" s="22">
        <f t="shared" si="21"/>
        <v>14.99183043254649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8.1999999999999993</v>
      </c>
      <c r="N25" s="13">
        <f>IF('Données projet'!$A$36&gt;35,N24+M25-V24,IF(A25&lt;'Données projet'!$A$36,$K$205^A25,IF(A25='Données projet'!$A$36,'Données projet'!$B$36,N24+M25-V24)))</f>
        <v>83.4</v>
      </c>
      <c r="O25" s="13">
        <f>N25*VLOOKUP('Données projet'!$B$9,Paramètres!$A$1:$I$89,3,0)*VLOOKUP('Données projet'!$B$9,Paramètres!$A$1:$I$89,5,0)</f>
        <v>75.460319999999996</v>
      </c>
      <c r="P25" s="13">
        <f t="shared" si="33"/>
        <v>21.023463123249066</v>
      </c>
      <c r="Q25" s="20">
        <f t="shared" si="2"/>
        <v>168.04258893965877</v>
      </c>
      <c r="R25" s="59">
        <f t="shared" si="0"/>
        <v>461.37592227299206</v>
      </c>
      <c r="S25" s="59">
        <f ca="1">AVERAGE(OFFSET($R$3,0,0,'Données projet'!$E$9+1,1))-AVERAGE(OFFSET($H$3,0,0,'Données projet'!$E$9+1,1))</f>
        <v>319.18811755575183</v>
      </c>
      <c r="T25" s="59">
        <f t="shared" si="34"/>
        <v>234.87694492493506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0.60794411551882765</v>
      </c>
      <c r="AB25" s="21">
        <f>EXP(-LN(2)/2)*AB24+(1-EXP(-LN(2)/2))/(LN(2)/2)*V25*Y25*VLOOKUP('Données projet'!$B$9,Paramètres!$A$1:$I$89,3,0)*0.475*44/12</f>
        <v>0.64027736425121651</v>
      </c>
      <c r="AC25" s="22">
        <f t="shared" si="3"/>
        <v>1.2482214797700442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16.600000000000001</v>
      </c>
      <c r="AI25" s="13">
        <f>IF('Données projet'!$A$62&gt;35,AI24+AH25-AQ24,IF(A25&lt;'Données projet'!$A$62,$AF$205^A25,IF(A25='Données projet'!$A$62,'Données projet'!$B$62,AI24+AH25-AQ24)))</f>
        <v>114.19999999999999</v>
      </c>
      <c r="AJ25" s="13">
        <f>AI25*VLOOKUP('Données projet'!$B$10,Paramètres!$A$1:$I$89,3,0)*VLOOKUP('Données projet'!$B$10,Paramètres!$A$1:$I$89,5,0)</f>
        <v>90.857519999999994</v>
      </c>
      <c r="AK25" s="13">
        <f t="shared" si="35"/>
        <v>24.771923889440387</v>
      </c>
      <c r="AL25" s="20">
        <f t="shared" si="4"/>
        <v>201.38794810744199</v>
      </c>
      <c r="AM25" s="59">
        <f t="shared" si="5"/>
        <v>494.72128144077533</v>
      </c>
      <c r="AN25" s="59">
        <f ca="1">AVERAGE(OFFSET($AM$3,0,0,'Données projet'!$E$10+1,1))-AVERAGE(OFFSET($H$3,0,0,'Données projet'!$E$10+1,1))</f>
        <v>314.94704727988847</v>
      </c>
      <c r="AO25" s="59">
        <f t="shared" si="36"/>
        <v>366.49199094166454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9.8070371160057572</v>
      </c>
      <c r="AW25" s="21">
        <f>EXP(-LN(2)/2)*AW24+(1-EXP(-LN(2)/2))/(LN(2)/2)*AQ25*AT25*VLOOKUP('Données projet'!$B$10,Paramètres!$A$1:$I$89,3,0)*0.475*44/12</f>
        <v>7.9025612724055723</v>
      </c>
      <c r="AX25" s="21">
        <f t="shared" si="6"/>
        <v>17.709598388411329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16.600000000000001</v>
      </c>
      <c r="BD25" s="12">
        <f>IF('Données projet'!$A$88&gt;35,BD24+BC25-BL24,IF(A25&lt;'Données projet'!$A$88,$BA$205^A25,IF(A25='Données projet'!$A$88,'Données projet'!$B$88,BD24+BC25-BL24)))</f>
        <v>114.19999999999999</v>
      </c>
      <c r="BE25" s="13">
        <f>BD25*VLOOKUP('Données projet'!$B$11,Paramètres!$A$1:$I$89,3,0)*VLOOKUP('Données projet'!$B$11,Paramètres!$A$1:$I$89,5,0)</f>
        <v>74.82383999999999</v>
      </c>
      <c r="BF25" s="13">
        <f t="shared" si="37"/>
        <v>20.866701447882829</v>
      </c>
      <c r="BG25" s="20">
        <f t="shared" si="7"/>
        <v>166.66102635506257</v>
      </c>
      <c r="BH25" s="59">
        <f t="shared" si="8"/>
        <v>459.99435968839589</v>
      </c>
      <c r="BI25" s="59">
        <f ca="1">AVERAGE(OFFSET($BH$3,0,0,'Données projet'!$E$11+1,1))-AVERAGE(OFFSET($H$3,0,0,'Données projet'!$E$11+1,1))</f>
        <v>246.64951465060813</v>
      </c>
      <c r="BJ25" s="59">
        <f t="shared" si="38"/>
        <v>292.64550285216865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6.5525375625254894</v>
      </c>
      <c r="BR25" s="21">
        <f>EXP(-LN(2)/2)*BR24+(1-EXP(-LN(2)/2))/(LN(2)/2)*BL25*BO25*VLOOKUP('Données projet'!$B$11,Paramètres!$A$1:$I$89,3,0)*0.475*44/12</f>
        <v>6.5079916360987058</v>
      </c>
      <c r="BS25" s="22">
        <f t="shared" si="9"/>
        <v>13.060529198624195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16.600000000000001</v>
      </c>
      <c r="BY25" s="12">
        <f>IF('Données projet'!$A$114&gt;35,BY24+BX25-CG24,IF(A25&lt;'Données projet'!$A$114,$BV$205^A25,IF(A25='Données projet'!$A$114,'Données projet'!$B$114,BY24+BX25-CG24)))</f>
        <v>114.19999999999999</v>
      </c>
      <c r="BZ25" s="13">
        <f>BY25*VLOOKUP('Données projet'!$B$12,Paramètres!$A$1:$I$89,3,0)*VLOOKUP('Données projet'!$B$12,Paramètres!$A$1:$I$89,5,0)</f>
        <v>76.60535999999999</v>
      </c>
      <c r="CA25" s="13">
        <f t="shared" si="39"/>
        <v>21.30509410072349</v>
      </c>
      <c r="CB25" s="20">
        <f t="shared" si="10"/>
        <v>170.52737422542671</v>
      </c>
      <c r="CC25" s="59">
        <f t="shared" si="11"/>
        <v>463.86070755876005</v>
      </c>
      <c r="CD25" s="59">
        <f ca="1">AVERAGE(OFFSET($CC$3,0,0,'Données projet'!$E$12+1,1))-AVERAGE(OFFSET($H$3,0,0,'Données projet'!$E$12+1,1))</f>
        <v>254.25222107710192</v>
      </c>
      <c r="CE25" s="59">
        <f t="shared" si="40"/>
        <v>300.86609173447573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8.2686783527107384</v>
      </c>
      <c r="CM25" s="21">
        <f>EXP(-LN(2)/2)*CM24+(1-EXP(-LN(2)/2))/(LN(2)/2)*CG25*CJ25*VLOOKUP('Données projet'!$B$12,Paramètres!$A$1:$I$89,3,0)*0.475*44/12</f>
        <v>6.6629438179105813</v>
      </c>
      <c r="CN25" s="22">
        <f t="shared" si="12"/>
        <v>14.931622170621321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13.4</v>
      </c>
      <c r="CT25" s="12">
        <f>IF('Données projet'!$A$140&gt;35,CT24+CS25-DB24,IF(A25&lt;'Données projet'!$A$140,$CQ$205^A25,IF(A25='Données projet'!$A$140,'Données projet'!$B$140,CT24+CS25-DB24)))</f>
        <v>120.80000000000001</v>
      </c>
      <c r="CU25" s="17">
        <f>CT25*VLOOKUP('Données projet'!$B$13,Paramètres!$A$1:$I$89,3,0)*VLOOKUP('Données projet'!$B$13,Paramètres!$A$1:$I$89,5,0)</f>
        <v>105.53088000000002</v>
      </c>
      <c r="CV25" s="13">
        <f t="shared" si="41"/>
        <v>28.275496771440064</v>
      </c>
      <c r="CW25" s="20">
        <f t="shared" si="13"/>
        <v>233.04610621025813</v>
      </c>
      <c r="CX25" s="59">
        <f t="shared" si="14"/>
        <v>526.37943954359139</v>
      </c>
      <c r="CY25" s="59">
        <f ca="1">AVERAGE(OFFSET($CX$3,0,0,'Données projet'!$E$13+1,1))-AVERAGE(OFFSET($H$3,0,0,'Données projet'!$E$13+1,1))</f>
        <v>243.38048563215585</v>
      </c>
      <c r="CZ25" s="59">
        <f t="shared" si="42"/>
        <v>372.1604147006675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5.9951805592445195</v>
      </c>
      <c r="DH25" s="21">
        <f>EXP(-LN(2)/2)*DH24+(1-EXP(-LN(2)/2))/(LN(2)/2)*DB25*DE25*VLOOKUP('Données projet'!$B$13,Paramètres!$A$1:$I$89,3,0)*0.475*44/12</f>
        <v>4.8129159946867857</v>
      </c>
      <c r="DI25" s="22">
        <f t="shared" si="15"/>
        <v>10.808096553931305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13.7</v>
      </c>
      <c r="DO25" s="12">
        <f>IF('Données projet'!$A$166&gt;35,DO24+DN25-DW24,IF(A25&lt;'Données projet'!$A$166,$DL$205^A25,IF(A25='Données projet'!$A$166,'Données projet'!$B$166,DO24+DN25-DW24)))</f>
        <v>105.4</v>
      </c>
      <c r="DP25" s="17">
        <f>DO25*VLOOKUP('Données projet'!$B$14,Paramètres!$A$1:$I$89,3,0)*VLOOKUP('Données projet'!$B$14,Paramètres!$A$1:$I$89,5,0)</f>
        <v>60.288800000000009</v>
      </c>
      <c r="DQ25" s="13">
        <f t="shared" si="43"/>
        <v>17.24126629525372</v>
      </c>
      <c r="DR25" s="20">
        <f t="shared" si="16"/>
        <v>135.03153213090025</v>
      </c>
      <c r="DS25" s="59">
        <f t="shared" si="17"/>
        <v>428.36486546423356</v>
      </c>
      <c r="DT25" s="59">
        <f ca="1">AVERAGE(OFFSET($DS$3,0,0,'Données projet'!$E$14+1,1))-AVERAGE(OFFSET($H$3,0,0,'Données projet'!$E$14+1,1))</f>
        <v>227.99747790451215</v>
      </c>
      <c r="DU25" s="59">
        <f t="shared" si="44"/>
        <v>209.49597700966933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2.8959005983815853</v>
      </c>
      <c r="EC25" s="21">
        <f>EXP(-LN(2)/2)*EC24+(1-EXP(-LN(2)/2))/(LN(2)/2)*DW25*DZ25*VLOOKUP('Données projet'!$B$14,Paramètres!$A$1:$I$89,3,0)*0.475*44/12</f>
        <v>2.9143659338331234</v>
      </c>
      <c r="ED25" s="22">
        <f t="shared" si="18"/>
        <v>5.8102665322147082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29.6</v>
      </c>
      <c r="EJ25" s="12">
        <f>IF('Données projet'!$A$192&gt;35,EJ24+EI25-ER24,IF(A25&lt;'Données projet'!$A$192,$EG$205^A25,IF(A25='Données projet'!$A$192,'Données projet'!$B$192,EJ24+EI25-ER24)))</f>
        <v>161.19999999999999</v>
      </c>
      <c r="EK25" s="17">
        <f>EJ25*VLOOKUP('Données projet'!$B$15,Paramètres!$A$1:$I$89,3,0)*VLOOKUP('Données projet'!$B$15,Paramètres!$A$1:$I$89,5,0)</f>
        <v>71.250399999999999</v>
      </c>
      <c r="EL25" s="13">
        <f t="shared" si="45"/>
        <v>19.983655266265664</v>
      </c>
      <c r="EM25" s="20">
        <f t="shared" si="19"/>
        <v>158.89931292207936</v>
      </c>
      <c r="EN25" s="59">
        <f t="shared" si="20"/>
        <v>452.23264625541265</v>
      </c>
      <c r="EO25" s="59">
        <f ca="1">AVERAGE(OFFSET($EN$3,0,0,'Données projet'!$E$15+1,1))-AVERAGE(OFFSET($H$3,0,0,'Données projet'!$E$15+1,1))</f>
        <v>335.27356627949155</v>
      </c>
      <c r="EP25" s="59">
        <f t="shared" si="46"/>
        <v>322.66829503077247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6.8375430795120762</v>
      </c>
      <c r="EX25" s="21">
        <f>EXP(-LN(2)/2)*EX24+(1-EXP(-LN(2)/2))/(LN(2)/2)*ER25*EU25*VLOOKUP('Données projet'!$B$15,Paramètres!$A$1:$I$89,3,0)*0.475*44/12</f>
        <v>5.6300250994503536</v>
      </c>
      <c r="EY25" s="22">
        <f t="shared" si="21"/>
        <v>12.467568178962431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8.1999999999999993</v>
      </c>
      <c r="N26" s="13">
        <f>IF('Données projet'!$A$36&gt;35,N25+M26-V25,IF(A26&lt;'Données projet'!$A$36,$K$205^A26,IF(A26='Données projet'!$A$36,'Données projet'!$B$36,N25+M26-V25)))</f>
        <v>91.600000000000009</v>
      </c>
      <c r="O26" s="13">
        <f>N26*VLOOKUP('Données projet'!$B$9,Paramètres!$A$1:$I$89,3,0)*VLOOKUP('Données projet'!$B$9,Paramètres!$A$1:$I$89,5,0)</f>
        <v>82.879680000000008</v>
      </c>
      <c r="P26" s="13">
        <f t="shared" si="33"/>
        <v>22.83982519050506</v>
      </c>
      <c r="Q26" s="20">
        <f t="shared" si="2"/>
        <v>184.12813820679631</v>
      </c>
      <c r="R26" s="59">
        <f t="shared" si="0"/>
        <v>477.46147154012965</v>
      </c>
      <c r="S26" s="59">
        <f ca="1">AVERAGE(OFFSET($R$3,0,0,'Données projet'!$E$9+1,1))-AVERAGE(OFFSET($H$3,0,0,'Données projet'!$E$9+1,1))</f>
        <v>319.18811755575183</v>
      </c>
      <c r="T26" s="59">
        <f t="shared" si="34"/>
        <v>234.87694492493506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0.5913198517095738</v>
      </c>
      <c r="AB26" s="21">
        <f>EXP(-LN(2)/2)*AB25+(1-EXP(-LN(2)/2))/(LN(2)/2)*V26*Y26*VLOOKUP('Données projet'!$B$9,Paramètres!$A$1:$I$89,3,0)*0.475*44/12</f>
        <v>0.45274446610228436</v>
      </c>
      <c r="AC26" s="22">
        <f t="shared" si="3"/>
        <v>1.0440643178118583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16.600000000000001</v>
      </c>
      <c r="AI26" s="13">
        <f>IF('Données projet'!$A$62&gt;35,AI25+AH26-AQ25,IF(A26&lt;'Données projet'!$A$62,$AF$205^A26,IF(A26='Données projet'!$A$62,'Données projet'!$B$62,AI25+AH26-AQ25)))</f>
        <v>130.79999999999998</v>
      </c>
      <c r="AJ26" s="13">
        <f>AI26*VLOOKUP('Données projet'!$B$10,Paramètres!$A$1:$I$89,3,0)*VLOOKUP('Données projet'!$B$10,Paramètres!$A$1:$I$89,5,0)</f>
        <v>104.06448</v>
      </c>
      <c r="AK26" s="13">
        <f t="shared" si="35"/>
        <v>27.928047224076721</v>
      </c>
      <c r="AL26" s="20">
        <f t="shared" si="4"/>
        <v>229.88698491526694</v>
      </c>
      <c r="AM26" s="59">
        <f t="shared" si="5"/>
        <v>523.22031824860028</v>
      </c>
      <c r="AN26" s="59">
        <f ca="1">AVERAGE(OFFSET($AM$3,0,0,'Données projet'!$E$10+1,1))-AVERAGE(OFFSET($H$3,0,0,'Données projet'!$E$10+1,1))</f>
        <v>314.94704727988847</v>
      </c>
      <c r="AO26" s="59">
        <f t="shared" si="36"/>
        <v>366.49199094166454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9.538863170338912</v>
      </c>
      <c r="AW26" s="21">
        <f>EXP(-LN(2)/2)*AW25+(1-EXP(-LN(2)/2))/(LN(2)/2)*AQ26*AT26*VLOOKUP('Données projet'!$B$10,Paramètres!$A$1:$I$89,3,0)*0.475*44/12</f>
        <v>5.5879546644601721</v>
      </c>
      <c r="AX26" s="21">
        <f t="shared" si="6"/>
        <v>15.126817834799084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16.600000000000001</v>
      </c>
      <c r="BD26" s="12">
        <f>IF('Données projet'!$A$88&gt;35,BD25+BC26-BL25,IF(A26&lt;'Données projet'!$A$88,$BA$205^A26,IF(A26='Données projet'!$A$88,'Données projet'!$B$88,BD25+BC26-BL25)))</f>
        <v>130.79999999999998</v>
      </c>
      <c r="BE26" s="13">
        <f>BD26*VLOOKUP('Données projet'!$B$11,Paramètres!$A$1:$I$89,3,0)*VLOOKUP('Données projet'!$B$11,Paramètres!$A$1:$I$89,5,0)</f>
        <v>85.700159999999997</v>
      </c>
      <c r="BF26" s="13">
        <f t="shared" si="37"/>
        <v>23.525271030547582</v>
      </c>
      <c r="BG26" s="20">
        <f t="shared" si="7"/>
        <v>190.23429237820369</v>
      </c>
      <c r="BH26" s="59">
        <f t="shared" si="8"/>
        <v>483.567625711537</v>
      </c>
      <c r="BI26" s="59">
        <f ca="1">AVERAGE(OFFSET($BH$3,0,0,'Données projet'!$E$11+1,1))-AVERAGE(OFFSET($H$3,0,0,'Données projet'!$E$11+1,1))</f>
        <v>246.64951465060813</v>
      </c>
      <c r="BJ26" s="59">
        <f t="shared" si="38"/>
        <v>292.64550285216865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6.3733580782952552</v>
      </c>
      <c r="BR26" s="21">
        <f>EXP(-LN(2)/2)*BR25+(1-EXP(-LN(2)/2))/(LN(2)/2)*BL26*BO26*VLOOKUP('Données projet'!$B$11,Paramètres!$A$1:$I$89,3,0)*0.475*44/12</f>
        <v>4.6018450177907289</v>
      </c>
      <c r="BS26" s="22">
        <f t="shared" si="9"/>
        <v>10.975203096085984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16.600000000000001</v>
      </c>
      <c r="BY26" s="12">
        <f>IF('Données projet'!$A$114&gt;35,BY25+BX26-CG25,IF(A26&lt;'Données projet'!$A$114,$BV$205^A26,IF(A26='Données projet'!$A$114,'Données projet'!$B$114,BY25+BX26-CG25)))</f>
        <v>130.79999999999998</v>
      </c>
      <c r="BZ26" s="13">
        <f>BY26*VLOOKUP('Données projet'!$B$12,Paramètres!$A$1:$I$89,3,0)*VLOOKUP('Données projet'!$B$12,Paramètres!$A$1:$I$89,5,0)</f>
        <v>87.740639999999985</v>
      </c>
      <c r="CA26" s="13">
        <f t="shared" si="39"/>
        <v>24.019518096938793</v>
      </c>
      <c r="CB26" s="20">
        <f t="shared" si="10"/>
        <v>194.64894201883502</v>
      </c>
      <c r="CC26" s="59">
        <f t="shared" si="11"/>
        <v>487.98227535216836</v>
      </c>
      <c r="CD26" s="59">
        <f ca="1">AVERAGE(OFFSET($CC$3,0,0,'Données projet'!$E$12+1,1))-AVERAGE(OFFSET($H$3,0,0,'Données projet'!$E$12+1,1))</f>
        <v>254.25222107710192</v>
      </c>
      <c r="CE26" s="59">
        <f t="shared" si="40"/>
        <v>300.86609173447573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8.0425709083249668</v>
      </c>
      <c r="CM26" s="21">
        <f>EXP(-LN(2)/2)*CM25+(1-EXP(-LN(2)/2))/(LN(2)/2)*CG26*CJ26*VLOOKUP('Données projet'!$B$12,Paramètres!$A$1:$I$89,3,0)*0.475*44/12</f>
        <v>4.7114127563095574</v>
      </c>
      <c r="CN26" s="22">
        <f t="shared" si="12"/>
        <v>12.753983664634525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13.4</v>
      </c>
      <c r="CT26" s="12">
        <f>IF('Données projet'!$A$140&gt;35,CT25+CS26-DB25,IF(A26&lt;'Données projet'!$A$140,$CQ$205^A26,IF(A26='Données projet'!$A$140,'Données projet'!$B$140,CT25+CS26-DB25)))</f>
        <v>134.20000000000002</v>
      </c>
      <c r="CU26" s="17">
        <f>CT26*VLOOKUP('Données projet'!$B$13,Paramètres!$A$1:$I$89,3,0)*VLOOKUP('Données projet'!$B$13,Paramètres!$A$1:$I$89,5,0)</f>
        <v>117.23712000000003</v>
      </c>
      <c r="CV26" s="13">
        <f t="shared" si="41"/>
        <v>31.029731926851252</v>
      </c>
      <c r="CW26" s="20">
        <f t="shared" si="13"/>
        <v>258.2314337725993</v>
      </c>
      <c r="CX26" s="59">
        <f t="shared" si="14"/>
        <v>551.56476710593256</v>
      </c>
      <c r="CY26" s="59">
        <f ca="1">AVERAGE(OFFSET($CX$3,0,0,'Données projet'!$E$13+1,1))-AVERAGE(OFFSET($H$3,0,0,'Données projet'!$E$13+1,1))</f>
        <v>243.38048563215585</v>
      </c>
      <c r="CZ26" s="59">
        <f t="shared" si="42"/>
        <v>372.1604147006675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5.8312420315791345</v>
      </c>
      <c r="DH26" s="21">
        <f>EXP(-LN(2)/2)*DH25+(1-EXP(-LN(2)/2))/(LN(2)/2)*DB26*DE26*VLOOKUP('Données projet'!$B$13,Paramètres!$A$1:$I$89,3,0)*0.475*44/12</f>
        <v>3.4032455371242238</v>
      </c>
      <c r="DI26" s="22">
        <f t="shared" si="15"/>
        <v>9.2344875687033579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13.7</v>
      </c>
      <c r="DO26" s="12">
        <f>IF('Données projet'!$A$166&gt;35,DO25+DN26-DW25,IF(A26&lt;'Données projet'!$A$166,$DL$205^A26,IF(A26='Données projet'!$A$166,'Données projet'!$B$166,DO25+DN26-DW25)))</f>
        <v>119.10000000000001</v>
      </c>
      <c r="DP26" s="17">
        <f>DO26*VLOOKUP('Données projet'!$B$14,Paramètres!$A$1:$I$89,3,0)*VLOOKUP('Données projet'!$B$14,Paramètres!$A$1:$I$89,5,0)</f>
        <v>68.125200000000007</v>
      </c>
      <c r="DQ26" s="13">
        <f t="shared" si="43"/>
        <v>19.207145590853781</v>
      </c>
      <c r="DR26" s="20">
        <f t="shared" si="16"/>
        <v>152.10383523740367</v>
      </c>
      <c r="DS26" s="59">
        <f t="shared" si="17"/>
        <v>445.43716857073696</v>
      </c>
      <c r="DT26" s="59">
        <f ca="1">AVERAGE(OFFSET($DS$3,0,0,'Données projet'!$E$14+1,1))-AVERAGE(OFFSET($H$3,0,0,'Données projet'!$E$14+1,1))</f>
        <v>227.99747790451215</v>
      </c>
      <c r="DU26" s="59">
        <f t="shared" si="44"/>
        <v>209.49597700966933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2.8167120442300471</v>
      </c>
      <c r="EC26" s="21">
        <f>EXP(-LN(2)/2)*EC25+(1-EXP(-LN(2)/2))/(LN(2)/2)*DW26*DZ26*VLOOKUP('Données projet'!$B$14,Paramètres!$A$1:$I$89,3,0)*0.475*44/12</f>
        <v>2.0607679146724669</v>
      </c>
      <c r="ED26" s="22">
        <f t="shared" si="18"/>
        <v>4.877479958902514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29.6</v>
      </c>
      <c r="EJ26" s="12">
        <f>IF('Données projet'!$A$192&gt;35,EJ25+EI26-ER25,IF(A26&lt;'Données projet'!$A$192,$EG$205^A26,IF(A26='Données projet'!$A$192,'Données projet'!$B$192,EJ25+EI26-ER25)))</f>
        <v>190.79999999999998</v>
      </c>
      <c r="EK26" s="17">
        <f>EJ26*VLOOKUP('Données projet'!$B$15,Paramètres!$A$1:$I$89,3,0)*VLOOKUP('Données projet'!$B$15,Paramètres!$A$1:$I$89,5,0)</f>
        <v>84.333600000000004</v>
      </c>
      <c r="EL26" s="13">
        <f t="shared" si="45"/>
        <v>23.193496775113942</v>
      </c>
      <c r="EM26" s="20">
        <f t="shared" si="19"/>
        <v>187.2763602166568</v>
      </c>
      <c r="EN26" s="59">
        <f t="shared" si="20"/>
        <v>480.60969354999008</v>
      </c>
      <c r="EO26" s="59">
        <f ca="1">AVERAGE(OFFSET($EN$3,0,0,'Données projet'!$E$15+1,1))-AVERAGE(OFFSET($H$3,0,0,'Données projet'!$E$15+1,1))</f>
        <v>335.27356627949155</v>
      </c>
      <c r="EP26" s="59">
        <f t="shared" si="46"/>
        <v>322.66829503077247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6.6505701044320551</v>
      </c>
      <c r="EX26" s="21">
        <f>EXP(-LN(2)/2)*EX25+(1-EXP(-LN(2)/2))/(LN(2)/2)*ER26*EU26*VLOOKUP('Données projet'!$B$15,Paramètres!$A$1:$I$89,3,0)*0.475*44/12</f>
        <v>3.9810289260718119</v>
      </c>
      <c r="EY26" s="22">
        <f t="shared" si="21"/>
        <v>10.631599030503867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8.1999999999999993</v>
      </c>
      <c r="N27" s="13">
        <f>IF('Données projet'!$A$36&gt;35,N26+M27-V26,IF(A27&lt;'Données projet'!$A$36,$K$205^A27,IF(A27='Données projet'!$A$36,'Données projet'!$B$36,N26+M27-V26)))</f>
        <v>99.800000000000011</v>
      </c>
      <c r="O27" s="13">
        <f>N27*VLOOKUP('Données projet'!$B$9,Paramètres!$A$1:$I$89,3,0)*VLOOKUP('Données projet'!$B$9,Paramètres!$A$1:$I$89,5,0)</f>
        <v>90.299040000000005</v>
      </c>
      <c r="P27" s="13">
        <f t="shared" si="33"/>
        <v>24.637332311507059</v>
      </c>
      <c r="Q27" s="20">
        <f t="shared" si="2"/>
        <v>200.18084844254145</v>
      </c>
      <c r="R27" s="59">
        <f t="shared" si="0"/>
        <v>493.51418177587476</v>
      </c>
      <c r="S27" s="59">
        <f ca="1">AVERAGE(OFFSET($R$3,0,0,'Données projet'!$E$9+1,1))-AVERAGE(OFFSET($H$3,0,0,'Données projet'!$E$9+1,1))</f>
        <v>319.18811755575183</v>
      </c>
      <c r="T27" s="59">
        <f t="shared" si="34"/>
        <v>234.87694492493506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0.57515017926841594</v>
      </c>
      <c r="AB27" s="21">
        <f>EXP(-LN(2)/2)*AB26+(1-EXP(-LN(2)/2))/(LN(2)/2)*V27*Y27*VLOOKUP('Données projet'!$B$9,Paramètres!$A$1:$I$89,3,0)*0.475*44/12</f>
        <v>0.32013868212560831</v>
      </c>
      <c r="AC27" s="22">
        <f t="shared" si="3"/>
        <v>0.89528886139402419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16.600000000000001</v>
      </c>
      <c r="AI27" s="13">
        <f>IF('Données projet'!$A$62&gt;35,AI26+AH27-AQ26,IF(A27&lt;'Données projet'!$A$62,$AF$205^A27,IF(A27='Données projet'!$A$62,'Données projet'!$B$62,AI26+AH27-AQ26)))</f>
        <v>147.39999999999998</v>
      </c>
      <c r="AJ27" s="13">
        <f>AI27*VLOOKUP('Données projet'!$B$10,Paramètres!$A$1:$I$89,3,0)*VLOOKUP('Données projet'!$B$10,Paramètres!$A$1:$I$89,5,0)</f>
        <v>117.27144</v>
      </c>
      <c r="AK27" s="13">
        <f t="shared" si="35"/>
        <v>31.037758098997106</v>
      </c>
      <c r="AL27" s="20">
        <f t="shared" si="4"/>
        <v>258.30518668908661</v>
      </c>
      <c r="AM27" s="59">
        <f t="shared" si="5"/>
        <v>551.63852002241993</v>
      </c>
      <c r="AN27" s="59">
        <f ca="1">AVERAGE(OFFSET($AM$3,0,0,'Données projet'!$E$10+1,1))-AVERAGE(OFFSET($H$3,0,0,'Données projet'!$E$10+1,1))</f>
        <v>314.94704727988847</v>
      </c>
      <c r="AO27" s="59">
        <f t="shared" si="36"/>
        <v>366.49199094166454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9.2780224553189825</v>
      </c>
      <c r="AW27" s="21">
        <f>EXP(-LN(2)/2)*AW26+(1-EXP(-LN(2)/2))/(LN(2)/2)*AQ27*AT27*VLOOKUP('Données projet'!$B$10,Paramètres!$A$1:$I$89,3,0)*0.475*44/12</f>
        <v>3.9512806362027866</v>
      </c>
      <c r="AX27" s="21">
        <f t="shared" si="6"/>
        <v>13.22930309152177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16.600000000000001</v>
      </c>
      <c r="BD27" s="12">
        <f>IF('Données projet'!$A$88&gt;35,BD26+BC27-BL26,IF(A27&lt;'Données projet'!$A$88,$BA$205^A27,IF(A27='Données projet'!$A$88,'Données projet'!$B$88,BD26+BC27-BL26)))</f>
        <v>147.39999999999998</v>
      </c>
      <c r="BE27" s="13">
        <f>BD27*VLOOKUP('Données projet'!$B$11,Paramètres!$A$1:$I$89,3,0)*VLOOKUP('Données projet'!$B$11,Paramètres!$A$1:$I$89,5,0)</f>
        <v>96.576479999999989</v>
      </c>
      <c r="BF27" s="13">
        <f t="shared" si="37"/>
        <v>26.144744944071853</v>
      </c>
      <c r="BG27" s="20">
        <f t="shared" si="7"/>
        <v>213.73946677759179</v>
      </c>
      <c r="BH27" s="59">
        <f t="shared" si="8"/>
        <v>507.07280011092507</v>
      </c>
      <c r="BI27" s="59">
        <f ca="1">AVERAGE(OFFSET($BH$3,0,0,'Données projet'!$E$11+1,1))-AVERAGE(OFFSET($H$3,0,0,'Données projet'!$E$11+1,1))</f>
        <v>246.64951465060813</v>
      </c>
      <c r="BJ27" s="59">
        <f t="shared" si="38"/>
        <v>292.64550285216865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6.1990782664839363</v>
      </c>
      <c r="BR27" s="21">
        <f>EXP(-LN(2)/2)*BR26+(1-EXP(-LN(2)/2))/(LN(2)/2)*BL27*BO27*VLOOKUP('Données projet'!$B$11,Paramètres!$A$1:$I$89,3,0)*0.475*44/12</f>
        <v>3.2539958180493529</v>
      </c>
      <c r="BS27" s="22">
        <f t="shared" si="9"/>
        <v>9.4530740845332897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16.600000000000001</v>
      </c>
      <c r="BY27" s="12">
        <f>IF('Données projet'!$A$114&gt;35,BY26+BX27-CG26,IF(A27&lt;'Données projet'!$A$114,$BV$205^A27,IF(A27='Données projet'!$A$114,'Données projet'!$B$114,BY26+BX27-CG26)))</f>
        <v>147.39999999999998</v>
      </c>
      <c r="BZ27" s="13">
        <f>BY27*VLOOKUP('Données projet'!$B$12,Paramètres!$A$1:$I$89,3,0)*VLOOKUP('Données projet'!$B$12,Paramètres!$A$1:$I$89,5,0)</f>
        <v>98.875919999999994</v>
      </c>
      <c r="CA27" s="13">
        <f t="shared" si="39"/>
        <v>26.69402505537747</v>
      </c>
      <c r="CB27" s="20">
        <f t="shared" si="10"/>
        <v>218.70098763811575</v>
      </c>
      <c r="CC27" s="59">
        <f t="shared" si="11"/>
        <v>512.03432097144901</v>
      </c>
      <c r="CD27" s="59">
        <f ca="1">AVERAGE(OFFSET($CC$3,0,0,'Données projet'!$E$12+1,1))-AVERAGE(OFFSET($H$3,0,0,'Données projet'!$E$12+1,1))</f>
        <v>254.25222107710192</v>
      </c>
      <c r="CE27" s="59">
        <f t="shared" si="40"/>
        <v>300.86609173447573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7.822646383896398</v>
      </c>
      <c r="CM27" s="21">
        <f>EXP(-LN(2)/2)*CM26+(1-EXP(-LN(2)/2))/(LN(2)/2)*CG27*CJ27*VLOOKUP('Données projet'!$B$12,Paramètres!$A$1:$I$89,3,0)*0.475*44/12</f>
        <v>3.3314719089552911</v>
      </c>
      <c r="CN27" s="22">
        <f t="shared" si="12"/>
        <v>11.154118292851688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13.4</v>
      </c>
      <c r="CT27" s="12">
        <f>IF('Données projet'!$A$140&gt;35,CT26+CS27-DB26,IF(A27&lt;'Données projet'!$A$140,$CQ$205^A27,IF(A27='Données projet'!$A$140,'Données projet'!$B$140,CT26+CS27-DB26)))</f>
        <v>147.60000000000002</v>
      </c>
      <c r="CU27" s="17">
        <f>CT27*VLOOKUP('Données projet'!$B$13,Paramètres!$A$1:$I$89,3,0)*VLOOKUP('Données projet'!$B$13,Paramètres!$A$1:$I$89,5,0)</f>
        <v>128.94336000000004</v>
      </c>
      <c r="CV27" s="13">
        <f t="shared" si="41"/>
        <v>33.752085002132198</v>
      </c>
      <c r="CW27" s="20">
        <f t="shared" si="13"/>
        <v>283.36123337871362</v>
      </c>
      <c r="CX27" s="59">
        <f t="shared" si="14"/>
        <v>576.69456671204694</v>
      </c>
      <c r="CY27" s="59">
        <f ca="1">AVERAGE(OFFSET($CX$3,0,0,'Données projet'!$E$13+1,1))-AVERAGE(OFFSET($H$3,0,0,'Données projet'!$E$13+1,1))</f>
        <v>243.38048563215585</v>
      </c>
      <c r="CZ27" s="59">
        <f t="shared" si="42"/>
        <v>372.1604147006675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5.6717864115739118</v>
      </c>
      <c r="DH27" s="21">
        <f>EXP(-LN(2)/2)*DH26+(1-EXP(-LN(2)/2))/(LN(2)/2)*DB27*DE27*VLOOKUP('Données projet'!$B$13,Paramètres!$A$1:$I$89,3,0)*0.475*44/12</f>
        <v>2.4064579973433933</v>
      </c>
      <c r="DI27" s="22">
        <f t="shared" si="15"/>
        <v>8.0782444089173051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13.7</v>
      </c>
      <c r="DO27" s="12">
        <f>IF('Données projet'!$A$166&gt;35,DO26+DN27-DW26,IF(A27&lt;'Données projet'!$A$166,$DL$205^A27,IF(A27='Données projet'!$A$166,'Données projet'!$B$166,DO26+DN27-DW26)))</f>
        <v>132.80000000000001</v>
      </c>
      <c r="DP27" s="17">
        <f>DO27*VLOOKUP('Données projet'!$B$14,Paramètres!$A$1:$I$89,3,0)*VLOOKUP('Données projet'!$B$14,Paramètres!$A$1:$I$89,5,0)</f>
        <v>75.961600000000004</v>
      </c>
      <c r="DQ27" s="13">
        <f t="shared" si="43"/>
        <v>21.146817389366198</v>
      </c>
      <c r="DR27" s="20">
        <f t="shared" si="16"/>
        <v>169.13049361981277</v>
      </c>
      <c r="DS27" s="59">
        <f t="shared" si="17"/>
        <v>462.46382695314605</v>
      </c>
      <c r="DT27" s="59">
        <f ca="1">AVERAGE(OFFSET($DS$3,0,0,'Données projet'!$E$14+1,1))-AVERAGE(OFFSET($H$3,0,0,'Données projet'!$E$14+1,1))</f>
        <v>227.99747790451215</v>
      </c>
      <c r="DU27" s="59">
        <f t="shared" si="44"/>
        <v>209.49597700966933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2.7396889052561275</v>
      </c>
      <c r="EC27" s="21">
        <f>EXP(-LN(2)/2)*EC26+(1-EXP(-LN(2)/2))/(LN(2)/2)*DW27*DZ27*VLOOKUP('Données projet'!$B$14,Paramètres!$A$1:$I$89,3,0)*0.475*44/12</f>
        <v>1.4571829669165619</v>
      </c>
      <c r="ED27" s="22">
        <f t="shared" si="18"/>
        <v>4.1968718721726894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29.6</v>
      </c>
      <c r="EJ27" s="12">
        <f>IF('Données projet'!$A$192&gt;35,EJ26+EI27-ER26,IF(A27&lt;'Données projet'!$A$192,$EG$205^A27,IF(A27='Données projet'!$A$192,'Données projet'!$B$192,EJ26+EI27-ER26)))</f>
        <v>220.39999999999998</v>
      </c>
      <c r="EK27" s="17">
        <f>EJ27*VLOOKUP('Données projet'!$B$15,Paramètres!$A$1:$I$89,3,0)*VLOOKUP('Données projet'!$B$15,Paramètres!$A$1:$I$89,5,0)</f>
        <v>97.416799999999995</v>
      </c>
      <c r="EL27" s="13">
        <f t="shared" si="45"/>
        <v>26.345651528270771</v>
      </c>
      <c r="EM27" s="20">
        <f t="shared" si="19"/>
        <v>215.55293641173822</v>
      </c>
      <c r="EN27" s="59">
        <f t="shared" si="20"/>
        <v>508.88626974507156</v>
      </c>
      <c r="EO27" s="59">
        <f ca="1">AVERAGE(OFFSET($EN$3,0,0,'Données projet'!$E$15+1,1))-AVERAGE(OFFSET($H$3,0,0,'Données projet'!$E$15+1,1))</f>
        <v>335.27356627949155</v>
      </c>
      <c r="EP27" s="59">
        <f t="shared" si="46"/>
        <v>322.66829503077247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6.4687099151880787</v>
      </c>
      <c r="EX27" s="21">
        <f>EXP(-LN(2)/2)*EX26+(1-EXP(-LN(2)/2))/(LN(2)/2)*ER27*EU27*VLOOKUP('Données projet'!$B$15,Paramètres!$A$1:$I$89,3,0)*0.475*44/12</f>
        <v>2.8150125497251772</v>
      </c>
      <c r="EY27" s="22">
        <f t="shared" si="21"/>
        <v>9.2837224649132555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8.1999999999999993</v>
      </c>
      <c r="N28" s="13">
        <f>IF('Données projet'!$A$36&gt;35,N27+M28-V27,IF(A28&lt;'Données projet'!$A$36,$K$205^A28,IF(A28='Données projet'!$A$36,'Données projet'!$B$36,N27+M28-V27)))</f>
        <v>108.00000000000001</v>
      </c>
      <c r="O28" s="13">
        <f>N28*VLOOKUP('Données projet'!$B$9,Paramètres!$A$1:$I$89,3,0)*VLOOKUP('Données projet'!$B$9,Paramètres!$A$1:$I$89,5,0)</f>
        <v>97.718400000000003</v>
      </c>
      <c r="P28" s="13">
        <f t="shared" si="33"/>
        <v>26.417709819192194</v>
      </c>
      <c r="Q28" s="20">
        <f t="shared" si="2"/>
        <v>216.20372460175975</v>
      </c>
      <c r="R28" s="59">
        <f t="shared" si="0"/>
        <v>509.53705793509306</v>
      </c>
      <c r="S28" s="59">
        <f ca="1">AVERAGE(OFFSET($R$3,0,0,'Données projet'!$E$9+1,1))-AVERAGE(OFFSET($H$3,0,0,'Données projet'!$E$9+1,1))</f>
        <v>319.18811755575183</v>
      </c>
      <c r="T28" s="59">
        <f t="shared" si="34"/>
        <v>234.87694492493506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0.55942266737048774</v>
      </c>
      <c r="AB28" s="21">
        <f>EXP(-LN(2)/2)*AB27+(1-EXP(-LN(2)/2))/(LN(2)/2)*V28*Y28*VLOOKUP('Données projet'!$B$9,Paramètres!$A$1:$I$89,3,0)*0.475*44/12</f>
        <v>0.22637223305114224</v>
      </c>
      <c r="AC28" s="22">
        <f t="shared" si="3"/>
        <v>0.78579490042163003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16.600000000000001</v>
      </c>
      <c r="AI28" s="13">
        <f>IF('Données projet'!$A$62&gt;35,AI27+AH28-AQ27,IF(A28&lt;'Données projet'!$A$62,$AF$205^A28,IF(A28='Données projet'!$A$62,'Données projet'!$B$62,AI27+AH28-AQ27)))</f>
        <v>163.99999999999997</v>
      </c>
      <c r="AJ28" s="13">
        <f>AI28*VLOOKUP('Données projet'!$B$10,Paramètres!$A$1:$I$89,3,0)*VLOOKUP('Données projet'!$B$10,Paramètres!$A$1:$I$89,5,0)</f>
        <v>130.47839999999999</v>
      </c>
      <c r="AK28" s="13">
        <f t="shared" si="35"/>
        <v>34.106879882626828</v>
      </c>
      <c r="AL28" s="20">
        <f t="shared" si="4"/>
        <v>286.65269579557503</v>
      </c>
      <c r="AM28" s="59">
        <f t="shared" si="5"/>
        <v>579.98602912890829</v>
      </c>
      <c r="AN28" s="59">
        <f ca="1">AVERAGE(OFFSET($AM$3,0,0,'Données projet'!$E$10+1,1))-AVERAGE(OFFSET($H$3,0,0,'Données projet'!$E$10+1,1))</f>
        <v>314.94704727988847</v>
      </c>
      <c r="AO28" s="59">
        <f t="shared" si="36"/>
        <v>366.49199094166454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9.02431444336829</v>
      </c>
      <c r="AW28" s="21">
        <f>EXP(-LN(2)/2)*AW27+(1-EXP(-LN(2)/2))/(LN(2)/2)*AQ28*AT28*VLOOKUP('Données projet'!$B$10,Paramètres!$A$1:$I$89,3,0)*0.475*44/12</f>
        <v>2.7939773322300865</v>
      </c>
      <c r="AX28" s="21">
        <f t="shared" si="6"/>
        <v>11.818291775598377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16.600000000000001</v>
      </c>
      <c r="BD28" s="12">
        <f>IF('Données projet'!$A$88&gt;35,BD27+BC28-BL27,IF(A28&lt;'Données projet'!$A$88,$BA$205^A28,IF(A28='Données projet'!$A$88,'Données projet'!$B$88,BD27+BC28-BL27)))</f>
        <v>163.99999999999997</v>
      </c>
      <c r="BE28" s="13">
        <f>BD28*VLOOKUP('Données projet'!$B$11,Paramètres!$A$1:$I$89,3,0)*VLOOKUP('Données projet'!$B$11,Paramètres!$A$1:$I$89,5,0)</f>
        <v>107.45279999999997</v>
      </c>
      <c r="BF28" s="13">
        <f t="shared" si="37"/>
        <v>28.7300285196239</v>
      </c>
      <c r="BG28" s="20">
        <f t="shared" si="7"/>
        <v>237.18509300501151</v>
      </c>
      <c r="BH28" s="59">
        <f t="shared" si="8"/>
        <v>530.51842633834485</v>
      </c>
      <c r="BI28" s="59">
        <f ca="1">AVERAGE(OFFSET($BH$3,0,0,'Données projet'!$E$11+1,1))-AVERAGE(OFFSET($H$3,0,0,'Données projet'!$E$11+1,1))</f>
        <v>246.64951465060813</v>
      </c>
      <c r="BJ28" s="59">
        <f t="shared" si="38"/>
        <v>292.64550285216865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6.0295641452915749</v>
      </c>
      <c r="BR28" s="21">
        <f>EXP(-LN(2)/2)*BR27+(1-EXP(-LN(2)/2))/(LN(2)/2)*BL28*BO28*VLOOKUP('Données projet'!$B$11,Paramètres!$A$1:$I$89,3,0)*0.475*44/12</f>
        <v>2.3009225088953644</v>
      </c>
      <c r="BS28" s="22">
        <f t="shared" si="9"/>
        <v>8.3304866541869398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16.600000000000001</v>
      </c>
      <c r="BY28" s="12">
        <f>IF('Données projet'!$A$114&gt;35,BY27+BX28-CG27,IF(A28&lt;'Données projet'!$A$114,$BV$205^A28,IF(A28='Données projet'!$A$114,'Données projet'!$B$114,BY27+BX28-CG27)))</f>
        <v>163.99999999999997</v>
      </c>
      <c r="BZ28" s="13">
        <f>BY28*VLOOKUP('Données projet'!$B$12,Paramètres!$A$1:$I$89,3,0)*VLOOKUP('Données projet'!$B$12,Paramètres!$A$1:$I$89,5,0)</f>
        <v>110.01119999999997</v>
      </c>
      <c r="CA28" s="13">
        <f t="shared" si="39"/>
        <v>29.333623364279315</v>
      </c>
      <c r="CB28" s="20">
        <f t="shared" si="10"/>
        <v>242.69223402611973</v>
      </c>
      <c r="CC28" s="59">
        <f t="shared" si="11"/>
        <v>536.02556735945302</v>
      </c>
      <c r="CD28" s="59">
        <f ca="1">AVERAGE(OFFSET($CC$3,0,0,'Données projet'!$E$12+1,1))-AVERAGE(OFFSET($H$3,0,0,'Données projet'!$E$12+1,1))</f>
        <v>254.25222107710192</v>
      </c>
      <c r="CE28" s="59">
        <f t="shared" si="40"/>
        <v>300.86609173447573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7.6087357071536568</v>
      </c>
      <c r="CM28" s="21">
        <f>EXP(-LN(2)/2)*CM27+(1-EXP(-LN(2)/2))/(LN(2)/2)*CG28*CJ28*VLOOKUP('Données projet'!$B$12,Paramètres!$A$1:$I$89,3,0)*0.475*44/12</f>
        <v>2.3557063781547791</v>
      </c>
      <c r="CN28" s="22">
        <f t="shared" si="12"/>
        <v>9.9644420853084359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13.4</v>
      </c>
      <c r="CT28" s="12">
        <f>IF('Données projet'!$A$140&gt;35,CT27+CS28-DB27,IF(A28&lt;'Données projet'!$A$140,$CQ$205^A28,IF(A28='Données projet'!$A$140,'Données projet'!$B$140,CT27+CS28-DB27)))</f>
        <v>161.00000000000003</v>
      </c>
      <c r="CU28" s="17">
        <f>CT28*VLOOKUP('Données projet'!$B$13,Paramètres!$A$1:$I$89,3,0)*VLOOKUP('Données projet'!$B$13,Paramètres!$A$1:$I$89,5,0)</f>
        <v>140.64960000000005</v>
      </c>
      <c r="CV28" s="13">
        <f t="shared" si="41"/>
        <v>36.445779615258637</v>
      </c>
      <c r="CW28" s="20">
        <f t="shared" si="13"/>
        <v>308.44111949657554</v>
      </c>
      <c r="CX28" s="59">
        <f t="shared" si="14"/>
        <v>601.7744528299088</v>
      </c>
      <c r="CY28" s="59">
        <f ca="1">AVERAGE(OFFSET($CX$3,0,0,'Données projet'!$E$13+1,1))-AVERAGE(OFFSET($H$3,0,0,'Données projet'!$E$13+1,1))</f>
        <v>243.38048563215585</v>
      </c>
      <c r="CZ28" s="59">
        <f t="shared" si="42"/>
        <v>372.1604147006675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5.5166911138831392</v>
      </c>
      <c r="DH28" s="21">
        <f>EXP(-LN(2)/2)*DH27+(1-EXP(-LN(2)/2))/(LN(2)/2)*DB28*DE28*VLOOKUP('Données projet'!$B$13,Paramètres!$A$1:$I$89,3,0)*0.475*44/12</f>
        <v>1.7016227685621124</v>
      </c>
      <c r="DI28" s="22">
        <f t="shared" si="15"/>
        <v>7.2183138824452513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13.7</v>
      </c>
      <c r="DO28" s="12">
        <f>IF('Données projet'!$A$166&gt;35,DO27+DN28-DW27,IF(A28&lt;'Données projet'!$A$166,$DL$205^A28,IF(A28='Données projet'!$A$166,'Données projet'!$B$166,DO27+DN28-DW27)))</f>
        <v>146.5</v>
      </c>
      <c r="DP28" s="17">
        <f>DO28*VLOOKUP('Données projet'!$B$14,Paramètres!$A$1:$I$89,3,0)*VLOOKUP('Données projet'!$B$14,Paramètres!$A$1:$I$89,5,0)</f>
        <v>83.798000000000002</v>
      </c>
      <c r="DQ28" s="13">
        <f t="shared" si="43"/>
        <v>23.063293249679443</v>
      </c>
      <c r="DR28" s="20">
        <f t="shared" si="16"/>
        <v>186.11675240985835</v>
      </c>
      <c r="DS28" s="59">
        <f t="shared" si="17"/>
        <v>479.45008574319166</v>
      </c>
      <c r="DT28" s="59">
        <f ca="1">AVERAGE(OFFSET($DS$3,0,0,'Données projet'!$E$14+1,1))-AVERAGE(OFFSET($H$3,0,0,'Données projet'!$E$14+1,1))</f>
        <v>227.99747790451215</v>
      </c>
      <c r="DU28" s="59">
        <f t="shared" si="44"/>
        <v>209.49597700966933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2.6647719680679209</v>
      </c>
      <c r="EC28" s="21">
        <f>EXP(-LN(2)/2)*EC27+(1-EXP(-LN(2)/2))/(LN(2)/2)*DW28*DZ28*VLOOKUP('Données projet'!$B$14,Paramètres!$A$1:$I$89,3,0)*0.475*44/12</f>
        <v>1.0303839573362334</v>
      </c>
      <c r="ED28" s="22">
        <f t="shared" si="18"/>
        <v>3.6951559254041544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29.6</v>
      </c>
      <c r="EJ28" s="12">
        <f>IF('Données projet'!$A$192&gt;35,EJ27+EI28-ER27,IF(A28&lt;'Données projet'!$A$192,$EG$205^A28,IF(A28='Données projet'!$A$192,'Données projet'!$B$192,EJ27+EI28-ER27)))</f>
        <v>249.99999999999997</v>
      </c>
      <c r="EK28" s="17">
        <f>EJ28*VLOOKUP('Données projet'!$B$15,Paramètres!$A$1:$I$89,3,0)*VLOOKUP('Données projet'!$B$15,Paramètres!$A$1:$I$89,5,0)</f>
        <v>110.5</v>
      </c>
      <c r="EL28" s="13">
        <f t="shared" si="45"/>
        <v>29.448757360517561</v>
      </c>
      <c r="EM28" s="20">
        <f t="shared" si="19"/>
        <v>243.74408573623475</v>
      </c>
      <c r="EN28" s="59">
        <f t="shared" si="20"/>
        <v>537.07741906956812</v>
      </c>
      <c r="EO28" s="59">
        <f ca="1">AVERAGE(OFFSET($EN$3,0,0,'Données projet'!$E$15+1,1))-AVERAGE(OFFSET($H$3,0,0,'Données projet'!$E$15+1,1))</f>
        <v>335.27356627949155</v>
      </c>
      <c r="EP28" s="59">
        <f t="shared" si="46"/>
        <v>322.66829503077247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6.291822702382591</v>
      </c>
      <c r="EX28" s="21">
        <f>EXP(-LN(2)/2)*EX27+(1-EXP(-LN(2)/2))/(LN(2)/2)*ER28*EU28*VLOOKUP('Données projet'!$B$15,Paramètres!$A$1:$I$89,3,0)*0.475*44/12</f>
        <v>1.9905144630359062</v>
      </c>
      <c r="EY28" s="22">
        <f t="shared" si="21"/>
        <v>8.2823371654184967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8.1999999999999993</v>
      </c>
      <c r="N29" s="13">
        <f>IF('Données projet'!$A$36&gt;35,N28+M29-V28,IF(A29&lt;'Données projet'!$A$36,$K$205^A29,IF(A29='Données projet'!$A$36,'Données projet'!$B$36,N28+M29-V28)))</f>
        <v>116.20000000000002</v>
      </c>
      <c r="O29" s="13">
        <f>N29*VLOOKUP('Données projet'!$B$9,Paramètres!$A$1:$I$89,3,0)*VLOOKUP('Données projet'!$B$9,Paramètres!$A$1:$I$89,5,0)</f>
        <v>105.13776</v>
      </c>
      <c r="P29" s="13">
        <f t="shared" si="33"/>
        <v>28.182406176030653</v>
      </c>
      <c r="Q29" s="20">
        <f t="shared" si="2"/>
        <v>232.19928942325339</v>
      </c>
      <c r="R29" s="59">
        <f t="shared" si="0"/>
        <v>525.53262275658676</v>
      </c>
      <c r="S29" s="59">
        <f ca="1">AVERAGE(OFFSET($R$3,0,0,'Données projet'!$E$9+1,1))-AVERAGE(OFFSET($H$3,0,0,'Données projet'!$E$9+1,1))</f>
        <v>319.18811755575183</v>
      </c>
      <c r="T29" s="59">
        <f t="shared" si="34"/>
        <v>234.87694492493506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0.54412522511248229</v>
      </c>
      <c r="AB29" s="21">
        <f>EXP(-LN(2)/2)*AB28+(1-EXP(-LN(2)/2))/(LN(2)/2)*V29*Y29*VLOOKUP('Données projet'!$B$9,Paramètres!$A$1:$I$89,3,0)*0.475*44/12</f>
        <v>0.16006934106280418</v>
      </c>
      <c r="AC29" s="22">
        <f t="shared" si="3"/>
        <v>0.70419456617528642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16.600000000000001</v>
      </c>
      <c r="AI29" s="13">
        <f>IF('Données projet'!$A$62&gt;35,AI28+AH29-AQ28,IF(A29&lt;'Données projet'!$A$62,$AF$205^A29,IF(A29='Données projet'!$A$62,'Données projet'!$B$62,AI28+AH29-AQ28)))</f>
        <v>180.59999999999997</v>
      </c>
      <c r="AJ29" s="13">
        <f>AI29*VLOOKUP('Données projet'!$B$10,Paramètres!$A$1:$I$89,3,0)*VLOOKUP('Données projet'!$B$10,Paramètres!$A$1:$I$89,5,0)</f>
        <v>143.68535999999997</v>
      </c>
      <c r="AK29" s="13">
        <f t="shared" si="35"/>
        <v>37.139988755891473</v>
      </c>
      <c r="AL29" s="20">
        <f t="shared" si="4"/>
        <v>314.93748241651093</v>
      </c>
      <c r="AM29" s="59">
        <f t="shared" si="5"/>
        <v>608.27081574984425</v>
      </c>
      <c r="AN29" s="59">
        <f ca="1">AVERAGE(OFFSET($AM$3,0,0,'Données projet'!$E$10+1,1))-AVERAGE(OFFSET($H$3,0,0,'Données projet'!$E$10+1,1))</f>
        <v>314.94704727988847</v>
      </c>
      <c r="AO29" s="59">
        <f t="shared" si="36"/>
        <v>366.49199094166454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8.7775440903463124</v>
      </c>
      <c r="AW29" s="21">
        <f>EXP(-LN(2)/2)*AW28+(1-EXP(-LN(2)/2))/(LN(2)/2)*AQ29*AT29*VLOOKUP('Données projet'!$B$10,Paramètres!$A$1:$I$89,3,0)*0.475*44/12</f>
        <v>1.9756403181013937</v>
      </c>
      <c r="AX29" s="21">
        <f t="shared" si="6"/>
        <v>10.753184408447707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16.600000000000001</v>
      </c>
      <c r="BD29" s="12">
        <f>IF('Données projet'!$A$88&gt;35,BD28+BC29-BL28,IF(A29&lt;'Données projet'!$A$88,$BA$205^A29,IF(A29='Données projet'!$A$88,'Données projet'!$B$88,BD28+BC29-BL28)))</f>
        <v>180.59999999999997</v>
      </c>
      <c r="BE29" s="13">
        <f>BD29*VLOOKUP('Données projet'!$B$11,Paramètres!$A$1:$I$89,3,0)*VLOOKUP('Données projet'!$B$11,Paramètres!$A$1:$I$89,5,0)</f>
        <v>118.32911999999999</v>
      </c>
      <c r="BF29" s="13">
        <f t="shared" si="37"/>
        <v>31.284976516388774</v>
      </c>
      <c r="BG29" s="20">
        <f t="shared" si="7"/>
        <v>260.57788476604372</v>
      </c>
      <c r="BH29" s="59">
        <f t="shared" si="8"/>
        <v>553.91121809937704</v>
      </c>
      <c r="BI29" s="59">
        <f ca="1">AVERAGE(OFFSET($BH$3,0,0,'Données projet'!$E$11+1,1))-AVERAGE(OFFSET($H$3,0,0,'Données projet'!$E$11+1,1))</f>
        <v>246.64951465060813</v>
      </c>
      <c r="BJ29" s="59">
        <f t="shared" si="38"/>
        <v>292.64550285216865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5.8646853966575794</v>
      </c>
      <c r="BR29" s="21">
        <f>EXP(-LN(2)/2)*BR28+(1-EXP(-LN(2)/2))/(LN(2)/2)*BL29*BO29*VLOOKUP('Données projet'!$B$11,Paramètres!$A$1:$I$89,3,0)*0.475*44/12</f>
        <v>1.6269979090246764</v>
      </c>
      <c r="BS29" s="22">
        <f t="shared" si="9"/>
        <v>7.4916833056822556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16.600000000000001</v>
      </c>
      <c r="BY29" s="12">
        <f>IF('Données projet'!$A$114&gt;35,BY28+BX29-CG28,IF(A29&lt;'Données projet'!$A$114,$BV$205^A29,IF(A29='Données projet'!$A$114,'Données projet'!$B$114,BY28+BX29-CG28)))</f>
        <v>180.59999999999997</v>
      </c>
      <c r="BZ29" s="13">
        <f>BY29*VLOOKUP('Données projet'!$B$12,Paramètres!$A$1:$I$89,3,0)*VLOOKUP('Données projet'!$B$12,Paramètres!$A$1:$I$89,5,0)</f>
        <v>121.14647999999998</v>
      </c>
      <c r="CA29" s="13">
        <f t="shared" si="39"/>
        <v>31.942248768226595</v>
      </c>
      <c r="CB29" s="20">
        <f t="shared" si="10"/>
        <v>266.62953593799466</v>
      </c>
      <c r="CC29" s="59">
        <f t="shared" si="11"/>
        <v>559.96286927132792</v>
      </c>
      <c r="CD29" s="59">
        <f ca="1">AVERAGE(OFFSET($CC$3,0,0,'Données projet'!$E$12+1,1))-AVERAGE(OFFSET($H$3,0,0,'Données projet'!$E$12+1,1))</f>
        <v>254.25222107710192</v>
      </c>
      <c r="CE29" s="59">
        <f t="shared" si="40"/>
        <v>300.86609173447573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7.4006744291155195</v>
      </c>
      <c r="CM29" s="21">
        <f>EXP(-LN(2)/2)*CM28+(1-EXP(-LN(2)/2))/(LN(2)/2)*CG29*CJ29*VLOOKUP('Données projet'!$B$12,Paramètres!$A$1:$I$89,3,0)*0.475*44/12</f>
        <v>1.665735954477646</v>
      </c>
      <c r="CN29" s="22">
        <f t="shared" si="12"/>
        <v>9.0664103835931655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13.4</v>
      </c>
      <c r="CT29" s="12">
        <f>IF('Données projet'!$A$140&gt;35,CT28+CS29-DB28,IF(A29&lt;'Données projet'!$A$140,$CQ$205^A29,IF(A29='Données projet'!$A$140,'Données projet'!$B$140,CT28+CS29-DB28)))</f>
        <v>174.40000000000003</v>
      </c>
      <c r="CU29" s="17">
        <f>CT29*VLOOKUP('Données projet'!$B$13,Paramètres!$A$1:$I$89,3,0)*VLOOKUP('Données projet'!$B$13,Paramètres!$A$1:$I$89,5,0)</f>
        <v>152.35584000000006</v>
      </c>
      <c r="CV29" s="13">
        <f t="shared" si="41"/>
        <v>39.11347218476763</v>
      </c>
      <c r="CW29" s="20">
        <f t="shared" si="13"/>
        <v>333.47571872180373</v>
      </c>
      <c r="CX29" s="59">
        <f t="shared" si="14"/>
        <v>626.80905205513704</v>
      </c>
      <c r="CY29" s="59">
        <f ca="1">AVERAGE(OFFSET($CX$3,0,0,'Données projet'!$E$13+1,1))-AVERAGE(OFFSET($H$3,0,0,'Données projet'!$E$13+1,1))</f>
        <v>243.38048563215585</v>
      </c>
      <c r="CZ29" s="59">
        <f t="shared" si="42"/>
        <v>372.1604147006675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5.3658369052638273</v>
      </c>
      <c r="DH29" s="21">
        <f>EXP(-LN(2)/2)*DH28+(1-EXP(-LN(2)/2))/(LN(2)/2)*DB29*DE29*VLOOKUP('Données projet'!$B$13,Paramètres!$A$1:$I$89,3,0)*0.475*44/12</f>
        <v>1.2032289986716969</v>
      </c>
      <c r="DI29" s="22">
        <f t="shared" si="15"/>
        <v>6.5690659039355239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13.7</v>
      </c>
      <c r="DO29" s="12">
        <f>IF('Données projet'!$A$166&gt;35,DO28+DN29-DW28,IF(A29&lt;'Données projet'!$A$166,$DL$205^A29,IF(A29='Données projet'!$A$166,'Données projet'!$B$166,DO28+DN29-DW28)))</f>
        <v>160.19999999999999</v>
      </c>
      <c r="DP29" s="17">
        <f>DO29*VLOOKUP('Données projet'!$B$14,Paramètres!$A$1:$I$89,3,0)*VLOOKUP('Données projet'!$B$14,Paramètres!$A$1:$I$89,5,0)</f>
        <v>91.634399999999999</v>
      </c>
      <c r="DQ29" s="13">
        <f t="shared" si="43"/>
        <v>24.958989094949281</v>
      </c>
      <c r="DR29" s="20">
        <f t="shared" si="16"/>
        <v>203.06681934036999</v>
      </c>
      <c r="DS29" s="59">
        <f t="shared" si="17"/>
        <v>496.4001526737033</v>
      </c>
      <c r="DT29" s="59">
        <f ca="1">AVERAGE(OFFSET($DS$3,0,0,'Données projet'!$E$14+1,1))-AVERAGE(OFFSET($H$3,0,0,'Données projet'!$E$14+1,1))</f>
        <v>227.99747790451215</v>
      </c>
      <c r="DU29" s="59">
        <f t="shared" si="44"/>
        <v>209.49597700966933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2.5919036384668361</v>
      </c>
      <c r="EC29" s="21">
        <f>EXP(-LN(2)/2)*EC28+(1-EXP(-LN(2)/2))/(LN(2)/2)*DW29*DZ29*VLOOKUP('Données projet'!$B$14,Paramètres!$A$1:$I$89,3,0)*0.475*44/12</f>
        <v>0.72859148345828095</v>
      </c>
      <c r="ED29" s="22">
        <f t="shared" si="18"/>
        <v>3.3204951219251173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29.6</v>
      </c>
      <c r="EJ29" s="12">
        <f>IF('Données projet'!$A$192&gt;35,EJ28+EI29-ER28,IF(A29&lt;'Données projet'!$A$192,$EG$205^A29,IF(A29='Données projet'!$A$192,'Données projet'!$B$192,EJ28+EI29-ER28)))</f>
        <v>279.59999999999997</v>
      </c>
      <c r="EK29" s="17">
        <f>EJ29*VLOOKUP('Données projet'!$B$15,Paramètres!$A$1:$I$89,3,0)*VLOOKUP('Données projet'!$B$15,Paramètres!$A$1:$I$89,5,0)</f>
        <v>123.58319999999999</v>
      </c>
      <c r="EL29" s="13">
        <f t="shared" si="45"/>
        <v>32.509285377365217</v>
      </c>
      <c r="EM29" s="20">
        <f t="shared" si="19"/>
        <v>271.86107869891106</v>
      </c>
      <c r="EN29" s="59">
        <f t="shared" si="20"/>
        <v>565.19441203224437</v>
      </c>
      <c r="EO29" s="59">
        <f ca="1">AVERAGE(OFFSET($EN$3,0,0,'Données projet'!$E$15+1,1))-AVERAGE(OFFSET($H$3,0,0,'Données projet'!$E$15+1,1))</f>
        <v>335.27356627949155</v>
      </c>
      <c r="EP29" s="59">
        <f t="shared" si="46"/>
        <v>322.66829503077247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6.1197724797133635</v>
      </c>
      <c r="EX29" s="21">
        <f>EXP(-LN(2)/2)*EX28+(1-EXP(-LN(2)/2))/(LN(2)/2)*ER29*EU29*VLOOKUP('Données projet'!$B$15,Paramètres!$A$1:$I$89,3,0)*0.475*44/12</f>
        <v>1.4075062748625888</v>
      </c>
      <c r="EY29" s="22">
        <f t="shared" si="21"/>
        <v>7.5272787545759527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8.1999999999999993</v>
      </c>
      <c r="N30" s="13">
        <f>IF('Données projet'!$A$36&gt;35,N29+M30-V29,IF(A30&lt;'Données projet'!$A$36,$K$205^A30,IF(A30='Données projet'!$A$36,'Données projet'!$B$36,N29+M30-V29)))</f>
        <v>124.40000000000002</v>
      </c>
      <c r="O30" s="13">
        <f>N30*VLOOKUP('Données projet'!$B$9,Paramètres!$A$1:$I$89,3,0)*VLOOKUP('Données projet'!$B$9,Paramètres!$A$1:$I$89,5,0)</f>
        <v>112.55712000000001</v>
      </c>
      <c r="P30" s="13">
        <f t="shared" si="33"/>
        <v>29.932653834140599</v>
      </c>
      <c r="Q30" s="20">
        <f t="shared" si="2"/>
        <v>248.16968942779488</v>
      </c>
      <c r="R30" s="59">
        <f t="shared" si="0"/>
        <v>541.50302276112825</v>
      </c>
      <c r="S30" s="59">
        <f ca="1">AVERAGE(OFFSET($R$3,0,0,'Données projet'!$E$9+1,1))-AVERAGE(OFFSET($H$3,0,0,'Données projet'!$E$9+1,1))</f>
        <v>319.18811755575183</v>
      </c>
      <c r="T30" s="59">
        <f t="shared" si="34"/>
        <v>234.87694492493506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0.52924609221747954</v>
      </c>
      <c r="AB30" s="21">
        <f>EXP(-LN(2)/2)*AB29+(1-EXP(-LN(2)/2))/(LN(2)/2)*V30*Y30*VLOOKUP('Données projet'!$B$9,Paramètres!$A$1:$I$89,3,0)*0.475*44/12</f>
        <v>0.11318611652557113</v>
      </c>
      <c r="AC30" s="22">
        <f t="shared" si="3"/>
        <v>0.64243220874305063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16.600000000000001</v>
      </c>
      <c r="AI30" s="13">
        <f>IF('Données projet'!$A$62&gt;35,AI29+AH30-AQ29,IF(A30&lt;'Données projet'!$A$62,$AF$205^A30,IF(A30='Données projet'!$A$62,'Données projet'!$B$62,AI29+AH30-AQ29)))</f>
        <v>197.19999999999996</v>
      </c>
      <c r="AJ30" s="13">
        <f>AI30*VLOOKUP('Données projet'!$B$10,Paramètres!$A$1:$I$89,3,0)*VLOOKUP('Données projet'!$B$10,Paramètres!$A$1:$I$89,5,0)</f>
        <v>156.89231999999998</v>
      </c>
      <c r="AK30" s="13">
        <f t="shared" si="35"/>
        <v>40.140771359113288</v>
      </c>
      <c r="AL30" s="20">
        <f t="shared" si="4"/>
        <v>343.16596745045558</v>
      </c>
      <c r="AM30" s="59">
        <f t="shared" si="5"/>
        <v>636.49930078378884</v>
      </c>
      <c r="AN30" s="59">
        <f ca="1">AVERAGE(OFFSET($AM$3,0,0,'Données projet'!$E$10+1,1))-AVERAGE(OFFSET($H$3,0,0,'Données projet'!$E$10+1,1))</f>
        <v>314.94704727988847</v>
      </c>
      <c r="AO30" s="59">
        <f t="shared" si="36"/>
        <v>366.49199094166454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8.5375216856048102</v>
      </c>
      <c r="AW30" s="21">
        <f>EXP(-LN(2)/2)*AW29+(1-EXP(-LN(2)/2))/(LN(2)/2)*AQ30*AT30*VLOOKUP('Données projet'!$B$10,Paramètres!$A$1:$I$89,3,0)*0.475*44/12</f>
        <v>1.3969886661150435</v>
      </c>
      <c r="AX30" s="21">
        <f t="shared" si="6"/>
        <v>9.9345103517198545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16.600000000000001</v>
      </c>
      <c r="BD30" s="12">
        <f>IF('Données projet'!$A$88&gt;35,BD29+BC30-BL29,IF(A30&lt;'Données projet'!$A$88,$BA$205^A30,IF(A30='Données projet'!$A$88,'Données projet'!$B$88,BD29+BC30-BL29)))</f>
        <v>197.19999999999996</v>
      </c>
      <c r="BE30" s="13">
        <f>BD30*VLOOKUP('Données projet'!$B$11,Paramètres!$A$1:$I$89,3,0)*VLOOKUP('Données projet'!$B$11,Paramètres!$A$1:$I$89,5,0)</f>
        <v>129.20543999999998</v>
      </c>
      <c r="BF30" s="13">
        <f t="shared" si="37"/>
        <v>33.812694386461892</v>
      </c>
      <c r="BG30" s="20">
        <f t="shared" si="7"/>
        <v>283.92325072308773</v>
      </c>
      <c r="BH30" s="59">
        <f t="shared" si="8"/>
        <v>577.25658405642105</v>
      </c>
      <c r="BI30" s="59">
        <f ca="1">AVERAGE(OFFSET($BH$3,0,0,'Données projet'!$E$11+1,1))-AVERAGE(OFFSET($H$3,0,0,'Données projet'!$E$11+1,1))</f>
        <v>246.64951465060813</v>
      </c>
      <c r="BJ30" s="59">
        <f t="shared" si="38"/>
        <v>292.64550285216865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5.7043152660755769</v>
      </c>
      <c r="BR30" s="21">
        <f>EXP(-LN(2)/2)*BR29+(1-EXP(-LN(2)/2))/(LN(2)/2)*BL30*BO30*VLOOKUP('Données projet'!$B$11,Paramètres!$A$1:$I$89,3,0)*0.475*44/12</f>
        <v>1.1504612544476822</v>
      </c>
      <c r="BS30" s="22">
        <f t="shared" si="9"/>
        <v>6.8547765205232594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16.600000000000001</v>
      </c>
      <c r="BY30" s="12">
        <f>IF('Données projet'!$A$114&gt;35,BY29+BX30-CG29,IF(A30&lt;'Données projet'!$A$114,$BV$205^A30,IF(A30='Données projet'!$A$114,'Données projet'!$B$114,BY29+BX30-CG29)))</f>
        <v>197.19999999999996</v>
      </c>
      <c r="BZ30" s="13">
        <f>BY30*VLOOKUP('Données projet'!$B$12,Paramètres!$A$1:$I$89,3,0)*VLOOKUP('Données projet'!$B$12,Paramètres!$A$1:$I$89,5,0)</f>
        <v>132.28175999999996</v>
      </c>
      <c r="CA30" s="13">
        <f t="shared" si="39"/>
        <v>34.523071962371262</v>
      </c>
      <c r="CB30" s="20">
        <f t="shared" si="10"/>
        <v>290.51841566779655</v>
      </c>
      <c r="CC30" s="59">
        <f t="shared" si="11"/>
        <v>583.85174900112986</v>
      </c>
      <c r="CD30" s="59">
        <f ca="1">AVERAGE(OFFSET($CC$3,0,0,'Données projet'!$E$12+1,1))-AVERAGE(OFFSET($H$3,0,0,'Données projet'!$E$12+1,1))</f>
        <v>254.25222107710192</v>
      </c>
      <c r="CE30" s="59">
        <f t="shared" si="40"/>
        <v>300.86609173447573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7.1983025976668022</v>
      </c>
      <c r="CM30" s="21">
        <f>EXP(-LN(2)/2)*CM29+(1-EXP(-LN(2)/2))/(LN(2)/2)*CG30*CJ30*VLOOKUP('Données projet'!$B$12,Paramètres!$A$1:$I$89,3,0)*0.475*44/12</f>
        <v>1.1778531890773898</v>
      </c>
      <c r="CN30" s="22">
        <f t="shared" si="12"/>
        <v>8.3761557867441923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13.4</v>
      </c>
      <c r="CT30" s="12">
        <f>IF('Données projet'!$A$140&gt;35,CT29+CS30-DB29,IF(A30&lt;'Données projet'!$A$140,$CQ$205^A30,IF(A30='Données projet'!$A$140,'Données projet'!$B$140,CT29+CS30-DB29)))</f>
        <v>187.80000000000004</v>
      </c>
      <c r="CU30" s="17">
        <f>CT30*VLOOKUP('Données projet'!$B$13,Paramètres!$A$1:$I$89,3,0)*VLOOKUP('Données projet'!$B$13,Paramètres!$A$1:$I$89,5,0)</f>
        <v>164.06208000000007</v>
      </c>
      <c r="CV30" s="13">
        <f t="shared" si="41"/>
        <v>41.75738773013461</v>
      </c>
      <c r="CW30" s="20">
        <f t="shared" si="13"/>
        <v>358.46890629665114</v>
      </c>
      <c r="CX30" s="59">
        <f t="shared" si="14"/>
        <v>651.80223962998446</v>
      </c>
      <c r="CY30" s="59">
        <f ca="1">AVERAGE(OFFSET($CX$3,0,0,'Données projet'!$E$13+1,1))-AVERAGE(OFFSET($H$3,0,0,'Données projet'!$E$13+1,1))</f>
        <v>243.38048563215585</v>
      </c>
      <c r="CZ30" s="59">
        <f t="shared" si="42"/>
        <v>372.1604147006675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5.2191078129122888</v>
      </c>
      <c r="DH30" s="21">
        <f>EXP(-LN(2)/2)*DH29+(1-EXP(-LN(2)/2))/(LN(2)/2)*DB30*DE30*VLOOKUP('Données projet'!$B$13,Paramètres!$A$1:$I$89,3,0)*0.475*44/12</f>
        <v>0.85081138428105629</v>
      </c>
      <c r="DI30" s="22">
        <f t="shared" si="15"/>
        <v>6.0699191971933448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13.7</v>
      </c>
      <c r="DO30" s="12">
        <f>IF('Données projet'!$A$166&gt;35,DO29+DN30-DW29,IF(A30&lt;'Données projet'!$A$166,$DL$205^A30,IF(A30='Données projet'!$A$166,'Données projet'!$B$166,DO29+DN30-DW29)))</f>
        <v>173.89999999999998</v>
      </c>
      <c r="DP30" s="17">
        <f>DO30*VLOOKUP('Données projet'!$B$14,Paramètres!$A$1:$I$89,3,0)*VLOOKUP('Données projet'!$B$14,Paramètres!$A$1:$I$89,5,0)</f>
        <v>99.470799999999997</v>
      </c>
      <c r="DQ30" s="13">
        <f t="shared" si="43"/>
        <v>26.83588403888454</v>
      </c>
      <c r="DR30" s="20">
        <f t="shared" si="16"/>
        <v>219.98414136772388</v>
      </c>
      <c r="DS30" s="59">
        <f t="shared" si="17"/>
        <v>513.31747470105722</v>
      </c>
      <c r="DT30" s="59">
        <f ca="1">AVERAGE(OFFSET($DS$3,0,0,'Données projet'!$E$14+1,1))-AVERAGE(OFFSET($H$3,0,0,'Données projet'!$E$14+1,1))</f>
        <v>227.99747790451215</v>
      </c>
      <c r="DU30" s="59">
        <f t="shared" si="44"/>
        <v>209.49597700966933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2.5210278971706721</v>
      </c>
      <c r="EC30" s="21">
        <f>EXP(-LN(2)/2)*EC29+(1-EXP(-LN(2)/2))/(LN(2)/2)*DW30*DZ30*VLOOKUP('Données projet'!$B$14,Paramètres!$A$1:$I$89,3,0)*0.475*44/12</f>
        <v>0.51519197866811672</v>
      </c>
      <c r="ED30" s="22">
        <f t="shared" si="18"/>
        <v>3.0362198758387891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29.6</v>
      </c>
      <c r="EJ30" s="12">
        <f>IF('Données projet'!$A$192&gt;35,EJ29+EI30-ER29,IF(A30&lt;'Données projet'!$A$192,$EG$205^A30,IF(A30='Données projet'!$A$192,'Données projet'!$B$192,EJ29+EI30-ER29)))</f>
        <v>309.2</v>
      </c>
      <c r="EK30" s="17">
        <f>EJ30*VLOOKUP('Données projet'!$B$15,Paramètres!$A$1:$I$89,3,0)*VLOOKUP('Données projet'!$B$15,Paramètres!$A$1:$I$89,5,0)</f>
        <v>136.66640000000001</v>
      </c>
      <c r="EL30" s="13">
        <f t="shared" si="45"/>
        <v>35.53225672089328</v>
      </c>
      <c r="EM30" s="20">
        <f t="shared" si="19"/>
        <v>299.91266045555579</v>
      </c>
      <c r="EN30" s="59">
        <f t="shared" si="20"/>
        <v>593.24599378888911</v>
      </c>
      <c r="EO30" s="59">
        <f ca="1">AVERAGE(OFFSET($EN$3,0,0,'Données projet'!$E$15+1,1))-AVERAGE(OFFSET($H$3,0,0,'Données projet'!$E$15+1,1))</f>
        <v>335.27356627949155</v>
      </c>
      <c r="EP30" s="59">
        <f t="shared" si="46"/>
        <v>322.66829503077247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5.9524269794307534</v>
      </c>
      <c r="EX30" s="21">
        <f>EXP(-LN(2)/2)*EX29+(1-EXP(-LN(2)/2))/(LN(2)/2)*ER30*EU30*VLOOKUP('Données projet'!$B$15,Paramètres!$A$1:$I$89,3,0)*0.475*44/12</f>
        <v>0.99525723151795331</v>
      </c>
      <c r="EY30" s="22">
        <f t="shared" si="21"/>
        <v>6.9476842109487063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8.1999999999999993</v>
      </c>
      <c r="N31" s="13">
        <f>IF('Données projet'!$A$36&gt;35,N30+M31-V30,IF(A31&lt;'Données projet'!$A$36,$K$205^A31,IF(A31='Données projet'!$A$36,'Données projet'!$B$36,N30+M31-V30)))</f>
        <v>132.60000000000002</v>
      </c>
      <c r="O31" s="13">
        <f>N31*VLOOKUP('Données projet'!$B$9,Paramètres!$A$1:$I$89,3,0)*VLOOKUP('Données projet'!$B$9,Paramètres!$A$1:$I$89,5,0)</f>
        <v>119.97648000000001</v>
      </c>
      <c r="P31" s="13">
        <f t="shared" si="33"/>
        <v>31.669513577784763</v>
      </c>
      <c r="Q31" s="20">
        <f t="shared" si="2"/>
        <v>264.1167721479751</v>
      </c>
      <c r="R31" s="59">
        <f t="shared" si="0"/>
        <v>557.45010548130836</v>
      </c>
      <c r="S31" s="59">
        <f ca="1">AVERAGE(OFFSET($R$3,0,0,'Données projet'!$E$9+1,1))-AVERAGE(OFFSET($H$3,0,0,'Données projet'!$E$9+1,1))</f>
        <v>319.18811755575183</v>
      </c>
      <c r="T31" s="59">
        <f t="shared" si="34"/>
        <v>234.87694492493506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0.51477382999395016</v>
      </c>
      <c r="AB31" s="21">
        <f>EXP(-LN(2)/2)*AB30+(1-EXP(-LN(2)/2))/(LN(2)/2)*V31*Y31*VLOOKUP('Données projet'!$B$9,Paramètres!$A$1:$I$89,3,0)*0.475*44/12</f>
        <v>8.0034670531402105E-2</v>
      </c>
      <c r="AC31" s="22">
        <f t="shared" si="3"/>
        <v>0.59480850052535228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16.600000000000001</v>
      </c>
      <c r="AI31" s="13">
        <f>IF('Données projet'!$A$62&gt;35,AI30+AH31-AQ30,IF(A31&lt;'Données projet'!$A$62,$AF$205^A31,IF(A31='Données projet'!$A$62,'Données projet'!$B$62,AI30+AH31-AQ30)))</f>
        <v>213.79999999999995</v>
      </c>
      <c r="AJ31" s="13">
        <f>AI31*VLOOKUP('Données projet'!$B$10,Paramètres!$A$1:$I$89,3,0)*VLOOKUP('Données projet'!$B$10,Paramètres!$A$1:$I$89,5,0)</f>
        <v>170.09927999999996</v>
      </c>
      <c r="AK31" s="13">
        <f t="shared" si="35"/>
        <v>43.112258247107711</v>
      </c>
      <c r="AL31" s="20">
        <f t="shared" si="4"/>
        <v>371.34342911371255</v>
      </c>
      <c r="AM31" s="59">
        <f t="shared" si="5"/>
        <v>664.6767624470458</v>
      </c>
      <c r="AN31" s="59">
        <f ca="1">AVERAGE(OFFSET($AM$3,0,0,'Données projet'!$E$10+1,1))-AVERAGE(OFFSET($H$3,0,0,'Données projet'!$E$10+1,1))</f>
        <v>314.94704727988847</v>
      </c>
      <c r="AO31" s="59">
        <f t="shared" si="36"/>
        <v>366.49199094166454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8.3040627061431938</v>
      </c>
      <c r="AW31" s="21">
        <f>EXP(-LN(2)/2)*AW30+(1-EXP(-LN(2)/2))/(LN(2)/2)*AQ31*AT31*VLOOKUP('Données projet'!$B$10,Paramètres!$A$1:$I$89,3,0)*0.475*44/12</f>
        <v>0.98782015905069698</v>
      </c>
      <c r="AX31" s="21">
        <f t="shared" si="6"/>
        <v>9.291882865193891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16.600000000000001</v>
      </c>
      <c r="BD31" s="12">
        <f>IF('Données projet'!$A$88&gt;35,BD30+BC31-BL30,IF(A31&lt;'Données projet'!$A$88,$BA$205^A31,IF(A31='Données projet'!$A$88,'Données projet'!$B$88,BD30+BC31-BL30)))</f>
        <v>213.79999999999995</v>
      </c>
      <c r="BE31" s="13">
        <f>BD31*VLOOKUP('Données projet'!$B$11,Paramètres!$A$1:$I$89,3,0)*VLOOKUP('Données projet'!$B$11,Paramètres!$A$1:$I$89,5,0)</f>
        <v>140.08175999999997</v>
      </c>
      <c r="BF31" s="13">
        <f t="shared" si="37"/>
        <v>36.315734926422095</v>
      </c>
      <c r="BG31" s="20">
        <f t="shared" si="7"/>
        <v>307.22563699685173</v>
      </c>
      <c r="BH31" s="59">
        <f t="shared" si="8"/>
        <v>600.55897033018505</v>
      </c>
      <c r="BI31" s="59">
        <f ca="1">AVERAGE(OFFSET($BH$3,0,0,'Données projet'!$E$11+1,1))-AVERAGE(OFFSET($H$3,0,0,'Données projet'!$E$11+1,1))</f>
        <v>246.64951465060813</v>
      </c>
      <c r="BJ31" s="59">
        <f t="shared" si="38"/>
        <v>292.64550285216865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5.5483304651478376</v>
      </c>
      <c r="BR31" s="21">
        <f>EXP(-LN(2)/2)*BR30+(1-EXP(-LN(2)/2))/(LN(2)/2)*BL31*BO31*VLOOKUP('Données projet'!$B$11,Paramètres!$A$1:$I$89,3,0)*0.475*44/12</f>
        <v>0.81349895451233822</v>
      </c>
      <c r="BS31" s="22">
        <f t="shared" si="9"/>
        <v>6.3618294196601761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16.600000000000001</v>
      </c>
      <c r="BY31" s="12">
        <f>IF('Données projet'!$A$114&gt;35,BY30+BX31-CG30,IF(A31&lt;'Données projet'!$A$114,$BV$205^A31,IF(A31='Données projet'!$A$114,'Données projet'!$B$114,BY30+BX31-CG30)))</f>
        <v>213.79999999999995</v>
      </c>
      <c r="BZ31" s="13">
        <f>BY31*VLOOKUP('Données projet'!$B$12,Paramètres!$A$1:$I$89,3,0)*VLOOKUP('Données projet'!$B$12,Paramètres!$A$1:$I$89,5,0)</f>
        <v>143.41703999999999</v>
      </c>
      <c r="CA31" s="13">
        <f t="shared" si="39"/>
        <v>37.078699375499809</v>
      </c>
      <c r="CB31" s="20">
        <f t="shared" si="10"/>
        <v>314.36341274566212</v>
      </c>
      <c r="CC31" s="59">
        <f t="shared" si="11"/>
        <v>607.69674607899537</v>
      </c>
      <c r="CD31" s="59">
        <f ca="1">AVERAGE(OFFSET($CC$3,0,0,'Données projet'!$E$12+1,1))-AVERAGE(OFFSET($H$3,0,0,'Données projet'!$E$12+1,1))</f>
        <v>254.25222107710192</v>
      </c>
      <c r="CE31" s="59">
        <f t="shared" si="40"/>
        <v>300.86609173447573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7.0014646345913221</v>
      </c>
      <c r="CM31" s="21">
        <f>EXP(-LN(2)/2)*CM30+(1-EXP(-LN(2)/2))/(LN(2)/2)*CG31*CJ31*VLOOKUP('Données projet'!$B$12,Paramètres!$A$1:$I$89,3,0)*0.475*44/12</f>
        <v>0.83286797723882311</v>
      </c>
      <c r="CN31" s="22">
        <f t="shared" si="12"/>
        <v>7.8343326118301455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13.4</v>
      </c>
      <c r="CT31" s="12">
        <f>IF('Données projet'!$A$140&gt;35,CT30+CS31-DB30,IF(A31&lt;'Données projet'!$A$140,$CQ$205^A31,IF(A31='Données projet'!$A$140,'Données projet'!$B$140,CT30+CS31-DB30)))</f>
        <v>201.20000000000005</v>
      </c>
      <c r="CU31" s="17">
        <f>CT31*VLOOKUP('Données projet'!$B$13,Paramètres!$A$1:$I$89,3,0)*VLOOKUP('Données projet'!$B$13,Paramètres!$A$1:$I$89,5,0)</f>
        <v>175.76832000000007</v>
      </c>
      <c r="CV31" s="13">
        <f t="shared" si="41"/>
        <v>44.379415757690204</v>
      </c>
      <c r="CW31" s="20">
        <f t="shared" si="13"/>
        <v>383.42397311131054</v>
      </c>
      <c r="CX31" s="59">
        <f t="shared" si="14"/>
        <v>676.75730644464386</v>
      </c>
      <c r="CY31" s="59">
        <f ca="1">AVERAGE(OFFSET($CX$3,0,0,'Données projet'!$E$13+1,1))-AVERAGE(OFFSET($H$3,0,0,'Données projet'!$E$13+1,1))</f>
        <v>243.38048563215585</v>
      </c>
      <c r="CZ31" s="59">
        <f t="shared" si="42"/>
        <v>372.1604147006675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5.0763910353072506</v>
      </c>
      <c r="DH31" s="21">
        <f>EXP(-LN(2)/2)*DH30+(1-EXP(-LN(2)/2))/(LN(2)/2)*DB31*DE31*VLOOKUP('Données projet'!$B$13,Paramètres!$A$1:$I$89,3,0)*0.475*44/12</f>
        <v>0.60161449933584854</v>
      </c>
      <c r="DI31" s="22">
        <f t="shared" si="15"/>
        <v>5.6780055346430993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13.7</v>
      </c>
      <c r="DO31" s="12">
        <f>IF('Données projet'!$A$166&gt;35,DO30+DN31-DW30,IF(A31&lt;'Données projet'!$A$166,$DL$205^A31,IF(A31='Données projet'!$A$166,'Données projet'!$B$166,DO30+DN31-DW30)))</f>
        <v>187.59999999999997</v>
      </c>
      <c r="DP31" s="17">
        <f>DO31*VLOOKUP('Données projet'!$B$14,Paramètres!$A$1:$I$89,3,0)*VLOOKUP('Données projet'!$B$14,Paramètres!$A$1:$I$89,5,0)</f>
        <v>107.30719999999998</v>
      </c>
      <c r="DQ31" s="13">
        <f t="shared" si="43"/>
        <v>28.695627630485777</v>
      </c>
      <c r="DR31" s="20">
        <f t="shared" si="16"/>
        <v>236.87159145642934</v>
      </c>
      <c r="DS31" s="59">
        <f t="shared" si="17"/>
        <v>530.20492478976269</v>
      </c>
      <c r="DT31" s="59">
        <f ca="1">AVERAGE(OFFSET($DS$3,0,0,'Données projet'!$E$14+1,1))-AVERAGE(OFFSET($H$3,0,0,'Données projet'!$E$14+1,1))</f>
        <v>227.99747790451215</v>
      </c>
      <c r="DU31" s="59">
        <f t="shared" si="44"/>
        <v>209.49597700966933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2.4520902567474447</v>
      </c>
      <c r="EC31" s="21">
        <f>EXP(-LN(2)/2)*EC30+(1-EXP(-LN(2)/2))/(LN(2)/2)*DW31*DZ31*VLOOKUP('Données projet'!$B$14,Paramètres!$A$1:$I$89,3,0)*0.475*44/12</f>
        <v>0.36429574172914048</v>
      </c>
      <c r="ED31" s="22">
        <f t="shared" si="18"/>
        <v>2.8163859984765853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29.6</v>
      </c>
      <c r="EJ31" s="12">
        <f>IF('Données projet'!$A$192&gt;35,EJ30+EI31-ER30,IF(A31&lt;'Données projet'!$A$192,$EG$205^A31,IF(A31='Données projet'!$A$192,'Données projet'!$B$192,EJ30+EI31-ER30)))</f>
        <v>338.8</v>
      </c>
      <c r="EK31" s="17">
        <f>EJ31*VLOOKUP('Données projet'!$B$15,Paramètres!$A$1:$I$89,3,0)*VLOOKUP('Données projet'!$B$15,Paramètres!$A$1:$I$89,5,0)</f>
        <v>149.74960000000002</v>
      </c>
      <c r="EL31" s="13">
        <f t="shared" si="45"/>
        <v>38.521675790341419</v>
      </c>
      <c r="EM31" s="20">
        <f t="shared" si="19"/>
        <v>327.90580533484467</v>
      </c>
      <c r="EN31" s="59">
        <f t="shared" si="20"/>
        <v>621.23913866817793</v>
      </c>
      <c r="EO31" s="59">
        <f ca="1">AVERAGE(OFFSET($EN$3,0,0,'Données projet'!$E$15+1,1))-AVERAGE(OFFSET($H$3,0,0,'Données projet'!$E$15+1,1))</f>
        <v>335.27356627949155</v>
      </c>
      <c r="EP31" s="59">
        <f t="shared" si="46"/>
        <v>322.66829503077247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5.7896575506536889</v>
      </c>
      <c r="EX31" s="21">
        <f>EXP(-LN(2)/2)*EX30+(1-EXP(-LN(2)/2))/(LN(2)/2)*ER31*EU31*VLOOKUP('Données projet'!$B$15,Paramètres!$A$1:$I$89,3,0)*0.475*44/12</f>
        <v>0.70375313743129453</v>
      </c>
      <c r="EY31" s="22">
        <f t="shared" si="21"/>
        <v>6.4934106880849836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8.1999999999999993</v>
      </c>
      <c r="N32" s="13">
        <f>IF('Données projet'!$A$36&gt;35,N31+M32-V31,IF(A32&lt;'Données projet'!$A$36,$K$205^A32,IF(A32='Données projet'!$A$36,'Données projet'!$B$36,N31+M32-V31)))</f>
        <v>140.80000000000001</v>
      </c>
      <c r="O32" s="13">
        <f>N32*VLOOKUP('Données projet'!$B$9,Paramètres!$A$1:$I$89,3,0)*VLOOKUP('Données projet'!$B$9,Paramètres!$A$1:$I$89,5,0)</f>
        <v>127.39584000000001</v>
      </c>
      <c r="P32" s="13">
        <f t="shared" si="33"/>
        <v>33.393907578695213</v>
      </c>
      <c r="Q32" s="20">
        <f t="shared" si="2"/>
        <v>280.04214369956082</v>
      </c>
      <c r="R32" s="59">
        <f t="shared" si="0"/>
        <v>573.3754770328942</v>
      </c>
      <c r="S32" s="59">
        <f ca="1">AVERAGE(OFFSET($R$3,0,0,'Données projet'!$E$9+1,1))-AVERAGE(OFFSET($H$3,0,0,'Données projet'!$E$9+1,1))</f>
        <v>319.18811755575183</v>
      </c>
      <c r="T32" s="59">
        <f t="shared" si="34"/>
        <v>234.87694492493506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0.50069731254198635</v>
      </c>
      <c r="AB32" s="21">
        <f>EXP(-LN(2)/2)*AB31+(1-EXP(-LN(2)/2))/(LN(2)/2)*V32*Y32*VLOOKUP('Données projet'!$B$9,Paramètres!$A$1:$I$89,3,0)*0.475*44/12</f>
        <v>5.6593058262785573E-2</v>
      </c>
      <c r="AC32" s="22">
        <f t="shared" si="3"/>
        <v>0.55729037080477195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16.600000000000001</v>
      </c>
      <c r="AI32" s="13">
        <f>IF('Données projet'!$A$62&gt;35,AI31+AH32-AQ31,IF(A32&lt;'Données projet'!$A$62,$AF$205^A32,IF(A32='Données projet'!$A$62,'Données projet'!$B$62,AI31+AH32-AQ31)))</f>
        <v>230.39999999999995</v>
      </c>
      <c r="AJ32" s="13">
        <f>AI32*VLOOKUP('Données projet'!$B$10,Paramètres!$A$1:$I$89,3,0)*VLOOKUP('Données projet'!$B$10,Paramètres!$A$1:$I$89,5,0)</f>
        <v>183.30623999999997</v>
      </c>
      <c r="AK32" s="13">
        <f t="shared" si="35"/>
        <v>46.056982630723049</v>
      </c>
      <c r="AL32" s="20">
        <f t="shared" si="4"/>
        <v>399.47427941517589</v>
      </c>
      <c r="AM32" s="59">
        <f t="shared" si="5"/>
        <v>692.8076127485092</v>
      </c>
      <c r="AN32" s="59">
        <f ca="1">AVERAGE(OFFSET($AM$3,0,0,'Données projet'!$E$10+1,1))-AVERAGE(OFFSET($H$3,0,0,'Données projet'!$E$10+1,1))</f>
        <v>314.94704727988847</v>
      </c>
      <c r="AO32" s="59">
        <f t="shared" si="36"/>
        <v>366.49199094166454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8.0769876747520293</v>
      </c>
      <c r="AW32" s="21">
        <f>EXP(-LN(2)/2)*AW31+(1-EXP(-LN(2)/2))/(LN(2)/2)*AQ32*AT32*VLOOKUP('Données projet'!$B$10,Paramètres!$A$1:$I$89,3,0)*0.475*44/12</f>
        <v>0.69849433305752184</v>
      </c>
      <c r="AX32" s="21">
        <f t="shared" si="6"/>
        <v>8.7754820078095506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16.600000000000001</v>
      </c>
      <c r="BD32" s="12">
        <f>IF('Données projet'!$A$88&gt;35,BD31+BC32-BL31,IF(A32&lt;'Données projet'!$A$88,$BA$205^A32,IF(A32='Données projet'!$A$88,'Données projet'!$B$88,BD31+BC32-BL31)))</f>
        <v>230.39999999999995</v>
      </c>
      <c r="BE32" s="13">
        <f>BD32*VLOOKUP('Données projet'!$B$11,Paramètres!$A$1:$I$89,3,0)*VLOOKUP('Données projet'!$B$11,Paramètres!$A$1:$I$89,5,0)</f>
        <v>150.95807999999997</v>
      </c>
      <c r="BF32" s="13">
        <f t="shared" si="37"/>
        <v>38.796231993724774</v>
      </c>
      <c r="BG32" s="20">
        <f t="shared" si="7"/>
        <v>330.48876005573726</v>
      </c>
      <c r="BH32" s="59">
        <f t="shared" si="8"/>
        <v>623.82209338907057</v>
      </c>
      <c r="BI32" s="59">
        <f ca="1">AVERAGE(OFFSET($BH$3,0,0,'Données projet'!$E$11+1,1))-AVERAGE(OFFSET($H$3,0,0,'Données projet'!$E$11+1,1))</f>
        <v>246.64951465060813</v>
      </c>
      <c r="BJ32" s="59">
        <f t="shared" si="38"/>
        <v>292.64550285216865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5.3966110768043514</v>
      </c>
      <c r="BR32" s="21">
        <f>EXP(-LN(2)/2)*BR31+(1-EXP(-LN(2)/2))/(LN(2)/2)*BL32*BO32*VLOOKUP('Données projet'!$B$11,Paramètres!$A$1:$I$89,3,0)*0.475*44/12</f>
        <v>0.57523062722384111</v>
      </c>
      <c r="BS32" s="22">
        <f t="shared" si="9"/>
        <v>5.9718417040281926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16.600000000000001</v>
      </c>
      <c r="BY32" s="12">
        <f>IF('Données projet'!$A$114&gt;35,BY31+BX32-CG31,IF(A32&lt;'Données projet'!$A$114,$BV$205^A32,IF(A32='Données projet'!$A$114,'Données projet'!$B$114,BY31+BX32-CG31)))</f>
        <v>230.39999999999995</v>
      </c>
      <c r="BZ32" s="13">
        <f>BY32*VLOOKUP('Données projet'!$B$12,Paramètres!$A$1:$I$89,3,0)*VLOOKUP('Données projet'!$B$12,Paramètres!$A$1:$I$89,5,0)</f>
        <v>154.55231999999995</v>
      </c>
      <c r="CA32" s="13">
        <f t="shared" si="39"/>
        <v>39.611309695700349</v>
      </c>
      <c r="CB32" s="20">
        <f t="shared" si="10"/>
        <v>338.16832172001136</v>
      </c>
      <c r="CC32" s="59">
        <f t="shared" si="11"/>
        <v>631.50165505334462</v>
      </c>
      <c r="CD32" s="59">
        <f ca="1">AVERAGE(OFFSET($CC$3,0,0,'Données projet'!$E$12+1,1))-AVERAGE(OFFSET($H$3,0,0,'Données projet'!$E$12+1,1))</f>
        <v>254.25222107710192</v>
      </c>
      <c r="CE32" s="59">
        <f t="shared" si="40"/>
        <v>300.86609173447573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6.8100092159673995</v>
      </c>
      <c r="CM32" s="21">
        <f>EXP(-LN(2)/2)*CM31+(1-EXP(-LN(2)/2))/(LN(2)/2)*CG32*CJ32*VLOOKUP('Données projet'!$B$12,Paramètres!$A$1:$I$89,3,0)*0.475*44/12</f>
        <v>0.588926594538695</v>
      </c>
      <c r="CN32" s="22">
        <f t="shared" si="12"/>
        <v>7.3989358105060941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13.4</v>
      </c>
      <c r="CT32" s="12">
        <f>IF('Données projet'!$A$140&gt;35,CT31+CS32-DB31,IF(A32&lt;'Données projet'!$A$140,$CQ$205^A32,IF(A32='Données projet'!$A$140,'Données projet'!$B$140,CT31+CS32-DB31)))</f>
        <v>214.60000000000005</v>
      </c>
      <c r="CU32" s="17">
        <f>CT32*VLOOKUP('Données projet'!$B$13,Paramètres!$A$1:$I$89,3,0)*VLOOKUP('Données projet'!$B$13,Paramètres!$A$1:$I$89,5,0)</f>
        <v>187.47456000000008</v>
      </c>
      <c r="CV32" s="13">
        <f t="shared" si="41"/>
        <v>46.981179851370143</v>
      </c>
      <c r="CW32" s="20">
        <f t="shared" si="13"/>
        <v>408.34374690780311</v>
      </c>
      <c r="CX32" s="59">
        <f t="shared" si="14"/>
        <v>701.67708024113642</v>
      </c>
      <c r="CY32" s="59">
        <f ca="1">AVERAGE(OFFSET($CX$3,0,0,'Données projet'!$E$13+1,1))-AVERAGE(OFFSET($H$3,0,0,'Données projet'!$E$13+1,1))</f>
        <v>243.38048563215585</v>
      </c>
      <c r="CZ32" s="59">
        <f t="shared" si="42"/>
        <v>372.1604147006675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4.9375768554909714</v>
      </c>
      <c r="DH32" s="21">
        <f>EXP(-LN(2)/2)*DH31+(1-EXP(-LN(2)/2))/(LN(2)/2)*DB32*DE32*VLOOKUP('Données projet'!$B$13,Paramètres!$A$1:$I$89,3,0)*0.475*44/12</f>
        <v>0.4254056921405282</v>
      </c>
      <c r="DI32" s="22">
        <f t="shared" si="15"/>
        <v>5.3629825476314998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13.7</v>
      </c>
      <c r="DO32" s="12">
        <f>IF('Données projet'!$A$166&gt;35,DO31+DN32-DW31,IF(A32&lt;'Données projet'!$A$166,$DL$205^A32,IF(A32='Données projet'!$A$166,'Données projet'!$B$166,DO31+DN32-DW31)))</f>
        <v>201.29999999999995</v>
      </c>
      <c r="DP32" s="17">
        <f>DO32*VLOOKUP('Données projet'!$B$14,Paramètres!$A$1:$I$89,3,0)*VLOOKUP('Données projet'!$B$14,Paramètres!$A$1:$I$89,5,0)</f>
        <v>115.14359999999996</v>
      </c>
      <c r="DQ32" s="13">
        <f t="shared" si="43"/>
        <v>30.539614832250223</v>
      </c>
      <c r="DR32" s="20">
        <f t="shared" si="16"/>
        <v>253.7315991661691</v>
      </c>
      <c r="DS32" s="59">
        <f t="shared" si="17"/>
        <v>547.06493249950245</v>
      </c>
      <c r="DT32" s="59">
        <f ca="1">AVERAGE(OFFSET($DS$3,0,0,'Données projet'!$E$14+1,1))-AVERAGE(OFFSET($H$3,0,0,'Données projet'!$E$14+1,1))</f>
        <v>227.99747790451215</v>
      </c>
      <c r="DU32" s="59">
        <f t="shared" si="44"/>
        <v>209.49597700966933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2.3850377197268635</v>
      </c>
      <c r="EC32" s="21">
        <f>EXP(-LN(2)/2)*EC31+(1-EXP(-LN(2)/2))/(LN(2)/2)*DW32*DZ32*VLOOKUP('Données projet'!$B$14,Paramètres!$A$1:$I$89,3,0)*0.475*44/12</f>
        <v>0.25759598933405836</v>
      </c>
      <c r="ED32" s="22">
        <f t="shared" si="18"/>
        <v>2.642633709060922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29.6</v>
      </c>
      <c r="EJ32" s="12">
        <f>IF('Données projet'!$A$192&gt;35,EJ31+EI32-ER31,IF(A32&lt;'Données projet'!$A$192,$EG$205^A32,IF(A32='Données projet'!$A$192,'Données projet'!$B$192,EJ31+EI32-ER31)))</f>
        <v>368.40000000000003</v>
      </c>
      <c r="EK32" s="17">
        <f>EJ32*VLOOKUP('Données projet'!$B$15,Paramètres!$A$1:$I$89,3,0)*VLOOKUP('Données projet'!$B$15,Paramètres!$A$1:$I$89,5,0)</f>
        <v>162.83280000000002</v>
      </c>
      <c r="EL32" s="13">
        <f t="shared" si="45"/>
        <v>41.480807261960983</v>
      </c>
      <c r="EM32" s="20">
        <f t="shared" si="19"/>
        <v>355.84619931458207</v>
      </c>
      <c r="EN32" s="59">
        <f t="shared" si="20"/>
        <v>649.17953264791538</v>
      </c>
      <c r="EO32" s="59">
        <f ca="1">AVERAGE(OFFSET($EN$3,0,0,'Données projet'!$E$15+1,1))-AVERAGE(OFFSET($H$3,0,0,'Données projet'!$E$15+1,1))</f>
        <v>335.27356627949155</v>
      </c>
      <c r="EP32" s="59">
        <f t="shared" si="46"/>
        <v>322.66829503077247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5.6313390604662059</v>
      </c>
      <c r="EX32" s="21">
        <f>EXP(-LN(2)/2)*EX31+(1-EXP(-LN(2)/2))/(LN(2)/2)*ER32*EU32*VLOOKUP('Données projet'!$B$15,Paramètres!$A$1:$I$89,3,0)*0.475*44/12</f>
        <v>0.49762861575897671</v>
      </c>
      <c r="EY32" s="22">
        <f t="shared" si="21"/>
        <v>6.1289676762251828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149</v>
      </c>
      <c r="L33" s="12">
        <f>VLOOKUP(A33,'Données projet'!$A$35:$I$55,9,0)</f>
        <v>8.1999999999999993</v>
      </c>
      <c r="M33" s="12">
        <f t="array" ref="M33">INDEX(L:L,MIN(IF(ISNUMBER(L33:L229),ROW(L33:L229),"")))</f>
        <v>8.1999999999999993</v>
      </c>
      <c r="N33" s="13">
        <f>IF('Données projet'!$A$36&gt;35,N32+M33-V32,IF(A33&lt;'Données projet'!$A$36,$K$205^A33,IF(A33='Données projet'!$A$36,'Données projet'!$B$36,N32+M33-V32)))</f>
        <v>149</v>
      </c>
      <c r="O33" s="13">
        <f>N33*VLOOKUP('Données projet'!$B$9,Paramètres!$A$1:$I$89,3,0)*VLOOKUP('Données projet'!$B$9,Paramètres!$A$1:$I$89,5,0)</f>
        <v>134.81519999999998</v>
      </c>
      <c r="P33" s="13">
        <f t="shared" si="33"/>
        <v>35.106644529103392</v>
      </c>
      <c r="Q33" s="20">
        <f t="shared" si="2"/>
        <v>295.94721255485501</v>
      </c>
      <c r="R33" s="59">
        <f t="shared" si="0"/>
        <v>589.28054588818827</v>
      </c>
      <c r="S33" s="59">
        <f ca="1">AVERAGE(OFFSET($R$3,0,0,'Données projet'!$E$9+1,1))-AVERAGE(OFFSET($H$3,0,0,'Données projet'!$E$9+1,1))</f>
        <v>319.18811755575183</v>
      </c>
      <c r="T33" s="59">
        <f t="shared" si="34"/>
        <v>234.87694492493506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56</v>
      </c>
      <c r="W33" s="16">
        <f>IF(ISNA(VLOOKUP(A33,'Données projet'!$A$35:$I$55,5,0)),0%,VLOOKUP(A33,'Données projet'!$A$35:$I$55,5,0)*VLOOKUP('Données projet'!$B$9,Paramètres!$A$1:$I$89,7,0))</f>
        <v>4.3000000000000003E-2</v>
      </c>
      <c r="X33" s="16">
        <f>IF(ISNA(VLOOKUP(A33,'Données projet'!$A$35:$I$55,6,0)),0%,VLOOKUP(A33,'Données projet'!$A$35:$I$55,6,0)*VLOOKUP('Données projet'!$B$9,Paramètres!$A$1:$I$89,7,0))</f>
        <v>0.19350000000000001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2.4085528753586032</v>
      </c>
      <c r="AA33" s="21">
        <f>EXP(-LN(2)/25)*AA32+(1-EXP(-LN(2)/25))/(LN(2)/25)*Calculateur!V33*Calculateur!X33*VLOOKUP('Données projet'!$B$9,Paramètres!$A$1:$I$89,3,0)*0.475*44/12</f>
        <v>11.282818400509749</v>
      </c>
      <c r="AB33" s="21">
        <f>EXP(-LN(2)/2)*AB32+(1-EXP(-LN(2)/2))/(LN(2)/2)*V33*Y33*VLOOKUP('Données projet'!$B$9,Paramètres!$A$1:$I$89,3,0)*0.475*44/12</f>
        <v>21.553336774106572</v>
      </c>
      <c r="AC33" s="22">
        <f t="shared" si="3"/>
        <v>35.244708049974925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247</v>
      </c>
      <c r="AG33" s="12">
        <f>VLOOKUP(A33,'Données projet'!$A$61:$I$81,9,0)</f>
        <v>16.600000000000001</v>
      </c>
      <c r="AH33" s="12">
        <f t="array" ref="AH33">INDEX(AG:AG,MIN(IF(ISNUMBER(AG33:AG229),ROW(AG33:AG229),"")))</f>
        <v>16.600000000000001</v>
      </c>
      <c r="AI33" s="13">
        <f>IF('Données projet'!$A$62&gt;35,AI32+AH33-AQ32,IF(A33&lt;'Données projet'!$A$62,$AF$205^A33,IF(A33='Données projet'!$A$62,'Données projet'!$B$62,AI32+AH33-AQ32)))</f>
        <v>246.99999999999994</v>
      </c>
      <c r="AJ33" s="13">
        <f>AI33*VLOOKUP('Données projet'!$B$10,Paramètres!$A$1:$I$89,3,0)*VLOOKUP('Données projet'!$B$10,Paramètres!$A$1:$I$89,5,0)</f>
        <v>196.51319999999996</v>
      </c>
      <c r="AK33" s="13">
        <f t="shared" si="35"/>
        <v>48.977092002823696</v>
      </c>
      <c r="AL33" s="20">
        <f t="shared" si="4"/>
        <v>427.56225857158444</v>
      </c>
      <c r="AM33" s="59">
        <f t="shared" si="5"/>
        <v>720.89559190491775</v>
      </c>
      <c r="AN33" s="59">
        <f ca="1">AVERAGE(OFFSET($AM$3,0,0,'Données projet'!$E$10+1,1))-AVERAGE(OFFSET($H$3,0,0,'Données projet'!$E$10+1,1))</f>
        <v>314.94704727988847</v>
      </c>
      <c r="AO33" s="59">
        <f t="shared" si="36"/>
        <v>366.49199094166454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84</v>
      </c>
      <c r="AR33" s="16">
        <f>IF(ISNA(VLOOKUP(A33,'Données projet'!$A$61:$I$81,5,0)),0%,VLOOKUP(A33,'Données projet'!$A$61:$I$81,5,0)*VLOOKUP('Données projet'!$B$10,Paramètres!$A$1:$I$89,7,0))</f>
        <v>5.3000000000000005E-2</v>
      </c>
      <c r="AS33" s="16">
        <f>IF(ISNA(VLOOKUP(A33,'Données projet'!$A$61:$I$81,6,0)),0%,VLOOKUP(A33,'Données projet'!$A$61:$I$81,6,0)*VLOOKUP('Données projet'!$B$10,Paramètres!$A$1:$I$89,7,0))</f>
        <v>0.23850000000000002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3.9155884655739612</v>
      </c>
      <c r="AV33" s="21">
        <f>EXP(-LN(2)/25)*AV32+(1-EXP(-LN(2)/25))/(LN(2)/25)*Calculateur!AQ33*Calculateur!AS33*VLOOKUP('Données projet'!$B$10,Paramètres!$A$1:$I$89,3,0)*0.475*44/12</f>
        <v>25.406892880265318</v>
      </c>
      <c r="AW33" s="21">
        <f>EXP(-LN(2)/2)*AW32+(1-EXP(-LN(2)/2))/(LN(2)/2)*AQ33*AT33*VLOOKUP('Données projet'!$B$10,Paramètres!$A$1:$I$89,3,0)*0.475*44/12</f>
        <v>28.869236580755118</v>
      </c>
      <c r="AX33" s="21">
        <f t="shared" si="6"/>
        <v>58.191717926594393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247</v>
      </c>
      <c r="BB33" s="12">
        <f>VLOOKUP(A33,'Données projet'!$A$87:$I$107,9,0)</f>
        <v>16.600000000000001</v>
      </c>
      <c r="BC33" s="12">
        <f t="array" ref="BC33">INDEX(BB:BB,MIN(IF(ISNUMBER(BB33:BB229),ROW(BB33:BB229),"")))</f>
        <v>16.600000000000001</v>
      </c>
      <c r="BD33" s="12">
        <f>IF('Données projet'!$A$88&gt;35,BD32+BC33-BL32,IF(A33&lt;'Données projet'!$A$88,$BA$205^A33,IF(A33='Données projet'!$A$88,'Données projet'!$B$88,BD32+BC33-BL32)))</f>
        <v>246.99999999999994</v>
      </c>
      <c r="BE33" s="13">
        <f>BD33*VLOOKUP('Données projet'!$B$11,Paramètres!$A$1:$I$89,3,0)*VLOOKUP('Données projet'!$B$11,Paramètres!$A$1:$I$89,5,0)</f>
        <v>161.83439999999996</v>
      </c>
      <c r="BF33" s="13">
        <f t="shared" si="37"/>
        <v>41.25599453517048</v>
      </c>
      <c r="BG33" s="20">
        <f t="shared" si="7"/>
        <v>353.71577048208854</v>
      </c>
      <c r="BH33" s="59">
        <f t="shared" si="8"/>
        <v>647.04910381542186</v>
      </c>
      <c r="BI33" s="59">
        <f ca="1">AVERAGE(OFFSET($BH$3,0,0,'Données projet'!$E$11+1,1))-AVERAGE(OFFSET($H$3,0,0,'Données projet'!$E$11+1,1))</f>
        <v>246.64951465060813</v>
      </c>
      <c r="BJ33" s="59">
        <f t="shared" si="38"/>
        <v>292.64550285216865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84</v>
      </c>
      <c r="BM33" s="16">
        <f>IF(ISNA(VLOOKUP(A33,'Données projet'!$A$87:$I$107,5,0)),0%,VLOOKUP(A33,'Données projet'!$A$87:$I$107,5,0)*VLOOKUP('Données projet'!$B$11,Paramètres!$A$1:$I$89,7,0))</f>
        <v>4.3000000000000003E-2</v>
      </c>
      <c r="BN33" s="16">
        <f>IF(ISNA(VLOOKUP(A33,'Données projet'!$A$87:$I$107,6,0)),0%,VLOOKUP(A33,'Données projet'!$A$87:$I$107,6,0)*VLOOKUP('Données projet'!$B$11,Paramètres!$A$1:$I$89,7,0))</f>
        <v>0.19350000000000001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2.6161867439240005</v>
      </c>
      <c r="BQ33" s="21">
        <f>EXP(-LN(2)/25)*BQ32+(1-EXP(-LN(2)/25))/(LN(2)/25)*Calculateur!BL33*Calculateur!BN33*VLOOKUP('Données projet'!$B$11,Paramètres!$A$1:$I$89,3,0)*0.475*44/12</f>
        <v>16.975526652519108</v>
      </c>
      <c r="BR33" s="21">
        <f>EXP(-LN(2)/2)*BR32+(1-EXP(-LN(2)/2))/(LN(2)/2)*BL33*BO33*VLOOKUP('Données projet'!$B$11,Paramètres!$A$1:$I$89,3,0)*0.475*44/12</f>
        <v>23.774665419445395</v>
      </c>
      <c r="BS33" s="22">
        <f t="shared" si="9"/>
        <v>43.366378815888503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247</v>
      </c>
      <c r="BW33" s="12">
        <f>VLOOKUP(A33,'Données projet'!$A$113:$I$133,9,0)</f>
        <v>16.600000000000001</v>
      </c>
      <c r="BX33" s="12">
        <f t="array" ref="BX33">INDEX(BW:BW,MIN(IF(ISNUMBER(BW33:BW229),ROW(BW33:BW229),"")))</f>
        <v>16.600000000000001</v>
      </c>
      <c r="BY33" s="12">
        <f>IF('Données projet'!$A$114&gt;35,BY32+BX33-CG32,IF(A33&lt;'Données projet'!$A$114,$BV$205^A33,IF(A33='Données projet'!$A$114,'Données projet'!$B$114,BY32+BX33-CG32)))</f>
        <v>246.99999999999994</v>
      </c>
      <c r="BZ33" s="13">
        <f>BY33*VLOOKUP('Données projet'!$B$12,Paramètres!$A$1:$I$89,3,0)*VLOOKUP('Données projet'!$B$12,Paramètres!$A$1:$I$89,5,0)</f>
        <v>165.68759999999997</v>
      </c>
      <c r="CA33" s="13">
        <f t="shared" si="39"/>
        <v>42.122749874294207</v>
      </c>
      <c r="CB33" s="20">
        <f t="shared" si="10"/>
        <v>361.93635936439568</v>
      </c>
      <c r="CC33" s="59">
        <f t="shared" si="11"/>
        <v>655.26969269772894</v>
      </c>
      <c r="CD33" s="59">
        <f ca="1">AVERAGE(OFFSET($CC$3,0,0,'Données projet'!$E$12+1,1))-AVERAGE(OFFSET($H$3,0,0,'Données projet'!$E$12+1,1))</f>
        <v>254.25222107710192</v>
      </c>
      <c r="CE33" s="59">
        <f t="shared" si="40"/>
        <v>300.86609173447573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5.3000000000000005E-2</v>
      </c>
      <c r="CI33" s="16">
        <f>IF(ISNA(VLOOKUP(A33,'Données projet'!$A$113:$I$133,6,0)),0%,VLOOKUP(A33,'Données projet'!$A$113:$I$133,6,0)*VLOOKUP('Données projet'!$B$12,Paramètres!$A$1:$I$89,7,0))</f>
        <v>0.23850000000000002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3.3013785101898101</v>
      </c>
      <c r="CL33" s="21">
        <f>EXP(-LN(2)/25)*CL32+(1-EXP(-LN(2)/25))/(LN(2)/25)*Calculateur!CG33*Calculateur!CI33*VLOOKUP('Données projet'!$B$12,Paramètres!$A$1:$I$89,3,0)*0.475*44/12</f>
        <v>21.421497918655071</v>
      </c>
      <c r="CM33" s="21">
        <f>EXP(-LN(2)/2)*CM32+(1-EXP(-LN(2)/2))/(LN(2)/2)*CG33*CJ33*VLOOKUP('Données projet'!$B$12,Paramètres!$A$1:$I$89,3,0)*0.475*44/12</f>
        <v>24.340728881813142</v>
      </c>
      <c r="CN33" s="22">
        <f t="shared" si="12"/>
        <v>49.063605310658019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228</v>
      </c>
      <c r="CR33" s="12">
        <f>VLOOKUP(A33,'Données projet'!$A$139:$I$159,9,0)</f>
        <v>13.4</v>
      </c>
      <c r="CS33" s="12">
        <f t="array" ref="CS33">INDEX(CR:CR,MIN(IF(ISNUMBER(CR33:CR229),ROW(CR33:CR229),"")))</f>
        <v>13.4</v>
      </c>
      <c r="CT33" s="12">
        <f>IF('Données projet'!$A$140&gt;35,CT32+CS33-DB32,IF(A33&lt;'Données projet'!$A$140,$CQ$205^A33,IF(A33='Données projet'!$A$140,'Données projet'!$B$140,CT32+CS33-DB32)))</f>
        <v>228.00000000000006</v>
      </c>
      <c r="CU33" s="17">
        <f>CT33*VLOOKUP('Données projet'!$B$13,Paramètres!$A$1:$I$89,3,0)*VLOOKUP('Données projet'!$B$13,Paramètres!$A$1:$I$89,5,0)</f>
        <v>199.18080000000009</v>
      </c>
      <c r="CV33" s="13">
        <f t="shared" si="41"/>
        <v>49.564089376413726</v>
      </c>
      <c r="CW33" s="20">
        <f t="shared" si="13"/>
        <v>433.2306823305874</v>
      </c>
      <c r="CX33" s="59">
        <f t="shared" si="14"/>
        <v>726.56401566392071</v>
      </c>
      <c r="CY33" s="59">
        <f ca="1">AVERAGE(OFFSET($CX$3,0,0,'Données projet'!$E$13+1,1))-AVERAGE(OFFSET($H$3,0,0,'Données projet'!$E$13+1,1))</f>
        <v>243.38048563215585</v>
      </c>
      <c r="CZ33" s="59">
        <f t="shared" si="42"/>
        <v>372.1604147006675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88</v>
      </c>
      <c r="DC33" s="16">
        <f>IF(ISNA(VLOOKUP(A33,'Données projet'!$A$139:$I$159,5,0)),0%,VLOOKUP(A33,'Données projet'!$A$139:$I$159,5,0)*VLOOKUP('Données projet'!$B$13,Paramètres!$A$1:$I$89,7,0))</f>
        <v>8.6000000000000007E-2</v>
      </c>
      <c r="DD33" s="16">
        <f>IF(ISNA(VLOOKUP(A33,'Données projet'!$A$139:$I$159,6,0)),0%,VLOOKUP(A33,'Données projet'!$A$139:$I$159,6,0)*VLOOKUP('Données projet'!$B$13,Paramètres!$A$1:$I$89,7,0))</f>
        <v>0.17200000000000001</v>
      </c>
      <c r="DE33" s="16">
        <f>IF(ISNA(VLOOKUP(A33,'Données projet'!$A$139:$I$159,7,0)),0%,VLOOKUP(A33,'Données projet'!$A$139:$I$159,7,0))</f>
        <v>0.4</v>
      </c>
      <c r="DF33" s="21">
        <f>EXP(-LN(2)/35)*DF32+(1-EXP(-LN(2)/35))/(LN(2)/35)*DB33*DC33*VLOOKUP('Données projet'!$B$13,Paramètres!$A$1:$I$89,3,0)*0.475*44/12</f>
        <v>7.3087121735019691</v>
      </c>
      <c r="DG33" s="21">
        <f>EXP(-LN(2)/25)*DG32+(1-EXP(-LN(2)/25))/(LN(2)/25)*Calculateur!DB33*Calculateur!DD33*VLOOKUP('Données projet'!$B$13,Paramètres!$A$1:$I$89,3,0)*0.475*44/12</f>
        <v>19.362428534396141</v>
      </c>
      <c r="DH33" s="21">
        <f>EXP(-LN(2)/2)*DH32+(1-EXP(-LN(2)/2))/(LN(2)/2)*DB33*DE33*VLOOKUP('Données projet'!$B$13,Paramètres!$A$1:$I$89,3,0)*0.475*44/12</f>
        <v>29.314939213162127</v>
      </c>
      <c r="DI33" s="22">
        <f t="shared" si="15"/>
        <v>55.986079921060238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215</v>
      </c>
      <c r="DM33" s="12">
        <f>VLOOKUP(A33,'Données projet'!$A$165:$I$185,9,0)</f>
        <v>13.7</v>
      </c>
      <c r="DN33" s="12">
        <f t="array" ref="DN33">INDEX(DM:DM,MIN(IF(ISNUMBER(DM33:DM229),ROW(DM33:DM229),"")))</f>
        <v>13.7</v>
      </c>
      <c r="DO33" s="12">
        <f>IF('Données projet'!$A$166&gt;35,DO32+DN33-DW32,IF(A33&lt;'Données projet'!$A$166,$DL$205^A33,IF(A33='Données projet'!$A$166,'Données projet'!$B$166,DO32+DN33-DW32)))</f>
        <v>214.99999999999994</v>
      </c>
      <c r="DP33" s="17">
        <f>DO33*VLOOKUP('Données projet'!$B$14,Paramètres!$A$1:$I$89,3,0)*VLOOKUP('Données projet'!$B$14,Paramètres!$A$1:$I$89,5,0)</f>
        <v>122.97999999999998</v>
      </c>
      <c r="DQ33" s="13">
        <f t="shared" si="43"/>
        <v>32.369039984453188</v>
      </c>
      <c r="DR33" s="20">
        <f t="shared" si="16"/>
        <v>270.56624463958923</v>
      </c>
      <c r="DS33" s="59">
        <f t="shared" si="17"/>
        <v>563.89957797292254</v>
      </c>
      <c r="DT33" s="59">
        <f ca="1">AVERAGE(OFFSET($DS$3,0,0,'Données projet'!$E$14+1,1))-AVERAGE(OFFSET($H$3,0,0,'Données projet'!$E$14+1,1))</f>
        <v>227.99747790451215</v>
      </c>
      <c r="DU33" s="59">
        <f t="shared" si="44"/>
        <v>209.49597700966933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84</v>
      </c>
      <c r="DX33" s="16">
        <f>IF(ISNA(VLOOKUP(A33,'Données projet'!$A$165:$I$185,5,0)),0%,VLOOKUP(A33,'Données projet'!$A$165:$I$185,5,0)*VLOOKUP('Données projet'!$B$14,Paramètres!$A$1:$I$89,7,0))</f>
        <v>4.5000000000000005E-2</v>
      </c>
      <c r="DY33" s="16">
        <f>IF(ISNA(VLOOKUP(A33,'Données projet'!$A$165:$I$185,6,0)),0%,VLOOKUP(A33,'Données projet'!$A$165:$I$185,6,0)*VLOOKUP('Données projet'!$B$14,Paramètres!$A$1:$I$89,7,0))</f>
        <v>0.20250000000000001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2.8682446029731565</v>
      </c>
      <c r="EB33" s="21">
        <f>EXP(-LN(2)/25)*EB32+(1-EXP(-LN(2)/25))/(LN(2)/25)*Calculateur!DW33*Calculateur!DY33*VLOOKUP('Données projet'!$B$14,Paramètres!$A$1:$I$89,3,0)*0.475*44/12</f>
        <v>15.176099277736942</v>
      </c>
      <c r="EC33" s="21">
        <f>EXP(-LN(2)/2)*EC32+(1-EXP(-LN(2)/2))/(LN(2)/2)*DW33*DZ33*VLOOKUP('Données projet'!$B$14,Paramètres!$A$1:$I$89,3,0)*0.475*44/12</f>
        <v>24.662821715062805</v>
      </c>
      <c r="ED33" s="22">
        <f t="shared" si="18"/>
        <v>42.707165595772906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398</v>
      </c>
      <c r="EH33" s="12">
        <f>VLOOKUP(A33,'Données projet'!$A$191:$I$211,9,0)</f>
        <v>29.6</v>
      </c>
      <c r="EI33" s="12">
        <f t="array" ref="EI33">INDEX(EH:EH,MIN(IF(ISNUMBER(EH33:EH229),ROW(EH33:EH229),"")))</f>
        <v>29.6</v>
      </c>
      <c r="EJ33" s="12">
        <f>IF('Données projet'!$A$192&gt;35,EJ32+EI33-ER32,IF(A33&lt;'Données projet'!$A$192,$EG$205^A33,IF(A33='Données projet'!$A$192,'Données projet'!$B$192,EJ32+EI33-ER32)))</f>
        <v>398.00000000000006</v>
      </c>
      <c r="EK33" s="17">
        <f>EJ33*VLOOKUP('Données projet'!$B$15,Paramètres!$A$1:$I$89,3,0)*VLOOKUP('Données projet'!$B$15,Paramètres!$A$1:$I$89,5,0)</f>
        <v>175.91600000000003</v>
      </c>
      <c r="EL33" s="13">
        <f t="shared" si="45"/>
        <v>44.412361336282686</v>
      </c>
      <c r="EM33" s="20">
        <f t="shared" si="19"/>
        <v>383.73856266069237</v>
      </c>
      <c r="EN33" s="59">
        <f t="shared" si="20"/>
        <v>677.07189599402568</v>
      </c>
      <c r="EO33" s="59">
        <f ca="1">AVERAGE(OFFSET($EN$3,0,0,'Données projet'!$E$15+1,1))-AVERAGE(OFFSET($H$3,0,0,'Données projet'!$E$15+1,1))</f>
        <v>335.27356627949155</v>
      </c>
      <c r="EP33" s="59">
        <f t="shared" si="46"/>
        <v>322.66829503077247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140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0.27500000000000002</v>
      </c>
      <c r="EU33" s="16">
        <f>IF(ISNA(VLOOKUP(A33,'Données projet'!$A$191:$I$211,7,0)),0%,VLOOKUP(A33,'Données projet'!$A$191:$I$211,7,0))</f>
        <v>0.5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27.962614116438136</v>
      </c>
      <c r="EX33" s="21">
        <f>EXP(-LN(2)/2)*EX32+(1-EXP(-LN(2)/2))/(LN(2)/2)*ER33*EU33*VLOOKUP('Données projet'!$B$15,Paramètres!$A$1:$I$89,3,0)*0.475*44/12</f>
        <v>35.383143854184503</v>
      </c>
      <c r="EY33" s="22">
        <f t="shared" si="21"/>
        <v>63.345757970622643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</v>
      </c>
      <c r="N34" s="13">
        <f>IF('Données projet'!$A$36&gt;35,N33+M34-V33,IF(A34&lt;'Données projet'!$A$36,$K$205^A34,IF(A34='Données projet'!$A$36,'Données projet'!$B$36,N33+M34-V33)))</f>
        <v>104</v>
      </c>
      <c r="O34" s="13">
        <f>N34*VLOOKUP('Données projet'!$B$9,Paramètres!$A$1:$I$89,3,0)*VLOOKUP('Données projet'!$B$9,Paramètres!$A$1:$I$89,5,0)</f>
        <v>94.099199999999996</v>
      </c>
      <c r="P34" s="13">
        <f t="shared" si="33"/>
        <v>25.551276031514817</v>
      </c>
      <c r="Q34" s="20">
        <f t="shared" si="2"/>
        <v>208.39124575488827</v>
      </c>
      <c r="R34" s="59">
        <f t="shared" si="0"/>
        <v>501.72457908822162</v>
      </c>
      <c r="S34" s="59">
        <f ca="1">AVERAGE(OFFSET($R$3,0,0,'Données projet'!$E$9+1,1))-AVERAGE(OFFSET($H$3,0,0,'Données projet'!$E$9+1,1))</f>
        <v>319.18811755575183</v>
      </c>
      <c r="T34" s="59">
        <f t="shared" si="34"/>
        <v>234.87694492493506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2.3613226225450159</v>
      </c>
      <c r="AA34" s="21">
        <f>EXP(-LN(2)/25)*AA33+(1-EXP(-LN(2)/25))/(LN(2)/25)*Calculateur!V34*Calculateur!X34*VLOOKUP('Données projet'!$B$9,Paramètres!$A$1:$I$89,3,0)*0.475*44/12</f>
        <v>10.974289138010176</v>
      </c>
      <c r="AB34" s="21">
        <f>EXP(-LN(2)/2)*AB33+(1-EXP(-LN(2)/2))/(LN(2)/2)*V34*Y34*VLOOKUP('Données projet'!$B$9,Paramètres!$A$1:$I$89,3,0)*0.475*44/12</f>
        <v>15.240510590168146</v>
      </c>
      <c r="AC34" s="22">
        <f t="shared" si="3"/>
        <v>28.576122350723338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14.2</v>
      </c>
      <c r="AI34" s="13">
        <f>IF('Données projet'!$A$62&gt;35,AI33+AH34-AQ33,IF(A34&lt;'Données projet'!$A$62,$AF$205^A34,IF(A34='Données projet'!$A$62,'Données projet'!$B$62,AI33+AH34-AQ33)))</f>
        <v>177.19999999999993</v>
      </c>
      <c r="AJ34" s="13">
        <f>AI34*VLOOKUP('Données projet'!$B$10,Paramètres!$A$1:$I$89,3,0)*VLOOKUP('Données projet'!$B$10,Paramètres!$A$1:$I$89,5,0)</f>
        <v>140.98031999999995</v>
      </c>
      <c r="AK34" s="13">
        <f t="shared" si="35"/>
        <v>36.521491755743504</v>
      </c>
      <c r="AL34" s="20">
        <f t="shared" si="4"/>
        <v>309.14898880791981</v>
      </c>
      <c r="AM34" s="59">
        <f t="shared" si="5"/>
        <v>602.48232214125312</v>
      </c>
      <c r="AN34" s="59">
        <f ca="1">AVERAGE(OFFSET($AM$3,0,0,'Données projet'!$E$10+1,1))-AVERAGE(OFFSET($H$3,0,0,'Données projet'!$E$10+1,1))</f>
        <v>314.94704727988847</v>
      </c>
      <c r="AO34" s="59">
        <f t="shared" si="36"/>
        <v>366.49199094166454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3.8388061640371975</v>
      </c>
      <c r="AV34" s="21">
        <f>EXP(-LN(2)/25)*AV33+(1-EXP(-LN(2)/25))/(LN(2)/25)*Calculateur!AQ34*Calculateur!AS34*VLOOKUP('Données projet'!$B$10,Paramètres!$A$1:$I$89,3,0)*0.475*44/12</f>
        <v>24.712140058364035</v>
      </c>
      <c r="AW34" s="21">
        <f>EXP(-LN(2)/2)*AW33+(1-EXP(-LN(2)/2))/(LN(2)/2)*AQ34*AT34*VLOOKUP('Données projet'!$B$10,Paramètres!$A$1:$I$89,3,0)*0.475*44/12</f>
        <v>20.413632953930684</v>
      </c>
      <c r="AX34" s="21">
        <f t="shared" si="6"/>
        <v>48.964579176331917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14.2</v>
      </c>
      <c r="BD34" s="12">
        <f>IF('Données projet'!$A$88&gt;35,BD33+BC34-BL33,IF(A34&lt;'Données projet'!$A$88,$BA$205^A34,IF(A34='Données projet'!$A$88,'Données projet'!$B$88,BD33+BC34-BL33)))</f>
        <v>177.19999999999993</v>
      </c>
      <c r="BE34" s="13">
        <f>BD34*VLOOKUP('Données projet'!$B$11,Paramètres!$A$1:$I$89,3,0)*VLOOKUP('Données projet'!$B$11,Paramètres!$A$1:$I$89,5,0)</f>
        <v>116.10143999999995</v>
      </c>
      <c r="BF34" s="13">
        <f t="shared" si="37"/>
        <v>30.763983786631506</v>
      </c>
      <c r="BG34" s="20">
        <f t="shared" si="7"/>
        <v>255.79061309504979</v>
      </c>
      <c r="BH34" s="59">
        <f t="shared" si="8"/>
        <v>549.12394642838308</v>
      </c>
      <c r="BI34" s="59">
        <f ca="1">AVERAGE(OFFSET($BH$3,0,0,'Données projet'!$E$11+1,1))-AVERAGE(OFFSET($H$3,0,0,'Données projet'!$E$11+1,1))</f>
        <v>246.64951465060813</v>
      </c>
      <c r="BJ34" s="59">
        <f t="shared" si="38"/>
        <v>292.64550285216865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2.5648849175920008</v>
      </c>
      <c r="BQ34" s="21">
        <f>EXP(-LN(2)/25)*BQ33+(1-EXP(-LN(2)/25))/(LN(2)/25)*Calculateur!BL34*Calculateur!BN34*VLOOKUP('Données projet'!$B$11,Paramètres!$A$1:$I$89,3,0)*0.475*44/12</f>
        <v>16.511329983501824</v>
      </c>
      <c r="BR34" s="21">
        <f>EXP(-LN(2)/2)*BR33+(1-EXP(-LN(2)/2))/(LN(2)/2)*BL34*BO34*VLOOKUP('Données projet'!$B$11,Paramètres!$A$1:$I$89,3,0)*0.475*44/12</f>
        <v>16.811227138531155</v>
      </c>
      <c r="BS34" s="22">
        <f t="shared" si="9"/>
        <v>35.887442039624979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14.2</v>
      </c>
      <c r="BY34" s="12">
        <f>IF('Données projet'!$A$114&gt;35,BY33+BX34-CG33,IF(A34&lt;'Données projet'!$A$114,$BV$205^A34,IF(A34='Données projet'!$A$114,'Données projet'!$B$114,BY33+BX34-CG33)))</f>
        <v>177.19999999999993</v>
      </c>
      <c r="BZ34" s="13">
        <f>BY34*VLOOKUP('Données projet'!$B$12,Paramètres!$A$1:$I$89,3,0)*VLOOKUP('Données projet'!$B$12,Paramètres!$A$1:$I$89,5,0)</f>
        <v>118.86575999999995</v>
      </c>
      <c r="CA34" s="13">
        <f t="shared" si="39"/>
        <v>31.410310399290108</v>
      </c>
      <c r="CB34" s="20">
        <f t="shared" si="10"/>
        <v>261.73082261209686</v>
      </c>
      <c r="CC34" s="59">
        <f t="shared" si="11"/>
        <v>555.06415594543023</v>
      </c>
      <c r="CD34" s="59">
        <f ca="1">AVERAGE(OFFSET($CC$3,0,0,'Données projet'!$E$12+1,1))-AVERAGE(OFFSET($H$3,0,0,'Données projet'!$E$12+1,1))</f>
        <v>254.25222107710192</v>
      </c>
      <c r="CE34" s="59">
        <f t="shared" si="40"/>
        <v>300.86609173447573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3.2366404912470483</v>
      </c>
      <c r="CL34" s="21">
        <f>EXP(-LN(2)/25)*CL33+(1-EXP(-LN(2)/25))/(LN(2)/25)*Calculateur!CG34*Calculateur!CI34*VLOOKUP('Données projet'!$B$12,Paramètres!$A$1:$I$89,3,0)*0.475*44/12</f>
        <v>20.835725931561832</v>
      </c>
      <c r="CM34" s="21">
        <f>EXP(-LN(2)/2)*CM33+(1-EXP(-LN(2)/2))/(LN(2)/2)*CG34*CJ34*VLOOKUP('Données projet'!$B$12,Paramètres!$A$1:$I$89,3,0)*0.475*44/12</f>
        <v>17.211494451353325</v>
      </c>
      <c r="CN34" s="22">
        <f t="shared" si="12"/>
        <v>41.283860874162201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11.5</v>
      </c>
      <c r="CT34" s="12">
        <f>IF('Données projet'!$A$140&gt;35,CT33+CS34-DB33,IF(A34&lt;'Données projet'!$A$140,$CQ$205^A34,IF(A34='Données projet'!$A$140,'Données projet'!$B$140,CT33+CS34-DB33)))</f>
        <v>151.50000000000006</v>
      </c>
      <c r="CU34" s="17">
        <f>CT34*VLOOKUP('Données projet'!$B$13,Paramètres!$A$1:$I$89,3,0)*VLOOKUP('Données projet'!$B$13,Paramètres!$A$1:$I$89,5,0)</f>
        <v>132.35040000000006</v>
      </c>
      <c r="CV34" s="13">
        <f t="shared" si="41"/>
        <v>34.538900082505862</v>
      </c>
      <c r="CW34" s="20">
        <f t="shared" si="13"/>
        <v>290.66553097703115</v>
      </c>
      <c r="CX34" s="59">
        <f t="shared" si="14"/>
        <v>583.99886431036452</v>
      </c>
      <c r="CY34" s="59">
        <f ca="1">AVERAGE(OFFSET($CX$3,0,0,'Données projet'!$E$13+1,1))-AVERAGE(OFFSET($H$3,0,0,'Données projet'!$E$13+1,1))</f>
        <v>243.38048563215585</v>
      </c>
      <c r="CZ34" s="59">
        <f t="shared" si="42"/>
        <v>372.1604147006675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7.1653927856538431</v>
      </c>
      <c r="DG34" s="21">
        <f>EXP(-LN(2)/25)*DG33+(1-EXP(-LN(2)/25))/(LN(2)/25)*Calculateur!DB34*Calculateur!DD34*VLOOKUP('Données projet'!$B$13,Paramètres!$A$1:$I$89,3,0)*0.475*44/12</f>
        <v>18.832961907897214</v>
      </c>
      <c r="DH34" s="21">
        <f>EXP(-LN(2)/2)*DH33+(1-EXP(-LN(2)/2))/(LN(2)/2)*DB34*DE34*VLOOKUP('Données projet'!$B$13,Paramètres!$A$1:$I$89,3,0)*0.475*44/12</f>
        <v>20.728792307698374</v>
      </c>
      <c r="DI34" s="22">
        <f t="shared" si="15"/>
        <v>46.727147001249435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16.399999999999999</v>
      </c>
      <c r="DO34" s="12">
        <f>IF('Données projet'!$A$166&gt;35,DO33+DN34-DW33,IF(A34&lt;'Données projet'!$A$166,$DL$205^A34,IF(A34='Données projet'!$A$166,'Données projet'!$B$166,DO33+DN34-DW33)))</f>
        <v>147.39999999999995</v>
      </c>
      <c r="DP34" s="17">
        <f>DO34*VLOOKUP('Données projet'!$B$14,Paramètres!$A$1:$I$89,3,0)*VLOOKUP('Données projet'!$B$14,Paramètres!$A$1:$I$89,5,0)</f>
        <v>84.312799999999982</v>
      </c>
      <c r="DQ34" s="13">
        <f t="shared" si="43"/>
        <v>23.188442127696554</v>
      </c>
      <c r="DR34" s="20">
        <f t="shared" si="16"/>
        <v>187.23133003907148</v>
      </c>
      <c r="DS34" s="59">
        <f t="shared" si="17"/>
        <v>480.56466337240477</v>
      </c>
      <c r="DT34" s="59">
        <f ca="1">AVERAGE(OFFSET($DS$3,0,0,'Données projet'!$E$14+1,1))-AVERAGE(OFFSET($H$3,0,0,'Données projet'!$E$14+1,1))</f>
        <v>227.99747790451215</v>
      </c>
      <c r="DU34" s="59">
        <f t="shared" si="44"/>
        <v>209.49597700966933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2.8120000757653161</v>
      </c>
      <c r="EB34" s="21">
        <f>EXP(-LN(2)/25)*EB33+(1-EXP(-LN(2)/25))/(LN(2)/25)*Calculateur!DW34*Calculateur!DY34*VLOOKUP('Données projet'!$B$14,Paramètres!$A$1:$I$89,3,0)*0.475*44/12</f>
        <v>14.76110804491085</v>
      </c>
      <c r="EC34" s="21">
        <f>EXP(-LN(2)/2)*EC33+(1-EXP(-LN(2)/2))/(LN(2)/2)*DW34*DZ34*VLOOKUP('Données projet'!$B$14,Paramètres!$A$1:$I$89,3,0)*0.475*44/12</f>
        <v>17.439248477915747</v>
      </c>
      <c r="ED34" s="22">
        <f t="shared" si="18"/>
        <v>35.012356598591914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30.3</v>
      </c>
      <c r="EJ34" s="12">
        <f>IF('Données projet'!$A$192&gt;35,EJ33+EI34-ER33,IF(A34&lt;'Données projet'!$A$192,$EG$205^A34,IF(A34='Données projet'!$A$192,'Données projet'!$B$192,EJ33+EI34-ER33)))</f>
        <v>288.30000000000007</v>
      </c>
      <c r="EK34" s="17">
        <f>EJ34*VLOOKUP('Données projet'!$B$15,Paramètres!$A$1:$I$89,3,0)*VLOOKUP('Données projet'!$B$15,Paramètres!$A$1:$I$89,5,0)</f>
        <v>127.42860000000005</v>
      </c>
      <c r="EL34" s="13">
        <f t="shared" si="45"/>
        <v>33.401495190355625</v>
      </c>
      <c r="EM34" s="20">
        <f t="shared" si="19"/>
        <v>280.11241578986949</v>
      </c>
      <c r="EN34" s="59">
        <f t="shared" si="20"/>
        <v>573.44574912320286</v>
      </c>
      <c r="EO34" s="59">
        <f ca="1">AVERAGE(OFFSET($EN$3,0,0,'Données projet'!$E$15+1,1))-AVERAGE(OFFSET($H$3,0,0,'Données projet'!$E$15+1,1))</f>
        <v>335.27356627949155</v>
      </c>
      <c r="EP34" s="59">
        <f t="shared" si="46"/>
        <v>322.66829503077247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27.197974962934168</v>
      </c>
      <c r="EX34" s="21">
        <f>EXP(-LN(2)/2)*EX33+(1-EXP(-LN(2)/2))/(LN(2)/2)*ER34*EU34*VLOOKUP('Données projet'!$B$15,Paramètres!$A$1:$I$89,3,0)*0.475*44/12</f>
        <v>25.019660958992976</v>
      </c>
      <c r="EY34" s="22">
        <f t="shared" si="21"/>
        <v>52.21763592192714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</v>
      </c>
      <c r="N35" s="13">
        <f>IF('Données projet'!$A$36&gt;35,N34+M35-V34,IF(A35&lt;'Données projet'!$A$36,$K$205^A35,IF(A35='Données projet'!$A$36,'Données projet'!$B$36,N34+M35-V34)))</f>
        <v>115</v>
      </c>
      <c r="O35" s="13">
        <f>N35*VLOOKUP('Données projet'!$B$9,Paramètres!$A$1:$I$89,3,0)*VLOOKUP('Données projet'!$B$9,Paramètres!$A$1:$I$89,5,0)</f>
        <v>104.05199999999999</v>
      </c>
      <c r="P35" s="13">
        <f t="shared" si="33"/>
        <v>27.925087771564417</v>
      </c>
      <c r="Q35" s="20">
        <f t="shared" ref="Q35:Q66" si="53">(O35+P35)*0.475*44/12</f>
        <v>229.86009453547467</v>
      </c>
      <c r="R35" s="59">
        <f t="shared" si="0"/>
        <v>523.19342786880793</v>
      </c>
      <c r="S35" s="59">
        <f ca="1">AVERAGE(OFFSET($R$3,0,0,'Données projet'!$E$9+1,1))-AVERAGE(OFFSET($H$3,0,0,'Données projet'!$E$9+1,1))</f>
        <v>319.18811755575183</v>
      </c>
      <c r="T35" s="59">
        <f t="shared" si="34"/>
        <v>234.87694492493506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2.3150185261814937</v>
      </c>
      <c r="AA35" s="21">
        <f>EXP(-LN(2)/25)*AA34+(1-EXP(-LN(2)/25))/(LN(2)/25)*Calculateur!V35*Calculateur!X35*VLOOKUP('Données projet'!$B$9,Paramètres!$A$1:$I$89,3,0)*0.475*44/12</f>
        <v>10.674196624418505</v>
      </c>
      <c r="AB35" s="21">
        <f>EXP(-LN(2)/2)*AB34+(1-EXP(-LN(2)/2))/(LN(2)/2)*V35*Y35*VLOOKUP('Données projet'!$B$9,Paramètres!$A$1:$I$89,3,0)*0.475*44/12</f>
        <v>10.776668387053288</v>
      </c>
      <c r="AC35" s="22">
        <f t="shared" si="3"/>
        <v>23.765883537653288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14.2</v>
      </c>
      <c r="AI35" s="13">
        <f>IF('Données projet'!$A$62&gt;35,AI34+AH35-AQ34,IF(A35&lt;'Données projet'!$A$62,$AF$205^A35,IF(A35='Données projet'!$A$62,'Données projet'!$B$62,AI34+AH35-AQ34)))</f>
        <v>191.39999999999992</v>
      </c>
      <c r="AJ35" s="13">
        <f>AI35*VLOOKUP('Données projet'!$B$10,Paramètres!$A$1:$I$89,3,0)*VLOOKUP('Données projet'!$B$10,Paramètres!$A$1:$I$89,5,0)</f>
        <v>152.27783999999994</v>
      </c>
      <c r="AK35" s="13">
        <f t="shared" si="35"/>
        <v>39.095778001655354</v>
      </c>
      <c r="AL35" s="20">
        <f t="shared" si="4"/>
        <v>333.30905135288299</v>
      </c>
      <c r="AM35" s="59">
        <f t="shared" si="5"/>
        <v>626.64238468621625</v>
      </c>
      <c r="AN35" s="59">
        <f ca="1">AVERAGE(OFFSET($AM$3,0,0,'Données projet'!$E$10+1,1))-AVERAGE(OFFSET($H$3,0,0,'Données projet'!$E$10+1,1))</f>
        <v>314.94704727988847</v>
      </c>
      <c r="AO35" s="59">
        <f t="shared" si="36"/>
        <v>366.49199094166454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3.7635295166009901</v>
      </c>
      <c r="AV35" s="21">
        <f>EXP(-LN(2)/25)*AV34+(1-EXP(-LN(2)/25))/(LN(2)/25)*Calculateur!AQ35*Calculateur!AS35*VLOOKUP('Données projet'!$B$10,Paramètres!$A$1:$I$89,3,0)*0.475*44/12</f>
        <v>24.036385288913106</v>
      </c>
      <c r="AW35" s="21">
        <f>EXP(-LN(2)/2)*AW34+(1-EXP(-LN(2)/2))/(LN(2)/2)*AQ35*AT35*VLOOKUP('Données projet'!$B$10,Paramètres!$A$1:$I$89,3,0)*0.475*44/12</f>
        <v>14.434618290377561</v>
      </c>
      <c r="AX35" s="21">
        <f t="shared" si="6"/>
        <v>42.234533095891656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14.2</v>
      </c>
      <c r="BD35" s="12">
        <f>IF('Données projet'!$A$88&gt;35,BD34+BC35-BL34,IF(A35&lt;'Données projet'!$A$88,$BA$205^A35,IF(A35='Données projet'!$A$88,'Données projet'!$B$88,BD34+BC35-BL34)))</f>
        <v>191.39999999999992</v>
      </c>
      <c r="BE35" s="13">
        <f>BD35*VLOOKUP('Données projet'!$B$11,Paramètres!$A$1:$I$89,3,0)*VLOOKUP('Données projet'!$B$11,Paramètres!$A$1:$I$89,5,0)</f>
        <v>125.40527999999995</v>
      </c>
      <c r="BF35" s="13">
        <f t="shared" si="37"/>
        <v>32.932441221531498</v>
      </c>
      <c r="BG35" s="20">
        <f t="shared" si="7"/>
        <v>275.77153112750057</v>
      </c>
      <c r="BH35" s="59">
        <f t="shared" si="8"/>
        <v>569.10486446083382</v>
      </c>
      <c r="BI35" s="59">
        <f ca="1">AVERAGE(OFFSET($BH$3,0,0,'Données projet'!$E$11+1,1))-AVERAGE(OFFSET($H$3,0,0,'Données projet'!$E$11+1,1))</f>
        <v>246.64951465060813</v>
      </c>
      <c r="BJ35" s="59">
        <f t="shared" si="38"/>
        <v>292.64550285216865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2.5145890887833473</v>
      </c>
      <c r="BQ35" s="21">
        <f>EXP(-LN(2)/25)*BQ34+(1-EXP(-LN(2)/25))/(LN(2)/25)*Calculateur!BL35*Calculateur!BN35*VLOOKUP('Données projet'!$B$11,Paramètres!$A$1:$I$89,3,0)*0.475*44/12</f>
        <v>16.059826796809858</v>
      </c>
      <c r="BR35" s="21">
        <f>EXP(-LN(2)/2)*BR34+(1-EXP(-LN(2)/2))/(LN(2)/2)*BL35*BO35*VLOOKUP('Données projet'!$B$11,Paramètres!$A$1:$I$89,3,0)*0.475*44/12</f>
        <v>11.887332709722699</v>
      </c>
      <c r="BS35" s="22">
        <f t="shared" si="9"/>
        <v>30.461748595315903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14.2</v>
      </c>
      <c r="BY35" s="12">
        <f>IF('Données projet'!$A$114&gt;35,BY34+BX35-CG34,IF(A35&lt;'Données projet'!$A$114,$BV$205^A35,IF(A35='Données projet'!$A$114,'Données projet'!$B$114,BY34+BX35-CG34)))</f>
        <v>191.39999999999992</v>
      </c>
      <c r="BZ35" s="13">
        <f>BY35*VLOOKUP('Données projet'!$B$12,Paramètres!$A$1:$I$89,3,0)*VLOOKUP('Données projet'!$B$12,Paramètres!$A$1:$I$89,5,0)</f>
        <v>128.39111999999994</v>
      </c>
      <c r="CA35" s="13">
        <f t="shared" si="39"/>
        <v>33.624325384808827</v>
      </c>
      <c r="CB35" s="20">
        <f t="shared" si="10"/>
        <v>282.17690071187525</v>
      </c>
      <c r="CC35" s="59">
        <f t="shared" si="11"/>
        <v>575.51023404520856</v>
      </c>
      <c r="CD35" s="59">
        <f ca="1">AVERAGE(OFFSET($CC$3,0,0,'Données projet'!$E$12+1,1))-AVERAGE(OFFSET($H$3,0,0,'Données projet'!$E$12+1,1))</f>
        <v>254.25222107710192</v>
      </c>
      <c r="CE35" s="59">
        <f t="shared" si="40"/>
        <v>300.86609173447573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3.1731719453694618</v>
      </c>
      <c r="CL35" s="21">
        <f>EXP(-LN(2)/25)*CL34+(1-EXP(-LN(2)/25))/(LN(2)/25)*Calculateur!CG35*Calculateur!CI35*VLOOKUP('Données projet'!$B$12,Paramètres!$A$1:$I$89,3,0)*0.475*44/12</f>
        <v>20.265971910260067</v>
      </c>
      <c r="CM35" s="21">
        <f>EXP(-LN(2)/2)*CM34+(1-EXP(-LN(2)/2))/(LN(2)/2)*CG35*CJ35*VLOOKUP('Données projet'!$B$12,Paramètres!$A$1:$I$89,3,0)*0.475*44/12</f>
        <v>12.170364440906573</v>
      </c>
      <c r="CN35" s="22">
        <f t="shared" si="12"/>
        <v>35.609508296536099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11.5</v>
      </c>
      <c r="CT35" s="12">
        <f>IF('Données projet'!$A$140&gt;35,CT34+CS35-DB34,IF(A35&lt;'Données projet'!$A$140,$CQ$205^A35,IF(A35='Données projet'!$A$140,'Données projet'!$B$140,CT34+CS35-DB34)))</f>
        <v>163.00000000000006</v>
      </c>
      <c r="CU35" s="17">
        <f>CT35*VLOOKUP('Données projet'!$B$13,Paramètres!$A$1:$I$89,3,0)*VLOOKUP('Données projet'!$B$13,Paramètres!$A$1:$I$89,5,0)</f>
        <v>142.39680000000007</v>
      </c>
      <c r="CV35" s="13">
        <f t="shared" si="41"/>
        <v>36.845535084476985</v>
      </c>
      <c r="CW35" s="20">
        <f t="shared" si="13"/>
        <v>312.18040027213084</v>
      </c>
      <c r="CX35" s="59">
        <f t="shared" si="14"/>
        <v>605.51373360546415</v>
      </c>
      <c r="CY35" s="59">
        <f ca="1">AVERAGE(OFFSET($CX$3,0,0,'Données projet'!$E$13+1,1))-AVERAGE(OFFSET($H$3,0,0,'Données projet'!$E$13+1,1))</f>
        <v>243.38048563215585</v>
      </c>
      <c r="CZ35" s="59">
        <f t="shared" si="42"/>
        <v>372.1604147006675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7.0248838035852232</v>
      </c>
      <c r="DG35" s="21">
        <f>EXP(-LN(2)/25)*DG34+(1-EXP(-LN(2)/25))/(LN(2)/25)*Calculateur!DB35*Calculateur!DD35*VLOOKUP('Données projet'!$B$13,Paramètres!$A$1:$I$89,3,0)*0.475*44/12</f>
        <v>18.317973574143341</v>
      </c>
      <c r="DH35" s="21">
        <f>EXP(-LN(2)/2)*DH34+(1-EXP(-LN(2)/2))/(LN(2)/2)*DB35*DE35*VLOOKUP('Données projet'!$B$13,Paramètres!$A$1:$I$89,3,0)*0.475*44/12</f>
        <v>14.657469606581065</v>
      </c>
      <c r="DI35" s="22">
        <f t="shared" si="15"/>
        <v>40.000326984309631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16.399999999999999</v>
      </c>
      <c r="DO35" s="12">
        <f>IF('Données projet'!$A$166&gt;35,DO34+DN35-DW34,IF(A35&lt;'Données projet'!$A$166,$DL$205^A35,IF(A35='Données projet'!$A$166,'Données projet'!$B$166,DO34+DN35-DW34)))</f>
        <v>163.79999999999995</v>
      </c>
      <c r="DP35" s="17">
        <f>DO35*VLOOKUP('Données projet'!$B$14,Paramètres!$A$1:$I$89,3,0)*VLOOKUP('Données projet'!$B$14,Paramètres!$A$1:$I$89,5,0)</f>
        <v>93.693599999999975</v>
      </c>
      <c r="DQ35" s="13">
        <f t="shared" si="43"/>
        <v>25.45393646105407</v>
      </c>
      <c r="DR35" s="20">
        <f t="shared" si="16"/>
        <v>207.51529266966909</v>
      </c>
      <c r="DS35" s="59">
        <f t="shared" si="17"/>
        <v>500.84862600300244</v>
      </c>
      <c r="DT35" s="59">
        <f ca="1">AVERAGE(OFFSET($DS$3,0,0,'Données projet'!$E$14+1,1))-AVERAGE(OFFSET($H$3,0,0,'Données projet'!$E$14+1,1))</f>
        <v>227.99747790451215</v>
      </c>
      <c r="DU35" s="59">
        <f t="shared" si="44"/>
        <v>209.49597700966933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2.7568584694302474</v>
      </c>
      <c r="EB35" s="21">
        <f>EXP(-LN(2)/25)*EB34+(1-EXP(-LN(2)/25))/(LN(2)/25)*Calculateur!DW35*Calculateur!DY35*VLOOKUP('Données projet'!$B$14,Paramètres!$A$1:$I$89,3,0)*0.475*44/12</f>
        <v>14.357464769169829</v>
      </c>
      <c r="EC35" s="21">
        <f>EXP(-LN(2)/2)*EC34+(1-EXP(-LN(2)/2))/(LN(2)/2)*DW35*DZ35*VLOOKUP('Données projet'!$B$14,Paramètres!$A$1:$I$89,3,0)*0.475*44/12</f>
        <v>12.331410857531402</v>
      </c>
      <c r="ED35" s="22">
        <f t="shared" si="18"/>
        <v>29.445734096131478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30.3</v>
      </c>
      <c r="EJ35" s="12">
        <f>IF('Données projet'!$A$192&gt;35,EJ34+EI35-ER34,IF(A35&lt;'Données projet'!$A$192,$EG$205^A35,IF(A35='Données projet'!$A$192,'Données projet'!$B$192,EJ34+EI35-ER34)))</f>
        <v>318.60000000000008</v>
      </c>
      <c r="EK35" s="17">
        <f>EJ35*VLOOKUP('Données projet'!$B$15,Paramètres!$A$1:$I$89,3,0)*VLOOKUP('Données projet'!$B$15,Paramètres!$A$1:$I$89,5,0)</f>
        <v>140.82120000000006</v>
      </c>
      <c r="EL35" s="13">
        <f t="shared" si="45"/>
        <v>36.485066799988033</v>
      </c>
      <c r="EM35" s="20">
        <f t="shared" si="19"/>
        <v>308.80841467664595</v>
      </c>
      <c r="EN35" s="59">
        <f t="shared" si="20"/>
        <v>602.14174800997921</v>
      </c>
      <c r="EO35" s="59">
        <f ca="1">AVERAGE(OFFSET($EN$3,0,0,'Données projet'!$E$15+1,1))-AVERAGE(OFFSET($H$3,0,0,'Données projet'!$E$15+1,1))</f>
        <v>335.27356627949155</v>
      </c>
      <c r="EP35" s="59">
        <f t="shared" si="46"/>
        <v>322.66829503077247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26.454244907293393</v>
      </c>
      <c r="EX35" s="21">
        <f>EXP(-LN(2)/2)*EX34+(1-EXP(-LN(2)/2))/(LN(2)/2)*ER35*EU35*VLOOKUP('Données projet'!$B$15,Paramètres!$A$1:$I$89,3,0)*0.475*44/12</f>
        <v>17.691571927092252</v>
      </c>
      <c r="EY35" s="22">
        <f t="shared" si="21"/>
        <v>44.145816834385641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</v>
      </c>
      <c r="N36" s="13">
        <f>IF('Données projet'!$A$36&gt;35,N35+M36-V35,IF(A36&lt;'Données projet'!$A$36,$K$205^A36,IF(A36='Données projet'!$A$36,'Données projet'!$B$36,N35+M36-V35)))</f>
        <v>126</v>
      </c>
      <c r="O36" s="13">
        <f>N36*VLOOKUP('Données projet'!$B$9,Paramètres!$A$1:$I$89,3,0)*VLOOKUP('Données projet'!$B$9,Paramètres!$A$1:$I$89,5,0)</f>
        <v>114.0048</v>
      </c>
      <c r="P36" s="13">
        <f t="shared" si="33"/>
        <v>30.272573949217303</v>
      </c>
      <c r="Q36" s="20">
        <f t="shared" si="53"/>
        <v>251.28309296155342</v>
      </c>
      <c r="R36" s="59">
        <f t="shared" si="0"/>
        <v>544.61642629488676</v>
      </c>
      <c r="S36" s="59">
        <f ca="1">AVERAGE(OFFSET($R$3,0,0,'Données projet'!$E$9+1,1))-AVERAGE(OFFSET($H$3,0,0,'Données projet'!$E$9+1,1))</f>
        <v>319.18811755575183</v>
      </c>
      <c r="T36" s="59">
        <f t="shared" si="34"/>
        <v>234.87694492493506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2.2696224249049499</v>
      </c>
      <c r="AA36" s="21">
        <f>EXP(-LN(2)/25)*AA35+(1-EXP(-LN(2)/25))/(LN(2)/25)*Calculateur!V36*Calculateur!X36*VLOOKUP('Données projet'!$B$9,Paramètres!$A$1:$I$89,3,0)*0.475*44/12</f>
        <v>10.382310156392176</v>
      </c>
      <c r="AB36" s="21">
        <f>EXP(-LN(2)/2)*AB35+(1-EXP(-LN(2)/2))/(LN(2)/2)*V36*Y36*VLOOKUP('Données projet'!$B$9,Paramètres!$A$1:$I$89,3,0)*0.475*44/12</f>
        <v>7.6202552950840738</v>
      </c>
      <c r="AC36" s="22">
        <f t="shared" si="3"/>
        <v>20.272187876381199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14.2</v>
      </c>
      <c r="AI36" s="13">
        <f>IF('Données projet'!$A$62&gt;35,AI35+AH36-AQ35,IF(A36&lt;'Données projet'!$A$62,$AF$205^A36,IF(A36='Données projet'!$A$62,'Données projet'!$B$62,AI35+AH36-AQ35)))</f>
        <v>205.59999999999991</v>
      </c>
      <c r="AJ36" s="13">
        <f>AI36*VLOOKUP('Données projet'!$B$10,Paramètres!$A$1:$I$89,3,0)*VLOOKUP('Données projet'!$B$10,Paramètres!$A$1:$I$89,5,0)</f>
        <v>163.57535999999993</v>
      </c>
      <c r="AK36" s="13">
        <f t="shared" si="35"/>
        <v>41.647907659103069</v>
      </c>
      <c r="AL36" s="20">
        <f t="shared" si="4"/>
        <v>357.43052450627101</v>
      </c>
      <c r="AM36" s="59">
        <f t="shared" si="5"/>
        <v>650.76385783960427</v>
      </c>
      <c r="AN36" s="59">
        <f ca="1">AVERAGE(OFFSET($AM$3,0,0,'Données projet'!$E$10+1,1))-AVERAGE(OFFSET($H$3,0,0,'Données projet'!$E$10+1,1))</f>
        <v>314.94704727988847</v>
      </c>
      <c r="AO36" s="59">
        <f t="shared" si="36"/>
        <v>366.49199094166454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3.6897289983067854</v>
      </c>
      <c r="AV36" s="21">
        <f>EXP(-LN(2)/25)*AV35+(1-EXP(-LN(2)/25))/(LN(2)/25)*Calculateur!AQ36*Calculateur!AS36*VLOOKUP('Données projet'!$B$10,Paramètres!$A$1:$I$89,3,0)*0.475*44/12</f>
        <v>23.37910906916921</v>
      </c>
      <c r="AW36" s="21">
        <f>EXP(-LN(2)/2)*AW35+(1-EXP(-LN(2)/2))/(LN(2)/2)*AQ36*AT36*VLOOKUP('Données projet'!$B$10,Paramètres!$A$1:$I$89,3,0)*0.475*44/12</f>
        <v>10.206816476965344</v>
      </c>
      <c r="AX36" s="21">
        <f t="shared" si="6"/>
        <v>37.275654544441338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14.2</v>
      </c>
      <c r="BD36" s="12">
        <f>IF('Données projet'!$A$88&gt;35,BD35+BC36-BL35,IF(A36&lt;'Données projet'!$A$88,$BA$205^A36,IF(A36='Données projet'!$A$88,'Données projet'!$B$88,BD35+BC36-BL35)))</f>
        <v>205.59999999999991</v>
      </c>
      <c r="BE36" s="13">
        <f>BD36*VLOOKUP('Données projet'!$B$11,Paramètres!$A$1:$I$89,3,0)*VLOOKUP('Données projet'!$B$11,Paramètres!$A$1:$I$89,5,0)</f>
        <v>134.70911999999996</v>
      </c>
      <c r="BF36" s="13">
        <f t="shared" si="37"/>
        <v>35.082234990312983</v>
      </c>
      <c r="BG36" s="20">
        <f t="shared" si="7"/>
        <v>295.71994327479496</v>
      </c>
      <c r="BH36" s="59">
        <f t="shared" si="8"/>
        <v>589.05327660812827</v>
      </c>
      <c r="BI36" s="59">
        <f ca="1">AVERAGE(OFFSET($BH$3,0,0,'Données projet'!$E$11+1,1))-AVERAGE(OFFSET($H$3,0,0,'Données projet'!$E$11+1,1))</f>
        <v>246.64951465060813</v>
      </c>
      <c r="BJ36" s="59">
        <f t="shared" si="38"/>
        <v>292.64550285216865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2.4652795305002049</v>
      </c>
      <c r="BQ36" s="21">
        <f>EXP(-LN(2)/25)*BQ35+(1-EXP(-LN(2)/25))/(LN(2)/25)*Calculateur!BL36*Calculateur!BN36*VLOOKUP('Données projet'!$B$11,Paramètres!$A$1:$I$89,3,0)*0.475*44/12</f>
        <v>15.620669988501506</v>
      </c>
      <c r="BR36" s="21">
        <f>EXP(-LN(2)/2)*BR35+(1-EXP(-LN(2)/2))/(LN(2)/2)*BL36*BO36*VLOOKUP('Données projet'!$B$11,Paramètres!$A$1:$I$89,3,0)*0.475*44/12</f>
        <v>8.4056135692655776</v>
      </c>
      <c r="BS36" s="22">
        <f t="shared" si="9"/>
        <v>26.491563088267291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14.2</v>
      </c>
      <c r="BY36" s="12">
        <f>IF('Données projet'!$A$114&gt;35,BY35+BX36-CG35,IF(A36&lt;'Données projet'!$A$114,$BV$205^A36,IF(A36='Données projet'!$A$114,'Données projet'!$B$114,BY35+BX36-CG35)))</f>
        <v>205.59999999999991</v>
      </c>
      <c r="BZ36" s="13">
        <f>BY36*VLOOKUP('Données projet'!$B$12,Paramètres!$A$1:$I$89,3,0)*VLOOKUP('Données projet'!$B$12,Paramètres!$A$1:$I$89,5,0)</f>
        <v>137.91647999999995</v>
      </c>
      <c r="CA36" s="13">
        <f t="shared" si="39"/>
        <v>35.819284595560639</v>
      </c>
      <c r="CB36" s="20">
        <f t="shared" si="10"/>
        <v>302.5897900039347</v>
      </c>
      <c r="CC36" s="59">
        <f t="shared" si="11"/>
        <v>595.92312333726795</v>
      </c>
      <c r="CD36" s="59">
        <f ca="1">AVERAGE(OFFSET($CC$3,0,0,'Données projet'!$E$12+1,1))-AVERAGE(OFFSET($H$3,0,0,'Données projet'!$E$12+1,1))</f>
        <v>254.25222107710192</v>
      </c>
      <c r="CE36" s="59">
        <f t="shared" si="40"/>
        <v>300.86609173447573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3.110947978964544</v>
      </c>
      <c r="CL36" s="21">
        <f>EXP(-LN(2)/25)*CL35+(1-EXP(-LN(2)/25))/(LN(2)/25)*Calculateur!CG36*Calculateur!CI36*VLOOKUP('Données projet'!$B$12,Paramètres!$A$1:$I$89,3,0)*0.475*44/12</f>
        <v>19.711797842632862</v>
      </c>
      <c r="CM36" s="21">
        <f>EXP(-LN(2)/2)*CM35+(1-EXP(-LN(2)/2))/(LN(2)/2)*CG36*CJ36*VLOOKUP('Données projet'!$B$12,Paramètres!$A$1:$I$89,3,0)*0.475*44/12</f>
        <v>8.6057472256766641</v>
      </c>
      <c r="CN36" s="22">
        <f t="shared" si="12"/>
        <v>31.428493047274067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11.5</v>
      </c>
      <c r="CT36" s="12">
        <f>IF('Données projet'!$A$140&gt;35,CT35+CS36-DB35,IF(A36&lt;'Données projet'!$A$140,$CQ$205^A36,IF(A36='Données projet'!$A$140,'Données projet'!$B$140,CT35+CS36-DB35)))</f>
        <v>174.50000000000006</v>
      </c>
      <c r="CU36" s="17">
        <f>CT36*VLOOKUP('Données projet'!$B$13,Paramètres!$A$1:$I$89,3,0)*VLOOKUP('Données projet'!$B$13,Paramètres!$A$1:$I$89,5,0)</f>
        <v>152.44320000000008</v>
      </c>
      <c r="CV36" s="13">
        <f t="shared" si="41"/>
        <v>39.133288418096313</v>
      </c>
      <c r="CW36" s="20">
        <f t="shared" si="13"/>
        <v>333.66238399485127</v>
      </c>
      <c r="CX36" s="59">
        <f t="shared" si="14"/>
        <v>626.99571732818458</v>
      </c>
      <c r="CY36" s="59">
        <f ca="1">AVERAGE(OFFSET($CX$3,0,0,'Données projet'!$E$13+1,1))-AVERAGE(OFFSET($H$3,0,0,'Données projet'!$E$13+1,1))</f>
        <v>243.38048563215585</v>
      </c>
      <c r="CZ36" s="59">
        <f t="shared" si="42"/>
        <v>372.1604147006675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6.8871301169529531</v>
      </c>
      <c r="DG36" s="21">
        <f>EXP(-LN(2)/25)*DG35+(1-EXP(-LN(2)/25))/(LN(2)/25)*Calculateur!DB36*Calculateur!DD36*VLOOKUP('Données projet'!$B$13,Paramètres!$A$1:$I$89,3,0)*0.475*44/12</f>
        <v>17.817067623458026</v>
      </c>
      <c r="DH36" s="21">
        <f>EXP(-LN(2)/2)*DH35+(1-EXP(-LN(2)/2))/(LN(2)/2)*DB36*DE36*VLOOKUP('Données projet'!$B$13,Paramètres!$A$1:$I$89,3,0)*0.475*44/12</f>
        <v>10.364396153849189</v>
      </c>
      <c r="DI36" s="22">
        <f t="shared" si="15"/>
        <v>35.068593894260168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16.399999999999999</v>
      </c>
      <c r="DO36" s="12">
        <f>IF('Données projet'!$A$166&gt;35,DO35+DN36-DW35,IF(A36&lt;'Données projet'!$A$166,$DL$205^A36,IF(A36='Données projet'!$A$166,'Données projet'!$B$166,DO35+DN36-DW35)))</f>
        <v>180.19999999999996</v>
      </c>
      <c r="DP36" s="17">
        <f>DO36*VLOOKUP('Données projet'!$B$14,Paramètres!$A$1:$I$89,3,0)*VLOOKUP('Données projet'!$B$14,Paramètres!$A$1:$I$89,5,0)</f>
        <v>103.07439999999998</v>
      </c>
      <c r="DQ36" s="13">
        <f t="shared" si="43"/>
        <v>27.693135164169323</v>
      </c>
      <c r="DR36" s="20">
        <f t="shared" si="16"/>
        <v>227.7534570775949</v>
      </c>
      <c r="DS36" s="59">
        <f t="shared" si="17"/>
        <v>521.08679041092819</v>
      </c>
      <c r="DT36" s="59">
        <f ca="1">AVERAGE(OFFSET($DS$3,0,0,'Données projet'!$E$14+1,1))-AVERAGE(OFFSET($H$3,0,0,'Données projet'!$E$14+1,1))</f>
        <v>227.99747790451215</v>
      </c>
      <c r="DU36" s="59">
        <f t="shared" si="44"/>
        <v>209.49597700966933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2.7027981563623507</v>
      </c>
      <c r="EB36" s="21">
        <f>EXP(-LN(2)/25)*EB35+(1-EXP(-LN(2)/25))/(LN(2)/25)*Calculateur!DW36*Calculateur!DY36*VLOOKUP('Données projet'!$B$14,Paramètres!$A$1:$I$89,3,0)*0.475*44/12</f>
        <v>13.964859140030622</v>
      </c>
      <c r="EC36" s="21">
        <f>EXP(-LN(2)/2)*EC35+(1-EXP(-LN(2)/2))/(LN(2)/2)*DW36*DZ36*VLOOKUP('Données projet'!$B$14,Paramètres!$A$1:$I$89,3,0)*0.475*44/12</f>
        <v>8.7196242389578735</v>
      </c>
      <c r="ED36" s="22">
        <f t="shared" si="18"/>
        <v>25.387281535350848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30.3</v>
      </c>
      <c r="EJ36" s="12">
        <f>IF('Données projet'!$A$192&gt;35,EJ35+EI36-ER35,IF(A36&lt;'Données projet'!$A$192,$EG$205^A36,IF(A36='Données projet'!$A$192,'Données projet'!$B$192,EJ35+EI36-ER35)))</f>
        <v>348.90000000000009</v>
      </c>
      <c r="EK36" s="17">
        <f>EJ36*VLOOKUP('Données projet'!$B$15,Paramètres!$A$1:$I$89,3,0)*VLOOKUP('Données projet'!$B$15,Paramètres!$A$1:$I$89,5,0)</f>
        <v>154.21380000000005</v>
      </c>
      <c r="EL36" s="13">
        <f t="shared" si="45"/>
        <v>39.534637285254107</v>
      </c>
      <c r="EM36" s="20">
        <f t="shared" si="19"/>
        <v>337.44519493848435</v>
      </c>
      <c r="EN36" s="59">
        <f t="shared" si="20"/>
        <v>630.77852827181766</v>
      </c>
      <c r="EO36" s="59">
        <f ca="1">AVERAGE(OFFSET($EN$3,0,0,'Données projet'!$E$15+1,1))-AVERAGE(OFFSET($H$3,0,0,'Données projet'!$E$15+1,1))</f>
        <v>335.27356627949155</v>
      </c>
      <c r="EP36" s="59">
        <f t="shared" si="46"/>
        <v>322.66829503077247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25.730852189135177</v>
      </c>
      <c r="EX36" s="21">
        <f>EXP(-LN(2)/2)*EX35+(1-EXP(-LN(2)/2))/(LN(2)/2)*ER36*EU36*VLOOKUP('Données projet'!$B$15,Paramètres!$A$1:$I$89,3,0)*0.475*44/12</f>
        <v>12.509830479496488</v>
      </c>
      <c r="EY36" s="22">
        <f t="shared" si="21"/>
        <v>38.240682668631663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</v>
      </c>
      <c r="N37" s="13">
        <f>IF('Données projet'!$A$36&gt;35,N36+M37-V36,IF(A37&lt;'Données projet'!$A$36,$K$205^A37,IF(A37='Données projet'!$A$36,'Données projet'!$B$36,N36+M37-V36)))</f>
        <v>137</v>
      </c>
      <c r="O37" s="13">
        <f>N37*VLOOKUP('Données projet'!$B$9,Paramètres!$A$1:$I$89,3,0)*VLOOKUP('Données projet'!$B$9,Paramètres!$A$1:$I$89,5,0)</f>
        <v>123.9576</v>
      </c>
      <c r="P37" s="13">
        <f t="shared" si="33"/>
        <v>32.59629414926458</v>
      </c>
      <c r="Q37" s="20">
        <f t="shared" si="53"/>
        <v>272.6646989766358</v>
      </c>
      <c r="R37" s="59">
        <f t="shared" si="0"/>
        <v>565.99803230996918</v>
      </c>
      <c r="S37" s="59">
        <f ca="1">AVERAGE(OFFSET($R$3,0,0,'Données projet'!$E$9+1,1))-AVERAGE(OFFSET($H$3,0,0,'Données projet'!$E$9+1,1))</f>
        <v>319.18811755575183</v>
      </c>
      <c r="T37" s="59">
        <f t="shared" si="34"/>
        <v>234.87694492493506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2.2251165134855517</v>
      </c>
      <c r="AA37" s="21">
        <f>EXP(-LN(2)/25)*AA36+(1-EXP(-LN(2)/25))/(LN(2)/25)*Calculateur!V37*Calculateur!X37*VLOOKUP('Données projet'!$B$9,Paramètres!$A$1:$I$89,3,0)*0.475*44/12</f>
        <v>10.098405339183669</v>
      </c>
      <c r="AB37" s="21">
        <f>EXP(-LN(2)/2)*AB36+(1-EXP(-LN(2)/2))/(LN(2)/2)*V37*Y37*VLOOKUP('Données projet'!$B$9,Paramètres!$A$1:$I$89,3,0)*0.475*44/12</f>
        <v>5.3883341935266449</v>
      </c>
      <c r="AC37" s="22">
        <f t="shared" si="3"/>
        <v>17.711856046195866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14.2</v>
      </c>
      <c r="AI37" s="13">
        <f>IF('Données projet'!$A$62&gt;35,AI36+AH37-AQ36,IF(A37&lt;'Données projet'!$A$62,$AF$205^A37,IF(A37='Données projet'!$A$62,'Données projet'!$B$62,AI36+AH37-AQ36)))</f>
        <v>219.7999999999999</v>
      </c>
      <c r="AJ37" s="13">
        <f>AI37*VLOOKUP('Données projet'!$B$10,Paramètres!$A$1:$I$89,3,0)*VLOOKUP('Données projet'!$B$10,Paramètres!$A$1:$I$89,5,0)</f>
        <v>174.87287999999992</v>
      </c>
      <c r="AK37" s="13">
        <f t="shared" si="35"/>
        <v>44.179585076423599</v>
      </c>
      <c r="AL37" s="20">
        <f t="shared" si="4"/>
        <v>381.51637667477098</v>
      </c>
      <c r="AM37" s="59">
        <f t="shared" si="5"/>
        <v>674.84971000810424</v>
      </c>
      <c r="AN37" s="59">
        <f ca="1">AVERAGE(OFFSET($AM$3,0,0,'Données projet'!$E$10+1,1))-AVERAGE(OFFSET($H$3,0,0,'Données projet'!$E$10+1,1))</f>
        <v>314.94704727988847</v>
      </c>
      <c r="AO37" s="59">
        <f t="shared" si="36"/>
        <v>366.49199094166454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3.6173756631624587</v>
      </c>
      <c r="AV37" s="21">
        <f>EXP(-LN(2)/25)*AV36+(1-EXP(-LN(2)/25))/(LN(2)/25)*Calculateur!AQ37*Calculateur!AS37*VLOOKUP('Données projet'!$B$10,Paramètres!$A$1:$I$89,3,0)*0.475*44/12</f>
        <v>22.739806102218868</v>
      </c>
      <c r="AW37" s="21">
        <f>EXP(-LN(2)/2)*AW36+(1-EXP(-LN(2)/2))/(LN(2)/2)*AQ37*AT37*VLOOKUP('Données projet'!$B$10,Paramètres!$A$1:$I$89,3,0)*0.475*44/12</f>
        <v>7.2173091451887812</v>
      </c>
      <c r="AX37" s="21">
        <f t="shared" si="6"/>
        <v>33.574490910570105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14.2</v>
      </c>
      <c r="BD37" s="12">
        <f>IF('Données projet'!$A$88&gt;35,BD36+BC37-BL36,IF(A37&lt;'Données projet'!$A$88,$BA$205^A37,IF(A37='Données projet'!$A$88,'Données projet'!$B$88,BD36+BC37-BL36)))</f>
        <v>219.7999999999999</v>
      </c>
      <c r="BE37" s="13">
        <f>BD37*VLOOKUP('Données projet'!$B$11,Paramètres!$A$1:$I$89,3,0)*VLOOKUP('Données projet'!$B$11,Paramètres!$A$1:$I$89,5,0)</f>
        <v>144.01295999999994</v>
      </c>
      <c r="BF37" s="13">
        <f t="shared" si="37"/>
        <v>37.214800755707344</v>
      </c>
      <c r="BG37" s="20">
        <f t="shared" si="7"/>
        <v>315.63834998285682</v>
      </c>
      <c r="BH37" s="59">
        <f t="shared" si="8"/>
        <v>608.97168331619014</v>
      </c>
      <c r="BI37" s="59">
        <f ca="1">AVERAGE(OFFSET($BH$3,0,0,'Données projet'!$E$11+1,1))-AVERAGE(OFFSET($H$3,0,0,'Données projet'!$E$11+1,1))</f>
        <v>246.64951465060813</v>
      </c>
      <c r="BJ37" s="59">
        <f t="shared" si="38"/>
        <v>292.64550285216865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2.4169369025791343</v>
      </c>
      <c r="BQ37" s="21">
        <f>EXP(-LN(2)/25)*BQ36+(1-EXP(-LN(2)/25))/(LN(2)/25)*Calculateur!BL37*Calculateur!BN37*VLOOKUP('Données projet'!$B$11,Paramètres!$A$1:$I$89,3,0)*0.475*44/12</f>
        <v>15.193521946210598</v>
      </c>
      <c r="BR37" s="21">
        <f>EXP(-LN(2)/2)*BR36+(1-EXP(-LN(2)/2))/(LN(2)/2)*BL37*BO37*VLOOKUP('Données projet'!$B$11,Paramètres!$A$1:$I$89,3,0)*0.475*44/12</f>
        <v>5.9436663548613495</v>
      </c>
      <c r="BS37" s="22">
        <f t="shared" si="9"/>
        <v>23.554125203651083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14.2</v>
      </c>
      <c r="BY37" s="12">
        <f>IF('Données projet'!$A$114&gt;35,BY36+BX37-CG36,IF(A37&lt;'Données projet'!$A$114,$BV$205^A37,IF(A37='Données projet'!$A$114,'Données projet'!$B$114,BY36+BX37-CG36)))</f>
        <v>219.7999999999999</v>
      </c>
      <c r="BZ37" s="13">
        <f>BY37*VLOOKUP('Données projet'!$B$12,Paramètres!$A$1:$I$89,3,0)*VLOOKUP('Données projet'!$B$12,Paramètres!$A$1:$I$89,5,0)</f>
        <v>147.44183999999993</v>
      </c>
      <c r="CA37" s="13">
        <f t="shared" si="39"/>
        <v>37.996653856398851</v>
      </c>
      <c r="CB37" s="20">
        <f t="shared" si="10"/>
        <v>322.97204346656122</v>
      </c>
      <c r="CC37" s="59">
        <f t="shared" si="11"/>
        <v>616.30537679989447</v>
      </c>
      <c r="CD37" s="59">
        <f ca="1">AVERAGE(OFFSET($CC$3,0,0,'Données projet'!$E$12+1,1))-AVERAGE(OFFSET($H$3,0,0,'Données projet'!$E$12+1,1))</f>
        <v>254.25222107710192</v>
      </c>
      <c r="CE37" s="59">
        <f t="shared" si="40"/>
        <v>300.86609173447573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3.0499441865879549</v>
      </c>
      <c r="CL37" s="21">
        <f>EXP(-LN(2)/25)*CL36+(1-EXP(-LN(2)/25))/(LN(2)/25)*Calculateur!CG37*Calculateur!CI37*VLOOKUP('Données projet'!$B$12,Paramètres!$A$1:$I$89,3,0)*0.475*44/12</f>
        <v>19.172777694027669</v>
      </c>
      <c r="CM37" s="21">
        <f>EXP(-LN(2)/2)*CM36+(1-EXP(-LN(2)/2))/(LN(2)/2)*CG37*CJ37*VLOOKUP('Données projet'!$B$12,Paramètres!$A$1:$I$89,3,0)*0.475*44/12</f>
        <v>6.0851822204532882</v>
      </c>
      <c r="CN37" s="22">
        <f t="shared" si="12"/>
        <v>28.30790410106891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11.5</v>
      </c>
      <c r="CT37" s="12">
        <f>IF('Données projet'!$A$140&gt;35,CT36+CS37-DB36,IF(A37&lt;'Données projet'!$A$140,$CQ$205^A37,IF(A37='Données projet'!$A$140,'Données projet'!$B$140,CT36+CS37-DB36)))</f>
        <v>186.00000000000006</v>
      </c>
      <c r="CU37" s="17">
        <f>CT37*VLOOKUP('Données projet'!$B$13,Paramètres!$A$1:$I$89,3,0)*VLOOKUP('Données projet'!$B$13,Paramètres!$A$1:$I$89,5,0)</f>
        <v>162.48960000000005</v>
      </c>
      <c r="CV37" s="13">
        <f t="shared" si="41"/>
        <v>41.403546033820696</v>
      </c>
      <c r="CW37" s="20">
        <f t="shared" si="13"/>
        <v>355.11389600890448</v>
      </c>
      <c r="CX37" s="59">
        <f t="shared" si="14"/>
        <v>648.44722934223773</v>
      </c>
      <c r="CY37" s="59">
        <f ca="1">AVERAGE(OFFSET($CX$3,0,0,'Données projet'!$E$13+1,1))-AVERAGE(OFFSET($H$3,0,0,'Données projet'!$E$13+1,1))</f>
        <v>243.38048563215585</v>
      </c>
      <c r="CZ37" s="59">
        <f t="shared" si="42"/>
        <v>372.1604147006675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6.7520776960940889</v>
      </c>
      <c r="DG37" s="21">
        <f>EXP(-LN(2)/25)*DG36+(1-EXP(-LN(2)/25))/(LN(2)/25)*Calculateur!DB37*Calculateur!DD37*VLOOKUP('Données projet'!$B$13,Paramètres!$A$1:$I$89,3,0)*0.475*44/12</f>
        <v>17.329858972335703</v>
      </c>
      <c r="DH37" s="21">
        <f>EXP(-LN(2)/2)*DH36+(1-EXP(-LN(2)/2))/(LN(2)/2)*DB37*DE37*VLOOKUP('Données projet'!$B$13,Paramètres!$A$1:$I$89,3,0)*0.475*44/12</f>
        <v>7.3287348032905335</v>
      </c>
      <c r="DI37" s="22">
        <f t="shared" si="15"/>
        <v>31.410671471720324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16.399999999999999</v>
      </c>
      <c r="DO37" s="12">
        <f>IF('Données projet'!$A$166&gt;35,DO36+DN37-DW36,IF(A37&lt;'Données projet'!$A$166,$DL$205^A37,IF(A37='Données projet'!$A$166,'Données projet'!$B$166,DO36+DN37-DW36)))</f>
        <v>196.59999999999997</v>
      </c>
      <c r="DP37" s="17">
        <f>DO37*VLOOKUP('Données projet'!$B$14,Paramètres!$A$1:$I$89,3,0)*VLOOKUP('Données projet'!$B$14,Paramètres!$A$1:$I$89,5,0)</f>
        <v>112.45519999999999</v>
      </c>
      <c r="DQ37" s="13">
        <f t="shared" si="43"/>
        <v>29.908703572207525</v>
      </c>
      <c r="DR37" s="20">
        <f t="shared" si="16"/>
        <v>247.95046538826136</v>
      </c>
      <c r="DS37" s="59">
        <f t="shared" si="17"/>
        <v>541.28379872159462</v>
      </c>
      <c r="DT37" s="59">
        <f ca="1">AVERAGE(OFFSET($DS$3,0,0,'Données projet'!$E$14+1,1))-AVERAGE(OFFSET($H$3,0,0,'Données projet'!$E$14+1,1))</f>
        <v>227.99747790451215</v>
      </c>
      <c r="DU37" s="59">
        <f t="shared" si="44"/>
        <v>209.49597700966933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2.6497979330601802</v>
      </c>
      <c r="EB37" s="21">
        <f>EXP(-LN(2)/25)*EB36+(1-EXP(-LN(2)/25))/(LN(2)/25)*Calculateur!DW37*Calculateur!DY37*VLOOKUP('Données projet'!$B$14,Paramètres!$A$1:$I$89,3,0)*0.475*44/12</f>
        <v>13.582989332466459</v>
      </c>
      <c r="EC37" s="21">
        <f>EXP(-LN(2)/2)*EC36+(1-EXP(-LN(2)/2))/(LN(2)/2)*DW37*DZ37*VLOOKUP('Données projet'!$B$14,Paramètres!$A$1:$I$89,3,0)*0.475*44/12</f>
        <v>6.1657054287657012</v>
      </c>
      <c r="ED37" s="22">
        <f t="shared" si="18"/>
        <v>22.39849269429234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30.3</v>
      </c>
      <c r="EJ37" s="12">
        <f>IF('Données projet'!$A$192&gt;35,EJ36+EI37-ER36,IF(A37&lt;'Données projet'!$A$192,$EG$205^A37,IF(A37='Données projet'!$A$192,'Données projet'!$B$192,EJ36+EI37-ER36)))</f>
        <v>379.2000000000001</v>
      </c>
      <c r="EK37" s="17">
        <f>EJ37*VLOOKUP('Données projet'!$B$15,Paramètres!$A$1:$I$89,3,0)*VLOOKUP('Données projet'!$B$15,Paramètres!$A$1:$I$89,5,0)</f>
        <v>167.60640000000006</v>
      </c>
      <c r="EL37" s="13">
        <f t="shared" si="45"/>
        <v>42.553495191370935</v>
      </c>
      <c r="EM37" s="20">
        <f t="shared" si="19"/>
        <v>366.0284841249711</v>
      </c>
      <c r="EN37" s="59">
        <f t="shared" si="20"/>
        <v>659.36181745830436</v>
      </c>
      <c r="EO37" s="59">
        <f ca="1">AVERAGE(OFFSET($EN$3,0,0,'Données projet'!$E$15+1,1))-AVERAGE(OFFSET($H$3,0,0,'Données projet'!$E$15+1,1))</f>
        <v>335.27356627949155</v>
      </c>
      <c r="EP37" s="59">
        <f t="shared" si="46"/>
        <v>322.66829503077247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25.027240682896569</v>
      </c>
      <c r="EX37" s="21">
        <f>EXP(-LN(2)/2)*EX36+(1-EXP(-LN(2)/2))/(LN(2)/2)*ER37*EU37*VLOOKUP('Données projet'!$B$15,Paramètres!$A$1:$I$89,3,0)*0.475*44/12</f>
        <v>8.8457859635461258</v>
      </c>
      <c r="EY37" s="22">
        <f t="shared" si="21"/>
        <v>33.873026646442696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</v>
      </c>
      <c r="N38" s="13">
        <f>IF('Données projet'!$A$36&gt;35,N37+M38-V37,IF(A38&lt;'Données projet'!$A$36,$K$205^A38,IF(A38='Données projet'!$A$36,'Données projet'!$B$36,N37+M38-V37)))</f>
        <v>148</v>
      </c>
      <c r="O38" s="13">
        <f>N38*VLOOKUP('Données projet'!$B$9,Paramètres!$A$1:$I$89,3,0)*VLOOKUP('Données projet'!$B$9,Paramètres!$A$1:$I$89,5,0)</f>
        <v>133.91039999999998</v>
      </c>
      <c r="P38" s="13">
        <f t="shared" si="33"/>
        <v>34.898373535125089</v>
      </c>
      <c r="Q38" s="20">
        <f t="shared" si="53"/>
        <v>294.00861390700948</v>
      </c>
      <c r="R38" s="59">
        <f t="shared" si="0"/>
        <v>587.34194724034273</v>
      </c>
      <c r="S38" s="59">
        <f ca="1">AVERAGE(OFFSET($R$3,0,0,'Données projet'!$E$9+1,1))-AVERAGE(OFFSET($H$3,0,0,'Données projet'!$E$9+1,1))</f>
        <v>319.18811755575183</v>
      </c>
      <c r="T38" s="59">
        <f t="shared" si="34"/>
        <v>234.87694492493506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2.1814833358431622</v>
      </c>
      <c r="AA38" s="21">
        <f>EXP(-LN(2)/25)*AA37+(1-EXP(-LN(2)/25))/(LN(2)/25)*Calculateur!V38*Calculateur!X38*VLOOKUP('Données projet'!$B$9,Paramètres!$A$1:$I$89,3,0)*0.475*44/12</f>
        <v>9.8222639141316357</v>
      </c>
      <c r="AB38" s="21">
        <f>EXP(-LN(2)/2)*AB37+(1-EXP(-LN(2)/2))/(LN(2)/2)*V38*Y38*VLOOKUP('Données projet'!$B$9,Paramètres!$A$1:$I$89,3,0)*0.475*44/12</f>
        <v>3.8101276475420374</v>
      </c>
      <c r="AC38" s="22">
        <f t="shared" si="3"/>
        <v>15.813874897516834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14.2</v>
      </c>
      <c r="AI38" s="13">
        <f>IF('Données projet'!$A$62&gt;35,AI37+AH38-AQ37,IF(A38&lt;'Données projet'!$A$62,$AF$205^A38,IF(A38='Données projet'!$A$62,'Données projet'!$B$62,AI37+AH38-AQ37)))</f>
        <v>233.99999999999989</v>
      </c>
      <c r="AJ38" s="13">
        <f>AI38*VLOOKUP('Données projet'!$B$10,Paramètres!$A$1:$I$89,3,0)*VLOOKUP('Données projet'!$B$10,Paramètres!$A$1:$I$89,5,0)</f>
        <v>186.17039999999992</v>
      </c>
      <c r="AK38" s="13">
        <f t="shared" si="35"/>
        <v>46.692281933796018</v>
      </c>
      <c r="AL38" s="20">
        <f t="shared" si="4"/>
        <v>405.56917103469459</v>
      </c>
      <c r="AM38" s="59">
        <f t="shared" si="5"/>
        <v>698.90250436802785</v>
      </c>
      <c r="AN38" s="59">
        <f ca="1">AVERAGE(OFFSET($AM$3,0,0,'Données projet'!$E$10+1,1))-AVERAGE(OFFSET($H$3,0,0,'Données projet'!$E$10+1,1))</f>
        <v>314.94704727988847</v>
      </c>
      <c r="AO38" s="59">
        <f t="shared" si="36"/>
        <v>366.49199094166454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3.5464411327891354</v>
      </c>
      <c r="AV38" s="21">
        <f>EXP(-LN(2)/25)*AV37+(1-EXP(-LN(2)/25))/(LN(2)/25)*Calculateur!AQ38*Calculateur!AS38*VLOOKUP('Données projet'!$B$10,Paramètres!$A$1:$I$89,3,0)*0.475*44/12</f>
        <v>22.117984908519261</v>
      </c>
      <c r="AW38" s="21">
        <f>EXP(-LN(2)/2)*AW37+(1-EXP(-LN(2)/2))/(LN(2)/2)*AQ38*AT38*VLOOKUP('Données projet'!$B$10,Paramètres!$A$1:$I$89,3,0)*0.475*44/12</f>
        <v>5.1034082384826718</v>
      </c>
      <c r="AX38" s="21">
        <f t="shared" si="6"/>
        <v>30.767834279791067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14.2</v>
      </c>
      <c r="BD38" s="12">
        <f>IF('Données projet'!$A$88&gt;35,BD37+BC38-BL37,IF(A38&lt;'Données projet'!$A$88,$BA$205^A38,IF(A38='Données projet'!$A$88,'Données projet'!$B$88,BD37+BC38-BL37)))</f>
        <v>233.99999999999989</v>
      </c>
      <c r="BE38" s="13">
        <f>BD38*VLOOKUP('Données projet'!$B$11,Paramètres!$A$1:$I$89,3,0)*VLOOKUP('Données projet'!$B$11,Paramètres!$A$1:$I$89,5,0)</f>
        <v>153.31679999999992</v>
      </c>
      <c r="BF38" s="13">
        <f t="shared" si="37"/>
        <v>39.331378191752719</v>
      </c>
      <c r="BG38" s="20">
        <f t="shared" si="7"/>
        <v>335.52891035063584</v>
      </c>
      <c r="BH38" s="59">
        <f t="shared" si="8"/>
        <v>628.86224368396915</v>
      </c>
      <c r="BI38" s="59">
        <f ca="1">AVERAGE(OFFSET($BH$3,0,0,'Données projet'!$E$11+1,1))-AVERAGE(OFFSET($H$3,0,0,'Données projet'!$E$11+1,1))</f>
        <v>246.64951465060813</v>
      </c>
      <c r="BJ38" s="59">
        <f t="shared" si="38"/>
        <v>292.64550285216865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2.3695422441055043</v>
      </c>
      <c r="BQ38" s="21">
        <f>EXP(-LN(2)/25)*BQ37+(1-EXP(-LN(2)/25))/(LN(2)/25)*Calculateur!BL38*Calculateur!BN38*VLOOKUP('Données projet'!$B$11,Paramètres!$A$1:$I$89,3,0)*0.475*44/12</f>
        <v>14.778054289598876</v>
      </c>
      <c r="BR38" s="21">
        <f>EXP(-LN(2)/2)*BR37+(1-EXP(-LN(2)/2))/(LN(2)/2)*BL38*BO38*VLOOKUP('Données projet'!$B$11,Paramètres!$A$1:$I$89,3,0)*0.475*44/12</f>
        <v>4.2028067846327888</v>
      </c>
      <c r="BS38" s="22">
        <f t="shared" si="9"/>
        <v>21.350403318337168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14.2</v>
      </c>
      <c r="BY38" s="12">
        <f>IF('Données projet'!$A$114&gt;35,BY37+BX38-CG37,IF(A38&lt;'Données projet'!$A$114,$BV$205^A38,IF(A38='Données projet'!$A$114,'Données projet'!$B$114,BY37+BX38-CG37)))</f>
        <v>233.99999999999989</v>
      </c>
      <c r="BZ38" s="13">
        <f>BY38*VLOOKUP('Données projet'!$B$12,Paramètres!$A$1:$I$89,3,0)*VLOOKUP('Données projet'!$B$12,Paramètres!$A$1:$I$89,5,0)</f>
        <v>156.96719999999993</v>
      </c>
      <c r="CA38" s="13">
        <f t="shared" si="39"/>
        <v>40.1576988859184</v>
      </c>
      <c r="CB38" s="20">
        <f t="shared" si="10"/>
        <v>343.32586555964104</v>
      </c>
      <c r="CC38" s="59">
        <f t="shared" si="11"/>
        <v>636.65919889297436</v>
      </c>
      <c r="CD38" s="59">
        <f ca="1">AVERAGE(OFFSET($CC$3,0,0,'Données projet'!$E$12+1,1))-AVERAGE(OFFSET($H$3,0,0,'Données projet'!$E$12+1,1))</f>
        <v>254.25222107710192</v>
      </c>
      <c r="CE38" s="59">
        <f t="shared" si="40"/>
        <v>300.86609173447573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2.9901366413712314</v>
      </c>
      <c r="CL38" s="21">
        <f>EXP(-LN(2)/25)*CL37+(1-EXP(-LN(2)/25))/(LN(2)/25)*Calculateur!CG38*Calculateur!CI38*VLOOKUP('Données projet'!$B$12,Paramètres!$A$1:$I$89,3,0)*0.475*44/12</f>
        <v>18.648497079731925</v>
      </c>
      <c r="CM38" s="21">
        <f>EXP(-LN(2)/2)*CM37+(1-EXP(-LN(2)/2))/(LN(2)/2)*CG38*CJ38*VLOOKUP('Données projet'!$B$12,Paramètres!$A$1:$I$89,3,0)*0.475*44/12</f>
        <v>4.3028736128383329</v>
      </c>
      <c r="CN38" s="22">
        <f t="shared" si="12"/>
        <v>25.941507333941487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11.5</v>
      </c>
      <c r="CT38" s="12">
        <f>IF('Données projet'!$A$140&gt;35,CT37+CS38-DB37,IF(A38&lt;'Données projet'!$A$140,$CQ$205^A38,IF(A38='Données projet'!$A$140,'Données projet'!$B$140,CT37+CS38-DB37)))</f>
        <v>197.50000000000006</v>
      </c>
      <c r="CU38" s="17">
        <f>CT38*VLOOKUP('Données projet'!$B$13,Paramètres!$A$1:$I$89,3,0)*VLOOKUP('Données projet'!$B$13,Paramètres!$A$1:$I$89,5,0)</f>
        <v>172.53600000000006</v>
      </c>
      <c r="CV38" s="13">
        <f t="shared" si="41"/>
        <v>43.657512815796977</v>
      </c>
      <c r="CW38" s="20">
        <f t="shared" si="13"/>
        <v>376.53703482084643</v>
      </c>
      <c r="CX38" s="59">
        <f t="shared" si="14"/>
        <v>669.87036815417969</v>
      </c>
      <c r="CY38" s="59">
        <f ca="1">AVERAGE(OFFSET($CX$3,0,0,'Données projet'!$E$13+1,1))-AVERAGE(OFFSET($H$3,0,0,'Données projet'!$E$13+1,1))</f>
        <v>243.38048563215585</v>
      </c>
      <c r="CZ38" s="59">
        <f t="shared" si="42"/>
        <v>372.1604147006675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6.6196735708344239</v>
      </c>
      <c r="DG38" s="21">
        <f>EXP(-LN(2)/25)*DG37+(1-EXP(-LN(2)/25))/(LN(2)/25)*Calculateur!DB38*Calculateur!DD38*VLOOKUP('Données projet'!$B$13,Paramètres!$A$1:$I$89,3,0)*0.475*44/12</f>
        <v>16.855973067399507</v>
      </c>
      <c r="DH38" s="21">
        <f>EXP(-LN(2)/2)*DH37+(1-EXP(-LN(2)/2))/(LN(2)/2)*DB38*DE38*VLOOKUP('Données projet'!$B$13,Paramètres!$A$1:$I$89,3,0)*0.475*44/12</f>
        <v>5.1821980769245952</v>
      </c>
      <c r="DI38" s="22">
        <f t="shared" si="15"/>
        <v>28.657844715158529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16.399999999999999</v>
      </c>
      <c r="DO38" s="12">
        <f>IF('Données projet'!$A$166&gt;35,DO37+DN38-DW37,IF(A38&lt;'Données projet'!$A$166,$DL$205^A38,IF(A38='Données projet'!$A$166,'Données projet'!$B$166,DO37+DN38-DW37)))</f>
        <v>212.99999999999997</v>
      </c>
      <c r="DP38" s="17">
        <f>DO38*VLOOKUP('Données projet'!$B$14,Paramètres!$A$1:$I$89,3,0)*VLOOKUP('Données projet'!$B$14,Paramètres!$A$1:$I$89,5,0)</f>
        <v>121.83599999999998</v>
      </c>
      <c r="DQ38" s="13">
        <f t="shared" si="43"/>
        <v>32.102836987236969</v>
      </c>
      <c r="DR38" s="20">
        <f t="shared" si="16"/>
        <v>268.11014108610436</v>
      </c>
      <c r="DS38" s="59">
        <f t="shared" si="17"/>
        <v>561.44347441943773</v>
      </c>
      <c r="DT38" s="59">
        <f ca="1">AVERAGE(OFFSET($DS$3,0,0,'Données projet'!$E$14+1,1))-AVERAGE(OFFSET($H$3,0,0,'Données projet'!$E$14+1,1))</f>
        <v>227.99747790451215</v>
      </c>
      <c r="DU38" s="59">
        <f t="shared" si="44"/>
        <v>209.49597700966933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2.5978370118100211</v>
      </c>
      <c r="EB38" s="21">
        <f>EXP(-LN(2)/25)*EB37+(1-EXP(-LN(2)/25))/(LN(2)/25)*Calculateur!DW38*Calculateur!DY38*VLOOKUP('Données projet'!$B$14,Paramètres!$A$1:$I$89,3,0)*0.475*44/12</f>
        <v>13.211561774871798</v>
      </c>
      <c r="EC38" s="21">
        <f>EXP(-LN(2)/2)*EC37+(1-EXP(-LN(2)/2))/(LN(2)/2)*DW38*DZ38*VLOOKUP('Données projet'!$B$14,Paramètres!$A$1:$I$89,3,0)*0.475*44/12</f>
        <v>4.3598121194789368</v>
      </c>
      <c r="ED38" s="22">
        <f t="shared" si="18"/>
        <v>20.169210906160757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30.3</v>
      </c>
      <c r="EJ38" s="12">
        <f>IF('Données projet'!$A$192&gt;35,EJ37+EI38-ER37,IF(A38&lt;'Données projet'!$A$192,$EG$205^A38,IF(A38='Données projet'!$A$192,'Données projet'!$B$192,EJ37+EI38-ER37)))</f>
        <v>409.50000000000011</v>
      </c>
      <c r="EK38" s="17">
        <f>EJ38*VLOOKUP('Données projet'!$B$15,Paramètres!$A$1:$I$89,3,0)*VLOOKUP('Données projet'!$B$15,Paramètres!$A$1:$I$89,5,0)</f>
        <v>180.99900000000008</v>
      </c>
      <c r="EL38" s="13">
        <f t="shared" si="45"/>
        <v>45.544373617011814</v>
      </c>
      <c r="EM38" s="20">
        <f t="shared" si="19"/>
        <v>394.56304238296235</v>
      </c>
      <c r="EN38" s="59">
        <f t="shared" si="20"/>
        <v>687.89637571629567</v>
      </c>
      <c r="EO38" s="59">
        <f ca="1">AVERAGE(OFFSET($EN$3,0,0,'Données projet'!$E$15+1,1))-AVERAGE(OFFSET($H$3,0,0,'Données projet'!$E$15+1,1))</f>
        <v>335.27356627949155</v>
      </c>
      <c r="EP38" s="59">
        <f t="shared" si="46"/>
        <v>322.66829503077247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24.342869470297376</v>
      </c>
      <c r="EX38" s="21">
        <f>EXP(-LN(2)/2)*EX37+(1-EXP(-LN(2)/2))/(LN(2)/2)*ER38*EU38*VLOOKUP('Données projet'!$B$15,Paramètres!$A$1:$I$89,3,0)*0.475*44/12</f>
        <v>6.2549152397482439</v>
      </c>
      <c r="EY38" s="22">
        <f t="shared" si="21"/>
        <v>30.59778471004562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</v>
      </c>
      <c r="N39" s="13">
        <f>IF('Données projet'!$A$36&gt;35,N38+M39-V38,IF(A39&lt;'Données projet'!$A$36,$K$205^A39,IF(A39='Données projet'!$A$36,'Données projet'!$B$36,N38+M39-V38)))</f>
        <v>159</v>
      </c>
      <c r="O39" s="13">
        <f>N39*VLOOKUP('Données projet'!$B$9,Paramètres!$A$1:$I$89,3,0)*VLOOKUP('Données projet'!$B$9,Paramètres!$A$1:$I$89,5,0)</f>
        <v>143.86320000000001</v>
      </c>
      <c r="P39" s="13">
        <f t="shared" si="33"/>
        <v>37.180603445028773</v>
      </c>
      <c r="Q39" s="20">
        <f t="shared" si="53"/>
        <v>315.31795766675845</v>
      </c>
      <c r="R39" s="59">
        <f t="shared" si="0"/>
        <v>608.65129100009176</v>
      </c>
      <c r="S39" s="59">
        <f ca="1">AVERAGE(OFFSET($R$3,0,0,'Données projet'!$E$9+1,1))-AVERAGE(OFFSET($H$3,0,0,'Données projet'!$E$9+1,1))</f>
        <v>319.18811755575183</v>
      </c>
      <c r="T39" s="59">
        <f t="shared" si="34"/>
        <v>234.87694492493506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2.1387057782007295</v>
      </c>
      <c r="AA39" s="21">
        <f>EXP(-LN(2)/25)*AA38+(1-EXP(-LN(2)/25))/(LN(2)/25)*Calculateur!V39*Calculateur!X39*VLOOKUP('Données projet'!$B$9,Paramètres!$A$1:$I$89,3,0)*0.475*44/12</f>
        <v>9.5536735908692965</v>
      </c>
      <c r="AB39" s="21">
        <f>EXP(-LN(2)/2)*AB38+(1-EXP(-LN(2)/2))/(LN(2)/2)*V39*Y39*VLOOKUP('Données projet'!$B$9,Paramètres!$A$1:$I$89,3,0)*0.475*44/12</f>
        <v>2.6941670967633229</v>
      </c>
      <c r="AC39" s="22">
        <f t="shared" si="3"/>
        <v>14.386546465833348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14.2</v>
      </c>
      <c r="AI39" s="13">
        <f>IF('Données projet'!$A$62&gt;35,AI38+AH39-AQ38,IF(A39&lt;'Données projet'!$A$62,$AF$205^A39,IF(A39='Données projet'!$A$62,'Données projet'!$B$62,AI38+AH39-AQ38)))</f>
        <v>248.19999999999987</v>
      </c>
      <c r="AJ39" s="13">
        <f>AI39*VLOOKUP('Données projet'!$B$10,Paramètres!$A$1:$I$89,3,0)*VLOOKUP('Données projet'!$B$10,Paramètres!$A$1:$I$89,5,0)</f>
        <v>197.46791999999991</v>
      </c>
      <c r="AK39" s="13">
        <f t="shared" si="35"/>
        <v>49.187281204902298</v>
      </c>
      <c r="AL39" s="20">
        <f t="shared" si="4"/>
        <v>429.591142098538</v>
      </c>
      <c r="AM39" s="59">
        <f t="shared" si="5"/>
        <v>722.92447543187131</v>
      </c>
      <c r="AN39" s="59">
        <f ca="1">AVERAGE(OFFSET($AM$3,0,0,'Données projet'!$E$10+1,1))-AVERAGE(OFFSET($H$3,0,0,'Données projet'!$E$10+1,1))</f>
        <v>314.94704727988847</v>
      </c>
      <c r="AO39" s="59">
        <f t="shared" si="36"/>
        <v>366.49199094166454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3.4768975852906414</v>
      </c>
      <c r="AV39" s="21">
        <f>EXP(-LN(2)/25)*AV38+(1-EXP(-LN(2)/25))/(LN(2)/25)*Calculateur!AQ39*Calculateur!AS39*VLOOKUP('Données projet'!$B$10,Paramètres!$A$1:$I$89,3,0)*0.475*44/12</f>
        <v>21.513167448061527</v>
      </c>
      <c r="AW39" s="21">
        <f>EXP(-LN(2)/2)*AW38+(1-EXP(-LN(2)/2))/(LN(2)/2)*AQ39*AT39*VLOOKUP('Données projet'!$B$10,Paramètres!$A$1:$I$89,3,0)*0.475*44/12</f>
        <v>3.6086545725943906</v>
      </c>
      <c r="AX39" s="21">
        <f t="shared" si="6"/>
        <v>28.598719605946556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14.2</v>
      </c>
      <c r="BD39" s="12">
        <f>IF('Données projet'!$A$88&gt;35,BD38+BC39-BL38,IF(A39&lt;'Données projet'!$A$88,$BA$205^A39,IF(A39='Données projet'!$A$88,'Données projet'!$B$88,BD38+BC39-BL38)))</f>
        <v>248.19999999999987</v>
      </c>
      <c r="BE39" s="13">
        <f>BD39*VLOOKUP('Données projet'!$B$11,Paramètres!$A$1:$I$89,3,0)*VLOOKUP('Données projet'!$B$11,Paramètres!$A$1:$I$89,5,0)</f>
        <v>162.62063999999992</v>
      </c>
      <c r="BF39" s="13">
        <f t="shared" si="37"/>
        <v>41.43304801502606</v>
      </c>
      <c r="BG39" s="20">
        <f t="shared" si="7"/>
        <v>355.39350662617022</v>
      </c>
      <c r="BH39" s="59">
        <f t="shared" si="8"/>
        <v>648.72683995950354</v>
      </c>
      <c r="BI39" s="59">
        <f ca="1">AVERAGE(OFFSET($BH$3,0,0,'Données projet'!$E$11+1,1))-AVERAGE(OFFSET($H$3,0,0,'Données projet'!$E$11+1,1))</f>
        <v>246.64951465060813</v>
      </c>
      <c r="BJ39" s="59">
        <f t="shared" si="38"/>
        <v>292.64550285216865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2.323076965976655</v>
      </c>
      <c r="BQ39" s="21">
        <f>EXP(-LN(2)/25)*BQ38+(1-EXP(-LN(2)/25))/(LN(2)/25)*Calculateur!BL39*Calculateur!BN39*VLOOKUP('Données projet'!$B$11,Paramètres!$A$1:$I$89,3,0)*0.475*44/12</f>
        <v>14.373947617905696</v>
      </c>
      <c r="BR39" s="21">
        <f>EXP(-LN(2)/2)*BR38+(1-EXP(-LN(2)/2))/(LN(2)/2)*BL39*BO39*VLOOKUP('Données projet'!$B$11,Paramètres!$A$1:$I$89,3,0)*0.475*44/12</f>
        <v>2.9718331774306748</v>
      </c>
      <c r="BS39" s="22">
        <f t="shared" si="9"/>
        <v>19.668857761313024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14.2</v>
      </c>
      <c r="BY39" s="12">
        <f>IF('Données projet'!$A$114&gt;35,BY38+BX39-CG38,IF(A39&lt;'Données projet'!$A$114,$BV$205^A39,IF(A39='Données projet'!$A$114,'Données projet'!$B$114,BY38+BX39-CG38)))</f>
        <v>248.19999999999987</v>
      </c>
      <c r="BZ39" s="13">
        <f>BY39*VLOOKUP('Données projet'!$B$12,Paramètres!$A$1:$I$89,3,0)*VLOOKUP('Données projet'!$B$12,Paramètres!$A$1:$I$89,5,0)</f>
        <v>166.49255999999991</v>
      </c>
      <c r="CA39" s="13">
        <f t="shared" si="39"/>
        <v>42.303523105684178</v>
      </c>
      <c r="CB39" s="20">
        <f t="shared" si="10"/>
        <v>363.65317807573314</v>
      </c>
      <c r="CC39" s="59">
        <f t="shared" si="11"/>
        <v>656.98651140906645</v>
      </c>
      <c r="CD39" s="59">
        <f ca="1">AVERAGE(OFFSET($CC$3,0,0,'Données projet'!$E$12+1,1))-AVERAGE(OFFSET($H$3,0,0,'Données projet'!$E$12+1,1))</f>
        <v>254.25222107710192</v>
      </c>
      <c r="CE39" s="59">
        <f t="shared" si="40"/>
        <v>300.86609173447573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2.931501885637207</v>
      </c>
      <c r="CL39" s="21">
        <f>EXP(-LN(2)/25)*CL38+(1-EXP(-LN(2)/25))/(LN(2)/25)*Calculateur!CG39*Calculateur!CI39*VLOOKUP('Données projet'!$B$12,Paramètres!$A$1:$I$89,3,0)*0.475*44/12</f>
        <v>18.138552946404815</v>
      </c>
      <c r="CM39" s="21">
        <f>EXP(-LN(2)/2)*CM38+(1-EXP(-LN(2)/2))/(LN(2)/2)*CG39*CJ39*VLOOKUP('Données projet'!$B$12,Paramètres!$A$1:$I$89,3,0)*0.475*44/12</f>
        <v>3.0425911102266445</v>
      </c>
      <c r="CN39" s="22">
        <f t="shared" si="12"/>
        <v>24.112645942268667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11.5</v>
      </c>
      <c r="CT39" s="12">
        <f>IF('Données projet'!$A$140&gt;35,CT38+CS39-DB38,IF(A39&lt;'Données projet'!$A$140,$CQ$205^A39,IF(A39='Données projet'!$A$140,'Données projet'!$B$140,CT38+CS39-DB38)))</f>
        <v>209.00000000000006</v>
      </c>
      <c r="CU39" s="17">
        <f>CT39*VLOOKUP('Données projet'!$B$13,Paramètres!$A$1:$I$89,3,0)*VLOOKUP('Données projet'!$B$13,Paramètres!$A$1:$I$89,5,0)</f>
        <v>182.58240000000009</v>
      </c>
      <c r="CV39" s="13">
        <f t="shared" si="41"/>
        <v>45.896245406460288</v>
      </c>
      <c r="CW39" s="20">
        <f t="shared" si="13"/>
        <v>397.93364074958509</v>
      </c>
      <c r="CX39" s="59">
        <f t="shared" si="14"/>
        <v>691.26697408291841</v>
      </c>
      <c r="CY39" s="59">
        <f ca="1">AVERAGE(OFFSET($CX$3,0,0,'Données projet'!$E$13+1,1))-AVERAGE(OFFSET($H$3,0,0,'Données projet'!$E$13+1,1))</f>
        <v>243.38048563215585</v>
      </c>
      <c r="CZ39" s="59">
        <f t="shared" si="42"/>
        <v>372.1604147006675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6.4898658097125592</v>
      </c>
      <c r="DG39" s="21">
        <f>EXP(-LN(2)/25)*DG38+(1-EXP(-LN(2)/25))/(LN(2)/25)*Calculateur!DB39*Calculateur!DD39*VLOOKUP('Données projet'!$B$13,Paramètres!$A$1:$I$89,3,0)*0.475*44/12</f>
        <v>16.39504559745437</v>
      </c>
      <c r="DH39" s="21">
        <f>EXP(-LN(2)/2)*DH38+(1-EXP(-LN(2)/2))/(LN(2)/2)*DB39*DE39*VLOOKUP('Données projet'!$B$13,Paramètres!$A$1:$I$89,3,0)*0.475*44/12</f>
        <v>3.6643674016452672</v>
      </c>
      <c r="DI39" s="22">
        <f t="shared" si="15"/>
        <v>26.549278808812197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16.399999999999999</v>
      </c>
      <c r="DO39" s="12">
        <f>IF('Données projet'!$A$166&gt;35,DO38+DN39-DW38,IF(A39&lt;'Données projet'!$A$166,$DL$205^A39,IF(A39='Données projet'!$A$166,'Données projet'!$B$166,DO38+DN39-DW38)))</f>
        <v>229.39999999999998</v>
      </c>
      <c r="DP39" s="17">
        <f>DO39*VLOOKUP('Données projet'!$B$14,Paramètres!$A$1:$I$89,3,0)*VLOOKUP('Données projet'!$B$14,Paramètres!$A$1:$I$89,5,0)</f>
        <v>131.21680000000001</v>
      </c>
      <c r="DQ39" s="13">
        <f t="shared" si="43"/>
        <v>34.277373450947685</v>
      </c>
      <c r="DR39" s="20">
        <f t="shared" si="16"/>
        <v>288.23568542706721</v>
      </c>
      <c r="DS39" s="59">
        <f t="shared" si="17"/>
        <v>581.56901876040047</v>
      </c>
      <c r="DT39" s="59">
        <f ca="1">AVERAGE(OFFSET($DS$3,0,0,'Données projet'!$E$14+1,1))-AVERAGE(OFFSET($H$3,0,0,'Données projet'!$E$14+1,1))</f>
        <v>227.99747790451215</v>
      </c>
      <c r="DU39" s="59">
        <f t="shared" si="44"/>
        <v>209.49597700966933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2.5468950125325449</v>
      </c>
      <c r="EB39" s="21">
        <f>EXP(-LN(2)/25)*EB38+(1-EXP(-LN(2)/25))/(LN(2)/25)*Calculateur!DW39*Calculateur!DY39*VLOOKUP('Données projet'!$B$14,Paramètres!$A$1:$I$89,3,0)*0.475*44/12</f>
        <v>12.850290923372091</v>
      </c>
      <c r="EC39" s="21">
        <f>EXP(-LN(2)/2)*EC38+(1-EXP(-LN(2)/2))/(LN(2)/2)*DW39*DZ39*VLOOKUP('Données projet'!$B$14,Paramètres!$A$1:$I$89,3,0)*0.475*44/12</f>
        <v>3.0828527143828506</v>
      </c>
      <c r="ED39" s="22">
        <f t="shared" si="18"/>
        <v>18.480038650287486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30.3</v>
      </c>
      <c r="EJ39" s="12">
        <f>IF('Données projet'!$A$192&gt;35,EJ38+EI39-ER38,IF(A39&lt;'Données projet'!$A$192,$EG$205^A39,IF(A39='Données projet'!$A$192,'Données projet'!$B$192,EJ38+EI39-ER38)))</f>
        <v>439.80000000000013</v>
      </c>
      <c r="EK39" s="17">
        <f>EJ39*VLOOKUP('Données projet'!$B$15,Paramètres!$A$1:$I$89,3,0)*VLOOKUP('Données projet'!$B$15,Paramètres!$A$1:$I$89,5,0)</f>
        <v>194.39160000000007</v>
      </c>
      <c r="EL39" s="13">
        <f t="shared" si="45"/>
        <v>48.509578259072093</v>
      </c>
      <c r="EM39" s="20">
        <f t="shared" si="19"/>
        <v>423.05288546788398</v>
      </c>
      <c r="EN39" s="59">
        <f t="shared" si="20"/>
        <v>716.3862188012173</v>
      </c>
      <c r="EO39" s="59">
        <f ca="1">AVERAGE(OFFSET($EN$3,0,0,'Données projet'!$E$15+1,1))-AVERAGE(OFFSET($H$3,0,0,'Données projet'!$E$15+1,1))</f>
        <v>335.27356627949155</v>
      </c>
      <c r="EP39" s="59">
        <f t="shared" si="46"/>
        <v>322.66829503077247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23.677212424496226</v>
      </c>
      <c r="EX39" s="21">
        <f>EXP(-LN(2)/2)*EX38+(1-EXP(-LN(2)/2))/(LN(2)/2)*ER39*EU39*VLOOKUP('Données projet'!$B$15,Paramètres!$A$1:$I$89,3,0)*0.475*44/12</f>
        <v>4.4228929817730629</v>
      </c>
      <c r="EY39" s="22">
        <f t="shared" si="21"/>
        <v>28.100105406269289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</v>
      </c>
      <c r="N40" s="13">
        <f>IF('Données projet'!$A$36&gt;35,N39+M40-V39,IF(A40&lt;'Données projet'!$A$36,$K$205^A40,IF(A40='Données projet'!$A$36,'Données projet'!$B$36,N39+M40-V39)))</f>
        <v>170</v>
      </c>
      <c r="O40" s="13">
        <f>N40*VLOOKUP('Données projet'!$B$9,Paramètres!$A$1:$I$89,3,0)*VLOOKUP('Données projet'!$B$9,Paramètres!$A$1:$I$89,5,0)</f>
        <v>153.816</v>
      </c>
      <c r="P40" s="13">
        <f t="shared" si="33"/>
        <v>39.444513325737063</v>
      </c>
      <c r="Q40" s="20">
        <f t="shared" si="53"/>
        <v>336.59539404232538</v>
      </c>
      <c r="R40" s="59">
        <f t="shared" si="0"/>
        <v>629.9287273756587</v>
      </c>
      <c r="S40" s="59">
        <f ca="1">AVERAGE(OFFSET($R$3,0,0,'Données projet'!$E$9+1,1))-AVERAGE(OFFSET($H$3,0,0,'Données projet'!$E$9+1,1))</f>
        <v>319.18811755575183</v>
      </c>
      <c r="T40" s="59">
        <f t="shared" si="34"/>
        <v>234.87694492493506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2.096767062371931</v>
      </c>
      <c r="AA40" s="21">
        <f>EXP(-LN(2)/25)*AA39+(1-EXP(-LN(2)/25))/(LN(2)/25)*Calculateur!V40*Calculateur!X40*VLOOKUP('Données projet'!$B$9,Paramètres!$A$1:$I$89,3,0)*0.475*44/12</f>
        <v>9.2924278841211159</v>
      </c>
      <c r="AB40" s="21">
        <f>EXP(-LN(2)/2)*AB39+(1-EXP(-LN(2)/2))/(LN(2)/2)*V40*Y40*VLOOKUP('Données projet'!$B$9,Paramètres!$A$1:$I$89,3,0)*0.475*44/12</f>
        <v>1.9050638237710191</v>
      </c>
      <c r="AC40" s="22">
        <f t="shared" si="3"/>
        <v>13.294258770264067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14.2</v>
      </c>
      <c r="AI40" s="13">
        <f>IF('Données projet'!$A$62&gt;35,AI39+AH40-AQ39,IF(A40&lt;'Données projet'!$A$62,$AF$205^A40,IF(A40='Données projet'!$A$62,'Données projet'!$B$62,AI39+AH40-AQ39)))</f>
        <v>262.39999999999986</v>
      </c>
      <c r="AJ40" s="13">
        <f>AI40*VLOOKUP('Données projet'!$B$10,Paramètres!$A$1:$I$89,3,0)*VLOOKUP('Données projet'!$B$10,Paramètres!$A$1:$I$89,5,0)</f>
        <v>208.7654399999999</v>
      </c>
      <c r="AK40" s="13">
        <f t="shared" si="35"/>
        <v>51.665710768737398</v>
      </c>
      <c r="AL40" s="20">
        <f t="shared" si="4"/>
        <v>453.58425425555083</v>
      </c>
      <c r="AM40" s="59">
        <f t="shared" si="5"/>
        <v>746.91758758888409</v>
      </c>
      <c r="AN40" s="59">
        <f ca="1">AVERAGE(OFFSET($AM$3,0,0,'Données projet'!$E$10+1,1))-AVERAGE(OFFSET($H$3,0,0,'Données projet'!$E$10+1,1))</f>
        <v>314.94704727988847</v>
      </c>
      <c r="AO40" s="59">
        <f t="shared" si="36"/>
        <v>366.49199094166454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3.4087177443412173</v>
      </c>
      <c r="AV40" s="21">
        <f>EXP(-LN(2)/25)*AV39+(1-EXP(-LN(2)/25))/(LN(2)/25)*Calculateur!AQ40*Calculateur!AS40*VLOOKUP('Données projet'!$B$10,Paramètres!$A$1:$I$89,3,0)*0.475*44/12</f>
        <v>20.924888752865979</v>
      </c>
      <c r="AW40" s="21">
        <f>EXP(-LN(2)/2)*AW39+(1-EXP(-LN(2)/2))/(LN(2)/2)*AQ40*AT40*VLOOKUP('Données projet'!$B$10,Paramètres!$A$1:$I$89,3,0)*0.475*44/12</f>
        <v>2.5517041192413359</v>
      </c>
      <c r="AX40" s="21">
        <f t="shared" si="6"/>
        <v>26.885310616448532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14.2</v>
      </c>
      <c r="BD40" s="12">
        <f>IF('Données projet'!$A$88&gt;35,BD39+BC40-BL39,IF(A40&lt;'Données projet'!$A$88,$BA$205^A40,IF(A40='Données projet'!$A$88,'Données projet'!$B$88,BD39+BC40-BL39)))</f>
        <v>262.39999999999986</v>
      </c>
      <c r="BE40" s="13">
        <f>BD40*VLOOKUP('Données projet'!$B$11,Paramètres!$A$1:$I$89,3,0)*VLOOKUP('Données projet'!$B$11,Paramètres!$A$1:$I$89,5,0)</f>
        <v>171.9244799999999</v>
      </c>
      <c r="BF40" s="13">
        <f t="shared" si="37"/>
        <v>43.520760297647712</v>
      </c>
      <c r="BG40" s="20">
        <f t="shared" si="7"/>
        <v>375.23379351840293</v>
      </c>
      <c r="BH40" s="59">
        <f t="shared" si="8"/>
        <v>668.56712685173625</v>
      </c>
      <c r="BI40" s="59">
        <f ca="1">AVERAGE(OFFSET($BH$3,0,0,'Données projet'!$E$11+1,1))-AVERAGE(OFFSET($H$3,0,0,'Données projet'!$E$11+1,1))</f>
        <v>246.64951465060813</v>
      </c>
      <c r="BJ40" s="59">
        <f t="shared" si="38"/>
        <v>292.64550285216865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2.2775228436108912</v>
      </c>
      <c r="BQ40" s="21">
        <f>EXP(-LN(2)/25)*BQ39+(1-EXP(-LN(2)/25))/(LN(2)/25)*Calculateur!BL40*Calculateur!BN40*VLOOKUP('Données projet'!$B$11,Paramètres!$A$1:$I$89,3,0)*0.475*44/12</f>
        <v>13.980891264401011</v>
      </c>
      <c r="BR40" s="21">
        <f>EXP(-LN(2)/2)*BR39+(1-EXP(-LN(2)/2))/(LN(2)/2)*BL40*BO40*VLOOKUP('Données projet'!$B$11,Paramètres!$A$1:$I$89,3,0)*0.475*44/12</f>
        <v>2.1014033923163944</v>
      </c>
      <c r="BS40" s="22">
        <f t="shared" si="9"/>
        <v>18.359817500328298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14.2</v>
      </c>
      <c r="BY40" s="12">
        <f>IF('Données projet'!$A$114&gt;35,BY39+BX40-CG39,IF(A40&lt;'Données projet'!$A$114,$BV$205^A40,IF(A40='Données projet'!$A$114,'Données projet'!$B$114,BY39+BX40-CG39)))</f>
        <v>262.39999999999986</v>
      </c>
      <c r="BZ40" s="13">
        <f>BY40*VLOOKUP('Données projet'!$B$12,Paramètres!$A$1:$I$89,3,0)*VLOOKUP('Données projet'!$B$12,Paramètres!$A$1:$I$89,5,0)</f>
        <v>176.01791999999992</v>
      </c>
      <c r="CA40" s="13">
        <f t="shared" si="39"/>
        <v>44.435096548069509</v>
      </c>
      <c r="CB40" s="20">
        <f t="shared" si="10"/>
        <v>383.95567048788757</v>
      </c>
      <c r="CC40" s="59">
        <f t="shared" si="11"/>
        <v>677.28900382122083</v>
      </c>
      <c r="CD40" s="59">
        <f ca="1">AVERAGE(OFFSET($CC$3,0,0,'Données projet'!$E$12+1,1))-AVERAGE(OFFSET($H$3,0,0,'Données projet'!$E$12+1,1))</f>
        <v>254.25222107710192</v>
      </c>
      <c r="CE40" s="59">
        <f t="shared" si="40"/>
        <v>300.86609173447573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2.8740169216994573</v>
      </c>
      <c r="CL40" s="21">
        <f>EXP(-LN(2)/25)*CL39+(1-EXP(-LN(2)/25))/(LN(2)/25)*Calculateur!CG40*Calculateur!CI40*VLOOKUP('Données projet'!$B$12,Paramètres!$A$1:$I$89,3,0)*0.475*44/12</f>
        <v>17.642553262220332</v>
      </c>
      <c r="CM40" s="21">
        <f>EXP(-LN(2)/2)*CM39+(1-EXP(-LN(2)/2))/(LN(2)/2)*CG40*CJ40*VLOOKUP('Données projet'!$B$12,Paramètres!$A$1:$I$89,3,0)*0.475*44/12</f>
        <v>2.1514368064191669</v>
      </c>
      <c r="CN40" s="22">
        <f t="shared" si="12"/>
        <v>22.668006990338956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11.5</v>
      </c>
      <c r="CT40" s="12">
        <f>IF('Données projet'!$A$140&gt;35,CT39+CS40-DB39,IF(A40&lt;'Données projet'!$A$140,$CQ$205^A40,IF(A40='Données projet'!$A$140,'Données projet'!$B$140,CT39+CS40-DB39)))</f>
        <v>220.50000000000006</v>
      </c>
      <c r="CU40" s="17">
        <f>CT40*VLOOKUP('Données projet'!$B$13,Paramètres!$A$1:$I$89,3,0)*VLOOKUP('Données projet'!$B$13,Paramètres!$A$1:$I$89,5,0)</f>
        <v>192.62880000000007</v>
      </c>
      <c r="CV40" s="13">
        <f t="shared" si="41"/>
        <v>48.120677599655217</v>
      </c>
      <c r="CW40" s="20">
        <f t="shared" si="13"/>
        <v>419.30534015273292</v>
      </c>
      <c r="CX40" s="59">
        <f t="shared" si="14"/>
        <v>712.63867348606618</v>
      </c>
      <c r="CY40" s="59">
        <f ca="1">AVERAGE(OFFSET($CX$3,0,0,'Données projet'!$E$13+1,1))-AVERAGE(OFFSET($H$3,0,0,'Données projet'!$E$13+1,1))</f>
        <v>243.38048563215585</v>
      </c>
      <c r="CZ40" s="59">
        <f t="shared" si="42"/>
        <v>372.1604147006675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6.3626034996113781</v>
      </c>
      <c r="DG40" s="21">
        <f>EXP(-LN(2)/25)*DG39+(1-EXP(-LN(2)/25))/(LN(2)/25)*Calculateur!DB40*Calculateur!DD40*VLOOKUP('Données projet'!$B$13,Paramètres!$A$1:$I$89,3,0)*0.475*44/12</f>
        <v>15.946722213414004</v>
      </c>
      <c r="DH40" s="21">
        <f>EXP(-LN(2)/2)*DH39+(1-EXP(-LN(2)/2))/(LN(2)/2)*DB40*DE40*VLOOKUP('Données projet'!$B$13,Paramètres!$A$1:$I$89,3,0)*0.475*44/12</f>
        <v>2.5910990384622981</v>
      </c>
      <c r="DI40" s="22">
        <f t="shared" si="15"/>
        <v>24.900424751487677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16.399999999999999</v>
      </c>
      <c r="DO40" s="12">
        <f>IF('Données projet'!$A$166&gt;35,DO39+DN40-DW39,IF(A40&lt;'Données projet'!$A$166,$DL$205^A40,IF(A40='Données projet'!$A$166,'Données projet'!$B$166,DO39+DN40-DW39)))</f>
        <v>245.79999999999998</v>
      </c>
      <c r="DP40" s="17">
        <f>DO40*VLOOKUP('Données projet'!$B$14,Paramètres!$A$1:$I$89,3,0)*VLOOKUP('Données projet'!$B$14,Paramètres!$A$1:$I$89,5,0)</f>
        <v>140.5976</v>
      </c>
      <c r="DQ40" s="13">
        <f t="shared" si="43"/>
        <v>36.433873306512794</v>
      </c>
      <c r="DR40" s="20">
        <f t="shared" si="16"/>
        <v>308.32981600884312</v>
      </c>
      <c r="DS40" s="59">
        <f t="shared" si="17"/>
        <v>601.66314934217644</v>
      </c>
      <c r="DT40" s="59">
        <f ca="1">AVERAGE(OFFSET($DS$3,0,0,'Données projet'!$E$14+1,1))-AVERAGE(OFFSET($H$3,0,0,'Données projet'!$E$14+1,1))</f>
        <v>227.99747790451215</v>
      </c>
      <c r="DU40" s="59">
        <f t="shared" si="44"/>
        <v>209.49597700966933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2.4969519547893486</v>
      </c>
      <c r="EB40" s="21">
        <f>EXP(-LN(2)/25)*EB39+(1-EXP(-LN(2)/25))/(LN(2)/25)*Calculateur!DW40*Calculateur!DY40*VLOOKUP('Données projet'!$B$14,Paramètres!$A$1:$I$89,3,0)*0.475*44/12</f>
        <v>12.498899042305052</v>
      </c>
      <c r="EC40" s="21">
        <f>EXP(-LN(2)/2)*EC39+(1-EXP(-LN(2)/2))/(LN(2)/2)*DW40*DZ40*VLOOKUP('Données projet'!$B$14,Paramètres!$A$1:$I$89,3,0)*0.475*44/12</f>
        <v>2.1799060597394684</v>
      </c>
      <c r="ED40" s="22">
        <f t="shared" si="18"/>
        <v>17.17575705683387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30.3</v>
      </c>
      <c r="EJ40" s="12">
        <f>IF('Données projet'!$A$192&gt;35,EJ39+EI40-ER39,IF(A40&lt;'Données projet'!$A$192,$EG$205^A40,IF(A40='Données projet'!$A$192,'Données projet'!$B$192,EJ39+EI40-ER39)))</f>
        <v>470.10000000000014</v>
      </c>
      <c r="EK40" s="17">
        <f>EJ40*VLOOKUP('Données projet'!$B$15,Paramètres!$A$1:$I$89,3,0)*VLOOKUP('Données projet'!$B$15,Paramètres!$A$1:$I$89,5,0)</f>
        <v>207.78420000000008</v>
      </c>
      <c r="EL40" s="13">
        <f t="shared" si="45"/>
        <v>51.451079126629828</v>
      </c>
      <c r="EM40" s="20">
        <f t="shared" si="19"/>
        <v>451.50144447888039</v>
      </c>
      <c r="EN40" s="59">
        <f t="shared" si="20"/>
        <v>744.8347778122137</v>
      </c>
      <c r="EO40" s="59">
        <f ca="1">AVERAGE(OFFSET($EN$3,0,0,'Données projet'!$E$15+1,1))-AVERAGE(OFFSET($H$3,0,0,'Données projet'!$E$15+1,1))</f>
        <v>335.27356627949155</v>
      </c>
      <c r="EP40" s="59">
        <f t="shared" si="46"/>
        <v>322.66829503077247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23.029757805617891</v>
      </c>
      <c r="EX40" s="21">
        <f>EXP(-LN(2)/2)*EX39+(1-EXP(-LN(2)/2))/(LN(2)/2)*ER40*EU40*VLOOKUP('Données projet'!$B$15,Paramètres!$A$1:$I$89,3,0)*0.475*44/12</f>
        <v>3.127457619874122</v>
      </c>
      <c r="EY40" s="22">
        <f t="shared" si="21"/>
        <v>26.157215425492012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</v>
      </c>
      <c r="N41" s="13">
        <f>IF('Données projet'!$A$36&gt;35,N40+M41-V40,IF(A41&lt;'Données projet'!$A$36,$K$205^A41,IF(A41='Données projet'!$A$36,'Données projet'!$B$36,N40+M41-V40)))</f>
        <v>181</v>
      </c>
      <c r="O41" s="13">
        <f>N41*VLOOKUP('Données projet'!$B$9,Paramètres!$A$1:$I$89,3,0)*VLOOKUP('Données projet'!$B$9,Paramètres!$A$1:$I$89,5,0)</f>
        <v>163.7688</v>
      </c>
      <c r="P41" s="13">
        <f t="shared" si="33"/>
        <v>41.691423503509803</v>
      </c>
      <c r="Q41" s="20">
        <f t="shared" si="53"/>
        <v>357.84322260194625</v>
      </c>
      <c r="R41" s="59">
        <f t="shared" si="0"/>
        <v>651.17655593527957</v>
      </c>
      <c r="S41" s="59">
        <f ca="1">AVERAGE(OFFSET($R$3,0,0,'Données projet'!$E$9+1,1))-AVERAGE(OFFSET($H$3,0,0,'Données projet'!$E$9+1,1))</f>
        <v>319.18811755575183</v>
      </c>
      <c r="T41" s="59">
        <f t="shared" si="34"/>
        <v>234.87694492493506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2.0556507391804444</v>
      </c>
      <c r="AA41" s="21">
        <f>EXP(-LN(2)/25)*AA40+(1-EXP(-LN(2)/25))/(LN(2)/25)*Calculateur!V41*Calculateur!X41*VLOOKUP('Données projet'!$B$9,Paramètres!$A$1:$I$89,3,0)*0.475*44/12</f>
        <v>9.0383259549622803</v>
      </c>
      <c r="AB41" s="21">
        <f>EXP(-LN(2)/2)*AB40+(1-EXP(-LN(2)/2))/(LN(2)/2)*V41*Y41*VLOOKUP('Données projet'!$B$9,Paramètres!$A$1:$I$89,3,0)*0.475*44/12</f>
        <v>1.3470835483816617</v>
      </c>
      <c r="AC41" s="22">
        <f t="shared" si="3"/>
        <v>12.441060242524387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14.2</v>
      </c>
      <c r="AI41" s="13">
        <f>IF('Données projet'!$A$62&gt;35,AI40+AH41-AQ40,IF(A41&lt;'Données projet'!$A$62,$AF$205^A41,IF(A41='Données projet'!$A$62,'Données projet'!$B$62,AI40+AH41-AQ40)))</f>
        <v>276.59999999999985</v>
      </c>
      <c r="AJ41" s="13">
        <f>AI41*VLOOKUP('Données projet'!$B$10,Paramètres!$A$1:$I$89,3,0)*VLOOKUP('Données projet'!$B$10,Paramètres!$A$1:$I$89,5,0)</f>
        <v>220.06295999999989</v>
      </c>
      <c r="AK41" s="13">
        <f t="shared" si="35"/>
        <v>54.128569537628671</v>
      </c>
      <c r="AL41" s="20">
        <f t="shared" si="4"/>
        <v>477.55024727803635</v>
      </c>
      <c r="AM41" s="59">
        <f t="shared" si="5"/>
        <v>770.88358061136967</v>
      </c>
      <c r="AN41" s="59">
        <f ca="1">AVERAGE(OFFSET($AM$3,0,0,'Données projet'!$E$10+1,1))-AVERAGE(OFFSET($H$3,0,0,'Données projet'!$E$10+1,1))</f>
        <v>314.94704727988847</v>
      </c>
      <c r="AO41" s="59">
        <f t="shared" si="36"/>
        <v>366.49199094166454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3.3418748684872148</v>
      </c>
      <c r="AV41" s="21">
        <f>EXP(-LN(2)/25)*AV40+(1-EXP(-LN(2)/25))/(LN(2)/25)*Calculateur!AQ41*Calculateur!AS41*VLOOKUP('Données projet'!$B$10,Paramètres!$A$1:$I$89,3,0)*0.475*44/12</f>
        <v>20.352696569526785</v>
      </c>
      <c r="AW41" s="21">
        <f>EXP(-LN(2)/2)*AW40+(1-EXP(-LN(2)/2))/(LN(2)/2)*AQ41*AT41*VLOOKUP('Données projet'!$B$10,Paramètres!$A$1:$I$89,3,0)*0.475*44/12</f>
        <v>1.8043272862971953</v>
      </c>
      <c r="AX41" s="21">
        <f t="shared" si="6"/>
        <v>25.498898724311193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14.2</v>
      </c>
      <c r="BD41" s="12">
        <f>IF('Données projet'!$A$88&gt;35,BD40+BC41-BL40,IF(A41&lt;'Données projet'!$A$88,$BA$205^A41,IF(A41='Données projet'!$A$88,'Données projet'!$B$88,BD40+BC41-BL40)))</f>
        <v>276.59999999999985</v>
      </c>
      <c r="BE41" s="13">
        <f>BD41*VLOOKUP('Données projet'!$B$11,Paramètres!$A$1:$I$89,3,0)*VLOOKUP('Données projet'!$B$11,Paramètres!$A$1:$I$89,5,0)</f>
        <v>181.22831999999991</v>
      </c>
      <c r="BF41" s="13">
        <f t="shared" si="37"/>
        <v>45.595356476294157</v>
      </c>
      <c r="BG41" s="20">
        <f t="shared" si="7"/>
        <v>395.05123652954552</v>
      </c>
      <c r="BH41" s="59">
        <f t="shared" si="8"/>
        <v>688.38456986287883</v>
      </c>
      <c r="BI41" s="59">
        <f ca="1">AVERAGE(OFFSET($BH$3,0,0,'Données projet'!$E$11+1,1))-AVERAGE(OFFSET($H$3,0,0,'Données projet'!$E$11+1,1))</f>
        <v>246.64951465060813</v>
      </c>
      <c r="BJ41" s="59">
        <f t="shared" si="38"/>
        <v>292.64550285216865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2.2328620097994487</v>
      </c>
      <c r="BQ41" s="21">
        <f>EXP(-LN(2)/25)*BQ40+(1-EXP(-LN(2)/25))/(LN(2)/25)*Calculateur!BL41*Calculateur!BN41*VLOOKUP('Données projet'!$B$11,Paramètres!$A$1:$I$89,3,0)*0.475*44/12</f>
        <v>13.598583057552847</v>
      </c>
      <c r="BR41" s="21">
        <f>EXP(-LN(2)/2)*BR40+(1-EXP(-LN(2)/2))/(LN(2)/2)*BL41*BO41*VLOOKUP('Données projet'!$B$11,Paramètres!$A$1:$I$89,3,0)*0.475*44/12</f>
        <v>1.4859165887153374</v>
      </c>
      <c r="BS41" s="22">
        <f t="shared" si="9"/>
        <v>17.317361656067632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14.2</v>
      </c>
      <c r="BY41" s="12">
        <f>IF('Données projet'!$A$114&gt;35,BY40+BX41-CG40,IF(A41&lt;'Données projet'!$A$114,$BV$205^A41,IF(A41='Données projet'!$A$114,'Données projet'!$B$114,BY40+BX41-CG40)))</f>
        <v>276.59999999999985</v>
      </c>
      <c r="BZ41" s="13">
        <f>BY41*VLOOKUP('Données projet'!$B$12,Paramètres!$A$1:$I$89,3,0)*VLOOKUP('Données projet'!$B$12,Paramètres!$A$1:$I$89,5,0)</f>
        <v>185.5432799999999</v>
      </c>
      <c r="CA41" s="13">
        <f t="shared" si="39"/>
        <v>46.553278327660188</v>
      </c>
      <c r="CB41" s="20">
        <f t="shared" si="10"/>
        <v>404.2348390873413</v>
      </c>
      <c r="CC41" s="59">
        <f t="shared" si="11"/>
        <v>697.56817242067461</v>
      </c>
      <c r="CD41" s="59">
        <f ca="1">AVERAGE(OFFSET($CC$3,0,0,'Données projet'!$E$12+1,1))-AVERAGE(OFFSET($H$3,0,0,'Données projet'!$E$12+1,1))</f>
        <v>254.25222107710192</v>
      </c>
      <c r="CE41" s="59">
        <f t="shared" si="40"/>
        <v>300.86609173447573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2.8176592028421612</v>
      </c>
      <c r="CL41" s="21">
        <f>EXP(-LN(2)/25)*CL40+(1-EXP(-LN(2)/25))/(LN(2)/25)*Calculateur!CG41*Calculateur!CI41*VLOOKUP('Données projet'!$B$12,Paramètres!$A$1:$I$89,3,0)*0.475*44/12</f>
        <v>17.160116715483365</v>
      </c>
      <c r="CM41" s="21">
        <f>EXP(-LN(2)/2)*CM40+(1-EXP(-LN(2)/2))/(LN(2)/2)*CG41*CJ41*VLOOKUP('Données projet'!$B$12,Paramètres!$A$1:$I$89,3,0)*0.475*44/12</f>
        <v>1.5212955551133225</v>
      </c>
      <c r="CN41" s="22">
        <f t="shared" si="12"/>
        <v>21.49907147343885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11.5</v>
      </c>
      <c r="CT41" s="12">
        <f>IF('Données projet'!$A$140&gt;35,CT40+CS41-DB40,IF(A41&lt;'Données projet'!$A$140,$CQ$205^A41,IF(A41='Données projet'!$A$140,'Données projet'!$B$140,CT40+CS41-DB40)))</f>
        <v>232.00000000000006</v>
      </c>
      <c r="CU41" s="17">
        <f>CT41*VLOOKUP('Données projet'!$B$13,Paramètres!$A$1:$I$89,3,0)*VLOOKUP('Données projet'!$B$13,Paramètres!$A$1:$I$89,5,0)</f>
        <v>202.67520000000007</v>
      </c>
      <c r="CV41" s="13">
        <f t="shared" si="41"/>
        <v>50.331640285313689</v>
      </c>
      <c r="CW41" s="20">
        <f t="shared" si="13"/>
        <v>440.65358016358806</v>
      </c>
      <c r="CX41" s="59">
        <f t="shared" si="14"/>
        <v>733.98691349692137</v>
      </c>
      <c r="CY41" s="59">
        <f ca="1">AVERAGE(OFFSET($CX$3,0,0,'Données projet'!$E$13+1,1))-AVERAGE(OFFSET($H$3,0,0,'Données projet'!$E$13+1,1))</f>
        <v>243.38048563215585</v>
      </c>
      <c r="CZ41" s="59">
        <f t="shared" si="42"/>
        <v>372.1604147006675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6.2378367257889362</v>
      </c>
      <c r="DG41" s="21">
        <f>EXP(-LN(2)/25)*DG40+(1-EXP(-LN(2)/25))/(LN(2)/25)*Calculateur!DB41*Calculateur!DD41*VLOOKUP('Données projet'!$B$13,Paramètres!$A$1:$I$89,3,0)*0.475*44/12</f>
        <v>15.510658255886524</v>
      </c>
      <c r="DH41" s="21">
        <f>EXP(-LN(2)/2)*DH40+(1-EXP(-LN(2)/2))/(LN(2)/2)*DB41*DE41*VLOOKUP('Données projet'!$B$13,Paramètres!$A$1:$I$89,3,0)*0.475*44/12</f>
        <v>1.832183700822634</v>
      </c>
      <c r="DI41" s="22">
        <f t="shared" si="15"/>
        <v>23.580678682498093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16.399999999999999</v>
      </c>
      <c r="DO41" s="12">
        <f>IF('Données projet'!$A$166&gt;35,DO40+DN41-DW40,IF(A41&lt;'Données projet'!$A$166,$DL$205^A41,IF(A41='Données projet'!$A$166,'Données projet'!$B$166,DO40+DN41-DW40)))</f>
        <v>262.2</v>
      </c>
      <c r="DP41" s="17">
        <f>DO41*VLOOKUP('Données projet'!$B$14,Paramètres!$A$1:$I$89,3,0)*VLOOKUP('Données projet'!$B$14,Paramètres!$A$1:$I$89,5,0)</f>
        <v>149.97839999999999</v>
      </c>
      <c r="DQ41" s="13">
        <f t="shared" si="43"/>
        <v>38.573676902204191</v>
      </c>
      <c r="DR41" s="20">
        <f t="shared" si="16"/>
        <v>328.39486727133897</v>
      </c>
      <c r="DS41" s="59">
        <f t="shared" si="17"/>
        <v>621.72820060467234</v>
      </c>
      <c r="DT41" s="59">
        <f ca="1">AVERAGE(OFFSET($DS$3,0,0,'Données projet'!$E$14+1,1))-AVERAGE(OFFSET($H$3,0,0,'Données projet'!$E$14+1,1))</f>
        <v>227.99747790451215</v>
      </c>
      <c r="DU41" s="59">
        <f t="shared" si="44"/>
        <v>209.49597700966933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2.4479882499462393</v>
      </c>
      <c r="EB41" s="21">
        <f>EXP(-LN(2)/25)*EB40+(1-EXP(-LN(2)/25))/(LN(2)/25)*Calculateur!DW41*Calculateur!DY41*VLOOKUP('Données projet'!$B$14,Paramètres!$A$1:$I$89,3,0)*0.475*44/12</f>
        <v>12.157115990704686</v>
      </c>
      <c r="EC41" s="21">
        <f>EXP(-LN(2)/2)*EC40+(1-EXP(-LN(2)/2))/(LN(2)/2)*DW41*DZ41*VLOOKUP('Données projet'!$B$14,Paramètres!$A$1:$I$89,3,0)*0.475*44/12</f>
        <v>1.5414263571914253</v>
      </c>
      <c r="ED41" s="22">
        <f t="shared" si="18"/>
        <v>16.14653059784235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30.3</v>
      </c>
      <c r="EJ41" s="12">
        <f>IF('Données projet'!$A$192&gt;35,EJ40+EI41-ER40,IF(A41&lt;'Données projet'!$A$192,$EG$205^A41,IF(A41='Données projet'!$A$192,'Données projet'!$B$192,EJ40+EI41-ER40)))</f>
        <v>500.40000000000015</v>
      </c>
      <c r="EK41" s="17">
        <f>EJ41*VLOOKUP('Données projet'!$B$15,Paramètres!$A$1:$I$89,3,0)*VLOOKUP('Données projet'!$B$15,Paramètres!$A$1:$I$89,5,0)</f>
        <v>221.17680000000007</v>
      </c>
      <c r="EL41" s="13">
        <f t="shared" si="45"/>
        <v>54.370577918219418</v>
      </c>
      <c r="EM41" s="20">
        <f t="shared" si="19"/>
        <v>479.9116832075656</v>
      </c>
      <c r="EN41" s="59">
        <f t="shared" si="20"/>
        <v>773.24501654089886</v>
      </c>
      <c r="EO41" s="59">
        <f ca="1">AVERAGE(OFFSET($EN$3,0,0,'Données projet'!$E$15+1,1))-AVERAGE(OFFSET($H$3,0,0,'Données projet'!$E$15+1,1))</f>
        <v>335.27356627949155</v>
      </c>
      <c r="EP41" s="59">
        <f t="shared" si="46"/>
        <v>322.66829503077247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22.400007867340943</v>
      </c>
      <c r="EX41" s="21">
        <f>EXP(-LN(2)/2)*EX40+(1-EXP(-LN(2)/2))/(LN(2)/2)*ER41*EU41*VLOOKUP('Données projet'!$B$15,Paramètres!$A$1:$I$89,3,0)*0.475*44/12</f>
        <v>2.2114464908865314</v>
      </c>
      <c r="EY41" s="22">
        <f t="shared" si="21"/>
        <v>24.611454358227473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</v>
      </c>
      <c r="N42" s="13">
        <f>IF('Données projet'!$A$36&gt;35,N41+M42-V41,IF(A42&lt;'Données projet'!$A$36,$K$205^A42,IF(A42='Données projet'!$A$36,'Données projet'!$B$36,N41+M42-V41)))</f>
        <v>192</v>
      </c>
      <c r="O42" s="13">
        <f>N42*VLOOKUP('Données projet'!$B$9,Paramètres!$A$1:$I$89,3,0)*VLOOKUP('Données projet'!$B$9,Paramètres!$A$1:$I$89,5,0)</f>
        <v>173.7216</v>
      </c>
      <c r="P42" s="13">
        <f t="shared" si="33"/>
        <v>43.922484755075111</v>
      </c>
      <c r="Q42" s="20">
        <f t="shared" si="53"/>
        <v>379.06344761508916</v>
      </c>
      <c r="R42" s="59">
        <f t="shared" si="0"/>
        <v>672.39678094842247</v>
      </c>
      <c r="S42" s="59">
        <f ca="1">AVERAGE(OFFSET($R$3,0,0,'Données projet'!$E$9+1,1))-AVERAGE(OFFSET($H$3,0,0,'Données projet'!$E$9+1,1))</f>
        <v>319.18811755575183</v>
      </c>
      <c r="T42" s="59">
        <f t="shared" si="34"/>
        <v>234.87694492493506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2.015340682008262</v>
      </c>
      <c r="AA42" s="21">
        <f>EXP(-LN(2)/25)*AA41+(1-EXP(-LN(2)/25))/(LN(2)/25)*Calculateur!V42*Calculateur!X42*VLOOKUP('Données projet'!$B$9,Paramètres!$A$1:$I$89,3,0)*0.475*44/12</f>
        <v>8.7911724564189324</v>
      </c>
      <c r="AB42" s="21">
        <f>EXP(-LN(2)/2)*AB41+(1-EXP(-LN(2)/2))/(LN(2)/2)*V42*Y42*VLOOKUP('Données projet'!$B$9,Paramètres!$A$1:$I$89,3,0)*0.475*44/12</f>
        <v>0.95253191188550967</v>
      </c>
      <c r="AC42" s="22">
        <f t="shared" si="3"/>
        <v>11.759045050312704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14.2</v>
      </c>
      <c r="AI42" s="13">
        <f>IF('Données projet'!$A$62&gt;35,AI41+AH42-AQ41,IF(A42&lt;'Données projet'!$A$62,$AF$205^A42,IF(A42='Données projet'!$A$62,'Données projet'!$B$62,AI41+AH42-AQ41)))</f>
        <v>290.79999999999984</v>
      </c>
      <c r="AJ42" s="13">
        <f>AI42*VLOOKUP('Données projet'!$B$10,Paramètres!$A$1:$I$89,3,0)*VLOOKUP('Données projet'!$B$10,Paramètres!$A$1:$I$89,5,0)</f>
        <v>231.36047999999985</v>
      </c>
      <c r="AK42" s="13">
        <f t="shared" si="35"/>
        <v>56.576748067085241</v>
      </c>
      <c r="AL42" s="20">
        <f t="shared" si="4"/>
        <v>501.49067221683981</v>
      </c>
      <c r="AM42" s="59">
        <f t="shared" si="5"/>
        <v>794.82400555017307</v>
      </c>
      <c r="AN42" s="59">
        <f ca="1">AVERAGE(OFFSET($AM$3,0,0,'Données projet'!$E$10+1,1))-AVERAGE(OFFSET($H$3,0,0,'Données projet'!$E$10+1,1))</f>
        <v>314.94704727988847</v>
      </c>
      <c r="AO42" s="59">
        <f t="shared" si="36"/>
        <v>366.49199094166454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3.2763427406585808</v>
      </c>
      <c r="AV42" s="21">
        <f>EXP(-LN(2)/25)*AV41+(1-EXP(-LN(2)/25))/(LN(2)/25)*Calculateur!AQ42*Calculateur!AS42*VLOOKUP('Données projet'!$B$10,Paramètres!$A$1:$I$89,3,0)*0.475*44/12</f>
        <v>19.796151011531279</v>
      </c>
      <c r="AW42" s="21">
        <f>EXP(-LN(2)/2)*AW41+(1-EXP(-LN(2)/2))/(LN(2)/2)*AQ42*AT42*VLOOKUP('Données projet'!$B$10,Paramètres!$A$1:$I$89,3,0)*0.475*44/12</f>
        <v>1.2758520596206679</v>
      </c>
      <c r="AX42" s="21">
        <f t="shared" si="6"/>
        <v>24.348345811810528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14.2</v>
      </c>
      <c r="BD42" s="12">
        <f>IF('Données projet'!$A$88&gt;35,BD41+BC42-BL41,IF(A42&lt;'Données projet'!$A$88,$BA$205^A42,IF(A42='Données projet'!$A$88,'Données projet'!$B$88,BD41+BC42-BL41)))</f>
        <v>290.79999999999984</v>
      </c>
      <c r="BE42" s="13">
        <f>BD42*VLOOKUP('Données projet'!$B$11,Paramètres!$A$1:$I$89,3,0)*VLOOKUP('Données projet'!$B$11,Paramètres!$A$1:$I$89,5,0)</f>
        <v>190.53215999999989</v>
      </c>
      <c r="BF42" s="13">
        <f t="shared" si="37"/>
        <v>47.657586712963955</v>
      </c>
      <c r="BG42" s="20">
        <f t="shared" si="7"/>
        <v>414.84714219174538</v>
      </c>
      <c r="BH42" s="59">
        <f t="shared" si="8"/>
        <v>708.18047552507869</v>
      </c>
      <c r="BI42" s="59">
        <f ca="1">AVERAGE(OFFSET($BH$3,0,0,'Données projet'!$E$11+1,1))-AVERAGE(OFFSET($H$3,0,0,'Données projet'!$E$11+1,1))</f>
        <v>246.64951465060813</v>
      </c>
      <c r="BJ42" s="59">
        <f t="shared" si="38"/>
        <v>292.64550285216865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2.1890769476986298</v>
      </c>
      <c r="BQ42" s="21">
        <f>EXP(-LN(2)/25)*BQ41+(1-EXP(-LN(2)/25))/(LN(2)/25)*Calculateur!BL42*Calculateur!BN42*VLOOKUP('Données projet'!$B$11,Paramètres!$A$1:$I$89,3,0)*0.475*44/12</f>
        <v>13.226729088725662</v>
      </c>
      <c r="BR42" s="21">
        <f>EXP(-LN(2)/2)*BR41+(1-EXP(-LN(2)/2))/(LN(2)/2)*BL42*BO42*VLOOKUP('Données projet'!$B$11,Paramètres!$A$1:$I$89,3,0)*0.475*44/12</f>
        <v>1.0507016961581972</v>
      </c>
      <c r="BS42" s="22">
        <f t="shared" si="9"/>
        <v>16.466507732582489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14.2</v>
      </c>
      <c r="BY42" s="12">
        <f>IF('Données projet'!$A$114&gt;35,BY41+BX42-CG41,IF(A42&lt;'Données projet'!$A$114,$BV$205^A42,IF(A42='Données projet'!$A$114,'Données projet'!$B$114,BY41+BX42-CG41)))</f>
        <v>290.79999999999984</v>
      </c>
      <c r="BZ42" s="13">
        <f>BY42*VLOOKUP('Données projet'!$B$12,Paramètres!$A$1:$I$89,3,0)*VLOOKUP('Données projet'!$B$12,Paramètres!$A$1:$I$89,5,0)</f>
        <v>195.0686399999999</v>
      </c>
      <c r="CA42" s="13">
        <f t="shared" si="39"/>
        <v>48.658834366756402</v>
      </c>
      <c r="CB42" s="20">
        <f t="shared" si="10"/>
        <v>424.49201785543391</v>
      </c>
      <c r="CC42" s="59">
        <f t="shared" si="11"/>
        <v>717.82535118876717</v>
      </c>
      <c r="CD42" s="59">
        <f ca="1">AVERAGE(OFFSET($CC$3,0,0,'Données projet'!$E$12+1,1))-AVERAGE(OFFSET($H$3,0,0,'Données projet'!$E$12+1,1))</f>
        <v>254.25222107710192</v>
      </c>
      <c r="CE42" s="59">
        <f t="shared" si="40"/>
        <v>300.86609173447573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2.7624066244768422</v>
      </c>
      <c r="CL42" s="21">
        <f>EXP(-LN(2)/25)*CL41+(1-EXP(-LN(2)/25))/(LN(2)/25)*Calculateur!CG42*Calculateur!CI42*VLOOKUP('Données projet'!$B$12,Paramètres!$A$1:$I$89,3,0)*0.475*44/12</f>
        <v>16.690872421487153</v>
      </c>
      <c r="CM42" s="21">
        <f>EXP(-LN(2)/2)*CM41+(1-EXP(-LN(2)/2))/(LN(2)/2)*CG42*CJ42*VLOOKUP('Données projet'!$B$12,Paramètres!$A$1:$I$89,3,0)*0.475*44/12</f>
        <v>1.0757184032095835</v>
      </c>
      <c r="CN42" s="22">
        <f t="shared" si="12"/>
        <v>20.52899744917358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11.5</v>
      </c>
      <c r="CT42" s="12">
        <f>IF('Données projet'!$A$140&gt;35,CT41+CS42-DB41,IF(A42&lt;'Données projet'!$A$140,$CQ$205^A42,IF(A42='Données projet'!$A$140,'Données projet'!$B$140,CT41+CS42-DB41)))</f>
        <v>243.50000000000006</v>
      </c>
      <c r="CU42" s="17">
        <f>CT42*VLOOKUP('Données projet'!$B$13,Paramètres!$A$1:$I$89,3,0)*VLOOKUP('Données projet'!$B$13,Paramètres!$A$1:$I$89,5,0)</f>
        <v>212.72160000000008</v>
      </c>
      <c r="CV42" s="13">
        <f t="shared" si="41"/>
        <v>52.529877327267741</v>
      </c>
      <c r="CW42" s="20">
        <f t="shared" si="13"/>
        <v>461.9796563449915</v>
      </c>
      <c r="CX42" s="59">
        <f t="shared" si="14"/>
        <v>755.31298967832481</v>
      </c>
      <c r="CY42" s="59">
        <f ca="1">AVERAGE(OFFSET($CX$3,0,0,'Données projet'!$E$13+1,1))-AVERAGE(OFFSET($H$3,0,0,'Données projet'!$E$13+1,1))</f>
        <v>243.38048563215585</v>
      </c>
      <c r="CZ42" s="59">
        <f t="shared" si="42"/>
        <v>372.1604147006675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6.1155165523009343</v>
      </c>
      <c r="DG42" s="21">
        <f>EXP(-LN(2)/25)*DG41+(1-EXP(-LN(2)/25))/(LN(2)/25)*Calculateur!DB42*Calculateur!DD42*VLOOKUP('Données projet'!$B$13,Paramètres!$A$1:$I$89,3,0)*0.475*44/12</f>
        <v>15.086518490209238</v>
      </c>
      <c r="DH42" s="21">
        <f>EXP(-LN(2)/2)*DH41+(1-EXP(-LN(2)/2))/(LN(2)/2)*DB42*DE42*VLOOKUP('Données projet'!$B$13,Paramètres!$A$1:$I$89,3,0)*0.475*44/12</f>
        <v>1.2955495192311492</v>
      </c>
      <c r="DI42" s="22">
        <f t="shared" si="15"/>
        <v>22.49758456174132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16.399999999999999</v>
      </c>
      <c r="DO42" s="12">
        <f>IF('Données projet'!$A$166&gt;35,DO41+DN42-DW41,IF(A42&lt;'Données projet'!$A$166,$DL$205^A42,IF(A42='Données projet'!$A$166,'Données projet'!$B$166,DO41+DN42-DW41)))</f>
        <v>278.59999999999997</v>
      </c>
      <c r="DP42" s="17">
        <f>DO42*VLOOKUP('Données projet'!$B$14,Paramètres!$A$1:$I$89,3,0)*VLOOKUP('Données projet'!$B$14,Paramètres!$A$1:$I$89,5,0)</f>
        <v>159.35919999999999</v>
      </c>
      <c r="DQ42" s="13">
        <f t="shared" si="43"/>
        <v>40.697947438063949</v>
      </c>
      <c r="DR42" s="20">
        <f t="shared" si="16"/>
        <v>348.4328651212947</v>
      </c>
      <c r="DS42" s="59">
        <f t="shared" si="17"/>
        <v>641.76619845462801</v>
      </c>
      <c r="DT42" s="59">
        <f ca="1">AVERAGE(OFFSET($DS$3,0,0,'Données projet'!$E$14+1,1))-AVERAGE(OFFSET($H$3,0,0,'Données projet'!$E$14+1,1))</f>
        <v>227.99747790451215</v>
      </c>
      <c r="DU42" s="59">
        <f t="shared" si="44"/>
        <v>209.49597700966933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2.3999846934901923</v>
      </c>
      <c r="EB42" s="21">
        <f>EXP(-LN(2)/25)*EB41+(1-EXP(-LN(2)/25))/(LN(2)/25)*Calculateur!DW42*Calculateur!DY42*VLOOKUP('Données projet'!$B$14,Paramètres!$A$1:$I$89,3,0)*0.475*44/12</f>
        <v>11.824679014623921</v>
      </c>
      <c r="EC42" s="21">
        <f>EXP(-LN(2)/2)*EC41+(1-EXP(-LN(2)/2))/(LN(2)/2)*DW42*DZ42*VLOOKUP('Données projet'!$B$14,Paramètres!$A$1:$I$89,3,0)*0.475*44/12</f>
        <v>1.0899530298697342</v>
      </c>
      <c r="ED42" s="22">
        <f t="shared" si="18"/>
        <v>15.314616737983849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30.3</v>
      </c>
      <c r="EJ42" s="12">
        <f>IF('Données projet'!$A$192&gt;35,EJ41+EI42-ER41,IF(A42&lt;'Données projet'!$A$192,$EG$205^A42,IF(A42='Données projet'!$A$192,'Données projet'!$B$192,EJ41+EI42-ER41)))</f>
        <v>530.70000000000016</v>
      </c>
      <c r="EK42" s="17">
        <f>EJ42*VLOOKUP('Données projet'!$B$15,Paramètres!$A$1:$I$89,3,0)*VLOOKUP('Données projet'!$B$15,Paramètres!$A$1:$I$89,5,0)</f>
        <v>234.56940000000012</v>
      </c>
      <c r="EL42" s="13">
        <f t="shared" si="45"/>
        <v>57.269558607302272</v>
      </c>
      <c r="EM42" s="20">
        <f t="shared" si="19"/>
        <v>508.28618624105167</v>
      </c>
      <c r="EN42" s="59">
        <f t="shared" si="20"/>
        <v>801.61951957438498</v>
      </c>
      <c r="EO42" s="59">
        <f ca="1">AVERAGE(OFFSET($EN$3,0,0,'Données projet'!$E$15+1,1))-AVERAGE(OFFSET($H$3,0,0,'Données projet'!$E$15+1,1))</f>
        <v>335.27356627949155</v>
      </c>
      <c r="EP42" s="59">
        <f t="shared" si="46"/>
        <v>322.66829503077247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21.787478474243287</v>
      </c>
      <c r="EX42" s="21">
        <f>EXP(-LN(2)/2)*EX41+(1-EXP(-LN(2)/2))/(LN(2)/2)*ER42*EU42*VLOOKUP('Données projet'!$B$15,Paramètres!$A$1:$I$89,3,0)*0.475*44/12</f>
        <v>1.563728809937061</v>
      </c>
      <c r="EY42" s="22">
        <f t="shared" si="21"/>
        <v>23.351207284180347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203</v>
      </c>
      <c r="L43" s="12">
        <f>VLOOKUP(A43,'Données projet'!$A$35:$I$55,9,0)</f>
        <v>11</v>
      </c>
      <c r="M43" s="12">
        <f t="array" ref="M43">INDEX(L:L,MIN(IF(ISNUMBER(L43:L239),ROW(L43:L239),"")))</f>
        <v>11</v>
      </c>
      <c r="N43" s="13">
        <f>IF('Données projet'!$A$36&gt;35,N42+M43-V42,IF(A43&lt;'Données projet'!$A$36,$K$205^A43,IF(A43='Données projet'!$A$36,'Données projet'!$B$36,N42+M43-V42)))</f>
        <v>203</v>
      </c>
      <c r="O43" s="13">
        <f>N43*VLOOKUP('Données projet'!$B$9,Paramètres!$A$1:$I$89,3,0)*VLOOKUP('Données projet'!$B$9,Paramètres!$A$1:$I$89,5,0)</f>
        <v>183.67439999999999</v>
      </c>
      <c r="P43" s="13">
        <f t="shared" si="33"/>
        <v>46.138708549418673</v>
      </c>
      <c r="Q43" s="20">
        <f t="shared" si="53"/>
        <v>400.25783072357081</v>
      </c>
      <c r="R43" s="59">
        <f t="shared" si="0"/>
        <v>693.59116405690406</v>
      </c>
      <c r="S43" s="59">
        <f ca="1">AVERAGE(OFFSET($R$3,0,0,'Données projet'!$E$9+1,1))-AVERAGE(OFFSET($H$3,0,0,'Données projet'!$E$9+1,1))</f>
        <v>319.18811755575183</v>
      </c>
      <c r="T43" s="59">
        <f t="shared" si="34"/>
        <v>234.87694492493506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1.975821080470519</v>
      </c>
      <c r="AA43" s="21">
        <f>EXP(-LN(2)/25)*AA42+(1-EXP(-LN(2)/25))/(LN(2)/25)*Calculateur!V43*Calculateur!X43*VLOOKUP('Données projet'!$B$9,Paramètres!$A$1:$I$89,3,0)*0.475*44/12</f>
        <v>8.5507773832904892</v>
      </c>
      <c r="AB43" s="21">
        <f>EXP(-LN(2)/2)*AB42+(1-EXP(-LN(2)/2))/(LN(2)/2)*V43*Y43*VLOOKUP('Données projet'!$B$9,Paramètres!$A$1:$I$89,3,0)*0.475*44/12</f>
        <v>0.67354177419083094</v>
      </c>
      <c r="AC43" s="22">
        <f t="shared" si="3"/>
        <v>11.200140237951839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305</v>
      </c>
      <c r="AG43" s="12">
        <f>VLOOKUP(A43,'Données projet'!$A$61:$I$81,9,0)</f>
        <v>14.2</v>
      </c>
      <c r="AH43" s="12">
        <f t="array" ref="AH43">INDEX(AG:AG,MIN(IF(ISNUMBER(AG43:AG239),ROW(AG43:AG239),"")))</f>
        <v>14.2</v>
      </c>
      <c r="AI43" s="13">
        <f>IF('Données projet'!$A$62&gt;35,AI42+AH43-AQ42,IF(A43&lt;'Données projet'!$A$62,$AF$205^A43,IF(A43='Données projet'!$A$62,'Données projet'!$B$62,AI42+AH43-AQ42)))</f>
        <v>304.99999999999983</v>
      </c>
      <c r="AJ43" s="13">
        <f>AI43*VLOOKUP('Données projet'!$B$10,Paramètres!$A$1:$I$89,3,0)*VLOOKUP('Données projet'!$B$10,Paramètres!$A$1:$I$89,5,0)</f>
        <v>242.6579999999999</v>
      </c>
      <c r="AK43" s="13">
        <f t="shared" si="35"/>
        <v>59.011045025839607</v>
      </c>
      <c r="AL43" s="20">
        <f t="shared" si="4"/>
        <v>525.40692008667054</v>
      </c>
      <c r="AM43" s="59">
        <f t="shared" si="5"/>
        <v>818.74025342000391</v>
      </c>
      <c r="AN43" s="59">
        <f ca="1">AVERAGE(OFFSET($AM$3,0,0,'Données projet'!$E$10+1,1))-AVERAGE(OFFSET($H$3,0,0,'Données projet'!$E$10+1,1))</f>
        <v>314.94704727988847</v>
      </c>
      <c r="AO43" s="59">
        <f t="shared" si="36"/>
        <v>366.49199094166454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82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3.2120956578860151</v>
      </c>
      <c r="AV43" s="21">
        <f>EXP(-LN(2)/25)*AV42+(1-EXP(-LN(2)/25))/(LN(2)/25)*Calculateur!AQ43*Calculateur!AS43*VLOOKUP('Données projet'!$B$10,Paramètres!$A$1:$I$89,3,0)*0.475*44/12</f>
        <v>19.254824221086619</v>
      </c>
      <c r="AW43" s="21">
        <f>EXP(-LN(2)/2)*AW42+(1-EXP(-LN(2)/2))/(LN(2)/2)*AQ43*AT43*VLOOKUP('Données projet'!$B$10,Paramètres!$A$1:$I$89,3,0)*0.475*44/12</f>
        <v>0.90216364314859765</v>
      </c>
      <c r="AX43" s="21">
        <f t="shared" si="6"/>
        <v>23.36908352212123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305</v>
      </c>
      <c r="BB43" s="12">
        <f>VLOOKUP(A43,'Données projet'!$A$87:$I$107,9,0)</f>
        <v>14.2</v>
      </c>
      <c r="BC43" s="12">
        <f t="array" ref="BC43">INDEX(BB:BB,MIN(IF(ISNUMBER(BB43:BB239),ROW(BB43:BB239),"")))</f>
        <v>14.2</v>
      </c>
      <c r="BD43" s="12">
        <f>IF('Données projet'!$A$88&gt;35,BD42+BC43-BL42,IF(A43&lt;'Données projet'!$A$88,$BA$205^A43,IF(A43='Données projet'!$A$88,'Données projet'!$B$88,BD42+BC43-BL42)))</f>
        <v>304.99999999999983</v>
      </c>
      <c r="BE43" s="13">
        <f>BD43*VLOOKUP('Données projet'!$B$11,Paramètres!$A$1:$I$89,3,0)*VLOOKUP('Données projet'!$B$11,Paramètres!$A$1:$I$89,5,0)</f>
        <v>199.8359999999999</v>
      </c>
      <c r="BF43" s="13">
        <f t="shared" si="37"/>
        <v>49.708123768564562</v>
      </c>
      <c r="BG43" s="20">
        <f t="shared" si="7"/>
        <v>434.62268223024984</v>
      </c>
      <c r="BH43" s="59">
        <f t="shared" si="8"/>
        <v>727.95601556358315</v>
      </c>
      <c r="BI43" s="59">
        <f ca="1">AVERAGE(OFFSET($BH$3,0,0,'Données projet'!$E$11+1,1))-AVERAGE(OFFSET($H$3,0,0,'Données projet'!$E$11+1,1))</f>
        <v>246.64951465060813</v>
      </c>
      <c r="BJ43" s="59">
        <f t="shared" si="38"/>
        <v>292.64550285216865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82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2.146150483959357</v>
      </c>
      <c r="BQ43" s="21">
        <f>EXP(-LN(2)/25)*BQ42+(1-EXP(-LN(2)/25))/(LN(2)/25)*Calculateur!BL43*Calculateur!BN43*VLOOKUP('Données projet'!$B$11,Paramètres!$A$1:$I$89,3,0)*0.475*44/12</f>
        <v>12.865043486231006</v>
      </c>
      <c r="BR43" s="21">
        <f>EXP(-LN(2)/2)*BR42+(1-EXP(-LN(2)/2))/(LN(2)/2)*BL43*BO43*VLOOKUP('Données projet'!$B$11,Paramètres!$A$1:$I$89,3,0)*0.475*44/12</f>
        <v>0.74295829435766869</v>
      </c>
      <c r="BS43" s="22">
        <f t="shared" si="9"/>
        <v>15.754152264548031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305</v>
      </c>
      <c r="BW43" s="12">
        <f>VLOOKUP(A43,'Données projet'!$A$113:$I$133,9,0)</f>
        <v>14.2</v>
      </c>
      <c r="BX43" s="12">
        <f t="array" ref="BX43">INDEX(BW:BW,MIN(IF(ISNUMBER(BW43:BW239),ROW(BW43:BW239),"")))</f>
        <v>14.2</v>
      </c>
      <c r="BY43" s="12">
        <f>IF('Données projet'!$A$114&gt;35,BY42+BX43-CG42,IF(A43&lt;'Données projet'!$A$114,$BV$205^A43,IF(A43='Données projet'!$A$114,'Données projet'!$B$114,BY42+BX43-CG42)))</f>
        <v>304.99999999999983</v>
      </c>
      <c r="BZ43" s="13">
        <f>BY43*VLOOKUP('Données projet'!$B$12,Paramètres!$A$1:$I$89,3,0)*VLOOKUP('Données projet'!$B$12,Paramètres!$A$1:$I$89,5,0)</f>
        <v>204.59399999999988</v>
      </c>
      <c r="CA43" s="13">
        <f t="shared" si="39"/>
        <v>50.752451560432448</v>
      </c>
      <c r="CB43" s="20">
        <f t="shared" si="10"/>
        <v>444.72840313441958</v>
      </c>
      <c r="CC43" s="59">
        <f t="shared" si="11"/>
        <v>738.06173646775289</v>
      </c>
      <c r="CD43" s="59">
        <f ca="1">AVERAGE(OFFSET($CC$3,0,0,'Données projet'!$E$12+1,1))-AVERAGE(OFFSET($H$3,0,0,'Données projet'!$E$12+1,1))</f>
        <v>254.25222107710192</v>
      </c>
      <c r="CE43" s="59">
        <f t="shared" si="40"/>
        <v>300.86609173447573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82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2.708237515472522</v>
      </c>
      <c r="CL43" s="21">
        <f>EXP(-LN(2)/25)*CL42+(1-EXP(-LN(2)/25))/(LN(2)/25)*Calculateur!CG43*Calculateur!CI43*VLOOKUP('Données projet'!$B$12,Paramètres!$A$1:$I$89,3,0)*0.475*44/12</f>
        <v>16.234459637386752</v>
      </c>
      <c r="CM43" s="21">
        <f>EXP(-LN(2)/2)*CM42+(1-EXP(-LN(2)/2))/(LN(2)/2)*CG43*CJ43*VLOOKUP('Données projet'!$B$12,Paramètres!$A$1:$I$89,3,0)*0.475*44/12</f>
        <v>0.76064777755666124</v>
      </c>
      <c r="CN43" s="22">
        <f t="shared" si="12"/>
        <v>19.703344930415934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255</v>
      </c>
      <c r="CR43" s="12">
        <f>VLOOKUP(A43,'Données projet'!$A$139:$I$159,9,0)</f>
        <v>11.5</v>
      </c>
      <c r="CS43" s="12">
        <f t="array" ref="CS43">INDEX(CR:CR,MIN(IF(ISNUMBER(CR43:CR239),ROW(CR43:CR239),"")))</f>
        <v>11.5</v>
      </c>
      <c r="CT43" s="12">
        <f>IF('Données projet'!$A$140&gt;35,CT42+CS43-DB42,IF(A43&lt;'Données projet'!$A$140,$CQ$205^A43,IF(A43='Données projet'!$A$140,'Données projet'!$B$140,CT42+CS43-DB42)))</f>
        <v>255.00000000000006</v>
      </c>
      <c r="CU43" s="17">
        <f>CT43*VLOOKUP('Données projet'!$B$13,Paramètres!$A$1:$I$89,3,0)*VLOOKUP('Données projet'!$B$13,Paramètres!$A$1:$I$89,5,0)</f>
        <v>222.76800000000006</v>
      </c>
      <c r="CV43" s="13">
        <f t="shared" si="41"/>
        <v>54.716058356609508</v>
      </c>
      <c r="CW43" s="20">
        <f t="shared" si="13"/>
        <v>483.28473497109502</v>
      </c>
      <c r="CX43" s="59">
        <f t="shared" si="14"/>
        <v>776.61806830442833</v>
      </c>
      <c r="CY43" s="59">
        <f ca="1">AVERAGE(OFFSET($CX$3,0,0,'Données projet'!$E$13+1,1))-AVERAGE(OFFSET($H$3,0,0,'Données projet'!$E$13+1,1))</f>
        <v>243.38048563215585</v>
      </c>
      <c r="CZ43" s="59">
        <f t="shared" si="42"/>
        <v>372.1604147006675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81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5.995595002807093</v>
      </c>
      <c r="DG43" s="21">
        <f>EXP(-LN(2)/25)*DG42+(1-EXP(-LN(2)/25))/(LN(2)/25)*Calculateur!DB43*Calculateur!DD43*VLOOKUP('Données projet'!$B$13,Paramètres!$A$1:$I$89,3,0)*0.475*44/12</f>
        <v>14.673976848728939</v>
      </c>
      <c r="DH43" s="21">
        <f>EXP(-LN(2)/2)*DH42+(1-EXP(-LN(2)/2))/(LN(2)/2)*DB43*DE43*VLOOKUP('Données projet'!$B$13,Paramètres!$A$1:$I$89,3,0)*0.475*44/12</f>
        <v>0.91609185041131713</v>
      </c>
      <c r="DI43" s="22">
        <f t="shared" si="15"/>
        <v>21.58566370194735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295</v>
      </c>
      <c r="DM43" s="12">
        <f>VLOOKUP(A43,'Données projet'!$A$165:$I$185,9,0)</f>
        <v>16.399999999999999</v>
      </c>
      <c r="DN43" s="12">
        <f t="array" ref="DN43">INDEX(DM:DM,MIN(IF(ISNUMBER(DM43:DM239),ROW(DM43:DM239),"")))</f>
        <v>16.399999999999999</v>
      </c>
      <c r="DO43" s="12">
        <f>IF('Données projet'!$A$166&gt;35,DO42+DN43-DW42,IF(A43&lt;'Données projet'!$A$166,$DL$205^A43,IF(A43='Données projet'!$A$166,'Données projet'!$B$166,DO42+DN43-DW42)))</f>
        <v>294.99999999999994</v>
      </c>
      <c r="DP43" s="17">
        <f>DO43*VLOOKUP('Données projet'!$B$14,Paramètres!$A$1:$I$89,3,0)*VLOOKUP('Données projet'!$B$14,Paramètres!$A$1:$I$89,5,0)</f>
        <v>168.73999999999998</v>
      </c>
      <c r="DQ43" s="13">
        <f t="shared" si="43"/>
        <v>42.807703432658492</v>
      </c>
      <c r="DR43" s="20">
        <f t="shared" si="16"/>
        <v>368.44558347854678</v>
      </c>
      <c r="DS43" s="59">
        <f t="shared" si="17"/>
        <v>661.77891681188009</v>
      </c>
      <c r="DT43" s="59">
        <f ca="1">AVERAGE(OFFSET($DS$3,0,0,'Données projet'!$E$14+1,1))-AVERAGE(OFFSET($H$3,0,0,'Données projet'!$E$14+1,1))</f>
        <v>227.99747790451215</v>
      </c>
      <c r="DU43" s="59">
        <f t="shared" si="44"/>
        <v>209.49597700966933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84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2.35292245749697</v>
      </c>
      <c r="EB43" s="21">
        <f>EXP(-LN(2)/25)*EB42+(1-EXP(-LN(2)/25))/(LN(2)/25)*Calculateur!DW43*Calculateur!DY43*VLOOKUP('Données projet'!$B$14,Paramètres!$A$1:$I$89,3,0)*0.475*44/12</f>
        <v>11.501332545136187</v>
      </c>
      <c r="EC43" s="21">
        <f>EXP(-LN(2)/2)*EC42+(1-EXP(-LN(2)/2))/(LN(2)/2)*DW43*DZ43*VLOOKUP('Données projet'!$B$14,Paramètres!$A$1:$I$89,3,0)*0.475*44/12</f>
        <v>0.77071317859571264</v>
      </c>
      <c r="ED43" s="22">
        <f t="shared" si="18"/>
        <v>14.624968181228869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561</v>
      </c>
      <c r="EH43" s="12">
        <f>VLOOKUP(A43,'Données projet'!$A$191:$I$211,9,0)</f>
        <v>30.3</v>
      </c>
      <c r="EI43" s="12">
        <f t="array" ref="EI43">INDEX(EH:EH,MIN(IF(ISNUMBER(EH43:EH239),ROW(EH43:EH239),"")))</f>
        <v>30.3</v>
      </c>
      <c r="EJ43" s="12">
        <f>IF('Données projet'!$A$192&gt;35,EJ42+EI43-ER42,IF(A43&lt;'Données projet'!$A$192,$EG$205^A43,IF(A43='Données projet'!$A$192,'Données projet'!$B$192,EJ42+EI43-ER42)))</f>
        <v>561.00000000000011</v>
      </c>
      <c r="EK43" s="17">
        <f>EJ43*VLOOKUP('Données projet'!$B$15,Paramètres!$A$1:$I$89,3,0)*VLOOKUP('Données projet'!$B$15,Paramètres!$A$1:$I$89,5,0)</f>
        <v>247.9620000000001</v>
      </c>
      <c r="EL43" s="13">
        <f t="shared" si="45"/>
        <v>60.149326142988073</v>
      </c>
      <c r="EM43" s="20">
        <f t="shared" si="19"/>
        <v>536.62722636570436</v>
      </c>
      <c r="EN43" s="59">
        <f t="shared" si="20"/>
        <v>829.96055969903773</v>
      </c>
      <c r="EO43" s="59">
        <f ca="1">AVERAGE(OFFSET($EN$3,0,0,'Données projet'!$E$15+1,1))-AVERAGE(OFFSET($H$3,0,0,'Données projet'!$E$15+1,1))</f>
        <v>335.27356627949155</v>
      </c>
      <c r="EP43" s="59">
        <f t="shared" si="46"/>
        <v>322.66829503077247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140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21.191698729611407</v>
      </c>
      <c r="EX43" s="21">
        <f>EXP(-LN(2)/2)*EX42+(1-EXP(-LN(2)/2))/(LN(2)/2)*ER43*EU43*VLOOKUP('Données projet'!$B$15,Paramètres!$A$1:$I$89,3,0)*0.475*44/12</f>
        <v>1.1057232454432657</v>
      </c>
      <c r="EY43" s="22">
        <f t="shared" si="21"/>
        <v>22.297421975054672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11.2</v>
      </c>
      <c r="N44" s="13">
        <f>IF('Données projet'!$A$36&gt;35,N43+M44-V43,IF(A44&lt;'Données projet'!$A$36,$K$205^A44,IF(A44='Données projet'!$A$36,'Données projet'!$B$36,N43+M44-V43)))</f>
        <v>158.19999999999999</v>
      </c>
      <c r="O44" s="13">
        <f>N44*VLOOKUP('Données projet'!$B$9,Paramètres!$A$1:$I$89,3,0)*VLOOKUP('Données projet'!$B$9,Paramètres!$A$1:$I$89,5,0)</f>
        <v>143.13935999999998</v>
      </c>
      <c r="P44" s="13">
        <f t="shared" si="33"/>
        <v>37.015257937854066</v>
      </c>
      <c r="Q44" s="20">
        <f t="shared" si="53"/>
        <v>313.76929290842912</v>
      </c>
      <c r="R44" s="59">
        <f t="shared" si="0"/>
        <v>607.10262624176244</v>
      </c>
      <c r="S44" s="59">
        <f ca="1">AVERAGE(OFFSET($R$3,0,0,'Données projet'!$E$9+1,1))-AVERAGE(OFFSET($H$3,0,0,'Données projet'!$E$9+1,1))</f>
        <v>319.18811755575183</v>
      </c>
      <c r="T44" s="59">
        <f t="shared" si="34"/>
        <v>234.87694492493506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1.9370764342143543</v>
      </c>
      <c r="AA44" s="21">
        <f>EXP(-LN(2)/25)*AA43+(1-EXP(-LN(2)/25))/(LN(2)/25)*Calculateur!V44*Calculateur!X44*VLOOKUP('Données projet'!$B$9,Paramètres!$A$1:$I$89,3,0)*0.475*44/12</f>
        <v>8.3169559260785704</v>
      </c>
      <c r="AB44" s="21">
        <f>EXP(-LN(2)/2)*AB43+(1-EXP(-LN(2)/2))/(LN(2)/2)*V44*Y44*VLOOKUP('Données projet'!$B$9,Paramètres!$A$1:$I$89,3,0)*0.475*44/12</f>
        <v>0.47626595594275495</v>
      </c>
      <c r="AC44" s="22">
        <f t="shared" si="3"/>
        <v>10.730298316235681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10.6</v>
      </c>
      <c r="AI44" s="13">
        <f>IF('Données projet'!$A$62&gt;35,AI43+AH44-AQ43,IF(A44&lt;'Données projet'!$A$62,$AF$205^A44,IF(A44='Données projet'!$A$62,'Données projet'!$B$62,AI43+AH44-AQ43)))</f>
        <v>233.59999999999985</v>
      </c>
      <c r="AJ44" s="13">
        <f>AI44*VLOOKUP('Données projet'!$B$10,Paramètres!$A$1:$I$89,3,0)*VLOOKUP('Données projet'!$B$10,Paramètres!$A$1:$I$89,5,0)</f>
        <v>185.85215999999988</v>
      </c>
      <c r="AK44" s="13">
        <f t="shared" si="35"/>
        <v>46.621749613278887</v>
      </c>
      <c r="AL44" s="20">
        <f t="shared" si="4"/>
        <v>404.89205924312722</v>
      </c>
      <c r="AM44" s="59">
        <f t="shared" si="5"/>
        <v>698.22539257646054</v>
      </c>
      <c r="AN44" s="59">
        <f ca="1">AVERAGE(OFFSET($AM$3,0,0,'Données projet'!$E$10+1,1))-AVERAGE(OFFSET($H$3,0,0,'Données projet'!$E$10+1,1))</f>
        <v>314.94704727988847</v>
      </c>
      <c r="AO44" s="59">
        <f t="shared" si="36"/>
        <v>366.49199094166454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3.1491084212197684</v>
      </c>
      <c r="AV44" s="21">
        <f>EXP(-LN(2)/25)*AV43+(1-EXP(-LN(2)/25))/(LN(2)/25)*Calculateur!AQ44*Calculateur!AS44*VLOOKUP('Données projet'!$B$10,Paramètres!$A$1:$I$89,3,0)*0.475*44/12</f>
        <v>18.728300040193808</v>
      </c>
      <c r="AW44" s="21">
        <f>EXP(-LN(2)/2)*AW43+(1-EXP(-LN(2)/2))/(LN(2)/2)*AQ44*AT44*VLOOKUP('Données projet'!$B$10,Paramètres!$A$1:$I$89,3,0)*0.475*44/12</f>
        <v>0.63792602981033397</v>
      </c>
      <c r="AX44" s="21">
        <f t="shared" si="6"/>
        <v>22.515334491223911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10.6</v>
      </c>
      <c r="BD44" s="12">
        <f>IF('Données projet'!$A$88&gt;35,BD43+BC44-BL43,IF(A44&lt;'Données projet'!$A$88,$BA$205^A44,IF(A44='Données projet'!$A$88,'Données projet'!$B$88,BD43+BC44-BL43)))</f>
        <v>233.59999999999985</v>
      </c>
      <c r="BE44" s="13">
        <f>BD44*VLOOKUP('Données projet'!$B$11,Paramètres!$A$1:$I$89,3,0)*VLOOKUP('Données projet'!$B$11,Paramètres!$A$1:$I$89,5,0)</f>
        <v>153.05471999999992</v>
      </c>
      <c r="BF44" s="13">
        <f t="shared" si="37"/>
        <v>39.271965088385166</v>
      </c>
      <c r="BG44" s="20">
        <f t="shared" si="7"/>
        <v>334.96897652893739</v>
      </c>
      <c r="BH44" s="59">
        <f t="shared" si="8"/>
        <v>628.3023098622707</v>
      </c>
      <c r="BI44" s="59">
        <f ca="1">AVERAGE(OFFSET($BH$3,0,0,'Données projet'!$E$11+1,1))-AVERAGE(OFFSET($H$3,0,0,'Données projet'!$E$11+1,1))</f>
        <v>246.64951465060813</v>
      </c>
      <c r="BJ44" s="59">
        <f t="shared" si="38"/>
        <v>292.64550285216865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2.1040657819914541</v>
      </c>
      <c r="BQ44" s="21">
        <f>EXP(-LN(2)/25)*BQ43+(1-EXP(-LN(2)/25))/(LN(2)/25)*Calculateur!BL44*Calculateur!BN44*VLOOKUP('Données projet'!$B$11,Paramètres!$A$1:$I$89,3,0)*0.475*44/12</f>
        <v>12.513248195556786</v>
      </c>
      <c r="BR44" s="21">
        <f>EXP(-LN(2)/2)*BR43+(1-EXP(-LN(2)/2))/(LN(2)/2)*BL44*BO44*VLOOKUP('Données projet'!$B$11,Paramètres!$A$1:$I$89,3,0)*0.475*44/12</f>
        <v>0.5253508480790986</v>
      </c>
      <c r="BS44" s="22">
        <f t="shared" si="9"/>
        <v>15.142664825627337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10.6</v>
      </c>
      <c r="BY44" s="12">
        <f>IF('Données projet'!$A$114&gt;35,BY43+BX44-CG43,IF(A44&lt;'Données projet'!$A$114,$BV$205^A44,IF(A44='Données projet'!$A$114,'Données projet'!$B$114,BY43+BX44-CG43)))</f>
        <v>233.59999999999985</v>
      </c>
      <c r="BZ44" s="13">
        <f>BY44*VLOOKUP('Données projet'!$B$12,Paramètres!$A$1:$I$89,3,0)*VLOOKUP('Données projet'!$B$12,Paramètres!$A$1:$I$89,5,0)</f>
        <v>156.69887999999992</v>
      </c>
      <c r="CA44" s="13">
        <f t="shared" si="39"/>
        <v>40.097037560925337</v>
      </c>
      <c r="CB44" s="20">
        <f t="shared" si="10"/>
        <v>342.75288975194485</v>
      </c>
      <c r="CC44" s="59">
        <f t="shared" si="11"/>
        <v>636.08622308527811</v>
      </c>
      <c r="CD44" s="59">
        <f ca="1">AVERAGE(OFFSET($CC$3,0,0,'Données projet'!$E$12+1,1))-AVERAGE(OFFSET($H$3,0,0,'Données projet'!$E$12+1,1))</f>
        <v>254.25222107710192</v>
      </c>
      <c r="CE44" s="59">
        <f t="shared" si="40"/>
        <v>300.86609173447573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2.6551306296558823</v>
      </c>
      <c r="CL44" s="21">
        <f>EXP(-LN(2)/25)*CL43+(1-EXP(-LN(2)/25))/(LN(2)/25)*Calculateur!CG44*Calculateur!CI44*VLOOKUP('Données projet'!$B$12,Paramètres!$A$1:$I$89,3,0)*0.475*44/12</f>
        <v>15.790527484869283</v>
      </c>
      <c r="CM44" s="21">
        <f>EXP(-LN(2)/2)*CM43+(1-EXP(-LN(2)/2))/(LN(2)/2)*CG44*CJ44*VLOOKUP('Données projet'!$B$12,Paramètres!$A$1:$I$89,3,0)*0.475*44/12</f>
        <v>0.53785920160479173</v>
      </c>
      <c r="CN44" s="22">
        <f t="shared" si="12"/>
        <v>18.983517316129959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9.4</v>
      </c>
      <c r="CT44" s="12">
        <f>IF('Données projet'!$A$140&gt;35,CT43+CS44-DB43,IF(A44&lt;'Données projet'!$A$140,$CQ$205^A44,IF(A44='Données projet'!$A$140,'Données projet'!$B$140,CT43+CS44-DB43)))</f>
        <v>183.40000000000003</v>
      </c>
      <c r="CU44" s="17">
        <f>CT44*VLOOKUP('Données projet'!$B$13,Paramètres!$A$1:$I$89,3,0)*VLOOKUP('Données projet'!$B$13,Paramètres!$A$1:$I$89,5,0)</f>
        <v>160.21824000000004</v>
      </c>
      <c r="CV44" s="13">
        <f t="shared" si="41"/>
        <v>40.891736142170217</v>
      </c>
      <c r="CW44" s="20">
        <f t="shared" si="13"/>
        <v>350.26654178094645</v>
      </c>
      <c r="CX44" s="59">
        <f t="shared" si="14"/>
        <v>643.59987511427971</v>
      </c>
      <c r="CY44" s="59">
        <f ca="1">AVERAGE(OFFSET($CX$3,0,0,'Données projet'!$E$13+1,1))-AVERAGE(OFFSET($H$3,0,0,'Données projet'!$E$13+1,1))</f>
        <v>243.38048563215585</v>
      </c>
      <c r="CZ44" s="59">
        <f t="shared" si="42"/>
        <v>372.1604147006675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5.8780250417539035</v>
      </c>
      <c r="DG44" s="21">
        <f>EXP(-LN(2)/25)*DG43+(1-EXP(-LN(2)/25))/(LN(2)/25)*Calculateur!DB44*Calculateur!DD44*VLOOKUP('Données projet'!$B$13,Paramètres!$A$1:$I$89,3,0)*0.475*44/12</f>
        <v>14.272716180129542</v>
      </c>
      <c r="DH44" s="21">
        <f>EXP(-LN(2)/2)*DH43+(1-EXP(-LN(2)/2))/(LN(2)/2)*DB44*DE44*VLOOKUP('Données projet'!$B$13,Paramètres!$A$1:$I$89,3,0)*0.475*44/12</f>
        <v>0.64777475961557474</v>
      </c>
      <c r="DI44" s="22">
        <f t="shared" si="15"/>
        <v>20.798515981499023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16.5</v>
      </c>
      <c r="DO44" s="12">
        <f>IF('Données projet'!$A$166&gt;35,DO43+DN44-DW43,IF(A44&lt;'Données projet'!$A$166,$DL$205^A44,IF(A44='Données projet'!$A$166,'Données projet'!$B$166,DO43+DN44-DW43)))</f>
        <v>227.49999999999994</v>
      </c>
      <c r="DP44" s="17">
        <f>DO44*VLOOKUP('Données projet'!$B$14,Paramètres!$A$1:$I$89,3,0)*VLOOKUP('Données projet'!$B$14,Paramètres!$A$1:$I$89,5,0)</f>
        <v>130.12999999999997</v>
      </c>
      <c r="DQ44" s="13">
        <f t="shared" si="43"/>
        <v>34.026396767825609</v>
      </c>
      <c r="DR44" s="20">
        <f t="shared" si="16"/>
        <v>285.90572437062957</v>
      </c>
      <c r="DS44" s="59">
        <f t="shared" si="17"/>
        <v>579.23905770396289</v>
      </c>
      <c r="DT44" s="59">
        <f ca="1">AVERAGE(OFFSET($DS$3,0,0,'Données projet'!$E$14+1,1))-AVERAGE(OFFSET($H$3,0,0,'Données projet'!$E$14+1,1))</f>
        <v>227.99747790451215</v>
      </c>
      <c r="DU44" s="59">
        <f t="shared" si="44"/>
        <v>209.49597700966933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2.3067830832464451</v>
      </c>
      <c r="EB44" s="21">
        <f>EXP(-LN(2)/25)*EB43+(1-EXP(-LN(2)/25))/(LN(2)/25)*Calculateur!DW44*Calculateur!DY44*VLOOKUP('Données projet'!$B$14,Paramètres!$A$1:$I$89,3,0)*0.475*44/12</f>
        <v>11.186828001860645</v>
      </c>
      <c r="EC44" s="21">
        <f>EXP(-LN(2)/2)*EC43+(1-EXP(-LN(2)/2))/(LN(2)/2)*DW44*DZ44*VLOOKUP('Données projet'!$B$14,Paramètres!$A$1:$I$89,3,0)*0.475*44/12</f>
        <v>0.5449765149348671</v>
      </c>
      <c r="ED44" s="22">
        <f t="shared" si="18"/>
        <v>14.038587600041957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24.9</v>
      </c>
      <c r="EJ44" s="12">
        <f>IF('Données projet'!$A$192&gt;35,EJ43+EI44-ER43,IF(A44&lt;'Données projet'!$A$192,$EG$205^A44,IF(A44='Données projet'!$A$192,'Données projet'!$B$192,EJ43+EI44-ER43)))</f>
        <v>445.90000000000009</v>
      </c>
      <c r="EK44" s="17">
        <f>EJ44*VLOOKUP('Données projet'!$B$15,Paramètres!$A$1:$I$89,3,0)*VLOOKUP('Données projet'!$B$15,Paramètres!$A$1:$I$89,5,0)</f>
        <v>197.08780000000007</v>
      </c>
      <c r="EL44" s="13">
        <f t="shared" si="45"/>
        <v>49.103608967605879</v>
      </c>
      <c r="EM44" s="20">
        <f t="shared" si="19"/>
        <v>428.78337061858036</v>
      </c>
      <c r="EN44" s="59">
        <f t="shared" si="20"/>
        <v>722.11670395191368</v>
      </c>
      <c r="EO44" s="59">
        <f ca="1">AVERAGE(OFFSET($EN$3,0,0,'Données projet'!$E$15+1,1))-AVERAGE(OFFSET($H$3,0,0,'Données projet'!$E$15+1,1))</f>
        <v>335.27356627949155</v>
      </c>
      <c r="EP44" s="59">
        <f t="shared" si="46"/>
        <v>322.66829503077247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20.61221061342718</v>
      </c>
      <c r="EX44" s="21">
        <f>EXP(-LN(2)/2)*EX43+(1-EXP(-LN(2)/2))/(LN(2)/2)*ER44*EU44*VLOOKUP('Données projet'!$B$15,Paramètres!$A$1:$I$89,3,0)*0.475*44/12</f>
        <v>0.78186440496853049</v>
      </c>
      <c r="EY44" s="22">
        <f t="shared" si="21"/>
        <v>21.394075018395711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11.2</v>
      </c>
      <c r="N45" s="13">
        <f>IF('Données projet'!$A$36&gt;35,N44+M45-V44,IF(A45&lt;'Données projet'!$A$36,$K$205^A45,IF(A45='Données projet'!$A$36,'Données projet'!$B$36,N44+M45-V44)))</f>
        <v>169.39999999999998</v>
      </c>
      <c r="O45" s="13">
        <f>N45*VLOOKUP('Données projet'!$B$9,Paramètres!$A$1:$I$89,3,0)*VLOOKUP('Données projet'!$B$9,Paramètres!$A$1:$I$89,5,0)</f>
        <v>153.27311999999998</v>
      </c>
      <c r="P45" s="13">
        <f t="shared" si="33"/>
        <v>39.321476829336504</v>
      </c>
      <c r="Q45" s="20">
        <f t="shared" si="53"/>
        <v>335.43558947776097</v>
      </c>
      <c r="R45" s="59">
        <f t="shared" si="0"/>
        <v>628.76892281109428</v>
      </c>
      <c r="S45" s="59">
        <f ca="1">AVERAGE(OFFSET($R$3,0,0,'Données projet'!$E$9+1,1))-AVERAGE(OFFSET($H$3,0,0,'Données projet'!$E$9+1,1))</f>
        <v>319.18811755575183</v>
      </c>
      <c r="T45" s="59">
        <f t="shared" si="34"/>
        <v>234.87694492493506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1.8990915468393723</v>
      </c>
      <c r="AA45" s="21">
        <f>EXP(-LN(2)/25)*AA44+(1-EXP(-LN(2)/25))/(LN(2)/25)*Calculateur!V45*Calculateur!X45*VLOOKUP('Données projet'!$B$9,Paramètres!$A$1:$I$89,3,0)*0.475*44/12</f>
        <v>8.089528328910248</v>
      </c>
      <c r="AB45" s="21">
        <f>EXP(-LN(2)/2)*AB44+(1-EXP(-LN(2)/2))/(LN(2)/2)*V45*Y45*VLOOKUP('Données projet'!$B$9,Paramètres!$A$1:$I$89,3,0)*0.475*44/12</f>
        <v>0.33677088709541553</v>
      </c>
      <c r="AC45" s="22">
        <f t="shared" si="3"/>
        <v>10.325390762845036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10.6</v>
      </c>
      <c r="AI45" s="13">
        <f>IF('Données projet'!$A$62&gt;35,AI44+AH45-AQ44,IF(A45&lt;'Données projet'!$A$62,$AF$205^A45,IF(A45='Données projet'!$A$62,'Données projet'!$B$62,AI44+AH45-AQ44)))</f>
        <v>244.19999999999985</v>
      </c>
      <c r="AJ45" s="13">
        <f>AI45*VLOOKUP('Données projet'!$B$10,Paramètres!$A$1:$I$89,3,0)*VLOOKUP('Données projet'!$B$10,Paramètres!$A$1:$I$89,5,0)</f>
        <v>194.28551999999991</v>
      </c>
      <c r="AK45" s="13">
        <f t="shared" si="35"/>
        <v>48.486187031267164</v>
      </c>
      <c r="AL45" s="20">
        <f t="shared" si="4"/>
        <v>422.8273897461234</v>
      </c>
      <c r="AM45" s="59">
        <f t="shared" si="5"/>
        <v>716.16072307945672</v>
      </c>
      <c r="AN45" s="59">
        <f ca="1">AVERAGE(OFFSET($AM$3,0,0,'Données projet'!$E$10+1,1))-AVERAGE(OFFSET($H$3,0,0,'Données projet'!$E$10+1,1))</f>
        <v>314.94704727988847</v>
      </c>
      <c r="AO45" s="59">
        <f t="shared" si="36"/>
        <v>366.49199094166454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3.0873563258461258</v>
      </c>
      <c r="AV45" s="21">
        <f>EXP(-LN(2)/25)*AV44+(1-EXP(-LN(2)/25))/(LN(2)/25)*Calculateur!AQ45*Calculateur!AS45*VLOOKUP('Données projet'!$B$10,Paramètres!$A$1:$I$89,3,0)*0.475*44/12</f>
        <v>18.216173690716214</v>
      </c>
      <c r="AW45" s="21">
        <f>EXP(-LN(2)/2)*AW44+(1-EXP(-LN(2)/2))/(LN(2)/2)*AQ45*AT45*VLOOKUP('Données projet'!$B$10,Paramètres!$A$1:$I$89,3,0)*0.475*44/12</f>
        <v>0.45108182157429882</v>
      </c>
      <c r="AX45" s="21">
        <f t="shared" si="6"/>
        <v>21.75461183813664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10.6</v>
      </c>
      <c r="BD45" s="12">
        <f>IF('Données projet'!$A$88&gt;35,BD44+BC45-BL44,IF(A45&lt;'Données projet'!$A$88,$BA$205^A45,IF(A45='Données projet'!$A$88,'Données projet'!$B$88,BD44+BC45-BL44)))</f>
        <v>244.19999999999985</v>
      </c>
      <c r="BE45" s="13">
        <f>BD45*VLOOKUP('Données projet'!$B$11,Paramètres!$A$1:$I$89,3,0)*VLOOKUP('Données projet'!$B$11,Paramètres!$A$1:$I$89,5,0)</f>
        <v>159.99983999999989</v>
      </c>
      <c r="BF45" s="13">
        <f t="shared" si="37"/>
        <v>40.842479318247101</v>
      </c>
      <c r="BG45" s="20">
        <f t="shared" si="7"/>
        <v>349.80037281261349</v>
      </c>
      <c r="BH45" s="59">
        <f t="shared" si="8"/>
        <v>643.1337061459468</v>
      </c>
      <c r="BI45" s="59">
        <f ca="1">AVERAGE(OFFSET($BH$3,0,0,'Données projet'!$E$11+1,1))-AVERAGE(OFFSET($H$3,0,0,'Données projet'!$E$11+1,1))</f>
        <v>246.64951465060813</v>
      </c>
      <c r="BJ45" s="59">
        <f t="shared" si="38"/>
        <v>292.64550285216865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2.0628063353600079</v>
      </c>
      <c r="BQ45" s="21">
        <f>EXP(-LN(2)/25)*BQ44+(1-EXP(-LN(2)/25))/(LN(2)/25)*Calculateur!BL45*Calculateur!BN45*VLOOKUP('Données projet'!$B$11,Paramètres!$A$1:$I$89,3,0)*0.475*44/12</f>
        <v>12.171072765606162</v>
      </c>
      <c r="BR45" s="21">
        <f>EXP(-LN(2)/2)*BR44+(1-EXP(-LN(2)/2))/(LN(2)/2)*BL45*BO45*VLOOKUP('Données projet'!$B$11,Paramètres!$A$1:$I$89,3,0)*0.475*44/12</f>
        <v>0.37147914717883435</v>
      </c>
      <c r="BS45" s="22">
        <f t="shared" si="9"/>
        <v>14.605358248145006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10.6</v>
      </c>
      <c r="BY45" s="12">
        <f>IF('Données projet'!$A$114&gt;35,BY44+BX45-CG44,IF(A45&lt;'Données projet'!$A$114,$BV$205^A45,IF(A45='Données projet'!$A$114,'Données projet'!$B$114,BY44+BX45-CG44)))</f>
        <v>244.19999999999985</v>
      </c>
      <c r="BZ45" s="13">
        <f>BY45*VLOOKUP('Données projet'!$B$12,Paramètres!$A$1:$I$89,3,0)*VLOOKUP('Données projet'!$B$12,Paramètres!$A$1:$I$89,5,0)</f>
        <v>163.80935999999988</v>
      </c>
      <c r="CA45" s="13">
        <f t="shared" si="39"/>
        <v>41.700547034490427</v>
      </c>
      <c r="CB45" s="20">
        <f t="shared" si="10"/>
        <v>357.92975475173733</v>
      </c>
      <c r="CC45" s="59">
        <f t="shared" si="11"/>
        <v>651.26308808507065</v>
      </c>
      <c r="CD45" s="59">
        <f ca="1">AVERAGE(OFFSET($CC$3,0,0,'Données projet'!$E$12+1,1))-AVERAGE(OFFSET($H$3,0,0,'Données projet'!$E$12+1,1))</f>
        <v>254.25222107710192</v>
      </c>
      <c r="CE45" s="59">
        <f t="shared" si="40"/>
        <v>300.86609173447573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2.6030651374781053</v>
      </c>
      <c r="CL45" s="21">
        <f>EXP(-LN(2)/25)*CL44+(1-EXP(-LN(2)/25))/(LN(2)/25)*Calculateur!CG45*Calculateur!CI45*VLOOKUP('Données projet'!$B$12,Paramètres!$A$1:$I$89,3,0)*0.475*44/12</f>
        <v>15.358734680407782</v>
      </c>
      <c r="CM45" s="21">
        <f>EXP(-LN(2)/2)*CM44+(1-EXP(-LN(2)/2))/(LN(2)/2)*CG45*CJ45*VLOOKUP('Données projet'!$B$12,Paramètres!$A$1:$I$89,3,0)*0.475*44/12</f>
        <v>0.38032388877833062</v>
      </c>
      <c r="CN45" s="22">
        <f t="shared" si="12"/>
        <v>18.342123706664218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9.4</v>
      </c>
      <c r="CT45" s="12">
        <f>IF('Données projet'!$A$140&gt;35,CT44+CS45-DB44,IF(A45&lt;'Données projet'!$A$140,$CQ$205^A45,IF(A45='Données projet'!$A$140,'Données projet'!$B$140,CT44+CS45-DB44)))</f>
        <v>192.80000000000004</v>
      </c>
      <c r="CU45" s="17">
        <f>CT45*VLOOKUP('Données projet'!$B$13,Paramètres!$A$1:$I$89,3,0)*VLOOKUP('Données projet'!$B$13,Paramètres!$A$1:$I$89,5,0)</f>
        <v>168.43008000000006</v>
      </c>
      <c r="CV45" s="13">
        <f t="shared" si="41"/>
        <v>42.73822409848502</v>
      </c>
      <c r="CW45" s="20">
        <f t="shared" si="13"/>
        <v>367.78479630486146</v>
      </c>
      <c r="CX45" s="59">
        <f t="shared" si="14"/>
        <v>661.11812963819477</v>
      </c>
      <c r="CY45" s="59">
        <f ca="1">AVERAGE(OFFSET($CX$3,0,0,'Données projet'!$E$13+1,1))-AVERAGE(OFFSET($H$3,0,0,'Données projet'!$E$13+1,1))</f>
        <v>243.38048563215585</v>
      </c>
      <c r="CZ45" s="59">
        <f t="shared" si="42"/>
        <v>372.1604147006675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5.7627605559263717</v>
      </c>
      <c r="DG45" s="21">
        <f>EXP(-LN(2)/25)*DG44+(1-EXP(-LN(2)/25))/(LN(2)/25)*Calculateur!DB45*Calculateur!DD45*VLOOKUP('Données projet'!$B$13,Paramètres!$A$1:$I$89,3,0)*0.475*44/12</f>
        <v>13.882428005614377</v>
      </c>
      <c r="DH45" s="21">
        <f>EXP(-LN(2)/2)*DH44+(1-EXP(-LN(2)/2))/(LN(2)/2)*DB45*DE45*VLOOKUP('Données projet'!$B$13,Paramètres!$A$1:$I$89,3,0)*0.475*44/12</f>
        <v>0.45804592520565868</v>
      </c>
      <c r="DI45" s="22">
        <f t="shared" si="15"/>
        <v>20.103234486746409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16.5</v>
      </c>
      <c r="DO45" s="12">
        <f>IF('Données projet'!$A$166&gt;35,DO44+DN45-DW44,IF(A45&lt;'Données projet'!$A$166,$DL$205^A45,IF(A45='Données projet'!$A$166,'Données projet'!$B$166,DO44+DN45-DW44)))</f>
        <v>243.99999999999994</v>
      </c>
      <c r="DP45" s="17">
        <f>DO45*VLOOKUP('Données projet'!$B$14,Paramètres!$A$1:$I$89,3,0)*VLOOKUP('Données projet'!$B$14,Paramètres!$A$1:$I$89,5,0)</f>
        <v>139.56799999999996</v>
      </c>
      <c r="DQ45" s="13">
        <f t="shared" si="43"/>
        <v>36.198022567902299</v>
      </c>
      <c r="DR45" s="20">
        <f t="shared" si="16"/>
        <v>306.12582263909644</v>
      </c>
      <c r="DS45" s="59">
        <f t="shared" si="17"/>
        <v>599.4591559724297</v>
      </c>
      <c r="DT45" s="59">
        <f ca="1">AVERAGE(OFFSET($DS$3,0,0,'Données projet'!$E$14+1,1))-AVERAGE(OFFSET($H$3,0,0,'Données projet'!$E$14+1,1))</f>
        <v>227.99747790451215</v>
      </c>
      <c r="DU45" s="59">
        <f t="shared" si="44"/>
        <v>209.49597700966933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2.2615484739827334</v>
      </c>
      <c r="EB45" s="21">
        <f>EXP(-LN(2)/25)*EB44+(1-EXP(-LN(2)/25))/(LN(2)/25)*Calculateur!DW45*Calculateur!DY45*VLOOKUP('Données projet'!$B$14,Paramètres!$A$1:$I$89,3,0)*0.475*44/12</f>
        <v>10.880923601860049</v>
      </c>
      <c r="EC45" s="21">
        <f>EXP(-LN(2)/2)*EC44+(1-EXP(-LN(2)/2))/(LN(2)/2)*DW45*DZ45*VLOOKUP('Données projet'!$B$14,Paramètres!$A$1:$I$89,3,0)*0.475*44/12</f>
        <v>0.38535658929785632</v>
      </c>
      <c r="ED45" s="22">
        <f t="shared" si="18"/>
        <v>13.527828665140639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24.9</v>
      </c>
      <c r="EJ45" s="12">
        <f>IF('Données projet'!$A$192&gt;35,EJ44+EI45-ER44,IF(A45&lt;'Données projet'!$A$192,$EG$205^A45,IF(A45='Données projet'!$A$192,'Données projet'!$B$192,EJ44+EI45-ER44)))</f>
        <v>470.80000000000007</v>
      </c>
      <c r="EK45" s="17">
        <f>EJ45*VLOOKUP('Données projet'!$B$15,Paramètres!$A$1:$I$89,3,0)*VLOOKUP('Données projet'!$B$15,Paramètres!$A$1:$I$89,5,0)</f>
        <v>208.09360000000004</v>
      </c>
      <c r="EL45" s="13">
        <f t="shared" si="45"/>
        <v>51.518768480140338</v>
      </c>
      <c r="EM45" s="20">
        <f t="shared" si="19"/>
        <v>452.15820843624448</v>
      </c>
      <c r="EN45" s="59">
        <f t="shared" si="20"/>
        <v>745.49154176957779</v>
      </c>
      <c r="EO45" s="59">
        <f ca="1">AVERAGE(OFFSET($EN$3,0,0,'Données projet'!$E$15+1,1))-AVERAGE(OFFSET($H$3,0,0,'Données projet'!$E$15+1,1))</f>
        <v>335.27356627949155</v>
      </c>
      <c r="EP45" s="59">
        <f t="shared" si="46"/>
        <v>322.66829503077247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20.048568630253968</v>
      </c>
      <c r="EX45" s="21">
        <f>EXP(-LN(2)/2)*EX44+(1-EXP(-LN(2)/2))/(LN(2)/2)*ER45*EU45*VLOOKUP('Données projet'!$B$15,Paramètres!$A$1:$I$89,3,0)*0.475*44/12</f>
        <v>0.55286162272163286</v>
      </c>
      <c r="EY45" s="22">
        <f t="shared" si="21"/>
        <v>20.6014302529756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11.2</v>
      </c>
      <c r="N46" s="13">
        <f>IF('Données projet'!$A$36&gt;35,N45+M46-V45,IF(A46&lt;'Données projet'!$A$36,$K$205^A46,IF(A46='Données projet'!$A$36,'Données projet'!$B$36,N45+M46-V45)))</f>
        <v>180.59999999999997</v>
      </c>
      <c r="O46" s="13">
        <f>N46*VLOOKUP('Données projet'!$B$9,Paramètres!$A$1:$I$89,3,0)*VLOOKUP('Données projet'!$B$9,Paramètres!$A$1:$I$89,5,0)</f>
        <v>163.40687999999997</v>
      </c>
      <c r="P46" s="13">
        <f t="shared" si="33"/>
        <v>41.610001881769797</v>
      </c>
      <c r="Q46" s="20">
        <f t="shared" si="53"/>
        <v>357.07106927741569</v>
      </c>
      <c r="R46" s="59">
        <f t="shared" si="0"/>
        <v>650.404402610749</v>
      </c>
      <c r="S46" s="59">
        <f ca="1">AVERAGE(OFFSET($R$3,0,0,'Données projet'!$E$9+1,1))-AVERAGE(OFFSET($H$3,0,0,'Données projet'!$E$9+1,1))</f>
        <v>319.18811755575183</v>
      </c>
      <c r="T46" s="59">
        <f t="shared" si="34"/>
        <v>234.87694492493506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1.86185151993732</v>
      </c>
      <c r="AA46" s="21">
        <f>EXP(-LN(2)/25)*AA45+(1-EXP(-LN(2)/25))/(LN(2)/25)*Calculateur!V46*Calculateur!X46*VLOOKUP('Données projet'!$B$9,Paramètres!$A$1:$I$89,3,0)*0.475*44/12</f>
        <v>7.8683197513463909</v>
      </c>
      <c r="AB46" s="21">
        <f>EXP(-LN(2)/2)*AB45+(1-EXP(-LN(2)/2))/(LN(2)/2)*V46*Y46*VLOOKUP('Données projet'!$B$9,Paramètres!$A$1:$I$89,3,0)*0.475*44/12</f>
        <v>0.2381329779713775</v>
      </c>
      <c r="AC46" s="22">
        <f t="shared" si="3"/>
        <v>9.9683042492550875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</v>
      </c>
      <c r="AI46" s="13">
        <f>IF('Données projet'!$A$62&gt;35,AI45+AH46-AQ45,IF(A46&lt;'Données projet'!$A$62,$AF$205^A46,IF(A46='Données projet'!$A$62,'Données projet'!$B$62,AI45+AH46-AQ45)))</f>
        <v>254.79999999999984</v>
      </c>
      <c r="AJ46" s="13">
        <f>AI46*VLOOKUP('Données projet'!$B$10,Paramètres!$A$1:$I$89,3,0)*VLOOKUP('Données projet'!$B$10,Paramètres!$A$1:$I$89,5,0)</f>
        <v>202.7188799999999</v>
      </c>
      <c r="AK46" s="13">
        <f t="shared" si="35"/>
        <v>50.341224871428082</v>
      </c>
      <c r="AL46" s="20">
        <f t="shared" si="4"/>
        <v>440.74634931773704</v>
      </c>
      <c r="AM46" s="59">
        <f t="shared" si="5"/>
        <v>734.07968265107036</v>
      </c>
      <c r="AN46" s="59">
        <f ca="1">AVERAGE(OFFSET($AM$3,0,0,'Données projet'!$E$10+1,1))-AVERAGE(OFFSET($H$3,0,0,'Données projet'!$E$10+1,1))</f>
        <v>314.94704727988847</v>
      </c>
      <c r="AO46" s="59">
        <f t="shared" si="36"/>
        <v>366.49199094166454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3.0268151513977011</v>
      </c>
      <c r="AV46" s="21">
        <f>EXP(-LN(2)/25)*AV45+(1-EXP(-LN(2)/25))/(LN(2)/25)*Calculateur!AQ46*Calculateur!AS46*VLOOKUP('Données projet'!$B$10,Paramètres!$A$1:$I$89,3,0)*0.475*44/12</f>
        <v>17.718051463196637</v>
      </c>
      <c r="AW46" s="21">
        <f>EXP(-LN(2)/2)*AW45+(1-EXP(-LN(2)/2))/(LN(2)/2)*AQ46*AT46*VLOOKUP('Données projet'!$B$10,Paramètres!$A$1:$I$89,3,0)*0.475*44/12</f>
        <v>0.31896301490516699</v>
      </c>
      <c r="AX46" s="21">
        <f t="shared" si="6"/>
        <v>21.063829629499509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</v>
      </c>
      <c r="BD46" s="12">
        <f>IF('Données projet'!$A$88&gt;35,BD45+BC46-BL45,IF(A46&lt;'Données projet'!$A$88,$BA$205^A46,IF(A46='Données projet'!$A$88,'Données projet'!$B$88,BD45+BC46-BL45)))</f>
        <v>254.79999999999984</v>
      </c>
      <c r="BE46" s="13">
        <f>BD46*VLOOKUP('Données projet'!$B$11,Paramètres!$A$1:$I$89,3,0)*VLOOKUP('Données projet'!$B$11,Paramètres!$A$1:$I$89,5,0)</f>
        <v>166.9449599999999</v>
      </c>
      <c r="BF46" s="13">
        <f t="shared" si="37"/>
        <v>42.405075786649121</v>
      </c>
      <c r="BG46" s="20">
        <f t="shared" si="7"/>
        <v>364.61797899508036</v>
      </c>
      <c r="BH46" s="59">
        <f t="shared" si="8"/>
        <v>657.95131232841368</v>
      </c>
      <c r="BI46" s="59">
        <f ca="1">AVERAGE(OFFSET($BH$3,0,0,'Données projet'!$E$11+1,1))-AVERAGE(OFFSET($H$3,0,0,'Données projet'!$E$11+1,1))</f>
        <v>246.64951465060813</v>
      </c>
      <c r="BJ46" s="59">
        <f t="shared" si="38"/>
        <v>292.64550285216865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2.0223559613112272</v>
      </c>
      <c r="BQ46" s="21">
        <f>EXP(-LN(2)/25)*BQ45+(1-EXP(-LN(2)/25))/(LN(2)/25)*Calculateur!BL46*Calculateur!BN46*VLOOKUP('Données projet'!$B$11,Paramètres!$A$1:$I$89,3,0)*0.475*44/12</f>
        <v>11.838254140781762</v>
      </c>
      <c r="BR46" s="21">
        <f>EXP(-LN(2)/2)*BR45+(1-EXP(-LN(2)/2))/(LN(2)/2)*BL46*BO46*VLOOKUP('Données projet'!$B$11,Paramètres!$A$1:$I$89,3,0)*0.475*44/12</f>
        <v>0.2626754240395493</v>
      </c>
      <c r="BS46" s="22">
        <f t="shared" si="9"/>
        <v>14.123285526132539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10.6</v>
      </c>
      <c r="BY46" s="12">
        <f>IF('Données projet'!$A$114&gt;35,BY45+BX46-CG45,IF(A46&lt;'Données projet'!$A$114,$BV$205^A46,IF(A46='Données projet'!$A$114,'Données projet'!$B$114,BY45+BX46-CG45)))</f>
        <v>254.79999999999984</v>
      </c>
      <c r="BZ46" s="13">
        <f>BY46*VLOOKUP('Données projet'!$B$12,Paramètres!$A$1:$I$89,3,0)*VLOOKUP('Données projet'!$B$12,Paramètres!$A$1:$I$89,5,0)</f>
        <v>170.91983999999991</v>
      </c>
      <c r="CA46" s="13">
        <f t="shared" si="39"/>
        <v>43.295972400780904</v>
      </c>
      <c r="CB46" s="20">
        <f t="shared" si="10"/>
        <v>373.09253993135985</v>
      </c>
      <c r="CC46" s="59">
        <f t="shared" si="11"/>
        <v>666.42587326469311</v>
      </c>
      <c r="CD46" s="59">
        <f ca="1">AVERAGE(OFFSET($CC$3,0,0,'Données projet'!$E$12+1,1))-AVERAGE(OFFSET($H$3,0,0,'Données projet'!$E$12+1,1))</f>
        <v>254.25222107710192</v>
      </c>
      <c r="CE46" s="59">
        <f t="shared" si="40"/>
        <v>300.86609173447573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2.5520206178451197</v>
      </c>
      <c r="CL46" s="21">
        <f>EXP(-LN(2)/25)*CL45+(1-EXP(-LN(2)/25))/(LN(2)/25)*Calculateur!CG46*Calculateur!CI46*VLOOKUP('Données projet'!$B$12,Paramètres!$A$1:$I$89,3,0)*0.475*44/12</f>
        <v>14.938749272891277</v>
      </c>
      <c r="CM46" s="21">
        <f>EXP(-LN(2)/2)*CM45+(1-EXP(-LN(2)/2))/(LN(2)/2)*CG46*CJ46*VLOOKUP('Données projet'!$B$12,Paramètres!$A$1:$I$89,3,0)*0.475*44/12</f>
        <v>0.26892960080239586</v>
      </c>
      <c r="CN46" s="22">
        <f t="shared" si="12"/>
        <v>17.75969949153879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9.4</v>
      </c>
      <c r="CT46" s="12">
        <f>IF('Données projet'!$A$140&gt;35,CT45+CS46-DB45,IF(A46&lt;'Données projet'!$A$140,$CQ$205^A46,IF(A46='Données projet'!$A$140,'Données projet'!$B$140,CT45+CS46-DB45)))</f>
        <v>202.20000000000005</v>
      </c>
      <c r="CU46" s="17">
        <f>CT46*VLOOKUP('Données projet'!$B$13,Paramètres!$A$1:$I$89,3,0)*VLOOKUP('Données projet'!$B$13,Paramètres!$A$1:$I$89,5,0)</f>
        <v>176.64192000000008</v>
      </c>
      <c r="CV46" s="13">
        <f t="shared" si="41"/>
        <v>44.574258350008236</v>
      </c>
      <c r="CW46" s="20">
        <f t="shared" si="13"/>
        <v>385.28484395959777</v>
      </c>
      <c r="CX46" s="59">
        <f t="shared" si="14"/>
        <v>678.61817729293102</v>
      </c>
      <c r="CY46" s="59">
        <f ca="1">AVERAGE(OFFSET($CX$3,0,0,'Données projet'!$E$13+1,1))-AVERAGE(OFFSET($H$3,0,0,'Données projet'!$E$13+1,1))</f>
        <v>243.38048563215585</v>
      </c>
      <c r="CZ46" s="59">
        <f t="shared" si="42"/>
        <v>372.1604147006675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5.6497563363615235</v>
      </c>
      <c r="DG46" s="21">
        <f>EXP(-LN(2)/25)*DG45+(1-EXP(-LN(2)/25))/(LN(2)/25)*Calculateur!DB46*Calculateur!DD46*VLOOKUP('Données projet'!$B$13,Paramètres!$A$1:$I$89,3,0)*0.475*44/12</f>
        <v>13.502812281755693</v>
      </c>
      <c r="DH46" s="21">
        <f>EXP(-LN(2)/2)*DH45+(1-EXP(-LN(2)/2))/(LN(2)/2)*DB46*DE46*VLOOKUP('Données projet'!$B$13,Paramètres!$A$1:$I$89,3,0)*0.475*44/12</f>
        <v>0.32388737980778742</v>
      </c>
      <c r="DI46" s="22">
        <f t="shared" si="15"/>
        <v>19.476455997925001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16.5</v>
      </c>
      <c r="DO46" s="12">
        <f>IF('Données projet'!$A$166&gt;35,DO45+DN46-DW45,IF(A46&lt;'Données projet'!$A$166,$DL$205^A46,IF(A46='Données projet'!$A$166,'Données projet'!$B$166,DO45+DN46-DW45)))</f>
        <v>260.49999999999994</v>
      </c>
      <c r="DP46" s="17">
        <f>DO46*VLOOKUP('Données projet'!$B$14,Paramètres!$A$1:$I$89,3,0)*VLOOKUP('Données projet'!$B$14,Paramètres!$A$1:$I$89,5,0)</f>
        <v>149.00599999999997</v>
      </c>
      <c r="DQ46" s="13">
        <f t="shared" si="43"/>
        <v>38.352608218952788</v>
      </c>
      <c r="DR46" s="20">
        <f t="shared" si="16"/>
        <v>326.31624264800934</v>
      </c>
      <c r="DS46" s="59">
        <f t="shared" si="17"/>
        <v>619.64957598134265</v>
      </c>
      <c r="DT46" s="59">
        <f ca="1">AVERAGE(OFFSET($DS$3,0,0,'Données projet'!$E$14+1,1))-AVERAGE(OFFSET($H$3,0,0,'Données projet'!$E$14+1,1))</f>
        <v>227.99747790451215</v>
      </c>
      <c r="DU46" s="59">
        <f t="shared" si="44"/>
        <v>209.49597700966933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2.2172008878162957</v>
      </c>
      <c r="EB46" s="21">
        <f>EXP(-LN(2)/25)*EB45+(1-EXP(-LN(2)/25))/(LN(2)/25)*Calculateur!DW46*Calculateur!DY46*VLOOKUP('Données projet'!$B$14,Paramètres!$A$1:$I$89,3,0)*0.475*44/12</f>
        <v>10.583384173764282</v>
      </c>
      <c r="EC46" s="21">
        <f>EXP(-LN(2)/2)*EC45+(1-EXP(-LN(2)/2))/(LN(2)/2)*DW46*DZ46*VLOOKUP('Données projet'!$B$14,Paramètres!$A$1:$I$89,3,0)*0.475*44/12</f>
        <v>0.27248825746743355</v>
      </c>
      <c r="ED46" s="22">
        <f t="shared" si="18"/>
        <v>13.07307331904801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24.9</v>
      </c>
      <c r="EJ46" s="12">
        <f>IF('Données projet'!$A$192&gt;35,EJ45+EI46-ER45,IF(A46&lt;'Données projet'!$A$192,$EG$205^A46,IF(A46='Données projet'!$A$192,'Données projet'!$B$192,EJ45+EI46-ER45)))</f>
        <v>495.70000000000005</v>
      </c>
      <c r="EK46" s="17">
        <f>EJ46*VLOOKUP('Données projet'!$B$15,Paramètres!$A$1:$I$89,3,0)*VLOOKUP('Données projet'!$B$15,Paramètres!$A$1:$I$89,5,0)</f>
        <v>219.09940000000006</v>
      </c>
      <c r="EL46" s="13">
        <f t="shared" si="45"/>
        <v>53.919098053875764</v>
      </c>
      <c r="EM46" s="20">
        <f t="shared" si="19"/>
        <v>475.50721744383367</v>
      </c>
      <c r="EN46" s="59">
        <f t="shared" si="20"/>
        <v>768.84055077716698</v>
      </c>
      <c r="EO46" s="59">
        <f ca="1">AVERAGE(OFFSET($EN$3,0,0,'Données projet'!$E$15+1,1))-AVERAGE(OFFSET($H$3,0,0,'Données projet'!$E$15+1,1))</f>
        <v>335.27356627949155</v>
      </c>
      <c r="EP46" s="59">
        <f t="shared" si="46"/>
        <v>322.66829503077247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19.500339466751271</v>
      </c>
      <c r="EX46" s="21">
        <f>EXP(-LN(2)/2)*EX45+(1-EXP(-LN(2)/2))/(LN(2)/2)*ER46*EU46*VLOOKUP('Données projet'!$B$15,Paramètres!$A$1:$I$89,3,0)*0.475*44/12</f>
        <v>0.39093220248426525</v>
      </c>
      <c r="EY46" s="22">
        <f t="shared" si="21"/>
        <v>19.891271669235536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11.2</v>
      </c>
      <c r="N47" s="13">
        <f>IF('Données projet'!$A$36&gt;35,N46+M47-V46,IF(A47&lt;'Données projet'!$A$36,$K$205^A47,IF(A47='Données projet'!$A$36,'Données projet'!$B$36,N46+M47-V46)))</f>
        <v>191.79999999999995</v>
      </c>
      <c r="O47" s="13">
        <f>N47*VLOOKUP('Données projet'!$B$9,Paramètres!$A$1:$I$89,3,0)*VLOOKUP('Données projet'!$B$9,Paramètres!$A$1:$I$89,5,0)</f>
        <v>173.54063999999997</v>
      </c>
      <c r="P47" s="13">
        <f t="shared" si="33"/>
        <v>43.882055316228445</v>
      </c>
      <c r="Q47" s="20">
        <f t="shared" si="53"/>
        <v>378.6778610090978</v>
      </c>
      <c r="R47" s="59">
        <f t="shared" si="0"/>
        <v>672.01119434243105</v>
      </c>
      <c r="S47" s="59">
        <f ca="1">AVERAGE(OFFSET($R$3,0,0,'Données projet'!$E$9+1,1))-AVERAGE(OFFSET($H$3,0,0,'Données projet'!$E$9+1,1))</f>
        <v>319.18811755575183</v>
      </c>
      <c r="T47" s="59">
        <f t="shared" si="34"/>
        <v>234.87694492493506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1.8253417472486435</v>
      </c>
      <c r="AA47" s="21">
        <f>EXP(-LN(2)/25)*AA46+(1-EXP(-LN(2)/25))/(LN(2)/25)*Calculateur!V47*Calculateur!X47*VLOOKUP('Données projet'!$B$9,Paramètres!$A$1:$I$89,3,0)*0.475*44/12</f>
        <v>7.6531601339688713</v>
      </c>
      <c r="AB47" s="21">
        <f>EXP(-LN(2)/2)*AB46+(1-EXP(-LN(2)/2))/(LN(2)/2)*V47*Y47*VLOOKUP('Données projet'!$B$9,Paramètres!$A$1:$I$89,3,0)*0.475*44/12</f>
        <v>0.16838544354770779</v>
      </c>
      <c r="AC47" s="22">
        <f t="shared" si="3"/>
        <v>9.6468873247652223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</v>
      </c>
      <c r="AI47" s="13">
        <f>IF('Données projet'!$A$62&gt;35,AI46+AH47-AQ46,IF(A47&lt;'Données projet'!$A$62,$AF$205^A47,IF(A47='Données projet'!$A$62,'Données projet'!$B$62,AI46+AH47-AQ46)))</f>
        <v>265.39999999999986</v>
      </c>
      <c r="AJ47" s="13">
        <f>AI47*VLOOKUP('Données projet'!$B$10,Paramètres!$A$1:$I$89,3,0)*VLOOKUP('Données projet'!$B$10,Paramètres!$A$1:$I$89,5,0)</f>
        <v>211.15223999999989</v>
      </c>
      <c r="AK47" s="13">
        <f t="shared" si="35"/>
        <v>52.187298885462759</v>
      </c>
      <c r="AL47" s="20">
        <f t="shared" si="4"/>
        <v>458.64969689218077</v>
      </c>
      <c r="AM47" s="59">
        <f t="shared" si="5"/>
        <v>751.98303022551409</v>
      </c>
      <c r="AN47" s="59">
        <f ca="1">AVERAGE(OFFSET($AM$3,0,0,'Données projet'!$E$10+1,1))-AVERAGE(OFFSET($H$3,0,0,'Données projet'!$E$10+1,1))</f>
        <v>314.94704727988847</v>
      </c>
      <c r="AO47" s="59">
        <f t="shared" si="36"/>
        <v>366.49199094166454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2.96746115245374</v>
      </c>
      <c r="AV47" s="21">
        <f>EXP(-LN(2)/25)*AV46+(1-EXP(-LN(2)/25))/(LN(2)/25)*Calculateur!AQ47*Calculateur!AS47*VLOOKUP('Données projet'!$B$10,Paramètres!$A$1:$I$89,3,0)*0.475*44/12</f>
        <v>17.233550414183693</v>
      </c>
      <c r="AW47" s="21">
        <f>EXP(-LN(2)/2)*AW46+(1-EXP(-LN(2)/2))/(LN(2)/2)*AQ47*AT47*VLOOKUP('Données projet'!$B$10,Paramètres!$A$1:$I$89,3,0)*0.475*44/12</f>
        <v>0.22554091078714941</v>
      </c>
      <c r="AX47" s="21">
        <f t="shared" si="6"/>
        <v>20.426552477424583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</v>
      </c>
      <c r="BD47" s="12">
        <f>IF('Données projet'!$A$88&gt;35,BD46+BC47-BL46,IF(A47&lt;'Données projet'!$A$88,$BA$205^A47,IF(A47='Données projet'!$A$88,'Données projet'!$B$88,BD46+BC47-BL46)))</f>
        <v>265.39999999999986</v>
      </c>
      <c r="BE47" s="13">
        <f>BD47*VLOOKUP('Données projet'!$B$11,Paramètres!$A$1:$I$89,3,0)*VLOOKUP('Données projet'!$B$11,Paramètres!$A$1:$I$89,5,0)</f>
        <v>173.8900799999999</v>
      </c>
      <c r="BF47" s="13">
        <f t="shared" si="37"/>
        <v>43.960121550291888</v>
      </c>
      <c r="BG47" s="20">
        <f t="shared" si="7"/>
        <v>379.42243436675818</v>
      </c>
      <c r="BH47" s="59">
        <f t="shared" si="8"/>
        <v>672.7557677000915</v>
      </c>
      <c r="BI47" s="59">
        <f ca="1">AVERAGE(OFFSET($BH$3,0,0,'Données projet'!$E$11+1,1))-AVERAGE(OFFSET($H$3,0,0,'Données projet'!$E$11+1,1))</f>
        <v>246.64951465060813</v>
      </c>
      <c r="BJ47" s="59">
        <f t="shared" si="38"/>
        <v>292.64550285216865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1.982698794425251</v>
      </c>
      <c r="BQ47" s="21">
        <f>EXP(-LN(2)/25)*BQ46+(1-EXP(-LN(2)/25))/(LN(2)/25)*Calculateur!BL47*Calculateur!BN47*VLOOKUP('Données projet'!$B$11,Paramètres!$A$1:$I$89,3,0)*0.475*44/12</f>
        <v>11.514536458755357</v>
      </c>
      <c r="BR47" s="21">
        <f>EXP(-LN(2)/2)*BR46+(1-EXP(-LN(2)/2))/(LN(2)/2)*BL47*BO47*VLOOKUP('Données projet'!$B$11,Paramètres!$A$1:$I$89,3,0)*0.475*44/12</f>
        <v>0.18573957358941717</v>
      </c>
      <c r="BS47" s="22">
        <f t="shared" si="9"/>
        <v>13.682974826770026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10.6</v>
      </c>
      <c r="BY47" s="12">
        <f>IF('Données projet'!$A$114&gt;35,BY46+BX47-CG46,IF(A47&lt;'Données projet'!$A$114,$BV$205^A47,IF(A47='Données projet'!$A$114,'Données projet'!$B$114,BY46+BX47-CG46)))</f>
        <v>265.39999999999986</v>
      </c>
      <c r="BZ47" s="13">
        <f>BY47*VLOOKUP('Données projet'!$B$12,Paramètres!$A$1:$I$89,3,0)*VLOOKUP('Données projet'!$B$12,Paramètres!$A$1:$I$89,5,0)</f>
        <v>178.0303199999999</v>
      </c>
      <c r="CA47" s="13">
        <f t="shared" si="39"/>
        <v>44.883688428064303</v>
      </c>
      <c r="CB47" s="20">
        <f t="shared" si="10"/>
        <v>388.24189801221178</v>
      </c>
      <c r="CC47" s="59">
        <f t="shared" si="11"/>
        <v>681.57523134554503</v>
      </c>
      <c r="CD47" s="59">
        <f ca="1">AVERAGE(OFFSET($CC$3,0,0,'Données projet'!$E$12+1,1))-AVERAGE(OFFSET($H$3,0,0,'Données projet'!$E$12+1,1))</f>
        <v>254.25222107710192</v>
      </c>
      <c r="CE47" s="59">
        <f t="shared" si="40"/>
        <v>300.86609173447573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2.5019770501080543</v>
      </c>
      <c r="CL47" s="21">
        <f>EXP(-LN(2)/25)*CL46+(1-EXP(-LN(2)/25))/(LN(2)/25)*Calculateur!CG47*Calculateur!CI47*VLOOKUP('Données projet'!$B$12,Paramètres!$A$1:$I$89,3,0)*0.475*44/12</f>
        <v>14.530248388429383</v>
      </c>
      <c r="CM47" s="21">
        <f>EXP(-LN(2)/2)*CM46+(1-EXP(-LN(2)/2))/(LN(2)/2)*CG47*CJ47*VLOOKUP('Données projet'!$B$12,Paramètres!$A$1:$I$89,3,0)*0.475*44/12</f>
        <v>0.19016194438916531</v>
      </c>
      <c r="CN47" s="22">
        <f t="shared" si="12"/>
        <v>17.222387382926602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9.4</v>
      </c>
      <c r="CT47" s="12">
        <f>IF('Données projet'!$A$140&gt;35,CT46+CS47-DB46,IF(A47&lt;'Données projet'!$A$140,$CQ$205^A47,IF(A47='Données projet'!$A$140,'Données projet'!$B$140,CT46+CS47-DB46)))</f>
        <v>211.60000000000005</v>
      </c>
      <c r="CU47" s="17">
        <f>CT47*VLOOKUP('Données projet'!$B$13,Paramètres!$A$1:$I$89,3,0)*VLOOKUP('Données projet'!$B$13,Paramètres!$A$1:$I$89,5,0)</f>
        <v>184.85376000000008</v>
      </c>
      <c r="CV47" s="13">
        <f t="shared" si="41"/>
        <v>46.400380376458202</v>
      </c>
      <c r="CW47" s="20">
        <f t="shared" si="13"/>
        <v>402.76762782233146</v>
      </c>
      <c r="CX47" s="59">
        <f t="shared" si="14"/>
        <v>696.10096115566478</v>
      </c>
      <c r="CY47" s="59">
        <f ca="1">AVERAGE(OFFSET($CX$3,0,0,'Données projet'!$E$13+1,1))-AVERAGE(OFFSET($H$3,0,0,'Données projet'!$E$13+1,1))</f>
        <v>243.38048563215585</v>
      </c>
      <c r="CZ47" s="59">
        <f t="shared" si="42"/>
        <v>372.1604147006675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5.5389680606165737</v>
      </c>
      <c r="DG47" s="21">
        <f>EXP(-LN(2)/25)*DG46+(1-EXP(-LN(2)/25))/(LN(2)/25)*Calculateur!DB47*Calculateur!DD47*VLOOKUP('Données projet'!$B$13,Paramètres!$A$1:$I$89,3,0)*0.475*44/12</f>
        <v>13.133577169829048</v>
      </c>
      <c r="DH47" s="21">
        <f>EXP(-LN(2)/2)*DH46+(1-EXP(-LN(2)/2))/(LN(2)/2)*DB47*DE47*VLOOKUP('Données projet'!$B$13,Paramètres!$A$1:$I$89,3,0)*0.475*44/12</f>
        <v>0.22902296260282937</v>
      </c>
      <c r="DI47" s="22">
        <f t="shared" si="15"/>
        <v>18.901568193048451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16.5</v>
      </c>
      <c r="DO47" s="12">
        <f>IF('Données projet'!$A$166&gt;35,DO46+DN47-DW46,IF(A47&lt;'Données projet'!$A$166,$DL$205^A47,IF(A47='Données projet'!$A$166,'Données projet'!$B$166,DO46+DN47-DW46)))</f>
        <v>276.99999999999994</v>
      </c>
      <c r="DP47" s="17">
        <f>DO47*VLOOKUP('Données projet'!$B$14,Paramètres!$A$1:$I$89,3,0)*VLOOKUP('Données projet'!$B$14,Paramètres!$A$1:$I$89,5,0)</f>
        <v>158.44399999999999</v>
      </c>
      <c r="DQ47" s="13">
        <f t="shared" si="43"/>
        <v>40.491355899089449</v>
      </c>
      <c r="DR47" s="20">
        <f t="shared" si="16"/>
        <v>346.47907819091415</v>
      </c>
      <c r="DS47" s="59">
        <f t="shared" si="17"/>
        <v>639.81241152424741</v>
      </c>
      <c r="DT47" s="59">
        <f ca="1">AVERAGE(OFFSET($DS$3,0,0,'Données projet'!$E$14+1,1))-AVERAGE(OFFSET($H$3,0,0,'Données projet'!$E$14+1,1))</f>
        <v>227.99747790451215</v>
      </c>
      <c r="DU47" s="59">
        <f t="shared" si="44"/>
        <v>209.49597700966933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2.1737229307652255</v>
      </c>
      <c r="EB47" s="21">
        <f>EXP(-LN(2)/25)*EB46+(1-EXP(-LN(2)/25))/(LN(2)/25)*Calculateur!DW47*Calculateur!DY47*VLOOKUP('Données projet'!$B$14,Paramètres!$A$1:$I$89,3,0)*0.475*44/12</f>
        <v>10.293980976976712</v>
      </c>
      <c r="EC47" s="21">
        <f>EXP(-LN(2)/2)*EC46+(1-EXP(-LN(2)/2))/(LN(2)/2)*DW47*DZ47*VLOOKUP('Données projet'!$B$14,Paramètres!$A$1:$I$89,3,0)*0.475*44/12</f>
        <v>0.19267829464892816</v>
      </c>
      <c r="ED47" s="22">
        <f t="shared" si="18"/>
        <v>12.660382202390867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24.9</v>
      </c>
      <c r="EJ47" s="12">
        <f>IF('Données projet'!$A$192&gt;35,EJ46+EI47-ER46,IF(A47&lt;'Données projet'!$A$192,$EG$205^A47,IF(A47='Données projet'!$A$192,'Données projet'!$B$192,EJ46+EI47-ER46)))</f>
        <v>520.6</v>
      </c>
      <c r="EK47" s="17">
        <f>EJ47*VLOOKUP('Données projet'!$B$15,Paramètres!$A$1:$I$89,3,0)*VLOOKUP('Données projet'!$B$15,Paramètres!$A$1:$I$89,5,0)</f>
        <v>230.10520000000002</v>
      </c>
      <c r="EL47" s="13">
        <f t="shared" si="45"/>
        <v>56.305427625299345</v>
      </c>
      <c r="EM47" s="20">
        <f t="shared" si="19"/>
        <v>498.83184311406302</v>
      </c>
      <c r="EN47" s="59">
        <f t="shared" si="20"/>
        <v>792.16517644739633</v>
      </c>
      <c r="EO47" s="59">
        <f ca="1">AVERAGE(OFFSET($EN$3,0,0,'Données projet'!$E$15+1,1))-AVERAGE(OFFSET($H$3,0,0,'Données projet'!$E$15+1,1))</f>
        <v>335.27356627949155</v>
      </c>
      <c r="EP47" s="59">
        <f t="shared" si="46"/>
        <v>322.66829503077247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18.967101658554672</v>
      </c>
      <c r="EX47" s="21">
        <f>EXP(-LN(2)/2)*EX46+(1-EXP(-LN(2)/2))/(LN(2)/2)*ER47*EU47*VLOOKUP('Données projet'!$B$15,Paramètres!$A$1:$I$89,3,0)*0.475*44/12</f>
        <v>0.27643081136081643</v>
      </c>
      <c r="EY47" s="22">
        <f t="shared" si="21"/>
        <v>19.24353246991549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11.2</v>
      </c>
      <c r="N48" s="13">
        <f>IF('Données projet'!$A$36&gt;35,N47+M48-V47,IF(A48&lt;'Données projet'!$A$36,$K$205^A48,IF(A48='Données projet'!$A$36,'Données projet'!$B$36,N47+M48-V47)))</f>
        <v>202.99999999999994</v>
      </c>
      <c r="O48" s="13">
        <f>N48*VLOOKUP('Données projet'!$B$9,Paramètres!$A$1:$I$89,3,0)*VLOOKUP('Données projet'!$B$9,Paramètres!$A$1:$I$89,5,0)</f>
        <v>183.67439999999993</v>
      </c>
      <c r="P48" s="13">
        <f t="shared" si="33"/>
        <v>46.138708549418673</v>
      </c>
      <c r="Q48" s="20">
        <f t="shared" si="53"/>
        <v>400.25783072357075</v>
      </c>
      <c r="R48" s="59">
        <f t="shared" si="0"/>
        <v>693.59116405690406</v>
      </c>
      <c r="S48" s="59">
        <f ca="1">AVERAGE(OFFSET($R$3,0,0,'Données projet'!$E$9+1,1))-AVERAGE(OFFSET($H$3,0,0,'Données projet'!$E$9+1,1))</f>
        <v>319.18811755575183</v>
      </c>
      <c r="T48" s="59">
        <f t="shared" si="34"/>
        <v>234.87694492493506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1.7895479089336295</v>
      </c>
      <c r="AA48" s="21">
        <f>EXP(-LN(2)/25)*AA47+(1-EXP(-LN(2)/25))/(LN(2)/25)*Calculateur!V48*Calculateur!X48*VLOOKUP('Données projet'!$B$9,Paramètres!$A$1:$I$89,3,0)*0.475*44/12</f>
        <v>7.4438840676432925</v>
      </c>
      <c r="AB48" s="21">
        <f>EXP(-LN(2)/2)*AB47+(1-EXP(-LN(2)/2))/(LN(2)/2)*V48*Y48*VLOOKUP('Données projet'!$B$9,Paramètres!$A$1:$I$89,3,0)*0.475*44/12</f>
        <v>0.11906648898568878</v>
      </c>
      <c r="AC48" s="22">
        <f t="shared" si="3"/>
        <v>9.3524984655626113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</v>
      </c>
      <c r="AI48" s="13">
        <f>IF('Données projet'!$A$62&gt;35,AI47+AH48-AQ47,IF(A48&lt;'Données projet'!$A$62,$AF$205^A48,IF(A48='Données projet'!$A$62,'Données projet'!$B$62,AI47+AH48-AQ47)))</f>
        <v>275.99999999999989</v>
      </c>
      <c r="AJ48" s="13">
        <f>AI48*VLOOKUP('Données projet'!$B$10,Paramètres!$A$1:$I$89,3,0)*VLOOKUP('Données projet'!$B$10,Paramètres!$A$1:$I$89,5,0)</f>
        <v>219.58559999999991</v>
      </c>
      <c r="AK48" s="13">
        <f t="shared" si="35"/>
        <v>54.024808047218549</v>
      </c>
      <c r="AL48" s="20">
        <f t="shared" si="4"/>
        <v>476.53812734890556</v>
      </c>
      <c r="AM48" s="59">
        <f t="shared" si="5"/>
        <v>769.87146068223888</v>
      </c>
      <c r="AN48" s="59">
        <f ca="1">AVERAGE(OFFSET($AM$3,0,0,'Données projet'!$E$10+1,1))-AVERAGE(OFFSET($H$3,0,0,'Données projet'!$E$10+1,1))</f>
        <v>314.94704727988847</v>
      </c>
      <c r="AO48" s="59">
        <f t="shared" si="36"/>
        <v>366.49199094166454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2.9092710492267053</v>
      </c>
      <c r="AV48" s="21">
        <f>EXP(-LN(2)/25)*AV47+(1-EXP(-LN(2)/25))/(LN(2)/25)*Calculateur!AQ48*Calculateur!AS48*VLOOKUP('Données projet'!$B$10,Paramètres!$A$1:$I$89,3,0)*0.475*44/12</f>
        <v>16.76229807183481</v>
      </c>
      <c r="AW48" s="21">
        <f>EXP(-LN(2)/2)*AW47+(1-EXP(-LN(2)/2))/(LN(2)/2)*AQ48*AT48*VLOOKUP('Données projet'!$B$10,Paramètres!$A$1:$I$89,3,0)*0.475*44/12</f>
        <v>0.15948150745258349</v>
      </c>
      <c r="AX48" s="21">
        <f t="shared" si="6"/>
        <v>19.831050628514099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</v>
      </c>
      <c r="BD48" s="12">
        <f>IF('Données projet'!$A$88&gt;35,BD47+BC48-BL47,IF(A48&lt;'Données projet'!$A$88,$BA$205^A48,IF(A48='Données projet'!$A$88,'Données projet'!$B$88,BD47+BC48-BL47)))</f>
        <v>275.99999999999989</v>
      </c>
      <c r="BE48" s="13">
        <f>BD48*VLOOKUP('Données projet'!$B$11,Paramètres!$A$1:$I$89,3,0)*VLOOKUP('Données projet'!$B$11,Paramètres!$A$1:$I$89,5,0)</f>
        <v>180.83519999999993</v>
      </c>
      <c r="BF48" s="13">
        <f t="shared" si="37"/>
        <v>45.507952685945099</v>
      </c>
      <c r="BG48" s="20">
        <f t="shared" si="7"/>
        <v>394.21432426135425</v>
      </c>
      <c r="BH48" s="59">
        <f t="shared" si="8"/>
        <v>687.54765759468751</v>
      </c>
      <c r="BI48" s="59">
        <f ca="1">AVERAGE(OFFSET($BH$3,0,0,'Données projet'!$E$11+1,1))-AVERAGE(OFFSET($H$3,0,0,'Données projet'!$E$11+1,1))</f>
        <v>246.64951465060813</v>
      </c>
      <c r="BJ48" s="59">
        <f t="shared" si="38"/>
        <v>292.64550285216865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1.9438192803934253</v>
      </c>
      <c r="BQ48" s="21">
        <f>EXP(-LN(2)/25)*BQ47+(1-EXP(-LN(2)/25))/(LN(2)/25)*Calculateur!BL48*Calculateur!BN48*VLOOKUP('Données projet'!$B$11,Paramètres!$A$1:$I$89,3,0)*0.475*44/12</f>
        <v>11.199670853767536</v>
      </c>
      <c r="BR48" s="21">
        <f>EXP(-LN(2)/2)*BR47+(1-EXP(-LN(2)/2))/(LN(2)/2)*BL48*BO48*VLOOKUP('Données projet'!$B$11,Paramètres!$A$1:$I$89,3,0)*0.475*44/12</f>
        <v>0.13133771201977465</v>
      </c>
      <c r="BS48" s="22">
        <f t="shared" si="9"/>
        <v>13.274827846180736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10.6</v>
      </c>
      <c r="BY48" s="12">
        <f>IF('Données projet'!$A$114&gt;35,BY47+BX48-CG47,IF(A48&lt;'Données projet'!$A$114,$BV$205^A48,IF(A48='Données projet'!$A$114,'Données projet'!$B$114,BY47+BX48-CG47)))</f>
        <v>275.99999999999989</v>
      </c>
      <c r="BZ48" s="13">
        <f>BY48*VLOOKUP('Données projet'!$B$12,Paramètres!$A$1:$I$89,3,0)*VLOOKUP('Données projet'!$B$12,Paramètres!$A$1:$I$89,5,0)</f>
        <v>185.14079999999993</v>
      </c>
      <c r="CA48" s="13">
        <f t="shared" si="39"/>
        <v>46.464038253813463</v>
      </c>
      <c r="CB48" s="20">
        <f t="shared" si="10"/>
        <v>403.37842662539168</v>
      </c>
      <c r="CC48" s="59">
        <f t="shared" si="11"/>
        <v>696.711759958725</v>
      </c>
      <c r="CD48" s="59">
        <f ca="1">AVERAGE(OFFSET($CC$3,0,0,'Données projet'!$E$12+1,1))-AVERAGE(OFFSET($H$3,0,0,'Données projet'!$E$12+1,1))</f>
        <v>254.25222107710192</v>
      </c>
      <c r="CE48" s="59">
        <f t="shared" si="40"/>
        <v>300.86609173447573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2.4529148062107504</v>
      </c>
      <c r="CL48" s="21">
        <f>EXP(-LN(2)/25)*CL47+(1-EXP(-LN(2)/25))/(LN(2)/25)*Calculateur!CG48*Calculateur!CI48*VLOOKUP('Données projet'!$B$12,Paramètres!$A$1:$I$89,3,0)*0.475*44/12</f>
        <v>14.132917982135229</v>
      </c>
      <c r="CM48" s="21">
        <f>EXP(-LN(2)/2)*CM47+(1-EXP(-LN(2)/2))/(LN(2)/2)*CG48*CJ48*VLOOKUP('Données projet'!$B$12,Paramètres!$A$1:$I$89,3,0)*0.475*44/12</f>
        <v>0.13446480040119793</v>
      </c>
      <c r="CN48" s="22">
        <f t="shared" si="12"/>
        <v>16.720297588747176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9.4</v>
      </c>
      <c r="CT48" s="12">
        <f>IF('Données projet'!$A$140&gt;35,CT47+CS48-DB47,IF(A48&lt;'Données projet'!$A$140,$CQ$205^A48,IF(A48='Données projet'!$A$140,'Données projet'!$B$140,CT47+CS48-DB47)))</f>
        <v>221.00000000000006</v>
      </c>
      <c r="CU48" s="17">
        <f>CT48*VLOOKUP('Données projet'!$B$13,Paramètres!$A$1:$I$89,3,0)*VLOOKUP('Données projet'!$B$13,Paramètres!$A$1:$I$89,5,0)</f>
        <v>193.06560000000007</v>
      </c>
      <c r="CV48" s="13">
        <f t="shared" si="41"/>
        <v>48.217080828790458</v>
      </c>
      <c r="CW48" s="20">
        <f t="shared" si="13"/>
        <v>420.23400244347687</v>
      </c>
      <c r="CX48" s="59">
        <f t="shared" si="14"/>
        <v>713.56733577681018</v>
      </c>
      <c r="CY48" s="59">
        <f ca="1">AVERAGE(OFFSET($CX$3,0,0,'Données projet'!$E$13+1,1))-AVERAGE(OFFSET($H$3,0,0,'Données projet'!$E$13+1,1))</f>
        <v>243.38048563215585</v>
      </c>
      <c r="CZ48" s="59">
        <f t="shared" si="42"/>
        <v>372.1604147006675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5.4303522753848066</v>
      </c>
      <c r="DG48" s="21">
        <f>EXP(-LN(2)/25)*DG47+(1-EXP(-LN(2)/25))/(LN(2)/25)*Calculateur!DB48*Calculateur!DD48*VLOOKUP('Données projet'!$B$13,Paramètres!$A$1:$I$89,3,0)*0.475*44/12</f>
        <v>12.774438811455266</v>
      </c>
      <c r="DH48" s="21">
        <f>EXP(-LN(2)/2)*DH47+(1-EXP(-LN(2)/2))/(LN(2)/2)*DB48*DE48*VLOOKUP('Données projet'!$B$13,Paramètres!$A$1:$I$89,3,0)*0.475*44/12</f>
        <v>0.16194368990389374</v>
      </c>
      <c r="DI48" s="22">
        <f t="shared" si="15"/>
        <v>18.366734776743964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16.5</v>
      </c>
      <c r="DO48" s="12">
        <f>IF('Données projet'!$A$166&gt;35,DO47+DN48-DW47,IF(A48&lt;'Données projet'!$A$166,$DL$205^A48,IF(A48='Données projet'!$A$166,'Données projet'!$B$166,DO47+DN48-DW47)))</f>
        <v>293.49999999999994</v>
      </c>
      <c r="DP48" s="17">
        <f>DO48*VLOOKUP('Données projet'!$B$14,Paramètres!$A$1:$I$89,3,0)*VLOOKUP('Données projet'!$B$14,Paramètres!$A$1:$I$89,5,0)</f>
        <v>167.88199999999998</v>
      </c>
      <c r="DQ48" s="13">
        <f t="shared" si="43"/>
        <v>42.615316475406374</v>
      </c>
      <c r="DR48" s="20">
        <f t="shared" si="16"/>
        <v>366.61615952799934</v>
      </c>
      <c r="DS48" s="59">
        <f t="shared" si="17"/>
        <v>659.9494928613326</v>
      </c>
      <c r="DT48" s="59">
        <f ca="1">AVERAGE(OFFSET($DS$3,0,0,'Données projet'!$E$14+1,1))-AVERAGE(OFFSET($H$3,0,0,'Données projet'!$E$14+1,1))</f>
        <v>227.99747790451215</v>
      </c>
      <c r="DU48" s="59">
        <f t="shared" si="44"/>
        <v>209.49597700966933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2.1310975499329912</v>
      </c>
      <c r="EB48" s="21">
        <f>EXP(-LN(2)/25)*EB47+(1-EXP(-LN(2)/25))/(LN(2)/25)*Calculateur!DW48*Calculateur!DY48*VLOOKUP('Données projet'!$B$14,Paramètres!$A$1:$I$89,3,0)*0.475*44/12</f>
        <v>10.012491525824352</v>
      </c>
      <c r="EC48" s="21">
        <f>EXP(-LN(2)/2)*EC47+(1-EXP(-LN(2)/2))/(LN(2)/2)*DW48*DZ48*VLOOKUP('Données projet'!$B$14,Paramètres!$A$1:$I$89,3,0)*0.475*44/12</f>
        <v>0.13624412873371677</v>
      </c>
      <c r="ED48" s="22">
        <f t="shared" si="18"/>
        <v>12.279833204491061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24.9</v>
      </c>
      <c r="EJ48" s="12">
        <f>IF('Données projet'!$A$192&gt;35,EJ47+EI48-ER47,IF(A48&lt;'Données projet'!$A$192,$EG$205^A48,IF(A48='Données projet'!$A$192,'Données projet'!$B$192,EJ47+EI48-ER47)))</f>
        <v>545.5</v>
      </c>
      <c r="EK48" s="17">
        <f>EJ48*VLOOKUP('Données projet'!$B$15,Paramètres!$A$1:$I$89,3,0)*VLOOKUP('Données projet'!$B$15,Paramètres!$A$1:$I$89,5,0)</f>
        <v>241.11100000000005</v>
      </c>
      <c r="EL48" s="13">
        <f t="shared" si="45"/>
        <v>58.678503254233568</v>
      </c>
      <c r="EM48" s="20">
        <f t="shared" si="19"/>
        <v>522.13338483445693</v>
      </c>
      <c r="EN48" s="59">
        <f t="shared" si="20"/>
        <v>815.4667181677903</v>
      </c>
      <c r="EO48" s="59">
        <f ca="1">AVERAGE(OFFSET($EN$3,0,0,'Données projet'!$E$15+1,1))-AVERAGE(OFFSET($H$3,0,0,'Données projet'!$E$15+1,1))</f>
        <v>335.27356627949155</v>
      </c>
      <c r="EP48" s="59">
        <f t="shared" si="46"/>
        <v>322.66829503077247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18.448445266264969</v>
      </c>
      <c r="EX48" s="21">
        <f>EXP(-LN(2)/2)*EX47+(1-EXP(-LN(2)/2))/(LN(2)/2)*ER48*EU48*VLOOKUP('Données projet'!$B$15,Paramètres!$A$1:$I$89,3,0)*0.475*44/12</f>
        <v>0.19546610124213262</v>
      </c>
      <c r="EY48" s="22">
        <f t="shared" si="21"/>
        <v>18.643911367507101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11.2</v>
      </c>
      <c r="N49" s="13">
        <f>IF('Données projet'!$A$36&gt;35,N48+M49-V48,IF(A49&lt;'Données projet'!$A$36,$K$205^A49,IF(A49='Données projet'!$A$36,'Données projet'!$B$36,N48+M49-V48)))</f>
        <v>214.19999999999993</v>
      </c>
      <c r="O49" s="13">
        <f>N49*VLOOKUP('Données projet'!$B$9,Paramètres!$A$1:$I$89,3,0)*VLOOKUP('Données projet'!$B$9,Paramètres!$A$1:$I$89,5,0)</f>
        <v>193.80815999999993</v>
      </c>
      <c r="P49" s="13">
        <f t="shared" si="33"/>
        <v>48.380908095574689</v>
      </c>
      <c r="Q49" s="20">
        <f t="shared" si="53"/>
        <v>421.81262693312578</v>
      </c>
      <c r="R49" s="59">
        <f t="shared" si="0"/>
        <v>715.14596026645904</v>
      </c>
      <c r="S49" s="59">
        <f ca="1">AVERAGE(OFFSET($R$3,0,0,'Données projet'!$E$9+1,1))-AVERAGE(OFFSET($H$3,0,0,'Données projet'!$E$9+1,1))</f>
        <v>319.18811755575183</v>
      </c>
      <c r="T49" s="59">
        <f t="shared" si="34"/>
        <v>234.87694492493506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1.7544559659558872</v>
      </c>
      <c r="AA49" s="21">
        <f>EXP(-LN(2)/25)*AA48+(1-EXP(-LN(2)/25))/(LN(2)/25)*Calculateur!V49*Calculateur!X49*VLOOKUP('Données projet'!$B$9,Paramètres!$A$1:$I$89,3,0)*0.475*44/12</f>
        <v>7.2403306663567371</v>
      </c>
      <c r="AB49" s="21">
        <f>EXP(-LN(2)/2)*AB48+(1-EXP(-LN(2)/2))/(LN(2)/2)*V49*Y49*VLOOKUP('Données projet'!$B$9,Paramètres!$A$1:$I$89,3,0)*0.475*44/12</f>
        <v>8.419272177385391E-2</v>
      </c>
      <c r="AC49" s="22">
        <f t="shared" si="3"/>
        <v>9.0789793540864796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</v>
      </c>
      <c r="AI49" s="13">
        <f>IF('Données projet'!$A$62&gt;35,AI48+AH49-AQ48,IF(A49&lt;'Données projet'!$A$62,$AF$205^A49,IF(A49='Données projet'!$A$62,'Données projet'!$B$62,AI48+AH49-AQ48)))</f>
        <v>286.59999999999991</v>
      </c>
      <c r="AJ49" s="13">
        <f>AI49*VLOOKUP('Données projet'!$B$10,Paramètres!$A$1:$I$89,3,0)*VLOOKUP('Données projet'!$B$10,Paramètres!$A$1:$I$89,5,0)</f>
        <v>228.01895999999996</v>
      </c>
      <c r="AK49" s="13">
        <f t="shared" si="35"/>
        <v>55.854118949181277</v>
      </c>
      <c r="AL49" s="20">
        <f t="shared" si="4"/>
        <v>494.41227916982399</v>
      </c>
      <c r="AM49" s="59">
        <f t="shared" si="5"/>
        <v>787.7456125031573</v>
      </c>
      <c r="AN49" s="59">
        <f ca="1">AVERAGE(OFFSET($AM$3,0,0,'Données projet'!$E$10+1,1))-AVERAGE(OFFSET($H$3,0,0,'Données projet'!$E$10+1,1))</f>
        <v>314.94704727988847</v>
      </c>
      <c r="AO49" s="59">
        <f t="shared" si="36"/>
        <v>366.49199094166454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2.8522220184314944</v>
      </c>
      <c r="AV49" s="21">
        <f>EXP(-LN(2)/25)*AV48+(1-EXP(-LN(2)/25))/(LN(2)/25)*Calculateur!AQ49*Calculateur!AS49*VLOOKUP('Données projet'!$B$10,Paramètres!$A$1:$I$89,3,0)*0.475*44/12</f>
        <v>16.30393214956954</v>
      </c>
      <c r="AW49" s="21">
        <f>EXP(-LN(2)/2)*AW48+(1-EXP(-LN(2)/2))/(LN(2)/2)*AQ49*AT49*VLOOKUP('Données projet'!$B$10,Paramètres!$A$1:$I$89,3,0)*0.475*44/12</f>
        <v>0.11277045539357471</v>
      </c>
      <c r="AX49" s="21">
        <f t="shared" si="6"/>
        <v>19.268924623394611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</v>
      </c>
      <c r="BD49" s="12">
        <f>IF('Données projet'!$A$88&gt;35,BD48+BC49-BL48,IF(A49&lt;'Données projet'!$A$88,$BA$205^A49,IF(A49='Données projet'!$A$88,'Données projet'!$B$88,BD48+BC49-BL48)))</f>
        <v>286.59999999999991</v>
      </c>
      <c r="BE49" s="13">
        <f>BD49*VLOOKUP('Données projet'!$B$11,Paramètres!$A$1:$I$89,3,0)*VLOOKUP('Données projet'!$B$11,Paramètres!$A$1:$I$89,5,0)</f>
        <v>187.78031999999993</v>
      </c>
      <c r="BF49" s="13">
        <f t="shared" si="37"/>
        <v>47.048877993845231</v>
      </c>
      <c r="BG49" s="20">
        <f t="shared" si="7"/>
        <v>408.99418650594697</v>
      </c>
      <c r="BH49" s="59">
        <f t="shared" si="8"/>
        <v>702.32751983928028</v>
      </c>
      <c r="BI49" s="59">
        <f ca="1">AVERAGE(OFFSET($BH$3,0,0,'Données projet'!$E$11+1,1))-AVERAGE(OFFSET($H$3,0,0,'Données projet'!$E$11+1,1))</f>
        <v>246.64951465060813</v>
      </c>
      <c r="BJ49" s="59">
        <f t="shared" si="38"/>
        <v>292.64550285216865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1.9057021699176018</v>
      </c>
      <c r="BQ49" s="21">
        <f>EXP(-LN(2)/25)*BQ48+(1-EXP(-LN(2)/25))/(LN(2)/25)*Calculateur!BL49*Calculateur!BN49*VLOOKUP('Données projet'!$B$11,Paramètres!$A$1:$I$89,3,0)*0.475*44/12</f>
        <v>10.893415265306169</v>
      </c>
      <c r="BR49" s="21">
        <f>EXP(-LN(2)/2)*BR48+(1-EXP(-LN(2)/2))/(LN(2)/2)*BL49*BO49*VLOOKUP('Données projet'!$B$11,Paramètres!$A$1:$I$89,3,0)*0.475*44/12</f>
        <v>9.2869786794708586E-2</v>
      </c>
      <c r="BS49" s="22">
        <f t="shared" si="9"/>
        <v>12.891987222018479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10.6</v>
      </c>
      <c r="BY49" s="12">
        <f>IF('Données projet'!$A$114&gt;35,BY48+BX49-CG48,IF(A49&lt;'Données projet'!$A$114,$BV$205^A49,IF(A49='Données projet'!$A$114,'Données projet'!$B$114,BY48+BX49-CG48)))</f>
        <v>286.59999999999991</v>
      </c>
      <c r="BZ49" s="13">
        <f>BY49*VLOOKUP('Données projet'!$B$12,Paramètres!$A$1:$I$89,3,0)*VLOOKUP('Données projet'!$B$12,Paramètres!$A$1:$I$89,5,0)</f>
        <v>192.25127999999995</v>
      </c>
      <c r="CA49" s="13">
        <f t="shared" si="39"/>
        <v>48.037337165910067</v>
      </c>
      <c r="CB49" s="20">
        <f t="shared" si="10"/>
        <v>418.50267489729328</v>
      </c>
      <c r="CC49" s="59">
        <f t="shared" si="11"/>
        <v>711.83600823062659</v>
      </c>
      <c r="CD49" s="59">
        <f ca="1">AVERAGE(OFFSET($CC$3,0,0,'Données projet'!$E$12+1,1))-AVERAGE(OFFSET($H$3,0,0,'Données projet'!$E$12+1,1))</f>
        <v>254.25222107710192</v>
      </c>
      <c r="CE49" s="59">
        <f t="shared" si="40"/>
        <v>300.86609173447573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2.4048146429912589</v>
      </c>
      <c r="CL49" s="21">
        <f>EXP(-LN(2)/25)*CL48+(1-EXP(-LN(2)/25))/(LN(2)/25)*Calculateur!CG49*Calculateur!CI49*VLOOKUP('Données projet'!$B$12,Paramètres!$A$1:$I$89,3,0)*0.475*44/12</f>
        <v>13.746452596695885</v>
      </c>
      <c r="CM49" s="21">
        <f>EXP(-LN(2)/2)*CM48+(1-EXP(-LN(2)/2))/(LN(2)/2)*CG49*CJ49*VLOOKUP('Données projet'!$B$12,Paramètres!$A$1:$I$89,3,0)*0.475*44/12</f>
        <v>9.5080972194582655E-2</v>
      </c>
      <c r="CN49" s="22">
        <f t="shared" si="12"/>
        <v>16.246348211881728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9.4</v>
      </c>
      <c r="CT49" s="12">
        <f>IF('Données projet'!$A$140&gt;35,CT48+CS49-DB48,IF(A49&lt;'Données projet'!$A$140,$CQ$205^A49,IF(A49='Données projet'!$A$140,'Données projet'!$B$140,CT48+CS49-DB48)))</f>
        <v>230.40000000000006</v>
      </c>
      <c r="CU49" s="17">
        <f>CT49*VLOOKUP('Données projet'!$B$13,Paramètres!$A$1:$I$89,3,0)*VLOOKUP('Données projet'!$B$13,Paramètres!$A$1:$I$89,5,0)</f>
        <v>201.2774400000001</v>
      </c>
      <c r="CV49" s="13">
        <f t="shared" si="41"/>
        <v>50.024806258462817</v>
      </c>
      <c r="CW49" s="20">
        <f t="shared" si="13"/>
        <v>437.68474556682287</v>
      </c>
      <c r="CX49" s="59">
        <f t="shared" si="14"/>
        <v>731.01807890015618</v>
      </c>
      <c r="CY49" s="59">
        <f ca="1">AVERAGE(OFFSET($CX$3,0,0,'Données projet'!$E$13+1,1))-AVERAGE(OFFSET($H$3,0,0,'Données projet'!$E$13+1,1))</f>
        <v>243.38048563215585</v>
      </c>
      <c r="CZ49" s="59">
        <f t="shared" si="42"/>
        <v>372.1604147006675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5.3238663794523475</v>
      </c>
      <c r="DG49" s="21">
        <f>EXP(-LN(2)/25)*DG48+(1-EXP(-LN(2)/25))/(LN(2)/25)*Calculateur!DB49*Calculateur!DD49*VLOOKUP('Données projet'!$B$13,Paramètres!$A$1:$I$89,3,0)*0.475*44/12</f>
        <v>12.42512111037748</v>
      </c>
      <c r="DH49" s="21">
        <f>EXP(-LN(2)/2)*DH48+(1-EXP(-LN(2)/2))/(LN(2)/2)*DB49*DE49*VLOOKUP('Données projet'!$B$13,Paramètres!$A$1:$I$89,3,0)*0.475*44/12</f>
        <v>0.1145114813014147</v>
      </c>
      <c r="DI49" s="22">
        <f t="shared" si="15"/>
        <v>17.863498971131243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16.5</v>
      </c>
      <c r="DO49" s="12">
        <f>IF('Données projet'!$A$166&gt;35,DO48+DN49-DW48,IF(A49&lt;'Données projet'!$A$166,$DL$205^A49,IF(A49='Données projet'!$A$166,'Données projet'!$B$166,DO48+DN49-DW48)))</f>
        <v>309.99999999999994</v>
      </c>
      <c r="DP49" s="17">
        <f>DO49*VLOOKUP('Données projet'!$B$14,Paramètres!$A$1:$I$89,3,0)*VLOOKUP('Données projet'!$B$14,Paramètres!$A$1:$I$89,5,0)</f>
        <v>177.31999999999996</v>
      </c>
      <c r="DQ49" s="13">
        <f t="shared" si="43"/>
        <v>44.725415986136291</v>
      </c>
      <c r="DR49" s="20">
        <f t="shared" si="16"/>
        <v>386.72909950918734</v>
      </c>
      <c r="DS49" s="59">
        <f t="shared" si="17"/>
        <v>680.06243284252059</v>
      </c>
      <c r="DT49" s="59">
        <f ca="1">AVERAGE(OFFSET($DS$3,0,0,'Données projet'!$E$14+1,1))-AVERAGE(OFFSET($H$3,0,0,'Données projet'!$E$14+1,1))</f>
        <v>227.99747790451215</v>
      </c>
      <c r="DU49" s="59">
        <f t="shared" si="44"/>
        <v>209.49597700966933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2.0893080268199622</v>
      </c>
      <c r="EB49" s="21">
        <f>EXP(-LN(2)/25)*EB48+(1-EXP(-LN(2)/25))/(LN(2)/25)*Calculateur!DW49*Calculateur!DY49*VLOOKUP('Données projet'!$B$14,Paramètres!$A$1:$I$89,3,0)*0.475*44/12</f>
        <v>9.7386994185166387</v>
      </c>
      <c r="EC49" s="21">
        <f>EXP(-LN(2)/2)*EC48+(1-EXP(-LN(2)/2))/(LN(2)/2)*DW49*DZ49*VLOOKUP('Données projet'!$B$14,Paramètres!$A$1:$I$89,3,0)*0.475*44/12</f>
        <v>9.6339147324464081E-2</v>
      </c>
      <c r="ED49" s="22">
        <f t="shared" si="18"/>
        <v>11.924346592661065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24.9</v>
      </c>
      <c r="EJ49" s="12">
        <f>IF('Données projet'!$A$192&gt;35,EJ48+EI49-ER48,IF(A49&lt;'Données projet'!$A$192,$EG$205^A49,IF(A49='Données projet'!$A$192,'Données projet'!$B$192,EJ48+EI49-ER48)))</f>
        <v>570.4</v>
      </c>
      <c r="EK49" s="17">
        <f>EJ49*VLOOKUP('Données projet'!$B$15,Paramètres!$A$1:$I$89,3,0)*VLOOKUP('Données projet'!$B$15,Paramètres!$A$1:$I$89,5,0)</f>
        <v>252.11680000000001</v>
      </c>
      <c r="EL49" s="13">
        <f t="shared" si="45"/>
        <v>61.038999041073623</v>
      </c>
      <c r="EM49" s="20">
        <f t="shared" si="19"/>
        <v>545.41301666320317</v>
      </c>
      <c r="EN49" s="59">
        <f t="shared" si="20"/>
        <v>838.74634999653654</v>
      </c>
      <c r="EO49" s="59">
        <f ca="1">AVERAGE(OFFSET($EN$3,0,0,'Données projet'!$E$15+1,1))-AVERAGE(OFFSET($H$3,0,0,'Données projet'!$E$15+1,1))</f>
        <v>335.27356627949155</v>
      </c>
      <c r="EP49" s="59">
        <f t="shared" si="46"/>
        <v>322.66829503077247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17.943971560297381</v>
      </c>
      <c r="EX49" s="21">
        <f>EXP(-LN(2)/2)*EX48+(1-EXP(-LN(2)/2))/(LN(2)/2)*ER49*EU49*VLOOKUP('Données projet'!$B$15,Paramètres!$A$1:$I$89,3,0)*0.475*44/12</f>
        <v>0.13821540568040822</v>
      </c>
      <c r="EY49" s="22">
        <f t="shared" si="21"/>
        <v>18.08218696597779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11.2</v>
      </c>
      <c r="N50" s="13">
        <f>IF('Données projet'!$A$36&gt;35,N49+M50-V49,IF(A50&lt;'Données projet'!$A$36,$K$205^A50,IF(A50='Données projet'!$A$36,'Données projet'!$B$36,N49+M50-V49)))</f>
        <v>225.39999999999992</v>
      </c>
      <c r="O50" s="13">
        <f>N50*VLOOKUP('Données projet'!$B$9,Paramètres!$A$1:$I$89,3,0)*VLOOKUP('Données projet'!$B$9,Paramètres!$A$1:$I$89,5,0)</f>
        <v>203.94191999999993</v>
      </c>
      <c r="P50" s="13">
        <f t="shared" si="33"/>
        <v>50.609495896501116</v>
      </c>
      <c r="Q50" s="20">
        <f t="shared" si="53"/>
        <v>443.3437160197393</v>
      </c>
      <c r="R50" s="59">
        <f t="shared" si="0"/>
        <v>736.67704935307256</v>
      </c>
      <c r="S50" s="59">
        <f ca="1">AVERAGE(OFFSET($R$3,0,0,'Données projet'!$E$9+1,1))-AVERAGE(OFFSET($H$3,0,0,'Données projet'!$E$9+1,1))</f>
        <v>319.18811755575183</v>
      </c>
      <c r="T50" s="59">
        <f t="shared" si="34"/>
        <v>234.87694492493506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1.7200521545759666</v>
      </c>
      <c r="AA50" s="21">
        <f>EXP(-LN(2)/25)*AA49+(1-EXP(-LN(2)/25))/(LN(2)/25)*Calculateur!V50*Calculateur!X50*VLOOKUP('Données projet'!$B$9,Paramètres!$A$1:$I$89,3,0)*0.475*44/12</f>
        <v>7.0423434435327703</v>
      </c>
      <c r="AB50" s="21">
        <f>EXP(-LN(2)/2)*AB49+(1-EXP(-LN(2)/2))/(LN(2)/2)*V50*Y50*VLOOKUP('Données projet'!$B$9,Paramètres!$A$1:$I$89,3,0)*0.475*44/12</f>
        <v>5.9533244492844396E-2</v>
      </c>
      <c r="AC50" s="22">
        <f t="shared" si="3"/>
        <v>8.8219288426015812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</v>
      </c>
      <c r="AI50" s="13">
        <f>IF('Données projet'!$A$62&gt;35,AI49+AH50-AQ49,IF(A50&lt;'Données projet'!$A$62,$AF$205^A50,IF(A50='Données projet'!$A$62,'Données projet'!$B$62,AI49+AH50-AQ49)))</f>
        <v>297.19999999999993</v>
      </c>
      <c r="AJ50" s="13">
        <f>AI50*VLOOKUP('Données projet'!$B$10,Paramètres!$A$1:$I$89,3,0)*VLOOKUP('Données projet'!$B$10,Paramètres!$A$1:$I$89,5,0)</f>
        <v>236.45231999999996</v>
      </c>
      <c r="AK50" s="13">
        <f t="shared" si="35"/>
        <v>57.675569530260624</v>
      </c>
      <c r="AL50" s="20">
        <f t="shared" si="4"/>
        <v>512.27274093187054</v>
      </c>
      <c r="AM50" s="59">
        <f t="shared" si="5"/>
        <v>805.60607426520392</v>
      </c>
      <c r="AN50" s="59">
        <f ca="1">AVERAGE(OFFSET($AM$3,0,0,'Données projet'!$E$10+1,1))-AVERAGE(OFFSET($H$3,0,0,'Données projet'!$E$10+1,1))</f>
        <v>314.94704727988847</v>
      </c>
      <c r="AO50" s="59">
        <f t="shared" si="36"/>
        <v>366.49199094166454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2.7962916843337045</v>
      </c>
      <c r="AV50" s="21">
        <f>EXP(-LN(2)/25)*AV49+(1-EXP(-LN(2)/25))/(LN(2)/25)*Calculateur!AQ50*Calculateur!AS50*VLOOKUP('Données projet'!$B$10,Paramètres!$A$1:$I$89,3,0)*0.475*44/12</f>
        <v>15.858100267553032</v>
      </c>
      <c r="AW50" s="21">
        <f>EXP(-LN(2)/2)*AW49+(1-EXP(-LN(2)/2))/(LN(2)/2)*AQ50*AT50*VLOOKUP('Données projet'!$B$10,Paramètres!$A$1:$I$89,3,0)*0.475*44/12</f>
        <v>7.9740753726291747E-2</v>
      </c>
      <c r="AX50" s="21">
        <f t="shared" si="6"/>
        <v>18.734132705613028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</v>
      </c>
      <c r="BD50" s="12">
        <f>IF('Données projet'!$A$88&gt;35,BD49+BC50-BL49,IF(A50&lt;'Données projet'!$A$88,$BA$205^A50,IF(A50='Données projet'!$A$88,'Données projet'!$B$88,BD49+BC50-BL49)))</f>
        <v>297.19999999999993</v>
      </c>
      <c r="BE50" s="13">
        <f>BD50*VLOOKUP('Données projet'!$B$11,Paramètres!$A$1:$I$89,3,0)*VLOOKUP('Données projet'!$B$11,Paramètres!$A$1:$I$89,5,0)</f>
        <v>194.72543999999996</v>
      </c>
      <c r="BF50" s="13">
        <f t="shared" si="37"/>
        <v>48.583182137806254</v>
      </c>
      <c r="BG50" s="20">
        <f t="shared" si="7"/>
        <v>423.76251689001248</v>
      </c>
      <c r="BH50" s="59">
        <f t="shared" si="8"/>
        <v>717.09585022334579</v>
      </c>
      <c r="BI50" s="59">
        <f ca="1">AVERAGE(OFFSET($BH$3,0,0,'Données projet'!$E$11+1,1))-AVERAGE(OFFSET($H$3,0,0,'Données projet'!$E$11+1,1))</f>
        <v>246.64951465060813</v>
      </c>
      <c r="BJ50" s="59">
        <f t="shared" si="38"/>
        <v>292.64550285216865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1.8683325127290673</v>
      </c>
      <c r="BQ50" s="21">
        <f>EXP(-LN(2)/25)*BQ49+(1-EXP(-LN(2)/25))/(LN(2)/25)*Calculateur!BL50*Calculateur!BN50*VLOOKUP('Données projet'!$B$11,Paramètres!$A$1:$I$89,3,0)*0.475*44/12</f>
        <v>10.595534252016561</v>
      </c>
      <c r="BR50" s="21">
        <f>EXP(-LN(2)/2)*BR49+(1-EXP(-LN(2)/2))/(LN(2)/2)*BL50*BO50*VLOOKUP('Données projet'!$B$11,Paramètres!$A$1:$I$89,3,0)*0.475*44/12</f>
        <v>6.5668856009887325E-2</v>
      </c>
      <c r="BS50" s="22">
        <f t="shared" si="9"/>
        <v>12.529535620755516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10.6</v>
      </c>
      <c r="BY50" s="12">
        <f>IF('Données projet'!$A$114&gt;35,BY49+BX50-CG49,IF(A50&lt;'Données projet'!$A$114,$BV$205^A50,IF(A50='Données projet'!$A$114,'Données projet'!$B$114,BY49+BX50-CG49)))</f>
        <v>297.19999999999993</v>
      </c>
      <c r="BZ50" s="13">
        <f>BY50*VLOOKUP('Données projet'!$B$12,Paramètres!$A$1:$I$89,3,0)*VLOOKUP('Données projet'!$B$12,Paramètres!$A$1:$I$89,5,0)</f>
        <v>199.36175999999995</v>
      </c>
      <c r="CA50" s="13">
        <f t="shared" si="39"/>
        <v>49.603875808726336</v>
      </c>
      <c r="CB50" s="20">
        <f t="shared" si="10"/>
        <v>433.61514903353162</v>
      </c>
      <c r="CC50" s="59">
        <f t="shared" si="11"/>
        <v>726.94848236686494</v>
      </c>
      <c r="CD50" s="59">
        <f ca="1">AVERAGE(OFFSET($CC$3,0,0,'Données projet'!$E$12+1,1))-AVERAGE(OFFSET($H$3,0,0,'Données projet'!$E$12+1,1))</f>
        <v>254.25222107710192</v>
      </c>
      <c r="CE50" s="59">
        <f t="shared" si="40"/>
        <v>300.86609173447573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2.3576576946342986</v>
      </c>
      <c r="CL50" s="21">
        <f>EXP(-LN(2)/25)*CL49+(1-EXP(-LN(2)/25))/(LN(2)/25)*Calculateur!CG50*Calculateur!CI50*VLOOKUP('Données projet'!$B$12,Paramètres!$A$1:$I$89,3,0)*0.475*44/12</f>
        <v>13.370555127544712</v>
      </c>
      <c r="CM50" s="21">
        <f>EXP(-LN(2)/2)*CM49+(1-EXP(-LN(2)/2))/(LN(2)/2)*CG50*CJ50*VLOOKUP('Données projet'!$B$12,Paramètres!$A$1:$I$89,3,0)*0.475*44/12</f>
        <v>6.7232400200598966E-2</v>
      </c>
      <c r="CN50" s="22">
        <f t="shared" si="12"/>
        <v>15.795445222379609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9.4</v>
      </c>
      <c r="CT50" s="12">
        <f>IF('Données projet'!$A$140&gt;35,CT49+CS50-DB49,IF(A50&lt;'Données projet'!$A$140,$CQ$205^A50,IF(A50='Données projet'!$A$140,'Données projet'!$B$140,CT49+CS50-DB49)))</f>
        <v>239.80000000000007</v>
      </c>
      <c r="CU50" s="17">
        <f>CT50*VLOOKUP('Données projet'!$B$13,Paramètres!$A$1:$I$89,3,0)*VLOOKUP('Données projet'!$B$13,Paramètres!$A$1:$I$89,5,0)</f>
        <v>209.48928000000006</v>
      </c>
      <c r="CV50" s="13">
        <f t="shared" si="41"/>
        <v>51.823964717594407</v>
      </c>
      <c r="CW50" s="20">
        <f t="shared" si="13"/>
        <v>455.12056788314362</v>
      </c>
      <c r="CX50" s="59">
        <f t="shared" si="14"/>
        <v>748.45390121647688</v>
      </c>
      <c r="CY50" s="59">
        <f ca="1">AVERAGE(OFFSET($CX$3,0,0,'Données projet'!$E$13+1,1))-AVERAGE(OFFSET($H$3,0,0,'Données projet'!$E$13+1,1))</f>
        <v>243.38048563215585</v>
      </c>
      <c r="CZ50" s="59">
        <f t="shared" si="42"/>
        <v>372.1604147006675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5.2194686069891407</v>
      </c>
      <c r="DG50" s="21">
        <f>EXP(-LN(2)/25)*DG49+(1-EXP(-LN(2)/25))/(LN(2)/25)*Calculateur!DB50*Calculateur!DD50*VLOOKUP('Données projet'!$B$13,Paramètres!$A$1:$I$89,3,0)*0.475*44/12</f>
        <v>12.085355520205487</v>
      </c>
      <c r="DH50" s="21">
        <f>EXP(-LN(2)/2)*DH49+(1-EXP(-LN(2)/2))/(LN(2)/2)*DB50*DE50*VLOOKUP('Données projet'!$B$13,Paramètres!$A$1:$I$89,3,0)*0.475*44/12</f>
        <v>8.097184495194687E-2</v>
      </c>
      <c r="DI50" s="22">
        <f t="shared" si="15"/>
        <v>17.385795972146575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16.5</v>
      </c>
      <c r="DO50" s="12">
        <f>IF('Données projet'!$A$166&gt;35,DO49+DN50-DW49,IF(A50&lt;'Données projet'!$A$166,$DL$205^A50,IF(A50='Données projet'!$A$166,'Données projet'!$B$166,DO49+DN50-DW49)))</f>
        <v>326.49999999999994</v>
      </c>
      <c r="DP50" s="17">
        <f>DO50*VLOOKUP('Données projet'!$B$14,Paramètres!$A$1:$I$89,3,0)*VLOOKUP('Données projet'!$B$14,Paramètres!$A$1:$I$89,5,0)</f>
        <v>186.75799999999995</v>
      </c>
      <c r="DQ50" s="13">
        <f t="shared" si="43"/>
        <v>46.822476323674529</v>
      </c>
      <c r="DR50" s="20">
        <f t="shared" si="16"/>
        <v>406.81932959706637</v>
      </c>
      <c r="DS50" s="59">
        <f t="shared" si="17"/>
        <v>700.15266293039963</v>
      </c>
      <c r="DT50" s="59">
        <f ca="1">AVERAGE(OFFSET($DS$3,0,0,'Données projet'!$E$14+1,1))-AVERAGE(OFFSET($H$3,0,0,'Données projet'!$E$14+1,1))</f>
        <v>227.99747790451215</v>
      </c>
      <c r="DU50" s="59">
        <f t="shared" si="44"/>
        <v>209.49597700966933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2.0483379707660871</v>
      </c>
      <c r="EB50" s="21">
        <f>EXP(-LN(2)/25)*EB49+(1-EXP(-LN(2)/25))/(LN(2)/25)*Calculateur!DW50*Calculateur!DY50*VLOOKUP('Données projet'!$B$14,Paramètres!$A$1:$I$89,3,0)*0.475*44/12</f>
        <v>9.4723941707813566</v>
      </c>
      <c r="EC50" s="21">
        <f>EXP(-LN(2)/2)*EC49+(1-EXP(-LN(2)/2))/(LN(2)/2)*DW50*DZ50*VLOOKUP('Données projet'!$B$14,Paramètres!$A$1:$I$89,3,0)*0.475*44/12</f>
        <v>6.8122064366858387E-2</v>
      </c>
      <c r="ED50" s="22">
        <f t="shared" si="18"/>
        <v>11.588854205914304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24.9</v>
      </c>
      <c r="EJ50" s="12">
        <f>IF('Données projet'!$A$192&gt;35,EJ49+EI50-ER49,IF(A50&lt;'Données projet'!$A$192,$EG$205^A50,IF(A50='Données projet'!$A$192,'Données projet'!$B$192,EJ49+EI50-ER49)))</f>
        <v>595.29999999999995</v>
      </c>
      <c r="EK50" s="17">
        <f>EJ50*VLOOKUP('Données projet'!$B$15,Paramètres!$A$1:$I$89,3,0)*VLOOKUP('Données projet'!$B$15,Paramètres!$A$1:$I$89,5,0)</f>
        <v>263.12259999999998</v>
      </c>
      <c r="EL50" s="13">
        <f t="shared" si="45"/>
        <v>63.387526904379868</v>
      </c>
      <c r="EM50" s="20">
        <f t="shared" si="19"/>
        <v>568.67180435846149</v>
      </c>
      <c r="EN50" s="59">
        <f t="shared" si="20"/>
        <v>862.00513769179474</v>
      </c>
      <c r="EO50" s="59">
        <f ca="1">AVERAGE(OFFSET($EN$3,0,0,'Données projet'!$E$15+1,1))-AVERAGE(OFFSET($H$3,0,0,'Données projet'!$E$15+1,1))</f>
        <v>335.27356627949155</v>
      </c>
      <c r="EP50" s="59">
        <f t="shared" si="46"/>
        <v>322.66829503077247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17.453292714348596</v>
      </c>
      <c r="EX50" s="21">
        <f>EXP(-LN(2)/2)*EX49+(1-EXP(-LN(2)/2))/(LN(2)/2)*ER50*EU50*VLOOKUP('Données projet'!$B$15,Paramètres!$A$1:$I$89,3,0)*0.475*44/12</f>
        <v>9.7733050621066311E-2</v>
      </c>
      <c r="EY50" s="22">
        <f t="shared" si="21"/>
        <v>17.551025764969662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11.2</v>
      </c>
      <c r="N51" s="13">
        <f>IF('Données projet'!$A$36&gt;35,N50+M51-V50,IF(A51&lt;'Données projet'!$A$36,$K$205^A51,IF(A51='Données projet'!$A$36,'Données projet'!$B$36,N50+M51-V50)))</f>
        <v>236.59999999999991</v>
      </c>
      <c r="O51" s="13">
        <f>N51*VLOOKUP('Données projet'!$B$9,Paramètres!$A$1:$I$89,3,0)*VLOOKUP('Données projet'!$B$9,Paramètres!$A$1:$I$89,5,0)</f>
        <v>214.07567999999992</v>
      </c>
      <c r="P51" s="13">
        <f t="shared" si="33"/>
        <v>52.825225496078176</v>
      </c>
      <c r="Q51" s="20">
        <f t="shared" si="53"/>
        <v>464.85241040566939</v>
      </c>
      <c r="R51" s="59">
        <f t="shared" si="0"/>
        <v>758.18574373900265</v>
      </c>
      <c r="S51" s="59">
        <f ca="1">AVERAGE(OFFSET($R$3,0,0,'Données projet'!$E$9+1,1))-AVERAGE(OFFSET($H$3,0,0,'Données projet'!$E$9+1,1))</f>
        <v>319.18811755575183</v>
      </c>
      <c r="T51" s="59">
        <f t="shared" si="34"/>
        <v>234.87694492493506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1.6863229809529534</v>
      </c>
      <c r="AA51" s="21">
        <f>EXP(-LN(2)/25)*AA50+(1-EXP(-LN(2)/25))/(LN(2)/25)*Calculateur!V51*Calculateur!X51*VLOOKUP('Données projet'!$B$9,Paramètres!$A$1:$I$89,3,0)*0.475*44/12</f>
        <v>6.8497701917286209</v>
      </c>
      <c r="AB51" s="21">
        <f>EXP(-LN(2)/2)*AB50+(1-EXP(-LN(2)/2))/(LN(2)/2)*V51*Y51*VLOOKUP('Données projet'!$B$9,Paramètres!$A$1:$I$89,3,0)*0.475*44/12</f>
        <v>4.2096360886926962E-2</v>
      </c>
      <c r="AC51" s="22">
        <f t="shared" si="3"/>
        <v>8.5781895335685014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10.6</v>
      </c>
      <c r="AI51" s="13">
        <f>IF('Données projet'!$A$62&gt;35,AI50+AH51-AQ50,IF(A51&lt;'Données projet'!$A$62,$AF$205^A51,IF(A51='Données projet'!$A$62,'Données projet'!$B$62,AI50+AH51-AQ50)))</f>
        <v>307.79999999999995</v>
      </c>
      <c r="AJ51" s="13">
        <f>AI51*VLOOKUP('Données projet'!$B$10,Paramètres!$A$1:$I$89,3,0)*VLOOKUP('Données projet'!$B$10,Paramètres!$A$1:$I$89,5,0)</f>
        <v>244.88567999999998</v>
      </c>
      <c r="AK51" s="13">
        <f t="shared" si="35"/>
        <v>59.489472256806273</v>
      </c>
      <c r="AL51" s="20">
        <f t="shared" si="4"/>
        <v>530.12005684727092</v>
      </c>
      <c r="AM51" s="59">
        <f t="shared" si="5"/>
        <v>823.45339018060417</v>
      </c>
      <c r="AN51" s="59">
        <f ca="1">AVERAGE(OFFSET($AM$3,0,0,'Données projet'!$E$10+1,1))-AVERAGE(OFFSET($H$3,0,0,'Données projet'!$E$10+1,1))</f>
        <v>314.94704727988847</v>
      </c>
      <c r="AO51" s="59">
        <f t="shared" si="36"/>
        <v>366.49199094166454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2.7414581099734368</v>
      </c>
      <c r="AV51" s="21">
        <f>EXP(-LN(2)/25)*AV50+(1-EXP(-LN(2)/25))/(LN(2)/25)*Calculateur!AQ51*Calculateur!AS51*VLOOKUP('Données projet'!$B$10,Paramètres!$A$1:$I$89,3,0)*0.475*44/12</f>
        <v>15.424459681795545</v>
      </c>
      <c r="AW51" s="21">
        <f>EXP(-LN(2)/2)*AW50+(1-EXP(-LN(2)/2))/(LN(2)/2)*AQ51*AT51*VLOOKUP('Données projet'!$B$10,Paramètres!$A$1:$I$89,3,0)*0.475*44/12</f>
        <v>5.6385227696787353E-2</v>
      </c>
      <c r="AX51" s="21">
        <f t="shared" si="6"/>
        <v>18.22230301946577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10.6</v>
      </c>
      <c r="BD51" s="12">
        <f>IF('Données projet'!$A$88&gt;35,BD50+BC51-BL50,IF(A51&lt;'Données projet'!$A$88,$BA$205^A51,IF(A51='Données projet'!$A$88,'Données projet'!$B$88,BD50+BC51-BL50)))</f>
        <v>307.79999999999995</v>
      </c>
      <c r="BE51" s="13">
        <f>BD51*VLOOKUP('Données projet'!$B$11,Paramètres!$A$1:$I$89,3,0)*VLOOKUP('Données projet'!$B$11,Paramètres!$A$1:$I$89,5,0)</f>
        <v>201.67055999999997</v>
      </c>
      <c r="BF51" s="13">
        <f t="shared" si="37"/>
        <v>50.111128324757971</v>
      </c>
      <c r="BG51" s="20">
        <f t="shared" si="7"/>
        <v>438.51977383228672</v>
      </c>
      <c r="BH51" s="59">
        <f t="shared" si="8"/>
        <v>731.85310716562003</v>
      </c>
      <c r="BI51" s="59">
        <f ca="1">AVERAGE(OFFSET($BH$3,0,0,'Données projet'!$E$11+1,1))-AVERAGE(OFFSET($H$3,0,0,'Données projet'!$E$11+1,1))</f>
        <v>246.64951465060813</v>
      </c>
      <c r="BJ51" s="59">
        <f t="shared" si="38"/>
        <v>292.64550285216865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1.8316956517247598</v>
      </c>
      <c r="BQ51" s="21">
        <f>EXP(-LN(2)/25)*BQ50+(1-EXP(-LN(2)/25))/(LN(2)/25)*Calculateur!BL51*Calculateur!BN51*VLOOKUP('Données projet'!$B$11,Paramètres!$A$1:$I$89,3,0)*0.475*44/12</f>
        <v>10.305798810700239</v>
      </c>
      <c r="BR51" s="21">
        <f>EXP(-LN(2)/2)*BR50+(1-EXP(-LN(2)/2))/(LN(2)/2)*BL51*BO51*VLOOKUP('Données projet'!$B$11,Paramètres!$A$1:$I$89,3,0)*0.475*44/12</f>
        <v>4.6434893397354293E-2</v>
      </c>
      <c r="BS51" s="22">
        <f t="shared" si="9"/>
        <v>12.183929355822352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10.6</v>
      </c>
      <c r="BY51" s="12">
        <f>IF('Données projet'!$A$114&gt;35,BY50+BX51-CG50,IF(A51&lt;'Données projet'!$A$114,$BV$205^A51,IF(A51='Données projet'!$A$114,'Données projet'!$B$114,BY50+BX51-CG50)))</f>
        <v>307.79999999999995</v>
      </c>
      <c r="BZ51" s="13">
        <f>BY51*VLOOKUP('Données projet'!$B$12,Paramètres!$A$1:$I$89,3,0)*VLOOKUP('Données projet'!$B$12,Paramètres!$A$1:$I$89,5,0)</f>
        <v>206.47223999999997</v>
      </c>
      <c r="CA51" s="13">
        <f t="shared" si="39"/>
        <v>51.163922918958598</v>
      </c>
      <c r="CB51" s="20">
        <f t="shared" si="10"/>
        <v>448.71631708385286</v>
      </c>
      <c r="CC51" s="59">
        <f t="shared" si="11"/>
        <v>742.04965041718617</v>
      </c>
      <c r="CD51" s="59">
        <f ca="1">AVERAGE(OFFSET($CC$3,0,0,'Données projet'!$E$12+1,1))-AVERAGE(OFFSET($H$3,0,0,'Données projet'!$E$12+1,1))</f>
        <v>254.25222107710192</v>
      </c>
      <c r="CE51" s="59">
        <f t="shared" si="40"/>
        <v>300.86609173447573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2.3114254652717201</v>
      </c>
      <c r="CL51" s="21">
        <f>EXP(-LN(2)/25)*CL50+(1-EXP(-LN(2)/25))/(LN(2)/25)*Calculateur!CG51*Calculateur!CI51*VLOOKUP('Données projet'!$B$12,Paramètres!$A$1:$I$89,3,0)*0.475*44/12</f>
        <v>13.004936594455067</v>
      </c>
      <c r="CM51" s="21">
        <f>EXP(-LN(2)/2)*CM50+(1-EXP(-LN(2)/2))/(LN(2)/2)*CG51*CJ51*VLOOKUP('Données projet'!$B$12,Paramètres!$A$1:$I$89,3,0)*0.475*44/12</f>
        <v>4.7540486097291328E-2</v>
      </c>
      <c r="CN51" s="22">
        <f t="shared" si="12"/>
        <v>15.363902545824079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9.4</v>
      </c>
      <c r="CT51" s="12">
        <f>IF('Données projet'!$A$140&gt;35,CT50+CS51-DB50,IF(A51&lt;'Données projet'!$A$140,$CQ$205^A51,IF(A51='Données projet'!$A$140,'Données projet'!$B$140,CT50+CS51-DB50)))</f>
        <v>249.20000000000007</v>
      </c>
      <c r="CU51" s="17">
        <f>CT51*VLOOKUP('Données projet'!$B$13,Paramètres!$A$1:$I$89,3,0)*VLOOKUP('Données projet'!$B$13,Paramètres!$A$1:$I$89,5,0)</f>
        <v>217.70112000000009</v>
      </c>
      <c r="CV51" s="13">
        <f t="shared" si="41"/>
        <v>53.614930456328594</v>
      </c>
      <c r="CW51" s="20">
        <f t="shared" si="13"/>
        <v>472.54212121143911</v>
      </c>
      <c r="CX51" s="59">
        <f t="shared" si="14"/>
        <v>765.87545454477242</v>
      </c>
      <c r="CY51" s="59">
        <f ca="1">AVERAGE(OFFSET($CX$3,0,0,'Données projet'!$E$13+1,1))-AVERAGE(OFFSET($H$3,0,0,'Données projet'!$E$13+1,1))</f>
        <v>243.38048563215585</v>
      </c>
      <c r="CZ51" s="59">
        <f t="shared" si="42"/>
        <v>372.1604147006675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5.1171180111675829</v>
      </c>
      <c r="DG51" s="21">
        <f>EXP(-LN(2)/25)*DG50+(1-EXP(-LN(2)/25))/(LN(2)/25)*Calculateur!DB51*Calculateur!DD51*VLOOKUP('Données projet'!$B$13,Paramètres!$A$1:$I$89,3,0)*0.475*44/12</f>
        <v>11.754880837964244</v>
      </c>
      <c r="DH51" s="21">
        <f>EXP(-LN(2)/2)*DH50+(1-EXP(-LN(2)/2))/(LN(2)/2)*DB51*DE51*VLOOKUP('Données projet'!$B$13,Paramètres!$A$1:$I$89,3,0)*0.475*44/12</f>
        <v>5.7255740650707349E-2</v>
      </c>
      <c r="DI51" s="22">
        <f t="shared" si="15"/>
        <v>16.929254589782534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16.5</v>
      </c>
      <c r="DO51" s="12">
        <f>IF('Données projet'!$A$166&gt;35,DO50+DN51-DW50,IF(A51&lt;'Données projet'!$A$166,$DL$205^A51,IF(A51='Données projet'!$A$166,'Données projet'!$B$166,DO50+DN51-DW50)))</f>
        <v>342.99999999999994</v>
      </c>
      <c r="DP51" s="17">
        <f>DO51*VLOOKUP('Données projet'!$B$14,Paramètres!$A$1:$I$89,3,0)*VLOOKUP('Données projet'!$B$14,Paramètres!$A$1:$I$89,5,0)</f>
        <v>196.196</v>
      </c>
      <c r="DQ51" s="13">
        <f t="shared" si="43"/>
        <v>48.907231617752245</v>
      </c>
      <c r="DR51" s="20">
        <f t="shared" si="16"/>
        <v>426.88812840091845</v>
      </c>
      <c r="DS51" s="59">
        <f t="shared" si="17"/>
        <v>720.22146173425176</v>
      </c>
      <c r="DT51" s="59">
        <f ca="1">AVERAGE(OFFSET($DS$3,0,0,'Données projet'!$E$14+1,1))-AVERAGE(OFFSET($H$3,0,0,'Données projet'!$E$14+1,1))</f>
        <v>227.99747790451215</v>
      </c>
      <c r="DU51" s="59">
        <f t="shared" si="44"/>
        <v>209.49597700966933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2.0081713125221619</v>
      </c>
      <c r="EB51" s="21">
        <f>EXP(-LN(2)/25)*EB50+(1-EXP(-LN(2)/25))/(LN(2)/25)*Calculateur!DW51*Calculateur!DY51*VLOOKUP('Données projet'!$B$14,Paramètres!$A$1:$I$89,3,0)*0.475*44/12</f>
        <v>9.2133710540497802</v>
      </c>
      <c r="EC51" s="21">
        <f>EXP(-LN(2)/2)*EC50+(1-EXP(-LN(2)/2))/(LN(2)/2)*DW51*DZ51*VLOOKUP('Données projet'!$B$14,Paramètres!$A$1:$I$89,3,0)*0.475*44/12</f>
        <v>4.816957366223204E-2</v>
      </c>
      <c r="ED51" s="22">
        <f t="shared" si="18"/>
        <v>11.269711940234174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24.9</v>
      </c>
      <c r="EJ51" s="12">
        <f>IF('Données projet'!$A$192&gt;35,EJ50+EI51-ER50,IF(A51&lt;'Données projet'!$A$192,$EG$205^A51,IF(A51='Données projet'!$A$192,'Données projet'!$B$192,EJ50+EI51-ER50)))</f>
        <v>620.19999999999993</v>
      </c>
      <c r="EK51" s="17">
        <f>EJ51*VLOOKUP('Données projet'!$B$15,Paramètres!$A$1:$I$89,3,0)*VLOOKUP('Données projet'!$B$15,Paramètres!$A$1:$I$89,5,0)</f>
        <v>274.1284</v>
      </c>
      <c r="EL51" s="13">
        <f t="shared" si="45"/>
        <v>65.724644676472622</v>
      </c>
      <c r="EM51" s="20">
        <f t="shared" si="19"/>
        <v>591.91071947818978</v>
      </c>
      <c r="EN51" s="59">
        <f t="shared" si="20"/>
        <v>885.24405281152303</v>
      </c>
      <c r="EO51" s="59">
        <f ca="1">AVERAGE(OFFSET($EN$3,0,0,'Données projet'!$E$15+1,1))-AVERAGE(OFFSET($H$3,0,0,'Données projet'!$E$15+1,1))</f>
        <v>335.27356627949155</v>
      </c>
      <c r="EP51" s="59">
        <f t="shared" si="46"/>
        <v>322.66829503077247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16.97603150724596</v>
      </c>
      <c r="EX51" s="21">
        <f>EXP(-LN(2)/2)*EX50+(1-EXP(-LN(2)/2))/(LN(2)/2)*ER51*EU51*VLOOKUP('Données projet'!$B$15,Paramètres!$A$1:$I$89,3,0)*0.475*44/12</f>
        <v>6.9107702840204108E-2</v>
      </c>
      <c r="EY51" s="22">
        <f t="shared" si="21"/>
        <v>17.045139210086163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11.2</v>
      </c>
      <c r="N52" s="13">
        <f>IF('Données projet'!$A$36&gt;35,N51+M52-V51,IF(A52&lt;'Données projet'!$A$36,$K$205^A52,IF(A52='Données projet'!$A$36,'Données projet'!$B$36,N51+M52-V51)))</f>
        <v>247.7999999999999</v>
      </c>
      <c r="O52" s="13">
        <f>N52*VLOOKUP('Données projet'!$B$9,Paramètres!$A$1:$I$89,3,0)*VLOOKUP('Données projet'!$B$9,Paramètres!$A$1:$I$89,5,0)</f>
        <v>224.20943999999992</v>
      </c>
      <c r="P52" s="13">
        <f t="shared" si="33"/>
        <v>55.028775065392324</v>
      </c>
      <c r="Q52" s="20">
        <f t="shared" si="53"/>
        <v>486.33989123889143</v>
      </c>
      <c r="R52" s="59">
        <f t="shared" si="0"/>
        <v>779.67322457222474</v>
      </c>
      <c r="S52" s="59">
        <f ca="1">AVERAGE(OFFSET($R$3,0,0,'Données projet'!$E$9+1,1))-AVERAGE(OFFSET($H$3,0,0,'Données projet'!$E$9+1,1))</f>
        <v>319.18811755575183</v>
      </c>
      <c r="T52" s="59">
        <f t="shared" si="34"/>
        <v>234.87694492493506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1.6532552158519229</v>
      </c>
      <c r="AA52" s="21">
        <f>EXP(-LN(2)/25)*AA51+(1-EXP(-LN(2)/25))/(LN(2)/25)*Calculateur!V52*Calculateur!X52*VLOOKUP('Données projet'!$B$9,Paramètres!$A$1:$I$89,3,0)*0.475*44/12</f>
        <v>6.662462865622043</v>
      </c>
      <c r="AB52" s="21">
        <f>EXP(-LN(2)/2)*AB51+(1-EXP(-LN(2)/2))/(LN(2)/2)*V52*Y52*VLOOKUP('Données projet'!$B$9,Paramètres!$A$1:$I$89,3,0)*0.475*44/12</f>
        <v>2.9766622246422202E-2</v>
      </c>
      <c r="AC52" s="22">
        <f t="shared" si="3"/>
        <v>8.3454847037203876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10.6</v>
      </c>
      <c r="AI52" s="13">
        <f>IF('Données projet'!$A$62&gt;35,AI51+AH52-AQ51,IF(A52&lt;'Données projet'!$A$62,$AF$205^A52,IF(A52='Données projet'!$A$62,'Données projet'!$B$62,AI51+AH52-AQ51)))</f>
        <v>318.39999999999998</v>
      </c>
      <c r="AJ52" s="13">
        <f>AI52*VLOOKUP('Données projet'!$B$10,Paramètres!$A$1:$I$89,3,0)*VLOOKUP('Données projet'!$B$10,Paramètres!$A$1:$I$89,5,0)</f>
        <v>253.31904</v>
      </c>
      <c r="AK52" s="13">
        <f t="shared" si="35"/>
        <v>61.296116853123188</v>
      </c>
      <c r="AL52" s="20">
        <f t="shared" si="4"/>
        <v>547.95473151918964</v>
      </c>
      <c r="AM52" s="59">
        <f t="shared" si="5"/>
        <v>841.28806485252289</v>
      </c>
      <c r="AN52" s="59">
        <f ca="1">AVERAGE(OFFSET($AM$3,0,0,'Données projet'!$E$10+1,1))-AVERAGE(OFFSET($H$3,0,0,'Données projet'!$E$10+1,1))</f>
        <v>314.94704727988847</v>
      </c>
      <c r="AO52" s="59">
        <f t="shared" si="36"/>
        <v>366.49199094166454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2.6876997885611962</v>
      </c>
      <c r="AV52" s="21">
        <f>EXP(-LN(2)/25)*AV51+(1-EXP(-LN(2)/25))/(LN(2)/25)*Calculateur!AQ52*Calculateur!AS52*VLOOKUP('Données projet'!$B$10,Paramètres!$A$1:$I$89,3,0)*0.475*44/12</f>
        <v>15.002677020659764</v>
      </c>
      <c r="AW52" s="21">
        <f>EXP(-LN(2)/2)*AW51+(1-EXP(-LN(2)/2))/(LN(2)/2)*AQ52*AT52*VLOOKUP('Données projet'!$B$10,Paramètres!$A$1:$I$89,3,0)*0.475*44/12</f>
        <v>3.9870376863145873E-2</v>
      </c>
      <c r="AX52" s="21">
        <f t="shared" si="6"/>
        <v>17.730247186084107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10.6</v>
      </c>
      <c r="BD52" s="12">
        <f>IF('Données projet'!$A$88&gt;35,BD51+BC52-BL51,IF(A52&lt;'Données projet'!$A$88,$BA$205^A52,IF(A52='Données projet'!$A$88,'Données projet'!$B$88,BD51+BC52-BL51)))</f>
        <v>318.39999999999998</v>
      </c>
      <c r="BE52" s="13">
        <f>BD52*VLOOKUP('Données projet'!$B$11,Paramètres!$A$1:$I$89,3,0)*VLOOKUP('Données projet'!$B$11,Paramètres!$A$1:$I$89,5,0)</f>
        <v>208.61567999999997</v>
      </c>
      <c r="BF52" s="13">
        <f t="shared" si="37"/>
        <v>51.63296060480328</v>
      </c>
      <c r="BG52" s="20">
        <f t="shared" si="7"/>
        <v>453.26638238669898</v>
      </c>
      <c r="BH52" s="59">
        <f t="shared" si="8"/>
        <v>746.59971572003224</v>
      </c>
      <c r="BI52" s="59">
        <f ca="1">AVERAGE(OFFSET($BH$3,0,0,'Données projet'!$E$11+1,1))-AVERAGE(OFFSET($H$3,0,0,'Données projet'!$E$11+1,1))</f>
        <v>246.64951465060813</v>
      </c>
      <c r="BJ52" s="59">
        <f t="shared" si="38"/>
        <v>292.64550285216865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1.7957772172184681</v>
      </c>
      <c r="BQ52" s="21">
        <f>EXP(-LN(2)/25)*BQ51+(1-EXP(-LN(2)/25))/(LN(2)/25)*Calculateur!BL52*Calculateur!BN52*VLOOKUP('Données projet'!$B$11,Paramètres!$A$1:$I$89,3,0)*0.475*44/12</f>
        <v>10.023986200263236</v>
      </c>
      <c r="BR52" s="21">
        <f>EXP(-LN(2)/2)*BR51+(1-EXP(-LN(2)/2))/(LN(2)/2)*BL52*BO52*VLOOKUP('Données projet'!$B$11,Paramètres!$A$1:$I$89,3,0)*0.475*44/12</f>
        <v>3.2834428004943662E-2</v>
      </c>
      <c r="BS52" s="22">
        <f t="shared" si="9"/>
        <v>11.852597845486647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10.6</v>
      </c>
      <c r="BY52" s="12">
        <f>IF('Données projet'!$A$114&gt;35,BY51+BX52-CG51,IF(A52&lt;'Données projet'!$A$114,$BV$205^A52,IF(A52='Données projet'!$A$114,'Données projet'!$B$114,BY51+BX52-CG51)))</f>
        <v>318.39999999999998</v>
      </c>
      <c r="BZ52" s="13">
        <f>BY52*VLOOKUP('Données projet'!$B$12,Paramètres!$A$1:$I$89,3,0)*VLOOKUP('Données projet'!$B$12,Paramètres!$A$1:$I$89,5,0)</f>
        <v>213.58271999999997</v>
      </c>
      <c r="CA52" s="13">
        <f t="shared" si="39"/>
        <v>52.717727674006433</v>
      </c>
      <c r="CB52" s="20">
        <f t="shared" si="10"/>
        <v>463.80661303222786</v>
      </c>
      <c r="CC52" s="59">
        <f t="shared" si="11"/>
        <v>757.13994636556117</v>
      </c>
      <c r="CD52" s="59">
        <f ca="1">AVERAGE(OFFSET($CC$3,0,0,'Données projet'!$E$12+1,1))-AVERAGE(OFFSET($H$3,0,0,'Données projet'!$E$12+1,1))</f>
        <v>254.25222107710192</v>
      </c>
      <c r="CE52" s="59">
        <f t="shared" si="40"/>
        <v>300.86609173447573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2.2660998217280661</v>
      </c>
      <c r="CL52" s="21">
        <f>EXP(-LN(2)/25)*CL51+(1-EXP(-LN(2)/25))/(LN(2)/25)*Calculateur!CG52*Calculateur!CI52*VLOOKUP('Données projet'!$B$12,Paramètres!$A$1:$I$89,3,0)*0.475*44/12</f>
        <v>12.6493159193798</v>
      </c>
      <c r="CM52" s="21">
        <f>EXP(-LN(2)/2)*CM51+(1-EXP(-LN(2)/2))/(LN(2)/2)*CG52*CJ52*VLOOKUP('Données projet'!$B$12,Paramètres!$A$1:$I$89,3,0)*0.475*44/12</f>
        <v>3.3616200100299483E-2</v>
      </c>
      <c r="CN52" s="22">
        <f t="shared" si="12"/>
        <v>14.949031941208165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9.4</v>
      </c>
      <c r="CT52" s="12">
        <f>IF('Données projet'!$A$140&gt;35,CT51+CS52-DB51,IF(A52&lt;'Données projet'!$A$140,$CQ$205^A52,IF(A52='Données projet'!$A$140,'Données projet'!$B$140,CT51+CS52-DB51)))</f>
        <v>258.60000000000008</v>
      </c>
      <c r="CU52" s="17">
        <f>CT52*VLOOKUP('Données projet'!$B$13,Paramètres!$A$1:$I$89,3,0)*VLOOKUP('Données projet'!$B$13,Paramètres!$A$1:$I$89,5,0)</f>
        <v>225.91296000000011</v>
      </c>
      <c r="CV52" s="13">
        <f t="shared" si="41"/>
        <v>55.398047891514715</v>
      </c>
      <c r="CW52" s="20">
        <f t="shared" si="13"/>
        <v>489.95000541105492</v>
      </c>
      <c r="CX52" s="59">
        <f t="shared" si="14"/>
        <v>783.28333874438817</v>
      </c>
      <c r="CY52" s="59">
        <f ca="1">AVERAGE(OFFSET($CX$3,0,0,'Données projet'!$E$13+1,1))-AVERAGE(OFFSET($H$3,0,0,'Données projet'!$E$13+1,1))</f>
        <v>243.38048563215585</v>
      </c>
      <c r="CZ52" s="59">
        <f t="shared" si="42"/>
        <v>372.1604147006675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5.016774448102387</v>
      </c>
      <c r="DG52" s="21">
        <f>EXP(-LN(2)/25)*DG51+(1-EXP(-LN(2)/25))/(LN(2)/25)*Calculateur!DB52*Calculateur!DD52*VLOOKUP('Données projet'!$B$13,Paramètres!$A$1:$I$89,3,0)*0.475*44/12</f>
        <v>11.433443003287794</v>
      </c>
      <c r="DH52" s="21">
        <f>EXP(-LN(2)/2)*DH51+(1-EXP(-LN(2)/2))/(LN(2)/2)*DB52*DE52*VLOOKUP('Données projet'!$B$13,Paramètres!$A$1:$I$89,3,0)*0.475*44/12</f>
        <v>4.0485922475973435E-2</v>
      </c>
      <c r="DI52" s="22">
        <f t="shared" si="15"/>
        <v>16.490703373866154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16.5</v>
      </c>
      <c r="DO52" s="12">
        <f>IF('Données projet'!$A$166&gt;35,DO51+DN52-DW51,IF(A52&lt;'Données projet'!$A$166,$DL$205^A52,IF(A52='Données projet'!$A$166,'Données projet'!$B$166,DO51+DN52-DW51)))</f>
        <v>359.49999999999994</v>
      </c>
      <c r="DP52" s="17">
        <f>DO52*VLOOKUP('Données projet'!$B$14,Paramètres!$A$1:$I$89,3,0)*VLOOKUP('Données projet'!$B$14,Paramètres!$A$1:$I$89,5,0)</f>
        <v>205.63399999999999</v>
      </c>
      <c r="DQ52" s="13">
        <f t="shared" si="43"/>
        <v>50.980341376791486</v>
      </c>
      <c r="DR52" s="20">
        <f t="shared" si="16"/>
        <v>446.93664456457844</v>
      </c>
      <c r="DS52" s="59">
        <f t="shared" si="17"/>
        <v>740.26997789791176</v>
      </c>
      <c r="DT52" s="59">
        <f ca="1">AVERAGE(OFFSET($DS$3,0,0,'Données projet'!$E$14+1,1))-AVERAGE(OFFSET($H$3,0,0,'Données projet'!$E$14+1,1))</f>
        <v>227.99747790451215</v>
      </c>
      <c r="DU52" s="59">
        <f t="shared" si="44"/>
        <v>209.49597700966933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1.9687922979471577</v>
      </c>
      <c r="EB52" s="21">
        <f>EXP(-LN(2)/25)*EB51+(1-EXP(-LN(2)/25))/(LN(2)/25)*Calculateur!DW52*Calculateur!DY52*VLOOKUP('Données projet'!$B$14,Paramètres!$A$1:$I$89,3,0)*0.475*44/12</f>
        <v>8.9614309380666626</v>
      </c>
      <c r="EC52" s="21">
        <f>EXP(-LN(2)/2)*EC51+(1-EXP(-LN(2)/2))/(LN(2)/2)*DW52*DZ52*VLOOKUP('Données projet'!$B$14,Paramètres!$A$1:$I$89,3,0)*0.475*44/12</f>
        <v>3.4061032183429193E-2</v>
      </c>
      <c r="ED52" s="22">
        <f t="shared" si="18"/>
        <v>10.964284268197249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24.9</v>
      </c>
      <c r="EJ52" s="12">
        <f>IF('Données projet'!$A$192&gt;35,EJ51+EI52-ER51,IF(A52&lt;'Données projet'!$A$192,$EG$205^A52,IF(A52='Données projet'!$A$192,'Données projet'!$B$192,EJ51+EI52-ER51)))</f>
        <v>645.09999999999991</v>
      </c>
      <c r="EK52" s="17">
        <f>EJ52*VLOOKUP('Données projet'!$B$15,Paramètres!$A$1:$I$89,3,0)*VLOOKUP('Données projet'!$B$15,Paramètres!$A$1:$I$89,5,0)</f>
        <v>285.13419999999996</v>
      </c>
      <c r="EL52" s="13">
        <f t="shared" si="45"/>
        <v>68.050862862329538</v>
      </c>
      <c r="EM52" s="20">
        <f t="shared" si="19"/>
        <v>615.13065115189056</v>
      </c>
      <c r="EN52" s="59">
        <f t="shared" si="20"/>
        <v>908.46398448522382</v>
      </c>
      <c r="EO52" s="59">
        <f ca="1">AVERAGE(OFFSET($EN$3,0,0,'Données projet'!$E$15+1,1))-AVERAGE(OFFSET($H$3,0,0,'Données projet'!$E$15+1,1))</f>
        <v>335.27356627949155</v>
      </c>
      <c r="EP52" s="59">
        <f t="shared" si="46"/>
        <v>322.66829503077247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16.511821032949623</v>
      </c>
      <c r="EX52" s="21">
        <f>EXP(-LN(2)/2)*EX51+(1-EXP(-LN(2)/2))/(LN(2)/2)*ER52*EU52*VLOOKUP('Données projet'!$B$15,Paramètres!$A$1:$I$89,3,0)*0.475*44/12</f>
        <v>4.8866525310533156E-2</v>
      </c>
      <c r="EY52" s="22">
        <f t="shared" si="21"/>
        <v>16.560687558260156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259</v>
      </c>
      <c r="L53" s="12">
        <f>VLOOKUP(A53,'Données projet'!$A$35:$I$55,9,0)</f>
        <v>11.2</v>
      </c>
      <c r="M53" s="12">
        <f t="array" ref="M53">INDEX(L:L,MIN(IF(ISNUMBER(L53:L249),ROW(L53:L249),"")))</f>
        <v>11.2</v>
      </c>
      <c r="N53" s="13">
        <f>IF('Données projet'!$A$36&gt;35,N52+M53-V52,IF(A53&lt;'Données projet'!$A$36,$K$205^A53,IF(A53='Données projet'!$A$36,'Données projet'!$B$36,N52+M53-V52)))</f>
        <v>258.99999999999989</v>
      </c>
      <c r="O53" s="13">
        <f>N53*VLOOKUP('Données projet'!$B$9,Paramètres!$A$1:$I$89,3,0)*VLOOKUP('Données projet'!$B$9,Paramètres!$A$1:$I$89,5,0)</f>
        <v>234.34319999999988</v>
      </c>
      <c r="P53" s="13">
        <f t="shared" si="33"/>
        <v>57.220758006491614</v>
      </c>
      <c r="Q53" s="20">
        <f t="shared" si="53"/>
        <v>507.80722686130594</v>
      </c>
      <c r="R53" s="59">
        <f t="shared" si="0"/>
        <v>801.14056019463919</v>
      </c>
      <c r="S53" s="59">
        <f ca="1">AVERAGE(OFFSET($R$3,0,0,'Données projet'!$E$9+1,1))-AVERAGE(OFFSET($H$3,0,0,'Données projet'!$E$9+1,1))</f>
        <v>319.18811755575183</v>
      </c>
      <c r="T53" s="59">
        <f t="shared" si="34"/>
        <v>234.87694492493506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56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1.6208358894551784</v>
      </c>
      <c r="AA53" s="21">
        <f>EXP(-LN(2)/25)*AA52+(1-EXP(-LN(2)/25))/(LN(2)/25)*Calculateur!V53*Calculateur!X53*VLOOKUP('Données projet'!$B$9,Paramètres!$A$1:$I$89,3,0)*0.475*44/12</f>
        <v>6.4802774681979134</v>
      </c>
      <c r="AB53" s="21">
        <f>EXP(-LN(2)/2)*AB52+(1-EXP(-LN(2)/2))/(LN(2)/2)*V53*Y53*VLOOKUP('Données projet'!$B$9,Paramètres!$A$1:$I$89,3,0)*0.475*44/12</f>
        <v>2.1048180443463484E-2</v>
      </c>
      <c r="AC53" s="22">
        <f t="shared" si="3"/>
        <v>8.1221615380965542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329</v>
      </c>
      <c r="AG53" s="12">
        <f>VLOOKUP(A53,'Données projet'!$A$61:$I$81,9,0)</f>
        <v>10.6</v>
      </c>
      <c r="AH53" s="12">
        <f t="array" ref="AH53">INDEX(AG:AG,MIN(IF(ISNUMBER(AG53:AG249),ROW(AG53:AG249),"")))</f>
        <v>10.6</v>
      </c>
      <c r="AI53" s="13">
        <f>IF('Données projet'!$A$62&gt;35,AI52+AH53-AQ52,IF(A53&lt;'Données projet'!$A$62,$AF$205^A53,IF(A53='Données projet'!$A$62,'Données projet'!$B$62,AI52+AH53-AQ52)))</f>
        <v>329</v>
      </c>
      <c r="AJ53" s="13">
        <f>AI53*VLOOKUP('Données projet'!$B$10,Paramètres!$A$1:$I$89,3,0)*VLOOKUP('Données projet'!$B$10,Paramètres!$A$1:$I$89,5,0)</f>
        <v>261.75240000000002</v>
      </c>
      <c r="AK53" s="13">
        <f t="shared" si="35"/>
        <v>63.095772658161032</v>
      </c>
      <c r="AL53" s="20">
        <f t="shared" si="4"/>
        <v>565.77723404629717</v>
      </c>
      <c r="AM53" s="59">
        <f t="shared" si="5"/>
        <v>859.11056737963054</v>
      </c>
      <c r="AN53" s="59">
        <f ca="1">AVERAGE(OFFSET($AM$3,0,0,'Données projet'!$E$10+1,1))-AVERAGE(OFFSET($H$3,0,0,'Données projet'!$E$10+1,1))</f>
        <v>314.94704727988847</v>
      </c>
      <c r="AO53" s="59">
        <f t="shared" si="36"/>
        <v>366.49199094166454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47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2.6349956350425114</v>
      </c>
      <c r="AV53" s="21">
        <f>EXP(-LN(2)/25)*AV52+(1-EXP(-LN(2)/25))/(LN(2)/25)*Calculateur!AQ53*Calculateur!AS53*VLOOKUP('Données projet'!$B$10,Paramètres!$A$1:$I$89,3,0)*0.475*44/12</f>
        <v>14.592428028573327</v>
      </c>
      <c r="AW53" s="21">
        <f>EXP(-LN(2)/2)*AW52+(1-EXP(-LN(2)/2))/(LN(2)/2)*AQ53*AT53*VLOOKUP('Données projet'!$B$10,Paramètres!$A$1:$I$89,3,0)*0.475*44/12</f>
        <v>2.8192613848393677E-2</v>
      </c>
      <c r="AX53" s="21">
        <f t="shared" si="6"/>
        <v>17.255616277464231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329</v>
      </c>
      <c r="BB53" s="12">
        <f>VLOOKUP(A53,'Données projet'!$A$87:$I$107,9,0)</f>
        <v>10.6</v>
      </c>
      <c r="BC53" s="12">
        <f t="array" ref="BC53">INDEX(BB:BB,MIN(IF(ISNUMBER(BB53:BB249),ROW(BB53:BB249),"")))</f>
        <v>10.6</v>
      </c>
      <c r="BD53" s="12">
        <f>IF('Données projet'!$A$88&gt;35,BD52+BC53-BL52,IF(A53&lt;'Données projet'!$A$88,$BA$205^A53,IF(A53='Données projet'!$A$88,'Données projet'!$B$88,BD52+BC53-BL52)))</f>
        <v>329</v>
      </c>
      <c r="BE53" s="13">
        <f>BD53*VLOOKUP('Données projet'!$B$11,Paramètres!$A$1:$I$89,3,0)*VLOOKUP('Données projet'!$B$11,Paramètres!$A$1:$I$89,5,0)</f>
        <v>215.56080000000003</v>
      </c>
      <c r="BF53" s="13">
        <f t="shared" si="37"/>
        <v>53.14890585638225</v>
      </c>
      <c r="BG53" s="20">
        <f t="shared" si="7"/>
        <v>468.0027376998658</v>
      </c>
      <c r="BH53" s="59">
        <f t="shared" si="8"/>
        <v>761.33607103319912</v>
      </c>
      <c r="BI53" s="59">
        <f ca="1">AVERAGE(OFFSET($BH$3,0,0,'Données projet'!$E$11+1,1))-AVERAGE(OFFSET($H$3,0,0,'Données projet'!$E$11+1,1))</f>
        <v>246.64951465060813</v>
      </c>
      <c r="BJ53" s="59">
        <f t="shared" si="38"/>
        <v>292.64550285216865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47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1.760563121304763</v>
      </c>
      <c r="BQ53" s="21">
        <f>EXP(-LN(2)/25)*BQ52+(1-EXP(-LN(2)/25))/(LN(2)/25)*Calculateur!BL53*Calculateur!BN53*VLOOKUP('Données projet'!$B$11,Paramètres!$A$1:$I$89,3,0)*0.475*44/12</f>
        <v>9.749879770478513</v>
      </c>
      <c r="BR53" s="21">
        <f>EXP(-LN(2)/2)*BR52+(1-EXP(-LN(2)/2))/(LN(2)/2)*BL53*BO53*VLOOKUP('Données projet'!$B$11,Paramètres!$A$1:$I$89,3,0)*0.475*44/12</f>
        <v>2.3217446698677147E-2</v>
      </c>
      <c r="BS53" s="22">
        <f t="shared" si="9"/>
        <v>11.533660338481953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329</v>
      </c>
      <c r="BW53" s="12">
        <f>VLOOKUP(A53,'Données projet'!$A$113:$I$133,9,0)</f>
        <v>10.6</v>
      </c>
      <c r="BX53" s="12">
        <f t="array" ref="BX53">INDEX(BW:BW,MIN(IF(ISNUMBER(BW53:BW249),ROW(BW53:BW249),"")))</f>
        <v>10.6</v>
      </c>
      <c r="BY53" s="12">
        <f>IF('Données projet'!$A$114&gt;35,BY52+BX53-CG52,IF(A53&lt;'Données projet'!$A$114,$BV$205^A53,IF(A53='Données projet'!$A$114,'Données projet'!$B$114,BY52+BX53-CG52)))</f>
        <v>329</v>
      </c>
      <c r="BZ53" s="13">
        <f>BY53*VLOOKUP('Données projet'!$B$12,Paramètres!$A$1:$I$89,3,0)*VLOOKUP('Données projet'!$B$12,Paramètres!$A$1:$I$89,5,0)</f>
        <v>220.69320000000002</v>
      </c>
      <c r="CA53" s="13">
        <f t="shared" si="39"/>
        <v>54.265521718843921</v>
      </c>
      <c r="CB53" s="20">
        <f t="shared" si="10"/>
        <v>478.88644032698647</v>
      </c>
      <c r="CC53" s="59">
        <f t="shared" si="11"/>
        <v>772.21977366031979</v>
      </c>
      <c r="CD53" s="59">
        <f ca="1">AVERAGE(OFFSET($CC$3,0,0,'Données projet'!$E$12+1,1))-AVERAGE(OFFSET($H$3,0,0,'Données projet'!$E$12+1,1))</f>
        <v>254.25222107710192</v>
      </c>
      <c r="CE53" s="59">
        <f t="shared" si="40"/>
        <v>300.86609173447573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47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2.2216629864083908</v>
      </c>
      <c r="CL53" s="21">
        <f>EXP(-LN(2)/25)*CL52+(1-EXP(-LN(2)/25))/(LN(2)/25)*Calculateur!CG53*Calculateur!CI53*VLOOKUP('Données projet'!$B$12,Paramètres!$A$1:$I$89,3,0)*0.475*44/12</f>
        <v>12.303419710365747</v>
      </c>
      <c r="CM53" s="21">
        <f>EXP(-LN(2)/2)*CM52+(1-EXP(-LN(2)/2))/(LN(2)/2)*CG53*CJ53*VLOOKUP('Données projet'!$B$12,Paramètres!$A$1:$I$89,3,0)*0.475*44/12</f>
        <v>2.3770243048645664E-2</v>
      </c>
      <c r="CN53" s="22">
        <f t="shared" si="12"/>
        <v>14.548852939822783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268</v>
      </c>
      <c r="CR53" s="12">
        <f>VLOOKUP(A53,'Données projet'!$A$139:$I$159,9,0)</f>
        <v>9.4</v>
      </c>
      <c r="CS53" s="12">
        <f t="array" ref="CS53">INDEX(CR:CR,MIN(IF(ISNUMBER(CR53:CR249),ROW(CR53:CR249),"")))</f>
        <v>9.4</v>
      </c>
      <c r="CT53" s="12">
        <f>IF('Données projet'!$A$140&gt;35,CT52+CS53-DB52,IF(A53&lt;'Données projet'!$A$140,$CQ$205^A53,IF(A53='Données projet'!$A$140,'Données projet'!$B$140,CT52+CS53-DB52)))</f>
        <v>268.00000000000006</v>
      </c>
      <c r="CU53" s="17">
        <f>CT53*VLOOKUP('Données projet'!$B$13,Paramètres!$A$1:$I$89,3,0)*VLOOKUP('Données projet'!$B$13,Paramètres!$A$1:$I$89,5,0)</f>
        <v>234.12480000000008</v>
      </c>
      <c r="CV53" s="13">
        <f t="shared" si="41"/>
        <v>57.173634982132555</v>
      </c>
      <c r="CW53" s="20">
        <f t="shared" si="13"/>
        <v>507.34477426054764</v>
      </c>
      <c r="CX53" s="59">
        <f t="shared" si="14"/>
        <v>800.6781075938809</v>
      </c>
      <c r="CY53" s="59">
        <f ca="1">AVERAGE(OFFSET($CX$3,0,0,'Données projet'!$E$13+1,1))-AVERAGE(OFFSET($H$3,0,0,'Données projet'!$E$13+1,1))</f>
        <v>243.38048563215585</v>
      </c>
      <c r="CZ53" s="59">
        <f t="shared" si="42"/>
        <v>372.1604147006675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69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4.91839856110537</v>
      </c>
      <c r="DG53" s="21">
        <f>EXP(-LN(2)/25)*DG52+(1-EXP(-LN(2)/25))/(LN(2)/25)*Calculateur!DB53*Calculateur!DD53*VLOOKUP('Données projet'!$B$13,Paramètres!$A$1:$I$89,3,0)*0.475*44/12</f>
        <v>11.120794903104253</v>
      </c>
      <c r="DH53" s="21">
        <f>EXP(-LN(2)/2)*DH52+(1-EXP(-LN(2)/2))/(LN(2)/2)*DB53*DE53*VLOOKUP('Données projet'!$B$13,Paramètres!$A$1:$I$89,3,0)*0.475*44/12</f>
        <v>2.8627870325353674E-2</v>
      </c>
      <c r="DI53" s="22">
        <f t="shared" si="15"/>
        <v>16.06782133453498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376</v>
      </c>
      <c r="DM53" s="12">
        <f>VLOOKUP(A53,'Données projet'!$A$165:$I$185,9,0)</f>
        <v>16.5</v>
      </c>
      <c r="DN53" s="12">
        <f t="array" ref="DN53">INDEX(DM:DM,MIN(IF(ISNUMBER(DM53:DM249),ROW(DM53:DM249),"")))</f>
        <v>16.5</v>
      </c>
      <c r="DO53" s="12">
        <f>IF('Données projet'!$A$166&gt;35,DO52+DN53-DW52,IF(A53&lt;'Données projet'!$A$166,$DL$205^A53,IF(A53='Données projet'!$A$166,'Données projet'!$B$166,DO52+DN53-DW52)))</f>
        <v>375.99999999999994</v>
      </c>
      <c r="DP53" s="17">
        <f>DO53*VLOOKUP('Données projet'!$B$14,Paramètres!$A$1:$I$89,3,0)*VLOOKUP('Données projet'!$B$14,Paramètres!$A$1:$I$89,5,0)</f>
        <v>215.07199999999997</v>
      </c>
      <c r="DQ53" s="13">
        <f t="shared" si="43"/>
        <v>53.042401148431495</v>
      </c>
      <c r="DR53" s="20">
        <f t="shared" si="16"/>
        <v>466.96591533351813</v>
      </c>
      <c r="DS53" s="59">
        <f t="shared" si="17"/>
        <v>760.29924866685144</v>
      </c>
      <c r="DT53" s="59">
        <f ca="1">AVERAGE(OFFSET($DS$3,0,0,'Données projet'!$E$14+1,1))-AVERAGE(OFFSET($H$3,0,0,'Données projet'!$E$14+1,1))</f>
        <v>227.99747790451215</v>
      </c>
      <c r="DU53" s="59">
        <f t="shared" si="44"/>
        <v>209.49597700966933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84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1.9301854818291422</v>
      </c>
      <c r="EB53" s="21">
        <f>EXP(-LN(2)/25)*EB52+(1-EXP(-LN(2)/25))/(LN(2)/25)*Calculateur!DW53*Calculateur!DY53*VLOOKUP('Données projet'!$B$14,Paramètres!$A$1:$I$89,3,0)*0.475*44/12</f>
        <v>8.7163801378040588</v>
      </c>
      <c r="EC53" s="21">
        <f>EXP(-LN(2)/2)*EC52+(1-EXP(-LN(2)/2))/(LN(2)/2)*DW53*DZ53*VLOOKUP('Données projet'!$B$14,Paramètres!$A$1:$I$89,3,0)*0.475*44/12</f>
        <v>2.408478683111602E-2</v>
      </c>
      <c r="ED53" s="22">
        <f t="shared" si="18"/>
        <v>10.670650406464317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670</v>
      </c>
      <c r="EH53" s="12">
        <f>VLOOKUP(A53,'Données projet'!$A$191:$I$211,9,0)</f>
        <v>24.9</v>
      </c>
      <c r="EI53" s="12">
        <f t="array" ref="EI53">INDEX(EH:EH,MIN(IF(ISNUMBER(EH53:EH249),ROW(EH53:EH249),"")))</f>
        <v>24.9</v>
      </c>
      <c r="EJ53" s="12">
        <f>IF('Données projet'!$A$192&gt;35,EJ52+EI53-ER52,IF(A53&lt;'Données projet'!$A$192,$EG$205^A53,IF(A53='Données projet'!$A$192,'Données projet'!$B$192,EJ52+EI53-ER52)))</f>
        <v>669.99999999999989</v>
      </c>
      <c r="EK53" s="17">
        <f>EJ53*VLOOKUP('Données projet'!$B$15,Paramètres!$A$1:$I$89,3,0)*VLOOKUP('Données projet'!$B$15,Paramètres!$A$1:$I$89,5,0)</f>
        <v>296.14</v>
      </c>
      <c r="EL53" s="13">
        <f t="shared" si="45"/>
        <v>70.366650325591266</v>
      </c>
      <c r="EM53" s="20">
        <f t="shared" si="19"/>
        <v>638.33241598373809</v>
      </c>
      <c r="EN53" s="59">
        <f t="shared" si="20"/>
        <v>931.66574931707146</v>
      </c>
      <c r="EO53" s="59">
        <f ca="1">AVERAGE(OFFSET($EN$3,0,0,'Données projet'!$E$15+1,1))-AVERAGE(OFFSET($H$3,0,0,'Données projet'!$E$15+1,1))</f>
        <v>335.27356627949155</v>
      </c>
      <c r="EP53" s="59">
        <f t="shared" si="46"/>
        <v>322.66829503077247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111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16.060304418484687</v>
      </c>
      <c r="EX53" s="21">
        <f>EXP(-LN(2)/2)*EX52+(1-EXP(-LN(2)/2))/(LN(2)/2)*ER53*EU53*VLOOKUP('Données projet'!$B$15,Paramètres!$A$1:$I$89,3,0)*0.475*44/12</f>
        <v>3.4553851420102054E-2</v>
      </c>
      <c r="EY53" s="22">
        <f t="shared" si="21"/>
        <v>16.09485826990479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9.8000000000000007</v>
      </c>
      <c r="N54" s="13">
        <f>IF('Données projet'!$A$36&gt;35,N53+M54-V53,IF(A54&lt;'Données projet'!$A$36,$K$205^A54,IF(A54='Données projet'!$A$36,'Données projet'!$B$36,N53+M54-V53)))</f>
        <v>212.7999999999999</v>
      </c>
      <c r="O54" s="13">
        <f>N54*VLOOKUP('Données projet'!$B$9,Paramètres!$A$1:$I$89,3,0)*VLOOKUP('Données projet'!$B$9,Paramètres!$A$1:$I$89,5,0)</f>
        <v>192.54143999999991</v>
      </c>
      <c r="P54" s="13">
        <f t="shared" si="33"/>
        <v>48.101393902059698</v>
      </c>
      <c r="Q54" s="20">
        <f t="shared" si="53"/>
        <v>419.11960237942048</v>
      </c>
      <c r="R54" s="59">
        <f t="shared" si="0"/>
        <v>712.45293571275374</v>
      </c>
      <c r="S54" s="59">
        <f ca="1">AVERAGE(OFFSET($R$3,0,0,'Données projet'!$E$9+1,1))-AVERAGE(OFFSET($H$3,0,0,'Données projet'!$E$9+1,1))</f>
        <v>319.18811755575183</v>
      </c>
      <c r="T54" s="59">
        <f t="shared" si="34"/>
        <v>234.87694492493506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1.5890522862752376</v>
      </c>
      <c r="AA54" s="21">
        <f>EXP(-LN(2)/25)*AA53+(1-EXP(-LN(2)/25))/(LN(2)/25)*Calculateur!V54*Calculateur!X54*VLOOKUP('Données projet'!$B$9,Paramètres!$A$1:$I$89,3,0)*0.475*44/12</f>
        <v>6.3030739400470601</v>
      </c>
      <c r="AB54" s="21">
        <f>EXP(-LN(2)/2)*AB53+(1-EXP(-LN(2)/2))/(LN(2)/2)*V54*Y54*VLOOKUP('Données projet'!$B$9,Paramètres!$A$1:$I$89,3,0)*0.475*44/12</f>
        <v>1.4883311123211104E-2</v>
      </c>
      <c r="AC54" s="22">
        <f t="shared" si="3"/>
        <v>7.9070095374455089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7.9</v>
      </c>
      <c r="AI54" s="13">
        <f>IF('Données projet'!$A$62&gt;35,AI53+AH54-AQ53,IF(A54&lt;'Données projet'!$A$62,$AF$205^A54,IF(A54='Données projet'!$A$62,'Données projet'!$B$62,AI53+AH54-AQ53)))</f>
        <v>289.89999999999998</v>
      </c>
      <c r="AJ54" s="13">
        <f>AI54*VLOOKUP('Données projet'!$B$10,Paramètres!$A$1:$I$89,3,0)*VLOOKUP('Données projet'!$B$10,Paramètres!$A$1:$I$89,5,0)</f>
        <v>230.64444</v>
      </c>
      <c r="AK54" s="13">
        <f t="shared" si="35"/>
        <v>56.422001826959672</v>
      </c>
      <c r="AL54" s="20">
        <f t="shared" si="4"/>
        <v>499.97405284862151</v>
      </c>
      <c r="AM54" s="59">
        <f t="shared" si="5"/>
        <v>793.30738618195483</v>
      </c>
      <c r="AN54" s="59">
        <f ca="1">AVERAGE(OFFSET($AM$3,0,0,'Données projet'!$E$10+1,1))-AVERAGE(OFFSET($H$3,0,0,'Données projet'!$E$10+1,1))</f>
        <v>314.94704727988847</v>
      </c>
      <c r="AO54" s="59">
        <f t="shared" si="36"/>
        <v>366.49199094166454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2.5833249778279685</v>
      </c>
      <c r="AV54" s="21">
        <f>EXP(-LN(2)/25)*AV53+(1-EXP(-LN(2)/25))/(LN(2)/25)*Calculateur!AQ54*Calculateur!AS54*VLOOKUP('Données projet'!$B$10,Paramètres!$A$1:$I$89,3,0)*0.475*44/12</f>
        <v>14.19339731674955</v>
      </c>
      <c r="AW54" s="21">
        <f>EXP(-LN(2)/2)*AW53+(1-EXP(-LN(2)/2))/(LN(2)/2)*AQ54*AT54*VLOOKUP('Données projet'!$B$10,Paramètres!$A$1:$I$89,3,0)*0.475*44/12</f>
        <v>1.9935188431572937E-2</v>
      </c>
      <c r="AX54" s="21">
        <f t="shared" si="6"/>
        <v>16.796657483009092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7.9</v>
      </c>
      <c r="BD54" s="12">
        <f>IF('Données projet'!$A$88&gt;35,BD53+BC54-BL53,IF(A54&lt;'Données projet'!$A$88,$BA$205^A54,IF(A54='Données projet'!$A$88,'Données projet'!$B$88,BD53+BC54-BL53)))</f>
        <v>289.89999999999998</v>
      </c>
      <c r="BE54" s="13">
        <f>BD54*VLOOKUP('Données projet'!$B$11,Paramètres!$A$1:$I$89,3,0)*VLOOKUP('Données projet'!$B$11,Paramètres!$A$1:$I$89,5,0)</f>
        <v>189.94247999999999</v>
      </c>
      <c r="BF54" s="13">
        <f t="shared" si="37"/>
        <v>47.527235771822156</v>
      </c>
      <c r="BG54" s="20">
        <f t="shared" si="7"/>
        <v>413.59308830259016</v>
      </c>
      <c r="BH54" s="59">
        <f t="shared" si="8"/>
        <v>706.92642163592348</v>
      </c>
      <c r="BI54" s="59">
        <f ca="1">AVERAGE(OFFSET($BH$3,0,0,'Données projet'!$E$11+1,1))-AVERAGE(OFFSET($H$3,0,0,'Données projet'!$E$11+1,1))</f>
        <v>246.64951465060813</v>
      </c>
      <c r="BJ54" s="59">
        <f t="shared" si="38"/>
        <v>292.64550285216865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1.726039552333448</v>
      </c>
      <c r="BQ54" s="21">
        <f>EXP(-LN(2)/25)*BQ53+(1-EXP(-LN(2)/25))/(LN(2)/25)*Calculateur!BL54*Calculateur!BN54*VLOOKUP('Données projet'!$B$11,Paramètres!$A$1:$I$89,3,0)*0.475*44/12</f>
        <v>9.4832687954308845</v>
      </c>
      <c r="BR54" s="21">
        <f>EXP(-LN(2)/2)*BR53+(1-EXP(-LN(2)/2))/(LN(2)/2)*BL54*BO54*VLOOKUP('Données projet'!$B$11,Paramètres!$A$1:$I$89,3,0)*0.475*44/12</f>
        <v>1.6417214002471831E-2</v>
      </c>
      <c r="BS54" s="22">
        <f t="shared" si="9"/>
        <v>11.225725561766804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7.9</v>
      </c>
      <c r="BY54" s="12">
        <f>IF('Données projet'!$A$114&gt;35,BY53+BX54-CG53,IF(A54&lt;'Données projet'!$A$114,$BV$205^A54,IF(A54='Données projet'!$A$114,'Données projet'!$B$114,BY53+BX54-CG53)))</f>
        <v>289.89999999999998</v>
      </c>
      <c r="BZ54" s="13">
        <f>BY54*VLOOKUP('Données projet'!$B$12,Paramètres!$A$1:$I$89,3,0)*VLOOKUP('Données projet'!$B$12,Paramètres!$A$1:$I$89,5,0)</f>
        <v>194.46491999999998</v>
      </c>
      <c r="CA54" s="13">
        <f t="shared" si="39"/>
        <v>48.525744856941913</v>
      </c>
      <c r="CB54" s="20">
        <f t="shared" si="10"/>
        <v>423.20874129250711</v>
      </c>
      <c r="CC54" s="59">
        <f t="shared" si="11"/>
        <v>716.54207462584043</v>
      </c>
      <c r="CD54" s="59">
        <f ca="1">AVERAGE(OFFSET($CC$3,0,0,'Données projet'!$E$12+1,1))-AVERAGE(OFFSET($H$3,0,0,'Données projet'!$E$12+1,1))</f>
        <v>254.25222107710192</v>
      </c>
      <c r="CE54" s="59">
        <f t="shared" si="40"/>
        <v>300.86609173447573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2.178097530325541</v>
      </c>
      <c r="CL54" s="21">
        <f>EXP(-LN(2)/25)*CL53+(1-EXP(-LN(2)/25))/(LN(2)/25)*Calculateur!CG54*Calculateur!CI54*VLOOKUP('Données projet'!$B$12,Paramètres!$A$1:$I$89,3,0)*0.475*44/12</f>
        <v>11.966982051377073</v>
      </c>
      <c r="CM54" s="21">
        <f>EXP(-LN(2)/2)*CM53+(1-EXP(-LN(2)/2))/(LN(2)/2)*CG54*CJ54*VLOOKUP('Données projet'!$B$12,Paramètres!$A$1:$I$89,3,0)*0.475*44/12</f>
        <v>1.6808100050149741E-2</v>
      </c>
      <c r="CN54" s="22">
        <f t="shared" si="12"/>
        <v>14.161887681752765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7.2</v>
      </c>
      <c r="CT54" s="12">
        <f>IF('Données projet'!$A$140&gt;35,CT53+CS54-DB53,IF(A54&lt;'Données projet'!$A$140,$CQ$205^A54,IF(A54='Données projet'!$A$140,'Données projet'!$B$140,CT53+CS54-DB53)))</f>
        <v>206.20000000000005</v>
      </c>
      <c r="CU54" s="17">
        <f>CT54*VLOOKUP('Données projet'!$B$13,Paramètres!$A$1:$I$89,3,0)*VLOOKUP('Données projet'!$B$13,Paramètres!$A$1:$I$89,5,0)</f>
        <v>180.13632000000007</v>
      </c>
      <c r="CV54" s="13">
        <f t="shared" si="41"/>
        <v>45.352513518602144</v>
      </c>
      <c r="CW54" s="20">
        <f t="shared" si="13"/>
        <v>392.72638504489879</v>
      </c>
      <c r="CX54" s="59">
        <f t="shared" si="14"/>
        <v>686.05971837823211</v>
      </c>
      <c r="CY54" s="59">
        <f ca="1">AVERAGE(OFFSET($CX$3,0,0,'Données projet'!$E$13+1,1))-AVERAGE(OFFSET($H$3,0,0,'Données projet'!$E$13+1,1))</f>
        <v>243.38048563215585</v>
      </c>
      <c r="CZ54" s="59">
        <f t="shared" si="42"/>
        <v>372.1604147006675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4.8219517652489978</v>
      </c>
      <c r="DG54" s="21">
        <f>EXP(-LN(2)/25)*DG53+(1-EXP(-LN(2)/25))/(LN(2)/25)*Calculateur!DB54*Calculateur!DD54*VLOOKUP('Données projet'!$B$13,Paramètres!$A$1:$I$89,3,0)*0.475*44/12</f>
        <v>10.81669618166168</v>
      </c>
      <c r="DH54" s="21">
        <f>EXP(-LN(2)/2)*DH53+(1-EXP(-LN(2)/2))/(LN(2)/2)*DB54*DE54*VLOOKUP('Données projet'!$B$13,Paramètres!$A$1:$I$89,3,0)*0.475*44/12</f>
        <v>2.0242961237986717E-2</v>
      </c>
      <c r="DI54" s="22">
        <f t="shared" si="15"/>
        <v>15.658890908148663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15</v>
      </c>
      <c r="DO54" s="12">
        <f>IF('Données projet'!$A$166&gt;35,DO53+DN54-DW53,IF(A54&lt;'Données projet'!$A$166,$DL$205^A54,IF(A54='Données projet'!$A$166,'Données projet'!$B$166,DO53+DN54-DW53)))</f>
        <v>306.99999999999994</v>
      </c>
      <c r="DP54" s="17">
        <f>DO54*VLOOKUP('Données projet'!$B$14,Paramètres!$A$1:$I$89,3,0)*VLOOKUP('Données projet'!$B$14,Paramètres!$A$1:$I$89,5,0)</f>
        <v>175.60399999999998</v>
      </c>
      <c r="DQ54" s="13">
        <f t="shared" si="43"/>
        <v>44.342754213843072</v>
      </c>
      <c r="DR54" s="20">
        <f t="shared" si="16"/>
        <v>383.0739302557767</v>
      </c>
      <c r="DS54" s="59">
        <f t="shared" si="17"/>
        <v>676.40726358911002</v>
      </c>
      <c r="DT54" s="59">
        <f ca="1">AVERAGE(OFFSET($DS$3,0,0,'Données projet'!$E$14+1,1))-AVERAGE(OFFSET($H$3,0,0,'Données projet'!$E$14+1,1))</f>
        <v>227.99747790451215</v>
      </c>
      <c r="DU54" s="59">
        <f t="shared" si="44"/>
        <v>209.49597700966933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1.8923357218273682</v>
      </c>
      <c r="EB54" s="21">
        <f>EXP(-LN(2)/25)*EB53+(1-EXP(-LN(2)/25))/(LN(2)/25)*Calculateur!DW54*Calculateur!DY54*VLOOKUP('Données projet'!$B$14,Paramètres!$A$1:$I$89,3,0)*0.475*44/12</f>
        <v>8.4780302645612977</v>
      </c>
      <c r="EC54" s="21">
        <f>EXP(-LN(2)/2)*EC53+(1-EXP(-LN(2)/2))/(LN(2)/2)*DW54*DZ54*VLOOKUP('Données projet'!$B$14,Paramètres!$A$1:$I$89,3,0)*0.475*44/12</f>
        <v>1.7030516091714597E-2</v>
      </c>
      <c r="ED54" s="22">
        <f t="shared" si="18"/>
        <v>10.387396502480382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19.600000000000001</v>
      </c>
      <c r="EJ54" s="12">
        <f>IF('Données projet'!$A$192&gt;35,EJ53+EI54-ER53,IF(A54&lt;'Données projet'!$A$192,$EG$205^A54,IF(A54='Données projet'!$A$192,'Données projet'!$B$192,EJ53+EI54-ER53)))</f>
        <v>578.59999999999991</v>
      </c>
      <c r="EK54" s="17">
        <f>EJ54*VLOOKUP('Données projet'!$B$15,Paramètres!$A$1:$I$89,3,0)*VLOOKUP('Données projet'!$B$15,Paramètres!$A$1:$I$89,5,0)</f>
        <v>255.74119999999999</v>
      </c>
      <c r="EL54" s="13">
        <f t="shared" si="45"/>
        <v>61.813703152613137</v>
      </c>
      <c r="EM54" s="20">
        <f t="shared" si="19"/>
        <v>553.07478965746782</v>
      </c>
      <c r="EN54" s="59">
        <f t="shared" si="20"/>
        <v>846.40812299080108</v>
      </c>
      <c r="EO54" s="59">
        <f ca="1">AVERAGE(OFFSET($EN$3,0,0,'Données projet'!$E$15+1,1))-AVERAGE(OFFSET($H$3,0,0,'Données projet'!$E$15+1,1))</f>
        <v>335.27356627949155</v>
      </c>
      <c r="EP54" s="59">
        <f t="shared" si="46"/>
        <v>322.66829503077247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15.62113454958652</v>
      </c>
      <c r="EX54" s="21">
        <f>EXP(-LN(2)/2)*EX53+(1-EXP(-LN(2)/2))/(LN(2)/2)*ER54*EU54*VLOOKUP('Données projet'!$B$15,Paramètres!$A$1:$I$89,3,0)*0.475*44/12</f>
        <v>2.4433262655266578E-2</v>
      </c>
      <c r="EY54" s="22">
        <f t="shared" si="21"/>
        <v>15.645567812241786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9.8000000000000007</v>
      </c>
      <c r="N55" s="13">
        <f>IF('Données projet'!$A$36&gt;35,N54+M55-V54,IF(A55&lt;'Données projet'!$A$36,$K$205^A55,IF(A55='Données projet'!$A$36,'Données projet'!$B$36,N54+M55-V54)))</f>
        <v>222.59999999999991</v>
      </c>
      <c r="O55" s="13">
        <f>N55*VLOOKUP('Données projet'!$B$9,Paramètres!$A$1:$I$89,3,0)*VLOOKUP('Données projet'!$B$9,Paramètres!$A$1:$I$89,5,0)</f>
        <v>201.40847999999991</v>
      </c>
      <c r="P55" s="13">
        <f t="shared" si="33"/>
        <v>50.053582459229212</v>
      </c>
      <c r="Q55" s="20">
        <f t="shared" si="53"/>
        <v>437.96309211649071</v>
      </c>
      <c r="R55" s="59">
        <f t="shared" si="0"/>
        <v>731.29642544982403</v>
      </c>
      <c r="S55" s="59">
        <f ca="1">AVERAGE(OFFSET($R$3,0,0,'Données projet'!$E$9+1,1))-AVERAGE(OFFSET($H$3,0,0,'Données projet'!$E$9+1,1))</f>
        <v>319.18811755575183</v>
      </c>
      <c r="T55" s="59">
        <f t="shared" si="34"/>
        <v>234.87694492493506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1.5578919401675717</v>
      </c>
      <c r="AA55" s="21">
        <f>EXP(-LN(2)/25)*AA54+(1-EXP(-LN(2)/25))/(LN(2)/25)*Calculateur!V55*Calculateur!X55*VLOOKUP('Données projet'!$B$9,Paramètres!$A$1:$I$89,3,0)*0.475*44/12</f>
        <v>6.1307160516922208</v>
      </c>
      <c r="AB55" s="21">
        <f>EXP(-LN(2)/2)*AB54+(1-EXP(-LN(2)/2))/(LN(2)/2)*V55*Y55*VLOOKUP('Données projet'!$B$9,Paramètres!$A$1:$I$89,3,0)*0.475*44/12</f>
        <v>1.0524090221731744E-2</v>
      </c>
      <c r="AC55" s="22">
        <f t="shared" si="3"/>
        <v>7.6991320820815243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7.9</v>
      </c>
      <c r="AI55" s="13">
        <f>IF('Données projet'!$A$62&gt;35,AI54+AH55-AQ54,IF(A55&lt;'Données projet'!$A$62,$AF$205^A55,IF(A55='Données projet'!$A$62,'Données projet'!$B$62,AI54+AH55-AQ54)))</f>
        <v>297.79999999999995</v>
      </c>
      <c r="AJ55" s="13">
        <f>AI55*VLOOKUP('Données projet'!$B$10,Paramètres!$A$1:$I$89,3,0)*VLOOKUP('Données projet'!$B$10,Paramètres!$A$1:$I$89,5,0)</f>
        <v>236.92967999999999</v>
      </c>
      <c r="AK55" s="13">
        <f t="shared" si="35"/>
        <v>57.778441972760355</v>
      </c>
      <c r="AL55" s="20">
        <f t="shared" si="4"/>
        <v>513.28331243589093</v>
      </c>
      <c r="AM55" s="59">
        <f t="shared" si="5"/>
        <v>806.61664576922431</v>
      </c>
      <c r="AN55" s="59">
        <f ca="1">AVERAGE(OFFSET($AM$3,0,0,'Données projet'!$E$10+1,1))-AVERAGE(OFFSET($H$3,0,0,'Données projet'!$E$10+1,1))</f>
        <v>314.94704727988847</v>
      </c>
      <c r="AO55" s="59">
        <f t="shared" si="36"/>
        <v>366.49199094166454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2.5326675506854137</v>
      </c>
      <c r="AV55" s="21">
        <f>EXP(-LN(2)/25)*AV54+(1-EXP(-LN(2)/25))/(LN(2)/25)*Calculateur!AQ55*Calculateur!AS55*VLOOKUP('Données projet'!$B$10,Paramètres!$A$1:$I$89,3,0)*0.475*44/12</f>
        <v>13.805278120724708</v>
      </c>
      <c r="AW55" s="21">
        <f>EXP(-LN(2)/2)*AW54+(1-EXP(-LN(2)/2))/(LN(2)/2)*AQ55*AT55*VLOOKUP('Données projet'!$B$10,Paramètres!$A$1:$I$89,3,0)*0.475*44/12</f>
        <v>1.4096306924196838E-2</v>
      </c>
      <c r="AX55" s="21">
        <f t="shared" si="6"/>
        <v>16.35204197833432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7.9</v>
      </c>
      <c r="BD55" s="12">
        <f>IF('Données projet'!$A$88&gt;35,BD54+BC55-BL54,IF(A55&lt;'Données projet'!$A$88,$BA$205^A55,IF(A55='Données projet'!$A$88,'Données projet'!$B$88,BD54+BC55-BL54)))</f>
        <v>297.79999999999995</v>
      </c>
      <c r="BE55" s="13">
        <f>BD55*VLOOKUP('Données projet'!$B$11,Paramètres!$A$1:$I$89,3,0)*VLOOKUP('Données projet'!$B$11,Paramètres!$A$1:$I$89,5,0)</f>
        <v>195.11855999999997</v>
      </c>
      <c r="BF55" s="13">
        <f t="shared" si="37"/>
        <v>48.669837036086896</v>
      </c>
      <c r="BG55" s="20">
        <f t="shared" si="7"/>
        <v>424.59812483785123</v>
      </c>
      <c r="BH55" s="59">
        <f t="shared" si="8"/>
        <v>717.93145817118454</v>
      </c>
      <c r="BI55" s="59">
        <f ca="1">AVERAGE(OFFSET($BH$3,0,0,'Données projet'!$E$11+1,1))-AVERAGE(OFFSET($H$3,0,0,'Données projet'!$E$11+1,1))</f>
        <v>246.64951465060813</v>
      </c>
      <c r="BJ55" s="59">
        <f t="shared" si="38"/>
        <v>292.64550285216865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1.6921929694923625</v>
      </c>
      <c r="BQ55" s="21">
        <f>EXP(-LN(2)/25)*BQ54+(1-EXP(-LN(2)/25))/(LN(2)/25)*Calculateur!BL55*Calculateur!BN55*VLOOKUP('Données projet'!$B$11,Paramètres!$A$1:$I$89,3,0)*0.475*44/12</f>
        <v>9.2239483115163949</v>
      </c>
      <c r="BR55" s="21">
        <f>EXP(-LN(2)/2)*BR54+(1-EXP(-LN(2)/2))/(LN(2)/2)*BL55*BO55*VLOOKUP('Données projet'!$B$11,Paramètres!$A$1:$I$89,3,0)*0.475*44/12</f>
        <v>1.1608723349338573E-2</v>
      </c>
      <c r="BS55" s="22">
        <f t="shared" si="9"/>
        <v>10.927750004358096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7.9</v>
      </c>
      <c r="BY55" s="12">
        <f>IF('Données projet'!$A$114&gt;35,BY54+BX55-CG54,IF(A55&lt;'Données projet'!$A$114,$BV$205^A55,IF(A55='Données projet'!$A$114,'Données projet'!$B$114,BY54+BX55-CG54)))</f>
        <v>297.79999999999995</v>
      </c>
      <c r="BZ55" s="13">
        <f>BY55*VLOOKUP('Données projet'!$B$12,Paramètres!$A$1:$I$89,3,0)*VLOOKUP('Données projet'!$B$12,Paramètres!$A$1:$I$89,5,0)</f>
        <v>199.76423999999997</v>
      </c>
      <c r="CA55" s="13">
        <f t="shared" si="39"/>
        <v>49.692351256883285</v>
      </c>
      <c r="CB55" s="20">
        <f t="shared" si="10"/>
        <v>434.47022977240499</v>
      </c>
      <c r="CC55" s="59">
        <f t="shared" si="11"/>
        <v>727.80356310573825</v>
      </c>
      <c r="CD55" s="59">
        <f ca="1">AVERAGE(OFFSET($CC$3,0,0,'Données projet'!$E$12+1,1))-AVERAGE(OFFSET($H$3,0,0,'Données projet'!$E$12+1,1))</f>
        <v>254.25222107710192</v>
      </c>
      <c r="CE55" s="59">
        <f t="shared" si="40"/>
        <v>300.86609173447573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2.1353863662641714</v>
      </c>
      <c r="CL55" s="21">
        <f>EXP(-LN(2)/25)*CL54+(1-EXP(-LN(2)/25))/(LN(2)/25)*Calculateur!CG55*Calculateur!CI55*VLOOKUP('Données projet'!$B$12,Paramètres!$A$1:$I$89,3,0)*0.475*44/12</f>
        <v>11.639744297865931</v>
      </c>
      <c r="CM55" s="21">
        <f>EXP(-LN(2)/2)*CM54+(1-EXP(-LN(2)/2))/(LN(2)/2)*CG55*CJ55*VLOOKUP('Données projet'!$B$12,Paramètres!$A$1:$I$89,3,0)*0.475*44/12</f>
        <v>1.1885121524322832E-2</v>
      </c>
      <c r="CN55" s="22">
        <f t="shared" si="12"/>
        <v>13.787015785654425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7.2</v>
      </c>
      <c r="CT55" s="12">
        <f>IF('Données projet'!$A$140&gt;35,CT54+CS55-DB54,IF(A55&lt;'Données projet'!$A$140,$CQ$205^A55,IF(A55='Données projet'!$A$140,'Données projet'!$B$140,CT54+CS55-DB54)))</f>
        <v>213.40000000000003</v>
      </c>
      <c r="CU55" s="17">
        <f>CT55*VLOOKUP('Données projet'!$B$13,Paramètres!$A$1:$I$89,3,0)*VLOOKUP('Données projet'!$B$13,Paramètres!$A$1:$I$89,5,0)</f>
        <v>186.42624000000006</v>
      </c>
      <c r="CV55" s="13">
        <f t="shared" si="41"/>
        <v>46.748974211060826</v>
      </c>
      <c r="CW55" s="20">
        <f t="shared" si="13"/>
        <v>406.11349808426439</v>
      </c>
      <c r="CX55" s="59">
        <f t="shared" si="14"/>
        <v>699.44683141759765</v>
      </c>
      <c r="CY55" s="59">
        <f ca="1">AVERAGE(OFFSET($CX$3,0,0,'Données projet'!$E$13+1,1))-AVERAGE(OFFSET($H$3,0,0,'Données projet'!$E$13+1,1))</f>
        <v>243.38048563215585</v>
      </c>
      <c r="CZ55" s="59">
        <f t="shared" si="42"/>
        <v>372.1604147006675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4.7273962322326319</v>
      </c>
      <c r="DG55" s="21">
        <f>EXP(-LN(2)/25)*DG54+(1-EXP(-LN(2)/25))/(LN(2)/25)*Calculateur!DB55*Calculateur!DD55*VLOOKUP('Données projet'!$B$13,Paramètres!$A$1:$I$89,3,0)*0.475*44/12</f>
        <v>10.52091305574881</v>
      </c>
      <c r="DH55" s="21">
        <f>EXP(-LN(2)/2)*DH54+(1-EXP(-LN(2)/2))/(LN(2)/2)*DB55*DE55*VLOOKUP('Données projet'!$B$13,Paramètres!$A$1:$I$89,3,0)*0.475*44/12</f>
        <v>1.4313935162676837E-2</v>
      </c>
      <c r="DI55" s="22">
        <f t="shared" si="15"/>
        <v>15.26262322314412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15</v>
      </c>
      <c r="DO55" s="12">
        <f>IF('Données projet'!$A$166&gt;35,DO54+DN55-DW54,IF(A55&lt;'Données projet'!$A$166,$DL$205^A55,IF(A55='Données projet'!$A$166,'Données projet'!$B$166,DO54+DN55-DW54)))</f>
        <v>321.99999999999994</v>
      </c>
      <c r="DP55" s="17">
        <f>DO55*VLOOKUP('Données projet'!$B$14,Paramètres!$A$1:$I$89,3,0)*VLOOKUP('Données projet'!$B$14,Paramètres!$A$1:$I$89,5,0)</f>
        <v>184.18399999999997</v>
      </c>
      <c r="DQ55" s="13">
        <f t="shared" si="43"/>
        <v>46.251800545659314</v>
      </c>
      <c r="DR55" s="20">
        <f t="shared" si="16"/>
        <v>401.34235261702321</v>
      </c>
      <c r="DS55" s="59">
        <f t="shared" si="17"/>
        <v>694.67568595035652</v>
      </c>
      <c r="DT55" s="59">
        <f ca="1">AVERAGE(OFFSET($DS$3,0,0,'Données projet'!$E$14+1,1))-AVERAGE(OFFSET($H$3,0,0,'Données projet'!$E$14+1,1))</f>
        <v>227.99747790451215</v>
      </c>
      <c r="DU55" s="59">
        <f t="shared" si="44"/>
        <v>209.49597700966933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1.855228172533155</v>
      </c>
      <c r="EB55" s="21">
        <f>EXP(-LN(2)/25)*EB54+(1-EXP(-LN(2)/25))/(LN(2)/25)*Calculateur!DW55*Calculateur!DY55*VLOOKUP('Données projet'!$B$14,Paramètres!$A$1:$I$89,3,0)*0.475*44/12</f>
        <v>8.2461980811366349</v>
      </c>
      <c r="EC55" s="21">
        <f>EXP(-LN(2)/2)*EC54+(1-EXP(-LN(2)/2))/(LN(2)/2)*DW55*DZ55*VLOOKUP('Données projet'!$B$14,Paramètres!$A$1:$I$89,3,0)*0.475*44/12</f>
        <v>1.204239341555801E-2</v>
      </c>
      <c r="ED55" s="22">
        <f t="shared" si="18"/>
        <v>10.113468647085346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19.600000000000001</v>
      </c>
      <c r="EJ55" s="12">
        <f>IF('Données projet'!$A$192&gt;35,EJ54+EI55-ER54,IF(A55&lt;'Données projet'!$A$192,$EG$205^A55,IF(A55='Données projet'!$A$192,'Données projet'!$B$192,EJ54+EI55-ER54)))</f>
        <v>598.19999999999993</v>
      </c>
      <c r="EK55" s="17">
        <f>EJ55*VLOOKUP('Données projet'!$B$15,Paramètres!$A$1:$I$89,3,0)*VLOOKUP('Données projet'!$B$15,Paramètres!$A$1:$I$89,5,0)</f>
        <v>264.40440000000001</v>
      </c>
      <c r="EL55" s="13">
        <f t="shared" si="45"/>
        <v>63.660298223604059</v>
      </c>
      <c r="EM55" s="20">
        <f t="shared" si="19"/>
        <v>571.37934940611046</v>
      </c>
      <c r="EN55" s="59">
        <f t="shared" si="20"/>
        <v>864.71268273944384</v>
      </c>
      <c r="EO55" s="59">
        <f ca="1">AVERAGE(OFFSET($EN$3,0,0,'Données projet'!$E$15+1,1))-AVERAGE(OFFSET($H$3,0,0,'Données projet'!$E$15+1,1))</f>
        <v>335.27356627949155</v>
      </c>
      <c r="EP55" s="59">
        <f t="shared" si="46"/>
        <v>322.66829503077247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15.193973803848314</v>
      </c>
      <c r="EX55" s="21">
        <f>EXP(-LN(2)/2)*EX54+(1-EXP(-LN(2)/2))/(LN(2)/2)*ER55*EU55*VLOOKUP('Données projet'!$B$15,Paramètres!$A$1:$I$89,3,0)*0.475*44/12</f>
        <v>1.7276925710051027E-2</v>
      </c>
      <c r="EY55" s="22">
        <f t="shared" si="21"/>
        <v>15.211250729558365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9.8000000000000007</v>
      </c>
      <c r="N56" s="13">
        <f>IF('Données projet'!$A$36&gt;35,N55+M56-V55,IF(A56&lt;'Données projet'!$A$36,$K$205^A56,IF(A56='Données projet'!$A$36,'Données projet'!$B$36,N55+M56-V55)))</f>
        <v>232.39999999999992</v>
      </c>
      <c r="O56" s="13">
        <f>N56*VLOOKUP('Données projet'!$B$9,Paramètres!$A$1:$I$89,3,0)*VLOOKUP('Données projet'!$B$9,Paramètres!$A$1:$I$89,5,0)</f>
        <v>210.27551999999991</v>
      </c>
      <c r="P56" s="13">
        <f t="shared" si="33"/>
        <v>51.995789155135654</v>
      </c>
      <c r="Q56" s="20">
        <f t="shared" si="53"/>
        <v>456.78919677852781</v>
      </c>
      <c r="R56" s="59">
        <f t="shared" si="0"/>
        <v>750.12253011186112</v>
      </c>
      <c r="S56" s="59">
        <f ca="1">AVERAGE(OFFSET($R$3,0,0,'Données projet'!$E$9+1,1))-AVERAGE(OFFSET($H$3,0,0,'Données projet'!$E$9+1,1))</f>
        <v>319.18811755575183</v>
      </c>
      <c r="T56" s="59">
        <f t="shared" si="34"/>
        <v>234.87694492493506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1.5273426294411427</v>
      </c>
      <c r="AA56" s="21">
        <f>EXP(-LN(2)/25)*AA55+(1-EXP(-LN(2)/25))/(LN(2)/25)*Calculateur!V56*Calculateur!X56*VLOOKUP('Données projet'!$B$9,Paramètres!$A$1:$I$89,3,0)*0.475*44/12</f>
        <v>5.9630712988583516</v>
      </c>
      <c r="AB56" s="21">
        <f>EXP(-LN(2)/2)*AB55+(1-EXP(-LN(2)/2))/(LN(2)/2)*V56*Y56*VLOOKUP('Données projet'!$B$9,Paramètres!$A$1:$I$89,3,0)*0.475*44/12</f>
        <v>7.441655561605553E-3</v>
      </c>
      <c r="AC56" s="22">
        <f t="shared" si="3"/>
        <v>7.4978555838611003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7.9</v>
      </c>
      <c r="AI56" s="13">
        <f>IF('Données projet'!$A$62&gt;35,AI55+AH56-AQ55,IF(A56&lt;'Données projet'!$A$62,$AF$205^A56,IF(A56='Données projet'!$A$62,'Données projet'!$B$62,AI55+AH56-AQ55)))</f>
        <v>305.69999999999993</v>
      </c>
      <c r="AJ56" s="13">
        <f>AI56*VLOOKUP('Données projet'!$B$10,Paramètres!$A$1:$I$89,3,0)*VLOOKUP('Données projet'!$B$10,Paramètres!$A$1:$I$89,5,0)</f>
        <v>243.21491999999995</v>
      </c>
      <c r="AK56" s="13">
        <f t="shared" si="35"/>
        <v>59.130699584367115</v>
      </c>
      <c r="AL56" s="20">
        <f t="shared" si="4"/>
        <v>526.5852874427726</v>
      </c>
      <c r="AM56" s="59">
        <f t="shared" si="5"/>
        <v>819.91862077610585</v>
      </c>
      <c r="AN56" s="59">
        <f ca="1">AVERAGE(OFFSET($AM$3,0,0,'Données projet'!$E$10+1,1))-AVERAGE(OFFSET($H$3,0,0,'Données projet'!$E$10+1,1))</f>
        <v>314.94704727988847</v>
      </c>
      <c r="AO56" s="59">
        <f t="shared" si="36"/>
        <v>366.49199094166454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2.4830034847911446</v>
      </c>
      <c r="AV56" s="21">
        <f>EXP(-LN(2)/25)*AV55+(1-EXP(-LN(2)/25))/(LN(2)/25)*Calculateur!AQ56*Calculateur!AS56*VLOOKUP('Données projet'!$B$10,Paramètres!$A$1:$I$89,3,0)*0.475*44/12</f>
        <v>13.427772064525467</v>
      </c>
      <c r="AW56" s="21">
        <f>EXP(-LN(2)/2)*AW55+(1-EXP(-LN(2)/2))/(LN(2)/2)*AQ56*AT56*VLOOKUP('Données projet'!$B$10,Paramètres!$A$1:$I$89,3,0)*0.475*44/12</f>
        <v>9.9675942157864683E-3</v>
      </c>
      <c r="AX56" s="21">
        <f t="shared" si="6"/>
        <v>15.920743143532398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7.9</v>
      </c>
      <c r="BD56" s="12">
        <f>IF('Données projet'!$A$88&gt;35,BD55+BC56-BL55,IF(A56&lt;'Données projet'!$A$88,$BA$205^A56,IF(A56='Données projet'!$A$88,'Données projet'!$B$88,BD55+BC56-BL55)))</f>
        <v>305.69999999999993</v>
      </c>
      <c r="BE56" s="13">
        <f>BD56*VLOOKUP('Données projet'!$B$11,Paramètres!$A$1:$I$89,3,0)*VLOOKUP('Données projet'!$B$11,Paramètres!$A$1:$I$89,5,0)</f>
        <v>200.29463999999996</v>
      </c>
      <c r="BF56" s="13">
        <f t="shared" si="37"/>
        <v>49.808915130624989</v>
      </c>
      <c r="BG56" s="20">
        <f t="shared" si="7"/>
        <v>435.59702518583845</v>
      </c>
      <c r="BH56" s="59">
        <f t="shared" si="8"/>
        <v>728.9303585191717</v>
      </c>
      <c r="BI56" s="59">
        <f ca="1">AVERAGE(OFFSET($BH$3,0,0,'Données projet'!$E$11+1,1))-AVERAGE(OFFSET($H$3,0,0,'Données projet'!$E$11+1,1))</f>
        <v>246.64951465060813</v>
      </c>
      <c r="BJ56" s="59">
        <f t="shared" si="38"/>
        <v>292.64550285216865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1.6590100974964137</v>
      </c>
      <c r="BQ56" s="21">
        <f>EXP(-LN(2)/25)*BQ55+(1-EXP(-LN(2)/25))/(LN(2)/25)*Calculateur!BL56*Calculateur!BN56*VLOOKUP('Données projet'!$B$11,Paramètres!$A$1:$I$89,3,0)*0.475*44/12</f>
        <v>8.9717189598716196</v>
      </c>
      <c r="BR56" s="21">
        <f>EXP(-LN(2)/2)*BR55+(1-EXP(-LN(2)/2))/(LN(2)/2)*BL56*BO56*VLOOKUP('Données projet'!$B$11,Paramètres!$A$1:$I$89,3,0)*0.475*44/12</f>
        <v>8.2086070012359156E-3</v>
      </c>
      <c r="BS56" s="22">
        <f t="shared" si="9"/>
        <v>10.638937664369269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7.9</v>
      </c>
      <c r="BY56" s="12">
        <f>IF('Données projet'!$A$114&gt;35,BY55+BX56-CG55,IF(A56&lt;'Données projet'!$A$114,$BV$205^A56,IF(A56='Données projet'!$A$114,'Données projet'!$B$114,BY55+BX56-CG55)))</f>
        <v>305.69999999999993</v>
      </c>
      <c r="BZ56" s="13">
        <f>BY56*VLOOKUP('Données projet'!$B$12,Paramètres!$A$1:$I$89,3,0)*VLOOKUP('Données projet'!$B$12,Paramètres!$A$1:$I$89,5,0)</f>
        <v>205.06355999999994</v>
      </c>
      <c r="CA56" s="13">
        <f t="shared" si="39"/>
        <v>50.855360468129234</v>
      </c>
      <c r="CB56" s="20">
        <f t="shared" si="10"/>
        <v>445.72545314865829</v>
      </c>
      <c r="CC56" s="59">
        <f t="shared" si="11"/>
        <v>739.05878648199155</v>
      </c>
      <c r="CD56" s="59">
        <f ca="1">AVERAGE(OFFSET($CC$3,0,0,'Données projet'!$E$12+1,1))-AVERAGE(OFFSET($H$3,0,0,'Données projet'!$E$12+1,1))</f>
        <v>254.25222107710192</v>
      </c>
      <c r="CE56" s="59">
        <f t="shared" si="40"/>
        <v>300.86609173447573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2.0935127420788073</v>
      </c>
      <c r="CL56" s="21">
        <f>EXP(-LN(2)/25)*CL55+(1-EXP(-LN(2)/25))/(LN(2)/25)*Calculateur!CG56*Calculateur!CI56*VLOOKUP('Données projet'!$B$12,Paramètres!$A$1:$I$89,3,0)*0.475*44/12</f>
        <v>11.321454877933238</v>
      </c>
      <c r="CM56" s="21">
        <f>EXP(-LN(2)/2)*CM55+(1-EXP(-LN(2)/2))/(LN(2)/2)*CG56*CJ56*VLOOKUP('Données projet'!$B$12,Paramètres!$A$1:$I$89,3,0)*0.475*44/12</f>
        <v>8.4040500250748707E-3</v>
      </c>
      <c r="CN56" s="22">
        <f t="shared" si="12"/>
        <v>13.42337167003712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7.2</v>
      </c>
      <c r="CT56" s="12">
        <f>IF('Données projet'!$A$140&gt;35,CT55+CS56-DB55,IF(A56&lt;'Données projet'!$A$140,$CQ$205^A56,IF(A56='Données projet'!$A$140,'Données projet'!$B$140,CT55+CS56-DB55)))</f>
        <v>220.60000000000002</v>
      </c>
      <c r="CU56" s="17">
        <f>CT56*VLOOKUP('Données projet'!$B$13,Paramètres!$A$1:$I$89,3,0)*VLOOKUP('Données projet'!$B$13,Paramètres!$A$1:$I$89,5,0)</f>
        <v>192.71616000000006</v>
      </c>
      <c r="CV56" s="13">
        <f t="shared" si="41"/>
        <v>48.139960279308241</v>
      </c>
      <c r="CW56" s="20">
        <f t="shared" si="13"/>
        <v>419.49107615312863</v>
      </c>
      <c r="CX56" s="59">
        <f t="shared" si="14"/>
        <v>712.82440948646195</v>
      </c>
      <c r="CY56" s="59">
        <f ca="1">AVERAGE(OFFSET($CX$3,0,0,'Données projet'!$E$13+1,1))-AVERAGE(OFFSET($H$3,0,0,'Données projet'!$E$13+1,1))</f>
        <v>243.38048563215585</v>
      </c>
      <c r="CZ56" s="59">
        <f t="shared" si="42"/>
        <v>372.1604147006675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4.6346948755455371</v>
      </c>
      <c r="DG56" s="21">
        <f>EXP(-LN(2)/25)*DG55+(1-EXP(-LN(2)/25))/(LN(2)/25)*Calculateur!DB56*Calculateur!DD56*VLOOKUP('Données projet'!$B$13,Paramètres!$A$1:$I$89,3,0)*0.475*44/12</f>
        <v>10.233218134968586</v>
      </c>
      <c r="DH56" s="21">
        <f>EXP(-LN(2)/2)*DH55+(1-EXP(-LN(2)/2))/(LN(2)/2)*DB56*DE56*VLOOKUP('Données projet'!$B$13,Paramètres!$A$1:$I$89,3,0)*0.475*44/12</f>
        <v>1.0121480618993359E-2</v>
      </c>
      <c r="DI56" s="22">
        <f t="shared" si="15"/>
        <v>14.878034491133116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15</v>
      </c>
      <c r="DO56" s="12">
        <f>IF('Données projet'!$A$166&gt;35,DO55+DN56-DW55,IF(A56&lt;'Données projet'!$A$166,$DL$205^A56,IF(A56='Données projet'!$A$166,'Données projet'!$B$166,DO55+DN56-DW55)))</f>
        <v>336.99999999999994</v>
      </c>
      <c r="DP56" s="17">
        <f>DO56*VLOOKUP('Données projet'!$B$14,Paramètres!$A$1:$I$89,3,0)*VLOOKUP('Données projet'!$B$14,Paramètres!$A$1:$I$89,5,0)</f>
        <v>192.76399999999998</v>
      </c>
      <c r="DQ56" s="13">
        <f t="shared" si="43"/>
        <v>48.150519410804698</v>
      </c>
      <c r="DR56" s="20">
        <f t="shared" si="16"/>
        <v>419.59278797381813</v>
      </c>
      <c r="DS56" s="59">
        <f t="shared" si="17"/>
        <v>712.92612130715145</v>
      </c>
      <c r="DT56" s="59">
        <f ca="1">AVERAGE(OFFSET($DS$3,0,0,'Données projet'!$E$14+1,1))-AVERAGE(OFFSET($H$3,0,0,'Données projet'!$E$14+1,1))</f>
        <v>227.99747790451215</v>
      </c>
      <c r="DU56" s="59">
        <f t="shared" si="44"/>
        <v>209.49597700966933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1.8188482796472309</v>
      </c>
      <c r="EB56" s="21">
        <f>EXP(-LN(2)/25)*EB55+(1-EXP(-LN(2)/25))/(LN(2)/25)*Calculateur!DW56*Calculateur!DY56*VLOOKUP('Données projet'!$B$14,Paramètres!$A$1:$I$89,3,0)*0.475*44/12</f>
        <v>8.0207053609592442</v>
      </c>
      <c r="EC56" s="21">
        <f>EXP(-LN(2)/2)*EC55+(1-EXP(-LN(2)/2))/(LN(2)/2)*DW56*DZ56*VLOOKUP('Données projet'!$B$14,Paramètres!$A$1:$I$89,3,0)*0.475*44/12</f>
        <v>8.5152580458572984E-3</v>
      </c>
      <c r="ED56" s="22">
        <f t="shared" si="18"/>
        <v>9.8480688986523326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19.600000000000001</v>
      </c>
      <c r="EJ56" s="12">
        <f>IF('Données projet'!$A$192&gt;35,EJ55+EI56-ER55,IF(A56&lt;'Données projet'!$A$192,$EG$205^A56,IF(A56='Données projet'!$A$192,'Données projet'!$B$192,EJ55+EI56-ER55)))</f>
        <v>617.79999999999995</v>
      </c>
      <c r="EK56" s="17">
        <f>EJ56*VLOOKUP('Données projet'!$B$15,Paramètres!$A$1:$I$89,3,0)*VLOOKUP('Données projet'!$B$15,Paramètres!$A$1:$I$89,5,0)</f>
        <v>273.06760000000003</v>
      </c>
      <c r="EL56" s="13">
        <f t="shared" si="45"/>
        <v>65.499862757346591</v>
      </c>
      <c r="EM56" s="20">
        <f t="shared" si="19"/>
        <v>589.67166430237864</v>
      </c>
      <c r="EN56" s="59">
        <f t="shared" si="20"/>
        <v>883.00499763571202</v>
      </c>
      <c r="EO56" s="59">
        <f ca="1">AVERAGE(OFFSET($EN$3,0,0,'Données projet'!$E$15+1,1))-AVERAGE(OFFSET($H$3,0,0,'Données projet'!$E$15+1,1))</f>
        <v>335.27356627949155</v>
      </c>
      <c r="EP56" s="59">
        <f t="shared" si="46"/>
        <v>322.66829503077247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14.778493791165726</v>
      </c>
      <c r="EX56" s="21">
        <f>EXP(-LN(2)/2)*EX55+(1-EXP(-LN(2)/2))/(LN(2)/2)*ER56*EU56*VLOOKUP('Données projet'!$B$15,Paramètres!$A$1:$I$89,3,0)*0.475*44/12</f>
        <v>1.2216631327633289E-2</v>
      </c>
      <c r="EY56" s="22">
        <f t="shared" si="21"/>
        <v>14.79071042249336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9.8000000000000007</v>
      </c>
      <c r="N57" s="13">
        <f>IF('Données projet'!$A$36&gt;35,N56+M57-V56,IF(A57&lt;'Données projet'!$A$36,$K$205^A57,IF(A57='Données projet'!$A$36,'Données projet'!$B$36,N56+M57-V56)))</f>
        <v>242.19999999999993</v>
      </c>
      <c r="O57" s="13">
        <f>N57*VLOOKUP('Données projet'!$B$9,Paramètres!$A$1:$I$89,3,0)*VLOOKUP('Données projet'!$B$9,Paramètres!$A$1:$I$89,5,0)</f>
        <v>219.14255999999992</v>
      </c>
      <c r="P57" s="13">
        <f t="shared" si="33"/>
        <v>53.928483039139707</v>
      </c>
      <c r="Q57" s="20">
        <f t="shared" si="53"/>
        <v>475.59873329316815</v>
      </c>
      <c r="R57" s="59">
        <f t="shared" si="0"/>
        <v>768.93206662650141</v>
      </c>
      <c r="S57" s="59">
        <f ca="1">AVERAGE(OFFSET($R$3,0,0,'Données projet'!$E$9+1,1))-AVERAGE(OFFSET($H$3,0,0,'Données projet'!$E$9+1,1))</f>
        <v>319.18811755575183</v>
      </c>
      <c r="T57" s="59">
        <f t="shared" si="34"/>
        <v>234.87694492493506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1.4973923720648192</v>
      </c>
      <c r="AA57" s="21">
        <f>EXP(-LN(2)/25)*AA56+(1-EXP(-LN(2)/25))/(LN(2)/25)*Calculateur!V57*Calculateur!X57*VLOOKUP('Données projet'!$B$9,Paramètres!$A$1:$I$89,3,0)*0.475*44/12</f>
        <v>5.8000108006067794</v>
      </c>
      <c r="AB57" s="21">
        <f>EXP(-LN(2)/2)*AB56+(1-EXP(-LN(2)/2))/(LN(2)/2)*V57*Y57*VLOOKUP('Données projet'!$B$9,Paramètres!$A$1:$I$89,3,0)*0.475*44/12</f>
        <v>5.2620451108658728E-3</v>
      </c>
      <c r="AC57" s="22">
        <f t="shared" si="3"/>
        <v>7.3026652177824651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7.9</v>
      </c>
      <c r="AI57" s="13">
        <f>IF('Données projet'!$A$62&gt;35,AI56+AH57-AQ56,IF(A57&lt;'Données projet'!$A$62,$AF$205^A57,IF(A57='Données projet'!$A$62,'Données projet'!$B$62,AI56+AH57-AQ56)))</f>
        <v>313.59999999999991</v>
      </c>
      <c r="AJ57" s="13">
        <f>AI57*VLOOKUP('Données projet'!$B$10,Paramètres!$A$1:$I$89,3,0)*VLOOKUP('Données projet'!$B$10,Paramètres!$A$1:$I$89,5,0)</f>
        <v>249.50015999999994</v>
      </c>
      <c r="AK57" s="13">
        <f t="shared" si="35"/>
        <v>60.478895175306739</v>
      </c>
      <c r="AL57" s="20">
        <f t="shared" si="4"/>
        <v>539.88018776365902</v>
      </c>
      <c r="AM57" s="59">
        <f t="shared" si="5"/>
        <v>833.21352109699228</v>
      </c>
      <c r="AN57" s="59">
        <f ca="1">AVERAGE(OFFSET($AM$3,0,0,'Données projet'!$E$10+1,1))-AVERAGE(OFFSET($H$3,0,0,'Données projet'!$E$10+1,1))</f>
        <v>314.94704727988847</v>
      </c>
      <c r="AO57" s="59">
        <f t="shared" si="36"/>
        <v>366.49199094166454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2.4343133009369731</v>
      </c>
      <c r="AV57" s="21">
        <f>EXP(-LN(2)/25)*AV56+(1-EXP(-LN(2)/25))/(LN(2)/25)*Calculateur!AQ57*Calculateur!AS57*VLOOKUP('Données projet'!$B$10,Paramètres!$A$1:$I$89,3,0)*0.475*44/12</f>
        <v>13.060588931285174</v>
      </c>
      <c r="AW57" s="21">
        <f>EXP(-LN(2)/2)*AW56+(1-EXP(-LN(2)/2))/(LN(2)/2)*AQ57*AT57*VLOOKUP('Données projet'!$B$10,Paramètres!$A$1:$I$89,3,0)*0.475*44/12</f>
        <v>7.0481534620984191E-3</v>
      </c>
      <c r="AX57" s="21">
        <f t="shared" si="6"/>
        <v>15.501950385684246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7.9</v>
      </c>
      <c r="BD57" s="12">
        <f>IF('Données projet'!$A$88&gt;35,BD56+BC57-BL56,IF(A57&lt;'Données projet'!$A$88,$BA$205^A57,IF(A57='Données projet'!$A$88,'Données projet'!$B$88,BD56+BC57-BL56)))</f>
        <v>313.59999999999991</v>
      </c>
      <c r="BE57" s="13">
        <f>BD57*VLOOKUP('Données projet'!$B$11,Paramètres!$A$1:$I$89,3,0)*VLOOKUP('Données projet'!$B$11,Paramètres!$A$1:$I$89,5,0)</f>
        <v>205.47071999999994</v>
      </c>
      <c r="BF57" s="13">
        <f t="shared" si="37"/>
        <v>50.944571570352707</v>
      </c>
      <c r="BG57" s="20">
        <f t="shared" si="7"/>
        <v>446.58996615169758</v>
      </c>
      <c r="BH57" s="59">
        <f t="shared" si="8"/>
        <v>739.92329948503084</v>
      </c>
      <c r="BI57" s="59">
        <f ca="1">AVERAGE(OFFSET($BH$3,0,0,'Données projet'!$E$11+1,1))-AVERAGE(OFFSET($H$3,0,0,'Données projet'!$E$11+1,1))</f>
        <v>246.64951465060813</v>
      </c>
      <c r="BJ57" s="59">
        <f t="shared" si="38"/>
        <v>292.64550285216865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1.6264779213807521</v>
      </c>
      <c r="BQ57" s="21">
        <f>EXP(-LN(2)/25)*BQ56+(1-EXP(-LN(2)/25))/(LN(2)/25)*Calculateur!BL57*Calculateur!BN57*VLOOKUP('Données projet'!$B$11,Paramètres!$A$1:$I$89,3,0)*0.475*44/12</f>
        <v>8.7263868331117358</v>
      </c>
      <c r="BR57" s="21">
        <f>EXP(-LN(2)/2)*BR56+(1-EXP(-LN(2)/2))/(LN(2)/2)*BL57*BO57*VLOOKUP('Données projet'!$B$11,Paramètres!$A$1:$I$89,3,0)*0.475*44/12</f>
        <v>5.8043616746692867E-3</v>
      </c>
      <c r="BS57" s="22">
        <f t="shared" si="9"/>
        <v>10.358669116167158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7.9</v>
      </c>
      <c r="BY57" s="12">
        <f>IF('Données projet'!$A$114&gt;35,BY56+BX57-CG56,IF(A57&lt;'Données projet'!$A$114,$BV$205^A57,IF(A57='Données projet'!$A$114,'Données projet'!$B$114,BY56+BX57-CG56)))</f>
        <v>313.59999999999991</v>
      </c>
      <c r="BZ57" s="13">
        <f>BY57*VLOOKUP('Données projet'!$B$12,Paramètres!$A$1:$I$89,3,0)*VLOOKUP('Données projet'!$B$12,Paramètres!$A$1:$I$89,5,0)</f>
        <v>210.36287999999993</v>
      </c>
      <c r="CA57" s="13">
        <f t="shared" si="39"/>
        <v>52.014876138342963</v>
      </c>
      <c r="CB57" s="20">
        <f t="shared" si="10"/>
        <v>456.97459194094716</v>
      </c>
      <c r="CC57" s="59">
        <f t="shared" si="11"/>
        <v>750.30792527428048</v>
      </c>
      <c r="CD57" s="59">
        <f ca="1">AVERAGE(OFFSET($CC$3,0,0,'Données projet'!$E$12+1,1))-AVERAGE(OFFSET($H$3,0,0,'Données projet'!$E$12+1,1))</f>
        <v>254.25222107710192</v>
      </c>
      <c r="CE57" s="59">
        <f t="shared" si="40"/>
        <v>300.86609173447573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2.0524602341233296</v>
      </c>
      <c r="CL57" s="21">
        <f>EXP(-LN(2)/25)*CL56+(1-EXP(-LN(2)/25))/(LN(2)/25)*Calculateur!CG57*Calculateur!CI57*VLOOKUP('Données projet'!$B$12,Paramètres!$A$1:$I$89,3,0)*0.475*44/12</f>
        <v>11.011869098926717</v>
      </c>
      <c r="CM57" s="21">
        <f>EXP(-LN(2)/2)*CM56+(1-EXP(-LN(2)/2))/(LN(2)/2)*CG57*CJ57*VLOOKUP('Données projet'!$B$12,Paramètres!$A$1:$I$89,3,0)*0.475*44/12</f>
        <v>5.942560762161416E-3</v>
      </c>
      <c r="CN57" s="22">
        <f t="shared" si="12"/>
        <v>13.070271893812208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7.2</v>
      </c>
      <c r="CT57" s="12">
        <f>IF('Données projet'!$A$140&gt;35,CT56+CS57-DB56,IF(A57&lt;'Données projet'!$A$140,$CQ$205^A57,IF(A57='Données projet'!$A$140,'Données projet'!$B$140,CT56+CS57-DB56)))</f>
        <v>227.8</v>
      </c>
      <c r="CU57" s="17">
        <f>CT57*VLOOKUP('Données projet'!$B$13,Paramètres!$A$1:$I$89,3,0)*VLOOKUP('Données projet'!$B$13,Paramètres!$A$1:$I$89,5,0)</f>
        <v>199.00608000000003</v>
      </c>
      <c r="CV57" s="13">
        <f t="shared" si="41"/>
        <v>49.525670897515027</v>
      </c>
      <c r="CW57" s="20">
        <f t="shared" si="13"/>
        <v>432.85946614650538</v>
      </c>
      <c r="CX57" s="59">
        <f t="shared" si="14"/>
        <v>726.19279947983864</v>
      </c>
      <c r="CY57" s="59">
        <f ca="1">AVERAGE(OFFSET($CX$3,0,0,'Données projet'!$E$13+1,1))-AVERAGE(OFFSET($H$3,0,0,'Données projet'!$E$13+1,1))</f>
        <v>243.38048563215585</v>
      </c>
      <c r="CZ57" s="59">
        <f t="shared" si="42"/>
        <v>372.1604147006675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4.5438113359208314</v>
      </c>
      <c r="DG57" s="21">
        <f>EXP(-LN(2)/25)*DG56+(1-EXP(-LN(2)/25))/(LN(2)/25)*Calculateur!DB57*Calculateur!DD57*VLOOKUP('Données projet'!$B$13,Paramètres!$A$1:$I$89,3,0)*0.475*44/12</f>
        <v>9.9533902469263165</v>
      </c>
      <c r="DH57" s="21">
        <f>EXP(-LN(2)/2)*DH56+(1-EXP(-LN(2)/2))/(LN(2)/2)*DB57*DE57*VLOOKUP('Données projet'!$B$13,Paramètres!$A$1:$I$89,3,0)*0.475*44/12</f>
        <v>7.1569675813384186E-3</v>
      </c>
      <c r="DI57" s="22">
        <f t="shared" si="15"/>
        <v>14.504358550428485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15</v>
      </c>
      <c r="DO57" s="12">
        <f>IF('Données projet'!$A$166&gt;35,DO56+DN57-DW56,IF(A57&lt;'Données projet'!$A$166,$DL$205^A57,IF(A57='Données projet'!$A$166,'Données projet'!$B$166,DO56+DN57-DW56)))</f>
        <v>351.99999999999994</v>
      </c>
      <c r="DP57" s="17">
        <f>DO57*VLOOKUP('Données projet'!$B$14,Paramètres!$A$1:$I$89,3,0)*VLOOKUP('Données projet'!$B$14,Paramètres!$A$1:$I$89,5,0)</f>
        <v>201.34399999999997</v>
      </c>
      <c r="DQ57" s="13">
        <f t="shared" si="43"/>
        <v>50.039423013820937</v>
      </c>
      <c r="DR57" s="20">
        <f t="shared" si="16"/>
        <v>437.82612841573808</v>
      </c>
      <c r="DS57" s="59">
        <f t="shared" si="17"/>
        <v>731.1594617490714</v>
      </c>
      <c r="DT57" s="59">
        <f ca="1">AVERAGE(OFFSET($DS$3,0,0,'Données projet'!$E$14+1,1))-AVERAGE(OFFSET($H$3,0,0,'Données projet'!$E$14+1,1))</f>
        <v>227.99747790451215</v>
      </c>
      <c r="DU57" s="59">
        <f t="shared" si="44"/>
        <v>209.49597700966933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1.7831817742712563</v>
      </c>
      <c r="EB57" s="21">
        <f>EXP(-LN(2)/25)*EB56+(1-EXP(-LN(2)/25))/(LN(2)/25)*Calculateur!DW57*Calculateur!DY57*VLOOKUP('Données projet'!$B$14,Paramètres!$A$1:$I$89,3,0)*0.475*44/12</f>
        <v>7.8013787510732504</v>
      </c>
      <c r="EC57" s="21">
        <f>EXP(-LN(2)/2)*EC56+(1-EXP(-LN(2)/2))/(LN(2)/2)*DW57*DZ57*VLOOKUP('Données projet'!$B$14,Paramètres!$A$1:$I$89,3,0)*0.475*44/12</f>
        <v>6.021196707779005E-3</v>
      </c>
      <c r="ED57" s="22">
        <f t="shared" si="18"/>
        <v>9.5905817220522867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19.600000000000001</v>
      </c>
      <c r="EJ57" s="12">
        <f>IF('Données projet'!$A$192&gt;35,EJ56+EI57-ER56,IF(A57&lt;'Données projet'!$A$192,$EG$205^A57,IF(A57='Données projet'!$A$192,'Données projet'!$B$192,EJ56+EI57-ER56)))</f>
        <v>637.4</v>
      </c>
      <c r="EK57" s="17">
        <f>EJ57*VLOOKUP('Données projet'!$B$15,Paramètres!$A$1:$I$89,3,0)*VLOOKUP('Données projet'!$B$15,Paramètres!$A$1:$I$89,5,0)</f>
        <v>281.73080000000004</v>
      </c>
      <c r="EL57" s="13">
        <f t="shared" si="45"/>
        <v>67.332645389119463</v>
      </c>
      <c r="EM57" s="20">
        <f t="shared" si="19"/>
        <v>607.95216738604984</v>
      </c>
      <c r="EN57" s="59">
        <f t="shared" si="20"/>
        <v>901.28550071938321</v>
      </c>
      <c r="EO57" s="59">
        <f ca="1">AVERAGE(OFFSET($EN$3,0,0,'Données projet'!$E$15+1,1))-AVERAGE(OFFSET($H$3,0,0,'Données projet'!$E$15+1,1))</f>
        <v>335.27356627949155</v>
      </c>
      <c r="EP57" s="59">
        <f t="shared" si="46"/>
        <v>322.66829503077247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14.374375101279087</v>
      </c>
      <c r="EX57" s="21">
        <f>EXP(-LN(2)/2)*EX56+(1-EXP(-LN(2)/2))/(LN(2)/2)*ER57*EU57*VLOOKUP('Données projet'!$B$15,Paramètres!$A$1:$I$89,3,0)*0.475*44/12</f>
        <v>8.6384628550255135E-3</v>
      </c>
      <c r="EY57" s="22">
        <f t="shared" si="21"/>
        <v>14.383013564134112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9.8000000000000007</v>
      </c>
      <c r="N58" s="13">
        <f>IF('Données projet'!$A$36&gt;35,N57+M58-V57,IF(A58&lt;'Données projet'!$A$36,$K$205^A58,IF(A58='Données projet'!$A$36,'Données projet'!$B$36,N57+M58-V57)))</f>
        <v>251.99999999999994</v>
      </c>
      <c r="O58" s="13">
        <f>N58*VLOOKUP('Données projet'!$B$9,Paramètres!$A$1:$I$89,3,0)*VLOOKUP('Données projet'!$B$9,Paramètres!$A$1:$I$89,5,0)</f>
        <v>228.00959999999995</v>
      </c>
      <c r="P58" s="13">
        <f t="shared" si="33"/>
        <v>55.852093054619829</v>
      </c>
      <c r="Q58" s="20">
        <f t="shared" si="53"/>
        <v>494.3924487367961</v>
      </c>
      <c r="R58" s="59">
        <f t="shared" si="0"/>
        <v>787.72578207012941</v>
      </c>
      <c r="S58" s="59">
        <f ca="1">AVERAGE(OFFSET($R$3,0,0,'Données projet'!$E$9+1,1))-AVERAGE(OFFSET($H$3,0,0,'Données projet'!$E$9+1,1))</f>
        <v>319.18811755575183</v>
      </c>
      <c r="T58" s="59">
        <f t="shared" si="34"/>
        <v>234.87694492493506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1.4680294209677922</v>
      </c>
      <c r="AA58" s="21">
        <f>EXP(-LN(2)/25)*AA57+(1-EXP(-LN(2)/25))/(LN(2)/25)*Calculateur!V58*Calculateur!X58*VLOOKUP('Données projet'!$B$9,Paramètres!$A$1:$I$89,3,0)*0.475*44/12</f>
        <v>5.6414092002548752</v>
      </c>
      <c r="AB58" s="21">
        <f>EXP(-LN(2)/2)*AB57+(1-EXP(-LN(2)/2))/(LN(2)/2)*V58*Y58*VLOOKUP('Données projet'!$B$9,Paramètres!$A$1:$I$89,3,0)*0.475*44/12</f>
        <v>3.7208277808027774E-3</v>
      </c>
      <c r="AC58" s="22">
        <f t="shared" si="3"/>
        <v>7.1131594490034695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7.9</v>
      </c>
      <c r="AI58" s="13">
        <f>IF('Données projet'!$A$62&gt;35,AI57+AH58-AQ57,IF(A58&lt;'Données projet'!$A$62,$AF$205^A58,IF(A58='Données projet'!$A$62,'Données projet'!$B$62,AI57+AH58-AQ57)))</f>
        <v>321.49999999999989</v>
      </c>
      <c r="AJ58" s="13">
        <f>AI58*VLOOKUP('Données projet'!$B$10,Paramètres!$A$1:$I$89,3,0)*VLOOKUP('Données projet'!$B$10,Paramètres!$A$1:$I$89,5,0)</f>
        <v>255.78539999999992</v>
      </c>
      <c r="AK58" s="13">
        <f t="shared" si="35"/>
        <v>61.823142841300566</v>
      </c>
      <c r="AL58" s="20">
        <f t="shared" si="4"/>
        <v>553.16821211526496</v>
      </c>
      <c r="AM58" s="59">
        <f t="shared" si="5"/>
        <v>846.50154544859834</v>
      </c>
      <c r="AN58" s="59">
        <f ca="1">AVERAGE(OFFSET($AM$3,0,0,'Données projet'!$E$10+1,1))-AVERAGE(OFFSET($H$3,0,0,'Données projet'!$E$10+1,1))</f>
        <v>314.94704727988847</v>
      </c>
      <c r="AO58" s="59">
        <f t="shared" si="36"/>
        <v>366.49199094166454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2.3865779018901021</v>
      </c>
      <c r="AV58" s="21">
        <f>EXP(-LN(2)/25)*AV57+(1-EXP(-LN(2)/25))/(LN(2)/25)*Calculateur!AQ58*Calculateur!AS58*VLOOKUP('Données projet'!$B$10,Paramètres!$A$1:$I$89,3,0)*0.475*44/12</f>
        <v>12.703446440132661</v>
      </c>
      <c r="AW58" s="21">
        <f>EXP(-LN(2)/2)*AW57+(1-EXP(-LN(2)/2))/(LN(2)/2)*AQ58*AT58*VLOOKUP('Données projet'!$B$10,Paramètres!$A$1:$I$89,3,0)*0.475*44/12</f>
        <v>4.9837971078932342E-3</v>
      </c>
      <c r="AX58" s="21">
        <f t="shared" si="6"/>
        <v>15.095008139130655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7.9</v>
      </c>
      <c r="BD58" s="12">
        <f>IF('Données projet'!$A$88&gt;35,BD57+BC58-BL57,IF(A58&lt;'Données projet'!$A$88,$BA$205^A58,IF(A58='Données projet'!$A$88,'Données projet'!$B$88,BD57+BC58-BL57)))</f>
        <v>321.49999999999989</v>
      </c>
      <c r="BE58" s="13">
        <f>BD58*VLOOKUP('Données projet'!$B$11,Paramètres!$A$1:$I$89,3,0)*VLOOKUP('Données projet'!$B$11,Paramètres!$A$1:$I$89,5,0)</f>
        <v>210.64679999999993</v>
      </c>
      <c r="BF58" s="13">
        <f t="shared" si="37"/>
        <v>52.076902464129731</v>
      </c>
      <c r="BG58" s="20">
        <f t="shared" si="7"/>
        <v>457.57711512502578</v>
      </c>
      <c r="BH58" s="59">
        <f t="shared" si="8"/>
        <v>750.91044845835904</v>
      </c>
      <c r="BI58" s="59">
        <f ca="1">AVERAGE(OFFSET($BH$3,0,0,'Données projet'!$E$11+1,1))-AVERAGE(OFFSET($H$3,0,0,'Données projet'!$E$11+1,1))</f>
        <v>246.64951465060813</v>
      </c>
      <c r="BJ58" s="59">
        <f t="shared" si="38"/>
        <v>292.64550285216865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1.5945836813960503</v>
      </c>
      <c r="BQ58" s="21">
        <f>EXP(-LN(2)/25)*BQ57+(1-EXP(-LN(2)/25))/(LN(2)/25)*Calculateur!BL58*Calculateur!BN58*VLOOKUP('Données projet'!$B$11,Paramètres!$A$1:$I$89,3,0)*0.475*44/12</f>
        <v>8.4877633262595555</v>
      </c>
      <c r="BR58" s="21">
        <f>EXP(-LN(2)/2)*BR57+(1-EXP(-LN(2)/2))/(LN(2)/2)*BL58*BO58*VLOOKUP('Données projet'!$B$11,Paramètres!$A$1:$I$89,3,0)*0.475*44/12</f>
        <v>4.1043035006179578E-3</v>
      </c>
      <c r="BS58" s="22">
        <f t="shared" si="9"/>
        <v>10.086451311156225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7.9</v>
      </c>
      <c r="BY58" s="12">
        <f>IF('Données projet'!$A$114&gt;35,BY57+BX58-CG57,IF(A58&lt;'Données projet'!$A$114,$BV$205^A58,IF(A58='Données projet'!$A$114,'Données projet'!$B$114,BY57+BX58-CG57)))</f>
        <v>321.49999999999989</v>
      </c>
      <c r="BZ58" s="13">
        <f>BY58*VLOOKUP('Données projet'!$B$12,Paramètres!$A$1:$I$89,3,0)*VLOOKUP('Données projet'!$B$12,Paramètres!$A$1:$I$89,5,0)</f>
        <v>215.66219999999993</v>
      </c>
      <c r="CA58" s="13">
        <f t="shared" si="39"/>
        <v>53.170996395554219</v>
      </c>
      <c r="CB58" s="20">
        <f t="shared" si="10"/>
        <v>468.21781705559005</v>
      </c>
      <c r="CC58" s="59">
        <f t="shared" si="11"/>
        <v>761.55115038892336</v>
      </c>
      <c r="CD58" s="59">
        <f ca="1">AVERAGE(OFFSET($CC$3,0,0,'Données projet'!$E$12+1,1))-AVERAGE(OFFSET($H$3,0,0,'Données projet'!$E$12+1,1))</f>
        <v>254.25222107710192</v>
      </c>
      <c r="CE58" s="59">
        <f t="shared" si="40"/>
        <v>300.86609173447573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2.0122127408093013</v>
      </c>
      <c r="CL58" s="21">
        <f>EXP(-LN(2)/25)*CL57+(1-EXP(-LN(2)/25))/(LN(2)/25)*Calculateur!CG58*Calculateur!CI58*VLOOKUP('Données projet'!$B$12,Paramètres!$A$1:$I$89,3,0)*0.475*44/12</f>
        <v>10.710748959327537</v>
      </c>
      <c r="CM58" s="21">
        <f>EXP(-LN(2)/2)*CM57+(1-EXP(-LN(2)/2))/(LN(2)/2)*CG58*CJ58*VLOOKUP('Données projet'!$B$12,Paramètres!$A$1:$I$89,3,0)*0.475*44/12</f>
        <v>4.2020250125374354E-3</v>
      </c>
      <c r="CN58" s="22">
        <f t="shared" si="12"/>
        <v>12.727163725149376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7.2</v>
      </c>
      <c r="CT58" s="12">
        <f>IF('Données projet'!$A$140&gt;35,CT57+CS58-DB57,IF(A58&lt;'Données projet'!$A$140,$CQ$205^A58,IF(A58='Données projet'!$A$140,'Données projet'!$B$140,CT57+CS58-DB57)))</f>
        <v>235</v>
      </c>
      <c r="CU58" s="17">
        <f>CT58*VLOOKUP('Données projet'!$B$13,Paramètres!$A$1:$I$89,3,0)*VLOOKUP('Données projet'!$B$13,Paramètres!$A$1:$I$89,5,0)</f>
        <v>205.29600000000005</v>
      </c>
      <c r="CV58" s="13">
        <f t="shared" si="41"/>
        <v>50.906291934375396</v>
      </c>
      <c r="CW58" s="20">
        <f t="shared" si="13"/>
        <v>446.21899178570385</v>
      </c>
      <c r="CX58" s="59">
        <f t="shared" si="14"/>
        <v>739.55232511903716</v>
      </c>
      <c r="CY58" s="59">
        <f ca="1">AVERAGE(OFFSET($CX$3,0,0,'Données projet'!$E$13+1,1))-AVERAGE(OFFSET($H$3,0,0,'Données projet'!$E$13+1,1))</f>
        <v>243.38048563215585</v>
      </c>
      <c r="CZ58" s="59">
        <f t="shared" si="42"/>
        <v>372.1604147006675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4.454709967074681</v>
      </c>
      <c r="DG58" s="21">
        <f>EXP(-LN(2)/25)*DG57+(1-EXP(-LN(2)/25))/(LN(2)/25)*Calculateur!DB58*Calculateur!DD58*VLOOKUP('Données projet'!$B$13,Paramètres!$A$1:$I$89,3,0)*0.475*44/12</f>
        <v>9.6812142671980723</v>
      </c>
      <c r="DH58" s="21">
        <f>EXP(-LN(2)/2)*DH57+(1-EXP(-LN(2)/2))/(LN(2)/2)*DB58*DE58*VLOOKUP('Données projet'!$B$13,Paramètres!$A$1:$I$89,3,0)*0.475*44/12</f>
        <v>5.0607403094966794E-3</v>
      </c>
      <c r="DI58" s="22">
        <f t="shared" si="15"/>
        <v>14.140984974582251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15</v>
      </c>
      <c r="DO58" s="12">
        <f>IF('Données projet'!$A$166&gt;35,DO57+DN58-DW57,IF(A58&lt;'Données projet'!$A$166,$DL$205^A58,IF(A58='Données projet'!$A$166,'Données projet'!$B$166,DO57+DN58-DW57)))</f>
        <v>366.99999999999994</v>
      </c>
      <c r="DP58" s="17">
        <f>DO58*VLOOKUP('Données projet'!$B$14,Paramètres!$A$1:$I$89,3,0)*VLOOKUP('Données projet'!$B$14,Paramètres!$A$1:$I$89,5,0)</f>
        <v>209.92400000000001</v>
      </c>
      <c r="DQ58" s="13">
        <f t="shared" si="43"/>
        <v>51.918977436311607</v>
      </c>
      <c r="DR58" s="20">
        <f t="shared" si="16"/>
        <v>456.04318570157602</v>
      </c>
      <c r="DS58" s="59">
        <f t="shared" si="17"/>
        <v>749.37651903490928</v>
      </c>
      <c r="DT58" s="59">
        <f ca="1">AVERAGE(OFFSET($DS$3,0,0,'Données projet'!$E$14+1,1))-AVERAGE(OFFSET($H$3,0,0,'Données projet'!$E$14+1,1))</f>
        <v>227.99747790451215</v>
      </c>
      <c r="DU58" s="59">
        <f t="shared" si="44"/>
        <v>209.49597700966933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1.7482146673112844</v>
      </c>
      <c r="EB58" s="21">
        <f>EXP(-LN(2)/25)*EB57+(1-EXP(-LN(2)/25))/(LN(2)/25)*Calculateur!DW58*Calculateur!DY58*VLOOKUP('Données projet'!$B$14,Paramètres!$A$1:$I$89,3,0)*0.475*44/12</f>
        <v>7.5880496388684744</v>
      </c>
      <c r="EC58" s="21">
        <f>EXP(-LN(2)/2)*EC57+(1-EXP(-LN(2)/2))/(LN(2)/2)*DW58*DZ58*VLOOKUP('Données projet'!$B$14,Paramètres!$A$1:$I$89,3,0)*0.475*44/12</f>
        <v>4.2576290229286492E-3</v>
      </c>
      <c r="ED58" s="22">
        <f t="shared" si="18"/>
        <v>9.3405219352026876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19.600000000000001</v>
      </c>
      <c r="EJ58" s="12">
        <f>IF('Données projet'!$A$192&gt;35,EJ57+EI58-ER57,IF(A58&lt;'Données projet'!$A$192,$EG$205^A58,IF(A58='Données projet'!$A$192,'Données projet'!$B$192,EJ57+EI58-ER57)))</f>
        <v>657</v>
      </c>
      <c r="EK58" s="17">
        <f>EJ58*VLOOKUP('Données projet'!$B$15,Paramètres!$A$1:$I$89,3,0)*VLOOKUP('Données projet'!$B$15,Paramètres!$A$1:$I$89,5,0)</f>
        <v>290.39400000000006</v>
      </c>
      <c r="EL58" s="13">
        <f t="shared" si="45"/>
        <v>69.158878594433162</v>
      </c>
      <c r="EM58" s="20">
        <f t="shared" si="19"/>
        <v>626.22126355197111</v>
      </c>
      <c r="EN58" s="59">
        <f t="shared" si="20"/>
        <v>919.55459688530436</v>
      </c>
      <c r="EO58" s="59">
        <f ca="1">AVERAGE(OFFSET($EN$3,0,0,'Données projet'!$E$15+1,1))-AVERAGE(OFFSET($H$3,0,0,'Données projet'!$E$15+1,1))</f>
        <v>335.27356627949155</v>
      </c>
      <c r="EP58" s="59">
        <f t="shared" si="46"/>
        <v>322.66829503077247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13.981307058219077</v>
      </c>
      <c r="EX58" s="21">
        <f>EXP(-LN(2)/2)*EX57+(1-EXP(-LN(2)/2))/(LN(2)/2)*ER58*EU58*VLOOKUP('Données projet'!$B$15,Paramètres!$A$1:$I$89,3,0)*0.475*44/12</f>
        <v>6.1083156638166445E-3</v>
      </c>
      <c r="EY58" s="22">
        <f t="shared" si="21"/>
        <v>13.987415373882893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9.8000000000000007</v>
      </c>
      <c r="N59" s="13">
        <f>IF('Données projet'!$A$36&gt;35,N58+M59-V58,IF(A59&lt;'Données projet'!$A$36,$K$205^A59,IF(A59='Données projet'!$A$36,'Données projet'!$B$36,N58+M59-V58)))</f>
        <v>261.79999999999995</v>
      </c>
      <c r="O59" s="13">
        <f>N59*VLOOKUP('Données projet'!$B$9,Paramètres!$A$1:$I$89,3,0)*VLOOKUP('Données projet'!$B$9,Paramètres!$A$1:$I$89,5,0)</f>
        <v>236.87663999999995</v>
      </c>
      <c r="P59" s="13">
        <f t="shared" si="33"/>
        <v>57.767012893614115</v>
      </c>
      <c r="Q59" s="20">
        <f t="shared" si="53"/>
        <v>513.17102878971104</v>
      </c>
      <c r="R59" s="59">
        <f t="shared" si="0"/>
        <v>806.5043621230443</v>
      </c>
      <c r="S59" s="59">
        <f ca="1">AVERAGE(OFFSET($R$3,0,0,'Données projet'!$E$9+1,1))-AVERAGE(OFFSET($H$3,0,0,'Données projet'!$E$9+1,1))</f>
        <v>319.18811755575183</v>
      </c>
      <c r="T59" s="59">
        <f t="shared" si="34"/>
        <v>234.87694492493506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1.4392422594321463</v>
      </c>
      <c r="AA59" s="21">
        <f>EXP(-LN(2)/25)*AA58+(1-EXP(-LN(2)/25))/(LN(2)/25)*Calculateur!V59*Calculateur!X59*VLOOKUP('Données projet'!$B$9,Paramètres!$A$1:$I$89,3,0)*0.475*44/12</f>
        <v>5.4871445690050891</v>
      </c>
      <c r="AB59" s="21">
        <f>EXP(-LN(2)/2)*AB58+(1-EXP(-LN(2)/2))/(LN(2)/2)*V59*Y59*VLOOKUP('Données projet'!$B$9,Paramètres!$A$1:$I$89,3,0)*0.475*44/12</f>
        <v>2.6310225554329368E-3</v>
      </c>
      <c r="AC59" s="22">
        <f t="shared" si="3"/>
        <v>6.9290178509926683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7.9</v>
      </c>
      <c r="AI59" s="13">
        <f>IF('Données projet'!$A$62&gt;35,AI58+AH59-AQ58,IF(A59&lt;'Données projet'!$A$62,$AF$205^A59,IF(A59='Données projet'!$A$62,'Données projet'!$B$62,AI58+AH59-AQ58)))</f>
        <v>329.39999999999986</v>
      </c>
      <c r="AJ59" s="13">
        <f>AI59*VLOOKUP('Données projet'!$B$10,Paramètres!$A$1:$I$89,3,0)*VLOOKUP('Données projet'!$B$10,Paramètres!$A$1:$I$89,5,0)</f>
        <v>262.07063999999991</v>
      </c>
      <c r="AK59" s="13">
        <f t="shared" si="35"/>
        <v>63.163550751219262</v>
      </c>
      <c r="AL59" s="20">
        <f t="shared" si="4"/>
        <v>566.44954889170663</v>
      </c>
      <c r="AM59" s="59">
        <f t="shared" si="5"/>
        <v>859.78288222503988</v>
      </c>
      <c r="AN59" s="59">
        <f ca="1">AVERAGE(OFFSET($AM$3,0,0,'Données projet'!$E$10+1,1))-AVERAGE(OFFSET($H$3,0,0,'Données projet'!$E$10+1,1))</f>
        <v>314.94704727988847</v>
      </c>
      <c r="AO59" s="59">
        <f t="shared" si="36"/>
        <v>366.49199094166454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2.3397785649028222</v>
      </c>
      <c r="AV59" s="21">
        <f>EXP(-LN(2)/25)*AV58+(1-EXP(-LN(2)/25))/(LN(2)/25)*Calculateur!AQ59*Calculateur!AS59*VLOOKUP('Données projet'!$B$10,Paramètres!$A$1:$I$89,3,0)*0.475*44/12</f>
        <v>12.356070029182019</v>
      </c>
      <c r="AW59" s="21">
        <f>EXP(-LN(2)/2)*AW58+(1-EXP(-LN(2)/2))/(LN(2)/2)*AQ59*AT59*VLOOKUP('Données projet'!$B$10,Paramètres!$A$1:$I$89,3,0)*0.475*44/12</f>
        <v>3.5240767310492096E-3</v>
      </c>
      <c r="AX59" s="21">
        <f t="shared" si="6"/>
        <v>14.69937267081589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7.9</v>
      </c>
      <c r="BD59" s="12">
        <f>IF('Données projet'!$A$88&gt;35,BD58+BC59-BL58,IF(A59&lt;'Données projet'!$A$88,$BA$205^A59,IF(A59='Données projet'!$A$88,'Données projet'!$B$88,BD58+BC59-BL58)))</f>
        <v>329.39999999999986</v>
      </c>
      <c r="BE59" s="13">
        <f>BD59*VLOOKUP('Données projet'!$B$11,Paramètres!$A$1:$I$89,3,0)*VLOOKUP('Données projet'!$B$11,Paramètres!$A$1:$I$89,5,0)</f>
        <v>215.82287999999988</v>
      </c>
      <c r="BF59" s="13">
        <f t="shared" si="37"/>
        <v>53.205998928315829</v>
      </c>
      <c r="BG59" s="20">
        <f t="shared" si="7"/>
        <v>468.55863080014979</v>
      </c>
      <c r="BH59" s="59">
        <f t="shared" si="8"/>
        <v>761.89196413348304</v>
      </c>
      <c r="BI59" s="59">
        <f ca="1">AVERAGE(OFFSET($BH$3,0,0,'Données projet'!$E$11+1,1))-AVERAGE(OFFSET($H$3,0,0,'Données projet'!$E$11+1,1))</f>
        <v>246.64951465060813</v>
      </c>
      <c r="BJ59" s="59">
        <f t="shared" si="38"/>
        <v>292.64550285216865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1.5633148680038831</v>
      </c>
      <c r="BQ59" s="21">
        <f>EXP(-LN(2)/25)*BQ58+(1-EXP(-LN(2)/25))/(LN(2)/25)*Calculateur!BL59*Calculateur!BN59*VLOOKUP('Données projet'!$B$11,Paramètres!$A$1:$I$89,3,0)*0.475*44/12</f>
        <v>8.2556649917509137</v>
      </c>
      <c r="BR59" s="21">
        <f>EXP(-LN(2)/2)*BR58+(1-EXP(-LN(2)/2))/(LN(2)/2)*BL59*BO59*VLOOKUP('Données projet'!$B$11,Paramètres!$A$1:$I$89,3,0)*0.475*44/12</f>
        <v>2.9021808373346433E-3</v>
      </c>
      <c r="BS59" s="22">
        <f t="shared" si="9"/>
        <v>9.8218820405921328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7.9</v>
      </c>
      <c r="BY59" s="12">
        <f>IF('Données projet'!$A$114&gt;35,BY58+BX59-CG58,IF(A59&lt;'Données projet'!$A$114,$BV$205^A59,IF(A59='Données projet'!$A$114,'Données projet'!$B$114,BY58+BX59-CG58)))</f>
        <v>329.39999999999986</v>
      </c>
      <c r="BZ59" s="13">
        <f>BY59*VLOOKUP('Données projet'!$B$12,Paramètres!$A$1:$I$89,3,0)*VLOOKUP('Données projet'!$B$12,Paramètres!$A$1:$I$89,5,0)</f>
        <v>220.96151999999992</v>
      </c>
      <c r="CA59" s="13">
        <f t="shared" si="39"/>
        <v>54.323814270404227</v>
      </c>
      <c r="CB59" s="20">
        <f t="shared" si="10"/>
        <v>479.45529052095389</v>
      </c>
      <c r="CC59" s="59">
        <f t="shared" si="11"/>
        <v>772.78862385428715</v>
      </c>
      <c r="CD59" s="59">
        <f ca="1">AVERAGE(OFFSET($CC$3,0,0,'Données projet'!$E$12+1,1))-AVERAGE(OFFSET($H$3,0,0,'Données projet'!$E$12+1,1))</f>
        <v>254.25222107710192</v>
      </c>
      <c r="CE59" s="59">
        <f t="shared" si="40"/>
        <v>300.86609173447573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1.9727544762906142</v>
      </c>
      <c r="CL59" s="21">
        <f>EXP(-LN(2)/25)*CL58+(1-EXP(-LN(2)/25))/(LN(2)/25)*Calculateur!CG59*Calculateur!CI59*VLOOKUP('Données projet'!$B$12,Paramètres!$A$1:$I$89,3,0)*0.475*44/12</f>
        <v>10.417862965780918</v>
      </c>
      <c r="CM59" s="21">
        <f>EXP(-LN(2)/2)*CM58+(1-EXP(-LN(2)/2))/(LN(2)/2)*CG59*CJ59*VLOOKUP('Données projet'!$B$12,Paramètres!$A$1:$I$89,3,0)*0.475*44/12</f>
        <v>2.971280381080708E-3</v>
      </c>
      <c r="CN59" s="22">
        <f t="shared" si="12"/>
        <v>12.393588722452613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7.2</v>
      </c>
      <c r="CT59" s="12">
        <f>IF('Données projet'!$A$140&gt;35,CT58+CS59-DB58,IF(A59&lt;'Données projet'!$A$140,$CQ$205^A59,IF(A59='Données projet'!$A$140,'Données projet'!$B$140,CT58+CS59-DB58)))</f>
        <v>242.2</v>
      </c>
      <c r="CU59" s="17">
        <f>CT59*VLOOKUP('Données projet'!$B$13,Paramètres!$A$1:$I$89,3,0)*VLOOKUP('Données projet'!$B$13,Paramètres!$A$1:$I$89,5,0)</f>
        <v>211.58592000000002</v>
      </c>
      <c r="CV59" s="13">
        <f t="shared" si="41"/>
        <v>52.281997222074629</v>
      </c>
      <c r="CW59" s="20">
        <f t="shared" si="13"/>
        <v>459.56995582844667</v>
      </c>
      <c r="CX59" s="59">
        <f t="shared" si="14"/>
        <v>752.90328916177998</v>
      </c>
      <c r="CY59" s="59">
        <f ca="1">AVERAGE(OFFSET($CX$3,0,0,'Données projet'!$E$13+1,1))-AVERAGE(OFFSET($H$3,0,0,'Données projet'!$E$13+1,1))</f>
        <v>243.38048563215585</v>
      </c>
      <c r="CZ59" s="59">
        <f t="shared" si="42"/>
        <v>372.1604147006675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4.3673558217251349</v>
      </c>
      <c r="DG59" s="21">
        <f>EXP(-LN(2)/25)*DG58+(1-EXP(-LN(2)/25))/(LN(2)/25)*Calculateur!DB59*Calculateur!DD59*VLOOKUP('Données projet'!$B$13,Paramètres!$A$1:$I$89,3,0)*0.475*44/12</f>
        <v>9.416480953948609</v>
      </c>
      <c r="DH59" s="21">
        <f>EXP(-LN(2)/2)*DH58+(1-EXP(-LN(2)/2))/(LN(2)/2)*DB59*DE59*VLOOKUP('Données projet'!$B$13,Paramètres!$A$1:$I$89,3,0)*0.475*44/12</f>
        <v>3.5784837906692093E-3</v>
      </c>
      <c r="DI59" s="22">
        <f t="shared" si="15"/>
        <v>13.787415259464414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15</v>
      </c>
      <c r="DO59" s="12">
        <f>IF('Données projet'!$A$166&gt;35,DO58+DN59-DW58,IF(A59&lt;'Données projet'!$A$166,$DL$205^A59,IF(A59='Données projet'!$A$166,'Données projet'!$B$166,DO58+DN59-DW58)))</f>
        <v>381.99999999999994</v>
      </c>
      <c r="DP59" s="17">
        <f>DO59*VLOOKUP('Données projet'!$B$14,Paramètres!$A$1:$I$89,3,0)*VLOOKUP('Données projet'!$B$14,Paramètres!$A$1:$I$89,5,0)</f>
        <v>218.50399999999999</v>
      </c>
      <c r="DQ59" s="13">
        <f t="shared" si="43"/>
        <v>53.789608504582702</v>
      </c>
      <c r="DR59" s="20">
        <f t="shared" si="16"/>
        <v>474.24470147881487</v>
      </c>
      <c r="DS59" s="59">
        <f t="shared" si="17"/>
        <v>767.57803481214819</v>
      </c>
      <c r="DT59" s="59">
        <f ca="1">AVERAGE(OFFSET($DS$3,0,0,'Données projet'!$E$14+1,1))-AVERAGE(OFFSET($H$3,0,0,'Données projet'!$E$14+1,1))</f>
        <v>227.99747790451215</v>
      </c>
      <c r="DU59" s="59">
        <f t="shared" si="44"/>
        <v>209.49597700966933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1.7139332439909682</v>
      </c>
      <c r="EB59" s="21">
        <f>EXP(-LN(2)/25)*EB58+(1-EXP(-LN(2)/25))/(LN(2)/25)*Calculateur!DW59*Calculateur!DY59*VLOOKUP('Données projet'!$B$14,Paramètres!$A$1:$I$89,3,0)*0.475*44/12</f>
        <v>7.3805540224554278</v>
      </c>
      <c r="EC59" s="21">
        <f>EXP(-LN(2)/2)*EC58+(1-EXP(-LN(2)/2))/(LN(2)/2)*DW59*DZ59*VLOOKUP('Données projet'!$B$14,Paramètres!$A$1:$I$89,3,0)*0.475*44/12</f>
        <v>3.0105983538895025E-3</v>
      </c>
      <c r="ED59" s="22">
        <f t="shared" si="18"/>
        <v>9.0974978648002853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19.600000000000001</v>
      </c>
      <c r="EJ59" s="12">
        <f>IF('Données projet'!$A$192&gt;35,EJ58+EI59-ER58,IF(A59&lt;'Données projet'!$A$192,$EG$205^A59,IF(A59='Données projet'!$A$192,'Données projet'!$B$192,EJ58+EI59-ER58)))</f>
        <v>676.6</v>
      </c>
      <c r="EK59" s="17">
        <f>EJ59*VLOOKUP('Données projet'!$B$15,Paramètres!$A$1:$I$89,3,0)*VLOOKUP('Données projet'!$B$15,Paramètres!$A$1:$I$89,5,0)</f>
        <v>299.05720000000002</v>
      </c>
      <c r="EL59" s="13">
        <f t="shared" si="45"/>
        <v>70.978780189707066</v>
      </c>
      <c r="EM59" s="20">
        <f t="shared" si="19"/>
        <v>644.47933216373974</v>
      </c>
      <c r="EN59" s="59">
        <f t="shared" si="20"/>
        <v>937.81266549707311</v>
      </c>
      <c r="EO59" s="59">
        <f ca="1">AVERAGE(OFFSET($EN$3,0,0,'Données projet'!$E$15+1,1))-AVERAGE(OFFSET($H$3,0,0,'Données projet'!$E$15+1,1))</f>
        <v>335.27356627949155</v>
      </c>
      <c r="EP59" s="59">
        <f t="shared" si="46"/>
        <v>322.66829503077247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13.598987481467093</v>
      </c>
      <c r="EX59" s="21">
        <f>EXP(-LN(2)/2)*EX58+(1-EXP(-LN(2)/2))/(LN(2)/2)*ER59*EU59*VLOOKUP('Données projet'!$B$15,Paramètres!$A$1:$I$89,3,0)*0.475*44/12</f>
        <v>4.3192314275127567E-3</v>
      </c>
      <c r="EY59" s="22">
        <f t="shared" si="21"/>
        <v>13.603306712894605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9.8000000000000007</v>
      </c>
      <c r="N60" s="13">
        <f>IF('Données projet'!$A$36&gt;35,N59+M60-V59,IF(A60&lt;'Données projet'!$A$36,$K$205^A60,IF(A60='Données projet'!$A$36,'Données projet'!$B$36,N59+M60-V59)))</f>
        <v>271.59999999999997</v>
      </c>
      <c r="O60" s="13">
        <f>N60*VLOOKUP('Données projet'!$B$9,Paramètres!$A$1:$I$89,3,0)*VLOOKUP('Données projet'!$B$9,Paramètres!$A$1:$I$89,5,0)</f>
        <v>245.74367999999996</v>
      </c>
      <c r="P60" s="13">
        <f t="shared" si="33"/>
        <v>59.673605104126452</v>
      </c>
      <c r="Q60" s="20">
        <f t="shared" si="53"/>
        <v>531.93510488968684</v>
      </c>
      <c r="R60" s="59">
        <f t="shared" si="0"/>
        <v>825.26843822302021</v>
      </c>
      <c r="S60" s="59">
        <f ca="1">AVERAGE(OFFSET($R$3,0,0,'Données projet'!$E$9+1,1))-AVERAGE(OFFSET($H$3,0,0,'Données projet'!$E$9+1,1))</f>
        <v>319.18811755575183</v>
      </c>
      <c r="T60" s="59">
        <f t="shared" si="34"/>
        <v>234.87694492493506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1.4110195965757797</v>
      </c>
      <c r="AA60" s="21">
        <f>EXP(-LN(2)/25)*AA59+(1-EXP(-LN(2)/25))/(LN(2)/25)*Calculateur!V60*Calculateur!X60*VLOOKUP('Données projet'!$B$9,Paramètres!$A$1:$I$89,3,0)*0.475*44/12</f>
        <v>5.3370983122092532</v>
      </c>
      <c r="AB60" s="21">
        <f>EXP(-LN(2)/2)*AB59+(1-EXP(-LN(2)/2))/(LN(2)/2)*V60*Y60*VLOOKUP('Données projet'!$B$9,Paramètres!$A$1:$I$89,3,0)*0.475*44/12</f>
        <v>1.8604138904013889E-3</v>
      </c>
      <c r="AC60" s="22">
        <f t="shared" si="3"/>
        <v>6.7499783226754344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7.9</v>
      </c>
      <c r="AI60" s="13">
        <f>IF('Données projet'!$A$62&gt;35,AI59+AH60-AQ59,IF(A60&lt;'Données projet'!$A$62,$AF$205^A60,IF(A60='Données projet'!$A$62,'Données projet'!$B$62,AI59+AH60-AQ59)))</f>
        <v>337.29999999999984</v>
      </c>
      <c r="AJ60" s="13">
        <f>AI60*VLOOKUP('Données projet'!$B$10,Paramètres!$A$1:$I$89,3,0)*VLOOKUP('Données projet'!$B$10,Paramètres!$A$1:$I$89,5,0)</f>
        <v>268.35587999999984</v>
      </c>
      <c r="AK60" s="13">
        <f t="shared" si="35"/>
        <v>64.50022158961194</v>
      </c>
      <c r="AL60" s="20">
        <f t="shared" si="4"/>
        <v>579.72437693524057</v>
      </c>
      <c r="AM60" s="59">
        <f t="shared" si="5"/>
        <v>873.05771026857383</v>
      </c>
      <c r="AN60" s="59">
        <f ca="1">AVERAGE(OFFSET($AM$3,0,0,'Données projet'!$E$10+1,1))-AVERAGE(OFFSET($H$3,0,0,'Données projet'!$E$10+1,1))</f>
        <v>314.94704727988847</v>
      </c>
      <c r="AO60" s="59">
        <f t="shared" si="36"/>
        <v>366.49199094166454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2.2938969343690858</v>
      </c>
      <c r="AV60" s="21">
        <f>EXP(-LN(2)/25)*AV59+(1-EXP(-LN(2)/25))/(LN(2)/25)*Calculateur!AQ60*Calculateur!AS60*VLOOKUP('Données projet'!$B$10,Paramètres!$A$1:$I$89,3,0)*0.475*44/12</f>
        <v>12.018192644456555</v>
      </c>
      <c r="AW60" s="21">
        <f>EXP(-LN(2)/2)*AW59+(1-EXP(-LN(2)/2))/(LN(2)/2)*AQ60*AT60*VLOOKUP('Données projet'!$B$10,Paramètres!$A$1:$I$89,3,0)*0.475*44/12</f>
        <v>2.4918985539466171E-3</v>
      </c>
      <c r="AX60" s="21">
        <f t="shared" si="6"/>
        <v>14.314581477379587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7.9</v>
      </c>
      <c r="BD60" s="12">
        <f>IF('Données projet'!$A$88&gt;35,BD59+BC60-BL59,IF(A60&lt;'Données projet'!$A$88,$BA$205^A60,IF(A60='Données projet'!$A$88,'Données projet'!$B$88,BD59+BC60-BL59)))</f>
        <v>337.29999999999984</v>
      </c>
      <c r="BE60" s="13">
        <f>BD60*VLOOKUP('Données projet'!$B$11,Paramètres!$A$1:$I$89,3,0)*VLOOKUP('Données projet'!$B$11,Paramètres!$A$1:$I$89,5,0)</f>
        <v>220.99895999999993</v>
      </c>
      <c r="BF60" s="13">
        <f t="shared" si="37"/>
        <v>54.331947459536771</v>
      </c>
      <c r="BG60" s="20">
        <f t="shared" si="7"/>
        <v>479.53466382535976</v>
      </c>
      <c r="BH60" s="59">
        <f t="shared" si="8"/>
        <v>772.86799715869302</v>
      </c>
      <c r="BI60" s="59">
        <f ca="1">AVERAGE(OFFSET($BH$3,0,0,'Données projet'!$E$11+1,1))-AVERAGE(OFFSET($H$3,0,0,'Données projet'!$E$11+1,1))</f>
        <v>246.64951465060813</v>
      </c>
      <c r="BJ60" s="59">
        <f t="shared" si="38"/>
        <v>292.64550285216865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1.5326592169702433</v>
      </c>
      <c r="BQ60" s="21">
        <f>EXP(-LN(2)/25)*BQ59+(1-EXP(-LN(2)/25))/(LN(2)/25)*Calculateur!BL60*Calculateur!BN60*VLOOKUP('Données projet'!$B$11,Paramètres!$A$1:$I$89,3,0)*0.475*44/12</f>
        <v>8.0299133984049309</v>
      </c>
      <c r="BR60" s="21">
        <f>EXP(-LN(2)/2)*BR59+(1-EXP(-LN(2)/2))/(LN(2)/2)*BL60*BO60*VLOOKUP('Données projet'!$B$11,Paramètres!$A$1:$I$89,3,0)*0.475*44/12</f>
        <v>2.0521517503089789E-3</v>
      </c>
      <c r="BS60" s="22">
        <f t="shared" si="9"/>
        <v>9.5646247671254834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7.9</v>
      </c>
      <c r="BY60" s="12">
        <f>IF('Données projet'!$A$114&gt;35,BY59+BX60-CG59,IF(A60&lt;'Données projet'!$A$114,$BV$205^A60,IF(A60='Données projet'!$A$114,'Données projet'!$B$114,BY59+BX60-CG59)))</f>
        <v>337.29999999999984</v>
      </c>
      <c r="BZ60" s="13">
        <f>BY60*VLOOKUP('Données projet'!$B$12,Paramètres!$A$1:$I$89,3,0)*VLOOKUP('Données projet'!$B$12,Paramètres!$A$1:$I$89,5,0)</f>
        <v>226.26083999999989</v>
      </c>
      <c r="CA60" s="13">
        <f t="shared" si="39"/>
        <v>55.473418076743556</v>
      </c>
      <c r="CB60" s="20">
        <f t="shared" si="10"/>
        <v>490.68716615032821</v>
      </c>
      <c r="CC60" s="59">
        <f t="shared" si="11"/>
        <v>784.02049948366152</v>
      </c>
      <c r="CD60" s="59">
        <f ca="1">AVERAGE(OFFSET($CC$3,0,0,'Données projet'!$E$12+1,1))-AVERAGE(OFFSET($H$3,0,0,'Données projet'!$E$12+1,1))</f>
        <v>254.25222107710192</v>
      </c>
      <c r="CE60" s="59">
        <f t="shared" si="40"/>
        <v>300.86609173447573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1.9340699642719736</v>
      </c>
      <c r="CL60" s="21">
        <f>EXP(-LN(2)/25)*CL59+(1-EXP(-LN(2)/25))/(LN(2)/25)*Calculateur!CG60*Calculateur!CI60*VLOOKUP('Données projet'!$B$12,Paramètres!$A$1:$I$89,3,0)*0.475*44/12</f>
        <v>10.132985955130035</v>
      </c>
      <c r="CM60" s="21">
        <f>EXP(-LN(2)/2)*CM59+(1-EXP(-LN(2)/2))/(LN(2)/2)*CG60*CJ60*VLOOKUP('Données projet'!$B$12,Paramètres!$A$1:$I$89,3,0)*0.475*44/12</f>
        <v>2.1010125062687177E-3</v>
      </c>
      <c r="CN60" s="22">
        <f t="shared" si="12"/>
        <v>12.069156931908278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7.2</v>
      </c>
      <c r="CT60" s="12">
        <f>IF('Données projet'!$A$140&gt;35,CT59+CS60-DB59,IF(A60&lt;'Données projet'!$A$140,$CQ$205^A60,IF(A60='Données projet'!$A$140,'Données projet'!$B$140,CT59+CS60-DB59)))</f>
        <v>249.39999999999998</v>
      </c>
      <c r="CU60" s="17">
        <f>CT60*VLOOKUP('Données projet'!$B$13,Paramètres!$A$1:$I$89,3,0)*VLOOKUP('Données projet'!$B$13,Paramètres!$A$1:$I$89,5,0)</f>
        <v>217.87583999999998</v>
      </c>
      <c r="CV60" s="13">
        <f t="shared" si="41"/>
        <v>53.652949670124926</v>
      </c>
      <c r="CW60" s="20">
        <f t="shared" si="13"/>
        <v>472.9126420088009</v>
      </c>
      <c r="CX60" s="59">
        <f t="shared" si="14"/>
        <v>766.24597534213422</v>
      </c>
      <c r="CY60" s="59">
        <f ca="1">AVERAGE(OFFSET($CX$3,0,0,'Données projet'!$E$13+1,1))-AVERAGE(OFFSET($H$3,0,0,'Données projet'!$E$13+1,1))</f>
        <v>243.38048563215585</v>
      </c>
      <c r="CZ60" s="59">
        <f t="shared" si="42"/>
        <v>372.1604147006675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4.2817146378851252</v>
      </c>
      <c r="DG60" s="21">
        <f>EXP(-LN(2)/25)*DG59+(1-EXP(-LN(2)/25))/(LN(2)/25)*Calculateur!DB60*Calculateur!DD60*VLOOKUP('Données projet'!$B$13,Paramètres!$A$1:$I$89,3,0)*0.475*44/12</f>
        <v>9.1589867870716724</v>
      </c>
      <c r="DH60" s="21">
        <f>EXP(-LN(2)/2)*DH59+(1-EXP(-LN(2)/2))/(LN(2)/2)*DB60*DE60*VLOOKUP('Données projet'!$B$13,Paramètres!$A$1:$I$89,3,0)*0.475*44/12</f>
        <v>2.5303701547483397E-3</v>
      </c>
      <c r="DI60" s="22">
        <f t="shared" si="15"/>
        <v>13.443231795111545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15</v>
      </c>
      <c r="DO60" s="12">
        <f>IF('Données projet'!$A$166&gt;35,DO59+DN60-DW59,IF(A60&lt;'Données projet'!$A$166,$DL$205^A60,IF(A60='Données projet'!$A$166,'Données projet'!$B$166,DO59+DN60-DW59)))</f>
        <v>396.99999999999994</v>
      </c>
      <c r="DP60" s="17">
        <f>DO60*VLOOKUP('Données projet'!$B$14,Paramètres!$A$1:$I$89,3,0)*VLOOKUP('Données projet'!$B$14,Paramètres!$A$1:$I$89,5,0)</f>
        <v>227.08399999999997</v>
      </c>
      <c r="DQ60" s="13">
        <f t="shared" si="43"/>
        <v>55.651706709732181</v>
      </c>
      <c r="DR60" s="20">
        <f t="shared" si="16"/>
        <v>492.4313558527835</v>
      </c>
      <c r="DS60" s="59">
        <f t="shared" si="17"/>
        <v>785.76468918611681</v>
      </c>
      <c r="DT60" s="59">
        <f ca="1">AVERAGE(OFFSET($DS$3,0,0,'Données projet'!$E$14+1,1))-AVERAGE(OFFSET($H$3,0,0,'Données projet'!$E$14+1,1))</f>
        <v>227.99747790451215</v>
      </c>
      <c r="DU60" s="59">
        <f t="shared" si="44"/>
        <v>209.49597700966933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1.68032405847236</v>
      </c>
      <c r="EB60" s="21">
        <f>EXP(-LN(2)/25)*EB59+(1-EXP(-LN(2)/25))/(LN(2)/25)*Calculateur!DW60*Calculateur!DY60*VLOOKUP('Données projet'!$B$14,Paramètres!$A$1:$I$89,3,0)*0.475*44/12</f>
        <v>7.1787323845849169</v>
      </c>
      <c r="EC60" s="21">
        <f>EXP(-LN(2)/2)*EC59+(1-EXP(-LN(2)/2))/(LN(2)/2)*DW60*DZ60*VLOOKUP('Données projet'!$B$14,Paramètres!$A$1:$I$89,3,0)*0.475*44/12</f>
        <v>2.1288145114643246E-3</v>
      </c>
      <c r="ED60" s="22">
        <f t="shared" si="18"/>
        <v>8.8611852575687404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19.600000000000001</v>
      </c>
      <c r="EJ60" s="12">
        <f>IF('Données projet'!$A$192&gt;35,EJ59+EI60-ER59,IF(A60&lt;'Données projet'!$A$192,$EG$205^A60,IF(A60='Données projet'!$A$192,'Données projet'!$B$192,EJ59+EI60-ER59)))</f>
        <v>696.2</v>
      </c>
      <c r="EK60" s="17">
        <f>EJ60*VLOOKUP('Données projet'!$B$15,Paramètres!$A$1:$I$89,3,0)*VLOOKUP('Données projet'!$B$15,Paramètres!$A$1:$I$89,5,0)</f>
        <v>307.72040000000004</v>
      </c>
      <c r="EL60" s="13">
        <f t="shared" si="45"/>
        <v>72.792554654170175</v>
      </c>
      <c r="EM60" s="20">
        <f t="shared" si="19"/>
        <v>662.72672935601315</v>
      </c>
      <c r="EN60" s="59">
        <f t="shared" si="20"/>
        <v>956.06006268934652</v>
      </c>
      <c r="EO60" s="59">
        <f ca="1">AVERAGE(OFFSET($EN$3,0,0,'Données projet'!$E$15+1,1))-AVERAGE(OFFSET($H$3,0,0,'Données projet'!$E$15+1,1))</f>
        <v>335.27356627949155</v>
      </c>
      <c r="EP60" s="59">
        <f t="shared" si="46"/>
        <v>322.66829503077247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13.227122453646704</v>
      </c>
      <c r="EX60" s="21">
        <f>EXP(-LN(2)/2)*EX59+(1-EXP(-LN(2)/2))/(LN(2)/2)*ER60*EU60*VLOOKUP('Données projet'!$B$15,Paramètres!$A$1:$I$89,3,0)*0.475*44/12</f>
        <v>3.0541578319083222E-3</v>
      </c>
      <c r="EY60" s="22">
        <f t="shared" si="21"/>
        <v>13.230176611478612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9.8000000000000007</v>
      </c>
      <c r="N61" s="13">
        <f>IF('Données projet'!$A$36&gt;35,N60+M61-V60,IF(A61&lt;'Données projet'!$A$36,$K$205^A61,IF(A61='Données projet'!$A$36,'Données projet'!$B$36,N60+M61-V60)))</f>
        <v>281.39999999999998</v>
      </c>
      <c r="O61" s="13">
        <f>N61*VLOOKUP('Données projet'!$B$9,Paramètres!$A$1:$I$89,3,0)*VLOOKUP('Données projet'!$B$9,Paramètres!$A$1:$I$89,5,0)</f>
        <v>254.61071999999999</v>
      </c>
      <c r="P61" s="13">
        <f t="shared" si="33"/>
        <v>61.572204587965679</v>
      </c>
      <c r="Q61" s="20">
        <f t="shared" si="53"/>
        <v>550.68526032404009</v>
      </c>
      <c r="R61" s="59">
        <f t="shared" si="0"/>
        <v>844.01859365737346</v>
      </c>
      <c r="S61" s="59">
        <f ca="1">AVERAGE(OFFSET($R$3,0,0,'Données projet'!$E$9+1,1))-AVERAGE(OFFSET($H$3,0,0,'Données projet'!$E$9+1,1))</f>
        <v>319.18811755575183</v>
      </c>
      <c r="T61" s="59">
        <f t="shared" si="34"/>
        <v>234.87694492493506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1.3833503629239017</v>
      </c>
      <c r="AA61" s="21">
        <f>EXP(-LN(2)/25)*AA60+(1-EXP(-LN(2)/25))/(LN(2)/25)*Calculateur!V61*Calculateur!X61*VLOOKUP('Données projet'!$B$9,Paramètres!$A$1:$I$89,3,0)*0.475*44/12</f>
        <v>5.1911550781960889</v>
      </c>
      <c r="AB61" s="21">
        <f>EXP(-LN(2)/2)*AB60+(1-EXP(-LN(2)/2))/(LN(2)/2)*V61*Y61*VLOOKUP('Données projet'!$B$9,Paramètres!$A$1:$I$89,3,0)*0.475*44/12</f>
        <v>1.3155112777164686E-3</v>
      </c>
      <c r="AC61" s="22">
        <f t="shared" si="3"/>
        <v>6.5758209523977067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7.9</v>
      </c>
      <c r="AI61" s="13">
        <f>IF('Données projet'!$A$62&gt;35,AI60+AH61-AQ60,IF(A61&lt;'Données projet'!$A$62,$AF$205^A61,IF(A61='Données projet'!$A$62,'Données projet'!$B$62,AI60+AH61-AQ60)))</f>
        <v>345.19999999999982</v>
      </c>
      <c r="AJ61" s="13">
        <f>AI61*VLOOKUP('Données projet'!$B$10,Paramètres!$A$1:$I$89,3,0)*VLOOKUP('Données projet'!$B$10,Paramètres!$A$1:$I$89,5,0)</f>
        <v>274.64111999999989</v>
      </c>
      <c r="AK61" s="13">
        <f t="shared" si="35"/>
        <v>65.833252956609641</v>
      </c>
      <c r="AL61" s="20">
        <f t="shared" si="4"/>
        <v>592.99286623276146</v>
      </c>
      <c r="AM61" s="59">
        <f t="shared" si="5"/>
        <v>886.32619956609483</v>
      </c>
      <c r="AN61" s="59">
        <f ca="1">AVERAGE(OFFSET($AM$3,0,0,'Données projet'!$E$10+1,1))-AVERAGE(OFFSET($H$3,0,0,'Données projet'!$E$10+1,1))</f>
        <v>314.94704727988847</v>
      </c>
      <c r="AO61" s="59">
        <f t="shared" si="36"/>
        <v>366.49199094166454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2.2489150146250845</v>
      </c>
      <c r="AV61" s="21">
        <f>EXP(-LN(2)/25)*AV60+(1-EXP(-LN(2)/25))/(LN(2)/25)*Calculateur!AQ61*Calculateur!AS61*VLOOKUP('Données projet'!$B$10,Paramètres!$A$1:$I$89,3,0)*0.475*44/12</f>
        <v>11.689554534584607</v>
      </c>
      <c r="AW61" s="21">
        <f>EXP(-LN(2)/2)*AW60+(1-EXP(-LN(2)/2))/(LN(2)/2)*AQ61*AT61*VLOOKUP('Données projet'!$B$10,Paramètres!$A$1:$I$89,3,0)*0.475*44/12</f>
        <v>1.7620383655246048E-3</v>
      </c>
      <c r="AX61" s="21">
        <f t="shared" si="6"/>
        <v>13.940231587575218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7.9</v>
      </c>
      <c r="BD61" s="12">
        <f>IF('Données projet'!$A$88&gt;35,BD60+BC61-BL60,IF(A61&lt;'Données projet'!$A$88,$BA$205^A61,IF(A61='Données projet'!$A$88,'Données projet'!$B$88,BD60+BC61-BL60)))</f>
        <v>345.19999999999982</v>
      </c>
      <c r="BE61" s="13">
        <f>BD61*VLOOKUP('Données projet'!$B$11,Paramètres!$A$1:$I$89,3,0)*VLOOKUP('Données projet'!$B$11,Paramètres!$A$1:$I$89,5,0)</f>
        <v>226.17503999999988</v>
      </c>
      <c r="BF61" s="13">
        <f t="shared" si="37"/>
        <v>55.454830271544012</v>
      </c>
      <c r="BG61" s="20">
        <f t="shared" si="7"/>
        <v>490.50535738960565</v>
      </c>
      <c r="BH61" s="59">
        <f t="shared" si="8"/>
        <v>783.83869072293896</v>
      </c>
      <c r="BI61" s="59">
        <f ca="1">AVERAGE(OFFSET($BH$3,0,0,'Données projet'!$E$11+1,1))-AVERAGE(OFFSET($H$3,0,0,'Données projet'!$E$11+1,1))</f>
        <v>246.64951465060813</v>
      </c>
      <c r="BJ61" s="59">
        <f t="shared" si="38"/>
        <v>292.64550285216865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1.5026047045552724</v>
      </c>
      <c r="BQ61" s="21">
        <f>EXP(-LN(2)/25)*BQ60+(1-EXP(-LN(2)/25))/(LN(2)/25)*Calculateur!BL61*Calculateur!BN61*VLOOKUP('Données projet'!$B$11,Paramètres!$A$1:$I$89,3,0)*0.475*44/12</f>
        <v>7.8103349942507547</v>
      </c>
      <c r="BR61" s="21">
        <f>EXP(-LN(2)/2)*BR60+(1-EXP(-LN(2)/2))/(LN(2)/2)*BL61*BO61*VLOOKUP('Données projet'!$B$11,Paramètres!$A$1:$I$89,3,0)*0.475*44/12</f>
        <v>1.4510904186673217E-3</v>
      </c>
      <c r="BS61" s="22">
        <f t="shared" si="9"/>
        <v>9.314390789224694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7.9</v>
      </c>
      <c r="BY61" s="12">
        <f>IF('Données projet'!$A$114&gt;35,BY60+BX61-CG60,IF(A61&lt;'Données projet'!$A$114,$BV$205^A61,IF(A61='Données projet'!$A$114,'Données projet'!$B$114,BY60+BX61-CG60)))</f>
        <v>345.19999999999982</v>
      </c>
      <c r="BZ61" s="13">
        <f>BY61*VLOOKUP('Données projet'!$B$12,Paramètres!$A$1:$I$89,3,0)*VLOOKUP('Données projet'!$B$12,Paramètres!$A$1:$I$89,5,0)</f>
        <v>231.56015999999988</v>
      </c>
      <c r="CA61" s="13">
        <f t="shared" si="39"/>
        <v>56.619891755568716</v>
      </c>
      <c r="CB61" s="20">
        <f t="shared" si="10"/>
        <v>501.9135901409486</v>
      </c>
      <c r="CC61" s="59">
        <f t="shared" si="11"/>
        <v>795.24692347428186</v>
      </c>
      <c r="CD61" s="59">
        <f ca="1">AVERAGE(OFFSET($CC$3,0,0,'Données projet'!$E$12+1,1))-AVERAGE(OFFSET($H$3,0,0,'Données projet'!$E$12+1,1))</f>
        <v>254.25222107710192</v>
      </c>
      <c r="CE61" s="59">
        <f t="shared" si="40"/>
        <v>300.86609173447573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1.8961440319387961</v>
      </c>
      <c r="CL61" s="21">
        <f>EXP(-LN(2)/25)*CL60+(1-EXP(-LN(2)/25))/(LN(2)/25)*Calculateur!CG61*Calculateur!CI61*VLOOKUP('Données projet'!$B$12,Paramètres!$A$1:$I$89,3,0)*0.475*44/12</f>
        <v>9.8558989213164327</v>
      </c>
      <c r="CM61" s="21">
        <f>EXP(-LN(2)/2)*CM60+(1-EXP(-LN(2)/2))/(LN(2)/2)*CG61*CJ61*VLOOKUP('Données projet'!$B$12,Paramètres!$A$1:$I$89,3,0)*0.475*44/12</f>
        <v>1.485640190540354E-3</v>
      </c>
      <c r="CN61" s="22">
        <f t="shared" si="12"/>
        <v>11.75352859344577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7.2</v>
      </c>
      <c r="CT61" s="12">
        <f>IF('Données projet'!$A$140&gt;35,CT60+CS61-DB60,IF(A61&lt;'Données projet'!$A$140,$CQ$205^A61,IF(A61='Données projet'!$A$140,'Données projet'!$B$140,CT60+CS61-DB60)))</f>
        <v>256.59999999999997</v>
      </c>
      <c r="CU61" s="17">
        <f>CT61*VLOOKUP('Données projet'!$B$13,Paramètres!$A$1:$I$89,3,0)*VLOOKUP('Données projet'!$B$13,Paramètres!$A$1:$I$89,5,0)</f>
        <v>224.16576000000001</v>
      </c>
      <c r="CV61" s="13">
        <f t="shared" si="41"/>
        <v>55.019302246962667</v>
      </c>
      <c r="CW61" s="20">
        <f t="shared" si="13"/>
        <v>486.24731674679327</v>
      </c>
      <c r="CX61" s="59">
        <f t="shared" si="14"/>
        <v>779.58065008012659</v>
      </c>
      <c r="CY61" s="59">
        <f ca="1">AVERAGE(OFFSET($CX$3,0,0,'Données projet'!$E$13+1,1))-AVERAGE(OFFSET($H$3,0,0,'Données projet'!$E$13+1,1))</f>
        <v>243.38048563215585</v>
      </c>
      <c r="CZ61" s="59">
        <f t="shared" si="42"/>
        <v>372.1604147006675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4.1977528254242538</v>
      </c>
      <c r="DG61" s="21">
        <f>EXP(-LN(2)/25)*DG60+(1-EXP(-LN(2)/25))/(LN(2)/25)*Calculateur!DB61*Calculateur!DD61*VLOOKUP('Données projet'!$B$13,Paramètres!$A$1:$I$89,3,0)*0.475*44/12</f>
        <v>8.9085338117290149</v>
      </c>
      <c r="DH61" s="21">
        <f>EXP(-LN(2)/2)*DH60+(1-EXP(-LN(2)/2))/(LN(2)/2)*DB61*DE61*VLOOKUP('Données projet'!$B$13,Paramètres!$A$1:$I$89,3,0)*0.475*44/12</f>
        <v>1.7892418953346046E-3</v>
      </c>
      <c r="DI61" s="22">
        <f t="shared" si="15"/>
        <v>13.108075879048602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15</v>
      </c>
      <c r="DO61" s="12">
        <f>IF('Données projet'!$A$166&gt;35,DO60+DN61-DW60,IF(A61&lt;'Données projet'!$A$166,$DL$205^A61,IF(A61='Données projet'!$A$166,'Données projet'!$B$166,DO60+DN61-DW60)))</f>
        <v>411.99999999999994</v>
      </c>
      <c r="DP61" s="17">
        <f>DO61*VLOOKUP('Données projet'!$B$14,Paramètres!$A$1:$I$89,3,0)*VLOOKUP('Données projet'!$B$14,Paramètres!$A$1:$I$89,5,0)</f>
        <v>235.66399999999996</v>
      </c>
      <c r="DQ61" s="13">
        <f t="shared" si="43"/>
        <v>57.505631363240006</v>
      </c>
      <c r="DR61" s="20">
        <f t="shared" si="16"/>
        <v>510.60377462430955</v>
      </c>
      <c r="DS61" s="59">
        <f t="shared" si="17"/>
        <v>803.93710795764287</v>
      </c>
      <c r="DT61" s="59">
        <f ca="1">AVERAGE(OFFSET($DS$3,0,0,'Données projet'!$E$14+1,1))-AVERAGE(OFFSET($H$3,0,0,'Données projet'!$E$14+1,1))</f>
        <v>227.99747790451215</v>
      </c>
      <c r="DU61" s="59">
        <f t="shared" si="44"/>
        <v>209.49597700966933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1.6473739285821927</v>
      </c>
      <c r="EB61" s="21">
        <f>EXP(-LN(2)/25)*EB60+(1-EXP(-LN(2)/25))/(LN(2)/25)*Calculateur!DW61*Calculateur!DY61*VLOOKUP('Données projet'!$B$14,Paramètres!$A$1:$I$89,3,0)*0.475*44/12</f>
        <v>6.9824295700153138</v>
      </c>
      <c r="EC61" s="21">
        <f>EXP(-LN(2)/2)*EC60+(1-EXP(-LN(2)/2))/(LN(2)/2)*DW61*DZ61*VLOOKUP('Données projet'!$B$14,Paramètres!$A$1:$I$89,3,0)*0.475*44/12</f>
        <v>1.5052991769447513E-3</v>
      </c>
      <c r="ED61" s="22">
        <f t="shared" si="18"/>
        <v>8.6313087977744516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19.600000000000001</v>
      </c>
      <c r="EJ61" s="12">
        <f>IF('Données projet'!$A$192&gt;35,EJ60+EI61-ER60,IF(A61&lt;'Données projet'!$A$192,$EG$205^A61,IF(A61='Données projet'!$A$192,'Données projet'!$B$192,EJ60+EI61-ER60)))</f>
        <v>715.80000000000007</v>
      </c>
      <c r="EK61" s="17">
        <f>EJ61*VLOOKUP('Données projet'!$B$15,Paramètres!$A$1:$I$89,3,0)*VLOOKUP('Données projet'!$B$15,Paramètres!$A$1:$I$89,5,0)</f>
        <v>316.38360000000006</v>
      </c>
      <c r="EL61" s="13">
        <f t="shared" si="45"/>
        <v>74.600394298716267</v>
      </c>
      <c r="EM61" s="20">
        <f t="shared" si="19"/>
        <v>680.96379007026428</v>
      </c>
      <c r="EN61" s="59">
        <f t="shared" si="20"/>
        <v>974.29712340359765</v>
      </c>
      <c r="EO61" s="59">
        <f ca="1">AVERAGE(OFFSET($EN$3,0,0,'Données projet'!$E$15+1,1))-AVERAGE(OFFSET($H$3,0,0,'Données projet'!$E$15+1,1))</f>
        <v>335.27356627949155</v>
      </c>
      <c r="EP61" s="59">
        <f t="shared" si="46"/>
        <v>322.66829503077247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12.865426094567596</v>
      </c>
      <c r="EX61" s="21">
        <f>EXP(-LN(2)/2)*EX60+(1-EXP(-LN(2)/2))/(LN(2)/2)*ER61*EU61*VLOOKUP('Données projet'!$B$15,Paramètres!$A$1:$I$89,3,0)*0.475*44/12</f>
        <v>2.1596157137563784E-3</v>
      </c>
      <c r="EY61" s="22">
        <f t="shared" si="21"/>
        <v>12.867585710281352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9.8000000000000007</v>
      </c>
      <c r="N62" s="13">
        <f>IF('Données projet'!$A$36&gt;35,N61+M62-V61,IF(A62&lt;'Données projet'!$A$36,$K$205^A62,IF(A62='Données projet'!$A$36,'Données projet'!$B$36,N61+M62-V61)))</f>
        <v>291.2</v>
      </c>
      <c r="O62" s="13">
        <f>N62*VLOOKUP('Données projet'!$B$9,Paramètres!$A$1:$I$89,3,0)*VLOOKUP('Données projet'!$B$9,Paramètres!$A$1:$I$89,5,0)</f>
        <v>263.47775999999999</v>
      </c>
      <c r="P62" s="13">
        <f t="shared" si="33"/>
        <v>63.46312159763346</v>
      </c>
      <c r="Q62" s="20">
        <f t="shared" si="53"/>
        <v>569.42203544921153</v>
      </c>
      <c r="R62" s="59">
        <f t="shared" si="0"/>
        <v>862.75536878254479</v>
      </c>
      <c r="S62" s="59">
        <f ca="1">AVERAGE(OFFSET($R$3,0,0,'Données projet'!$E$9+1,1))-AVERAGE(OFFSET($H$3,0,0,'Données projet'!$E$9+1,1))</f>
        <v>319.18811755575183</v>
      </c>
      <c r="T62" s="59">
        <f t="shared" si="34"/>
        <v>234.87694492493506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1.356223706067371</v>
      </c>
      <c r="AA62" s="21">
        <f>EXP(-LN(2)/25)*AA61+(1-EXP(-LN(2)/25))/(LN(2)/25)*Calculateur!V62*Calculateur!X62*VLOOKUP('Données projet'!$B$9,Paramètres!$A$1:$I$89,3,0)*0.475*44/12</f>
        <v>5.0492026695918355</v>
      </c>
      <c r="AB62" s="21">
        <f>EXP(-LN(2)/2)*AB61+(1-EXP(-LN(2)/2))/(LN(2)/2)*V62*Y62*VLOOKUP('Données projet'!$B$9,Paramètres!$A$1:$I$89,3,0)*0.475*44/12</f>
        <v>9.3020694520069456E-4</v>
      </c>
      <c r="AC62" s="22">
        <f t="shared" si="3"/>
        <v>6.4063565826044071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7.9</v>
      </c>
      <c r="AI62" s="13">
        <f>IF('Données projet'!$A$62&gt;35,AI61+AH62-AQ61,IF(A62&lt;'Données projet'!$A$62,$AF$205^A62,IF(A62='Données projet'!$A$62,'Données projet'!$B$62,AI61+AH62-AQ61)))</f>
        <v>353.0999999999998</v>
      </c>
      <c r="AJ62" s="13">
        <f>AI62*VLOOKUP('Données projet'!$B$10,Paramètres!$A$1:$I$89,3,0)*VLOOKUP('Données projet'!$B$10,Paramètres!$A$1:$I$89,5,0)</f>
        <v>280.92635999999987</v>
      </c>
      <c r="AK62" s="13">
        <f t="shared" si="35"/>
        <v>67.162737730188837</v>
      </c>
      <c r="AL62" s="20">
        <f t="shared" si="4"/>
        <v>606.25517854674536</v>
      </c>
      <c r="AM62" s="59">
        <f t="shared" si="5"/>
        <v>899.58851188007861</v>
      </c>
      <c r="AN62" s="59">
        <f ca="1">AVERAGE(OFFSET($AM$3,0,0,'Données projet'!$E$10+1,1))-AVERAGE(OFFSET($H$3,0,0,'Données projet'!$E$10+1,1))</f>
        <v>314.94704727988847</v>
      </c>
      <c r="AO62" s="59">
        <f t="shared" si="36"/>
        <v>366.49199094166454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2.2048151628910011</v>
      </c>
      <c r="AV62" s="21">
        <f>EXP(-LN(2)/25)*AV61+(1-EXP(-LN(2)/25))/(LN(2)/25)*Calculateur!AQ62*Calculateur!AS62*VLOOKUP('Données projet'!$B$10,Paramètres!$A$1:$I$89,3,0)*0.475*44/12</f>
        <v>11.369903051109436</v>
      </c>
      <c r="AW62" s="21">
        <f>EXP(-LN(2)/2)*AW61+(1-EXP(-LN(2)/2))/(LN(2)/2)*AQ62*AT62*VLOOKUP('Données projet'!$B$10,Paramètres!$A$1:$I$89,3,0)*0.475*44/12</f>
        <v>1.2459492769733085E-3</v>
      </c>
      <c r="AX62" s="21">
        <f t="shared" si="6"/>
        <v>13.57596416327741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7.9</v>
      </c>
      <c r="BD62" s="12">
        <f>IF('Données projet'!$A$88&gt;35,BD61+BC62-BL61,IF(A62&lt;'Données projet'!$A$88,$BA$205^A62,IF(A62='Données projet'!$A$88,'Données projet'!$B$88,BD61+BC62-BL61)))</f>
        <v>353.0999999999998</v>
      </c>
      <c r="BE62" s="13">
        <f>BD62*VLOOKUP('Données projet'!$B$11,Paramètres!$A$1:$I$89,3,0)*VLOOKUP('Données projet'!$B$11,Paramètres!$A$1:$I$89,5,0)</f>
        <v>231.35111999999987</v>
      </c>
      <c r="BF62" s="13">
        <f t="shared" si="37"/>
        <v>56.57472560036863</v>
      </c>
      <c r="BG62" s="20">
        <f t="shared" si="7"/>
        <v>501.47084775397519</v>
      </c>
      <c r="BH62" s="59">
        <f t="shared" si="8"/>
        <v>794.80418108730851</v>
      </c>
      <c r="BI62" s="59">
        <f ca="1">AVERAGE(OFFSET($BH$3,0,0,'Données projet'!$E$11+1,1))-AVERAGE(OFFSET($H$3,0,0,'Données projet'!$E$11+1,1))</f>
        <v>246.64951465060813</v>
      </c>
      <c r="BJ62" s="59">
        <f t="shared" si="38"/>
        <v>292.64550285216865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1.4731395427973166</v>
      </c>
      <c r="BQ62" s="21">
        <f>EXP(-LN(2)/25)*BQ61+(1-EXP(-LN(2)/25))/(LN(2)/25)*Calculateur!BL62*Calculateur!BN62*VLOOKUP('Données projet'!$B$11,Paramètres!$A$1:$I$89,3,0)*0.475*44/12</f>
        <v>7.596760973105301</v>
      </c>
      <c r="BR62" s="21">
        <f>EXP(-LN(2)/2)*BR61+(1-EXP(-LN(2)/2))/(LN(2)/2)*BL62*BO62*VLOOKUP('Données projet'!$B$11,Paramètres!$A$1:$I$89,3,0)*0.475*44/12</f>
        <v>1.0260758751544894E-3</v>
      </c>
      <c r="BS62" s="22">
        <f t="shared" si="9"/>
        <v>9.0709265917777717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7.9</v>
      </c>
      <c r="BY62" s="12">
        <f>IF('Données projet'!$A$114&gt;35,BY61+BX62-CG61,IF(A62&lt;'Données projet'!$A$114,$BV$205^A62,IF(A62='Données projet'!$A$114,'Données projet'!$B$114,BY61+BX62-CG61)))</f>
        <v>353.0999999999998</v>
      </c>
      <c r="BZ62" s="13">
        <f>BY62*VLOOKUP('Données projet'!$B$12,Paramètres!$A$1:$I$89,3,0)*VLOOKUP('Données projet'!$B$12,Paramètres!$A$1:$I$89,5,0)</f>
        <v>236.85947999999988</v>
      </c>
      <c r="CA62" s="13">
        <f t="shared" si="39"/>
        <v>57.763315186586837</v>
      </c>
      <c r="CB62" s="20">
        <f t="shared" si="10"/>
        <v>513.13470161663849</v>
      </c>
      <c r="CC62" s="59">
        <f t="shared" si="11"/>
        <v>806.46803494997175</v>
      </c>
      <c r="CD62" s="59">
        <f ca="1">AVERAGE(OFFSET($CC$3,0,0,'Données projet'!$E$12+1,1))-AVERAGE(OFFSET($H$3,0,0,'Données projet'!$E$12+1,1))</f>
        <v>254.25222107710192</v>
      </c>
      <c r="CE62" s="59">
        <f t="shared" si="40"/>
        <v>300.86609173447573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1.8589618040061375</v>
      </c>
      <c r="CL62" s="21">
        <f>EXP(-LN(2)/25)*CL61+(1-EXP(-LN(2)/25))/(LN(2)/25)*Calculateur!CG62*Calculateur!CI62*VLOOKUP('Données projet'!$B$12,Paramètres!$A$1:$I$89,3,0)*0.475*44/12</f>
        <v>9.5863888470138363</v>
      </c>
      <c r="CM62" s="21">
        <f>EXP(-LN(2)/2)*CM61+(1-EXP(-LN(2)/2))/(LN(2)/2)*CG62*CJ62*VLOOKUP('Données projet'!$B$12,Paramètres!$A$1:$I$89,3,0)*0.475*44/12</f>
        <v>1.0505062531343588E-3</v>
      </c>
      <c r="CN62" s="22">
        <f t="shared" si="12"/>
        <v>11.446401157273108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7.2</v>
      </c>
      <c r="CT62" s="12">
        <f>IF('Données projet'!$A$140&gt;35,CT61+CS62-DB61,IF(A62&lt;'Données projet'!$A$140,$CQ$205^A62,IF(A62='Données projet'!$A$140,'Données projet'!$B$140,CT61+CS62-DB61)))</f>
        <v>263.79999999999995</v>
      </c>
      <c r="CU62" s="17">
        <f>CT62*VLOOKUP('Données projet'!$B$13,Paramètres!$A$1:$I$89,3,0)*VLOOKUP('Données projet'!$B$13,Paramètres!$A$1:$I$89,5,0)</f>
        <v>230.45567999999997</v>
      </c>
      <c r="CV62" s="13">
        <f t="shared" si="41"/>
        <v>56.381198848277926</v>
      </c>
      <c r="CW62" s="20">
        <f t="shared" si="13"/>
        <v>499.57423066075063</v>
      </c>
      <c r="CX62" s="59">
        <f t="shared" si="14"/>
        <v>792.90756399408394</v>
      </c>
      <c r="CY62" s="59">
        <f ca="1">AVERAGE(OFFSET($CX$3,0,0,'Données projet'!$E$13+1,1))-AVERAGE(OFFSET($H$3,0,0,'Données projet'!$E$13+1,1))</f>
        <v>243.38048563215585</v>
      </c>
      <c r="CZ62" s="59">
        <f t="shared" si="42"/>
        <v>372.1604147006675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4.1154374528940911</v>
      </c>
      <c r="DG62" s="21">
        <f>EXP(-LN(2)/25)*DG61+(1-EXP(-LN(2)/25))/(LN(2)/25)*Calculateur!DB62*Calculateur!DD62*VLOOKUP('Données projet'!$B$13,Paramètres!$A$1:$I$89,3,0)*0.475*44/12</f>
        <v>8.6649294861678534</v>
      </c>
      <c r="DH62" s="21">
        <f>EXP(-LN(2)/2)*DH61+(1-EXP(-LN(2)/2))/(LN(2)/2)*DB62*DE62*VLOOKUP('Données projet'!$B$13,Paramètres!$A$1:$I$89,3,0)*0.475*44/12</f>
        <v>1.2651850773741698E-3</v>
      </c>
      <c r="DI62" s="22">
        <f t="shared" si="15"/>
        <v>12.781632124139319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15</v>
      </c>
      <c r="DO62" s="12">
        <f>IF('Données projet'!$A$166&gt;35,DO61+DN62-DW61,IF(A62&lt;'Données projet'!$A$166,$DL$205^A62,IF(A62='Données projet'!$A$166,'Données projet'!$B$166,DO61+DN62-DW61)))</f>
        <v>426.99999999999994</v>
      </c>
      <c r="DP62" s="17">
        <f>DO62*VLOOKUP('Données projet'!$B$14,Paramètres!$A$1:$I$89,3,0)*VLOOKUP('Données projet'!$B$14,Paramètres!$A$1:$I$89,5,0)</f>
        <v>244.24399999999997</v>
      </c>
      <c r="DQ62" s="13">
        <f t="shared" si="43"/>
        <v>59.351714130365565</v>
      </c>
      <c r="DR62" s="20">
        <f t="shared" si="16"/>
        <v>528.76253544371991</v>
      </c>
      <c r="DS62" s="59">
        <f t="shared" si="17"/>
        <v>822.09586877705328</v>
      </c>
      <c r="DT62" s="59">
        <f ca="1">AVERAGE(OFFSET($DS$3,0,0,'Données projet'!$E$14+1,1))-AVERAGE(OFFSET($H$3,0,0,'Données projet'!$E$14+1,1))</f>
        <v>227.99747790451215</v>
      </c>
      <c r="DU62" s="59">
        <f t="shared" si="44"/>
        <v>209.49597700966933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1.6150699306415766</v>
      </c>
      <c r="EB62" s="21">
        <f>EXP(-LN(2)/25)*EB61+(1-EXP(-LN(2)/25))/(LN(2)/25)*Calculateur!DW62*Calculateur!DY62*VLOOKUP('Données projet'!$B$14,Paramètres!$A$1:$I$89,3,0)*0.475*44/12</f>
        <v>6.7914946662332323</v>
      </c>
      <c r="EC62" s="21">
        <f>EXP(-LN(2)/2)*EC61+(1-EXP(-LN(2)/2))/(LN(2)/2)*DW62*DZ62*VLOOKUP('Données projet'!$B$14,Paramètres!$A$1:$I$89,3,0)*0.475*44/12</f>
        <v>1.0644072557321623E-3</v>
      </c>
      <c r="ED62" s="22">
        <f t="shared" si="18"/>
        <v>8.4076290041305413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19.600000000000001</v>
      </c>
      <c r="EJ62" s="12">
        <f>IF('Données projet'!$A$192&gt;35,EJ61+EI62-ER61,IF(A62&lt;'Données projet'!$A$192,$EG$205^A62,IF(A62='Données projet'!$A$192,'Données projet'!$B$192,EJ61+EI62-ER61)))</f>
        <v>735.40000000000009</v>
      </c>
      <c r="EK62" s="17">
        <f>EJ62*VLOOKUP('Données projet'!$B$15,Paramètres!$A$1:$I$89,3,0)*VLOOKUP('Données projet'!$B$15,Paramètres!$A$1:$I$89,5,0)</f>
        <v>325.04680000000008</v>
      </c>
      <c r="EL62" s="13">
        <f t="shared" si="45"/>
        <v>76.402480303138319</v>
      </c>
      <c r="EM62" s="20">
        <f t="shared" si="19"/>
        <v>699.19082986129933</v>
      </c>
      <c r="EN62" s="59">
        <f t="shared" si="20"/>
        <v>992.52416319463259</v>
      </c>
      <c r="EO62" s="59">
        <f ca="1">AVERAGE(OFFSET($EN$3,0,0,'Données projet'!$E$15+1,1))-AVERAGE(OFFSET($H$3,0,0,'Données projet'!$E$15+1,1))</f>
        <v>335.27356627949155</v>
      </c>
      <c r="EP62" s="59">
        <f t="shared" si="46"/>
        <v>322.66829503077247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12.513620341448291</v>
      </c>
      <c r="EX62" s="21">
        <f>EXP(-LN(2)/2)*EX61+(1-EXP(-LN(2)/2))/(LN(2)/2)*ER62*EU62*VLOOKUP('Données projet'!$B$15,Paramètres!$A$1:$I$89,3,0)*0.475*44/12</f>
        <v>1.5270789159541611E-3</v>
      </c>
      <c r="EY62" s="22">
        <f t="shared" si="21"/>
        <v>12.515147420364245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301</v>
      </c>
      <c r="L63" s="12">
        <f>VLOOKUP(A63,'Données projet'!$A$35:$I$55,9,0)</f>
        <v>9.8000000000000007</v>
      </c>
      <c r="M63" s="12">
        <f t="array" ref="M63">INDEX(L:L,MIN(IF(ISNUMBER(L63:L259),ROW(L63:L259),"")))</f>
        <v>9.8000000000000007</v>
      </c>
      <c r="N63" s="13">
        <f>IF('Données projet'!$A$36&gt;35,N62+M63-V62,IF(A63&lt;'Données projet'!$A$36,$K$205^A63,IF(A63='Données projet'!$A$36,'Données projet'!$B$36,N62+M63-V62)))</f>
        <v>301</v>
      </c>
      <c r="O63" s="13">
        <f>N63*VLOOKUP('Données projet'!$B$9,Paramètres!$A$1:$I$89,3,0)*VLOOKUP('Données projet'!$B$9,Paramètres!$A$1:$I$89,5,0)</f>
        <v>272.34479999999996</v>
      </c>
      <c r="P63" s="13">
        <f t="shared" si="33"/>
        <v>65.346644318451652</v>
      </c>
      <c r="Q63" s="20">
        <f t="shared" si="53"/>
        <v>588.14593218796983</v>
      </c>
      <c r="R63" s="59">
        <f t="shared" si="0"/>
        <v>881.4792655213032</v>
      </c>
      <c r="S63" s="59">
        <f ca="1">AVERAGE(OFFSET($R$3,0,0,'Données projet'!$E$9+1,1))-AVERAGE(OFFSET($H$3,0,0,'Données projet'!$E$9+1,1))</f>
        <v>319.18811755575183</v>
      </c>
      <c r="T63" s="59">
        <f t="shared" si="34"/>
        <v>234.87694492493506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56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1.3296289864061699</v>
      </c>
      <c r="AA63" s="21">
        <f>EXP(-LN(2)/25)*AA62+(1-EXP(-LN(2)/25))/(LN(2)/25)*Calculateur!V63*Calculateur!X63*VLOOKUP('Données projet'!$B$9,Paramètres!$A$1:$I$89,3,0)*0.475*44/12</f>
        <v>4.9111319570658187</v>
      </c>
      <c r="AB63" s="21">
        <f>EXP(-LN(2)/2)*AB62+(1-EXP(-LN(2)/2))/(LN(2)/2)*V63*Y63*VLOOKUP('Données projet'!$B$9,Paramètres!$A$1:$I$89,3,0)*0.475*44/12</f>
        <v>6.5775563885823443E-4</v>
      </c>
      <c r="AC63" s="22">
        <f t="shared" si="3"/>
        <v>6.2414186991108469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361</v>
      </c>
      <c r="AG63" s="12">
        <f>VLOOKUP(A63,'Données projet'!$A$61:$I$81,9,0)</f>
        <v>7.9</v>
      </c>
      <c r="AH63" s="12">
        <f t="array" ref="AH63">INDEX(AG:AG,MIN(IF(ISNUMBER(AG63:AG259),ROW(AG63:AG259),"")))</f>
        <v>7.9</v>
      </c>
      <c r="AI63" s="13">
        <f>IF('Données projet'!$A$62&gt;35,AI62+AH63-AQ62,IF(A63&lt;'Données projet'!$A$62,$AF$205^A63,IF(A63='Données projet'!$A$62,'Données projet'!$B$62,AI62+AH63-AQ62)))</f>
        <v>360.99999999999977</v>
      </c>
      <c r="AJ63" s="13">
        <f>AI63*VLOOKUP('Données projet'!$B$10,Paramètres!$A$1:$I$89,3,0)*VLOOKUP('Données projet'!$B$10,Paramètres!$A$1:$I$89,5,0)</f>
        <v>287.21159999999986</v>
      </c>
      <c r="AK63" s="13">
        <f t="shared" si="35"/>
        <v>68.488764395100958</v>
      </c>
      <c r="AL63" s="20">
        <f t="shared" si="4"/>
        <v>619.51146798813386</v>
      </c>
      <c r="AM63" s="59">
        <f t="shared" si="5"/>
        <v>912.84480132146723</v>
      </c>
      <c r="AN63" s="59">
        <f ca="1">AVERAGE(OFFSET($AM$3,0,0,'Données projet'!$E$10+1,1))-AVERAGE(OFFSET($H$3,0,0,'Données projet'!$E$10+1,1))</f>
        <v>314.94704727988847</v>
      </c>
      <c r="AO63" s="59">
        <f t="shared" si="36"/>
        <v>366.49199094166454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35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2.1615800823511697</v>
      </c>
      <c r="AV63" s="21">
        <f>EXP(-LN(2)/25)*AV62+(1-EXP(-LN(2)/25))/(LN(2)/25)*Calculateur!AQ63*Calculateur!AS63*VLOOKUP('Données projet'!$B$10,Paramètres!$A$1:$I$89,3,0)*0.475*44/12</f>
        <v>11.058992454259633</v>
      </c>
      <c r="AW63" s="21">
        <f>EXP(-LN(2)/2)*AW62+(1-EXP(-LN(2)/2))/(LN(2)/2)*AQ63*AT63*VLOOKUP('Données projet'!$B$10,Paramètres!$A$1:$I$89,3,0)*0.475*44/12</f>
        <v>8.8101918276230239E-4</v>
      </c>
      <c r="AX63" s="21">
        <f t="shared" si="6"/>
        <v>13.221453555793564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361</v>
      </c>
      <c r="BB63" s="12">
        <f>VLOOKUP(A63,'Données projet'!$A$87:$I$107,9,0)</f>
        <v>7.9</v>
      </c>
      <c r="BC63" s="12">
        <f t="array" ref="BC63">INDEX(BB:BB,MIN(IF(ISNUMBER(BB63:BB259),ROW(BB63:BB259),"")))</f>
        <v>7.9</v>
      </c>
      <c r="BD63" s="12">
        <f>IF('Données projet'!$A$88&gt;35,BD62+BC63-BL62,IF(A63&lt;'Données projet'!$A$88,$BA$205^A63,IF(A63='Données projet'!$A$88,'Données projet'!$B$88,BD62+BC63-BL62)))</f>
        <v>360.99999999999977</v>
      </c>
      <c r="BE63" s="13">
        <f>BD63*VLOOKUP('Données projet'!$B$11,Paramètres!$A$1:$I$89,3,0)*VLOOKUP('Données projet'!$B$11,Paramètres!$A$1:$I$89,5,0)</f>
        <v>236.52719999999985</v>
      </c>
      <c r="BF63" s="13">
        <f t="shared" si="37"/>
        <v>57.691707981395879</v>
      </c>
      <c r="BG63" s="20">
        <f t="shared" si="7"/>
        <v>512.43126473426423</v>
      </c>
      <c r="BH63" s="59">
        <f t="shared" si="8"/>
        <v>805.76459806759749</v>
      </c>
      <c r="BI63" s="59">
        <f ca="1">AVERAGE(OFFSET($BH$3,0,0,'Données projet'!$E$11+1,1))-AVERAGE(OFFSET($H$3,0,0,'Données projet'!$E$11+1,1))</f>
        <v>246.64951465060813</v>
      </c>
      <c r="BJ63" s="59">
        <f t="shared" si="38"/>
        <v>292.64550285216865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35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1.4442521748894603</v>
      </c>
      <c r="BQ63" s="21">
        <f>EXP(-LN(2)/25)*BQ62+(1-EXP(-LN(2)/25))/(LN(2)/25)*Calculateur!BL63*Calculateur!BN63*VLOOKUP('Données projet'!$B$11,Paramètres!$A$1:$I$89,3,0)*0.475*44/12</f>
        <v>7.3890271447994396</v>
      </c>
      <c r="BR63" s="21">
        <f>EXP(-LN(2)/2)*BR62+(1-EXP(-LN(2)/2))/(LN(2)/2)*BL63*BO63*VLOOKUP('Données projet'!$B$11,Paramètres!$A$1:$I$89,3,0)*0.475*44/12</f>
        <v>7.2554520933366083E-4</v>
      </c>
      <c r="BS63" s="22">
        <f t="shared" si="9"/>
        <v>8.8340048648982332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361</v>
      </c>
      <c r="BW63" s="12">
        <f>VLOOKUP(A63,'Données projet'!$A$113:$I$133,9,0)</f>
        <v>7.9</v>
      </c>
      <c r="BX63" s="12">
        <f t="array" ref="BX63">INDEX(BW:BW,MIN(IF(ISNUMBER(BW63:BW259),ROW(BW63:BW259),"")))</f>
        <v>7.9</v>
      </c>
      <c r="BY63" s="12">
        <f>IF('Données projet'!$A$114&gt;35,BY62+BX63-CG62,IF(A63&lt;'Données projet'!$A$114,$BV$205^A63,IF(A63='Données projet'!$A$114,'Données projet'!$B$114,BY62+BX63-CG62)))</f>
        <v>360.99999999999977</v>
      </c>
      <c r="BZ63" s="13">
        <f>BY63*VLOOKUP('Données projet'!$B$12,Paramètres!$A$1:$I$89,3,0)*VLOOKUP('Données projet'!$B$12,Paramètres!$A$1:$I$89,5,0)</f>
        <v>242.15879999999987</v>
      </c>
      <c r="CA63" s="13">
        <f t="shared" si="39"/>
        <v>58.903764471111892</v>
      </c>
      <c r="CB63" s="20">
        <f t="shared" si="10"/>
        <v>524.35063312051977</v>
      </c>
      <c r="CC63" s="59">
        <f t="shared" si="11"/>
        <v>817.68396645385315</v>
      </c>
      <c r="CD63" s="59">
        <f ca="1">AVERAGE(OFFSET($CC$3,0,0,'Données projet'!$E$12+1,1))-AVERAGE(OFFSET($H$3,0,0,'Données projet'!$E$12+1,1))</f>
        <v>254.25222107710192</v>
      </c>
      <c r="CE63" s="59">
        <f t="shared" si="40"/>
        <v>300.86609173447573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35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1.8225086968843187</v>
      </c>
      <c r="CL63" s="21">
        <f>EXP(-LN(2)/25)*CL62+(1-EXP(-LN(2)/25))/(LN(2)/25)*Calculateur!CG63*Calculateur!CI63*VLOOKUP('Données projet'!$B$12,Paramètres!$A$1:$I$89,3,0)*0.475*44/12</f>
        <v>9.3242485398659642</v>
      </c>
      <c r="CM63" s="21">
        <f>EXP(-LN(2)/2)*CM62+(1-EXP(-LN(2)/2))/(LN(2)/2)*CG63*CJ63*VLOOKUP('Données projet'!$B$12,Paramètres!$A$1:$I$89,3,0)*0.475*44/12</f>
        <v>7.4282009527017699E-4</v>
      </c>
      <c r="CN63" s="22">
        <f t="shared" si="12"/>
        <v>11.147500056845553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271</v>
      </c>
      <c r="CR63" s="12">
        <f>VLOOKUP(A63,'Données projet'!$A$139:$I$159,9,0)</f>
        <v>7.2</v>
      </c>
      <c r="CS63" s="12">
        <f t="array" ref="CS63">INDEX(CR:CR,MIN(IF(ISNUMBER(CR63:CR259),ROW(CR63:CR259),"")))</f>
        <v>7.2</v>
      </c>
      <c r="CT63" s="12">
        <f>IF('Données projet'!$A$140&gt;35,CT62+CS63-DB62,IF(A63&lt;'Données projet'!$A$140,$CQ$205^A63,IF(A63='Données projet'!$A$140,'Données projet'!$B$140,CT62+CS63-DB62)))</f>
        <v>270.99999999999994</v>
      </c>
      <c r="CU63" s="17">
        <f>CT63*VLOOKUP('Données projet'!$B$13,Paramètres!$A$1:$I$89,3,0)*VLOOKUP('Données projet'!$B$13,Paramètres!$A$1:$I$89,5,0)</f>
        <v>236.7456</v>
      </c>
      <c r="CV63" s="13">
        <f t="shared" si="41"/>
        <v>57.738775067879409</v>
      </c>
      <c r="CW63" s="20">
        <f t="shared" si="13"/>
        <v>512.89361990988994</v>
      </c>
      <c r="CX63" s="59">
        <f t="shared" si="14"/>
        <v>806.22695324322331</v>
      </c>
      <c r="CY63" s="59">
        <f ca="1">AVERAGE(OFFSET($CX$3,0,0,'Données projet'!$E$13+1,1))-AVERAGE(OFFSET($H$3,0,0,'Données projet'!$E$13+1,1))</f>
        <v>243.38048563215585</v>
      </c>
      <c r="CZ63" s="59">
        <f t="shared" si="42"/>
        <v>372.1604147006675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55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4.0347362346118256</v>
      </c>
      <c r="DG63" s="21">
        <f>EXP(-LN(2)/25)*DG62+(1-EXP(-LN(2)/25))/(LN(2)/25)*Calculateur!DB63*Calculateur!DD63*VLOOKUP('Données projet'!$B$13,Paramètres!$A$1:$I$89,3,0)*0.475*44/12</f>
        <v>8.4279865336997553</v>
      </c>
      <c r="DH63" s="21">
        <f>EXP(-LN(2)/2)*DH62+(1-EXP(-LN(2)/2))/(LN(2)/2)*DB63*DE63*VLOOKUP('Données projet'!$B$13,Paramètres!$A$1:$I$89,3,0)*0.475*44/12</f>
        <v>8.9462094766730232E-4</v>
      </c>
      <c r="DI63" s="22">
        <f t="shared" si="15"/>
        <v>12.463617389259248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442</v>
      </c>
      <c r="DM63" s="12">
        <f>VLOOKUP(A63,'Données projet'!$A$165:$I$185,9,0)</f>
        <v>15</v>
      </c>
      <c r="DN63" s="12">
        <f t="array" ref="DN63">INDEX(DM:DM,MIN(IF(ISNUMBER(DM63:DM259),ROW(DM63:DM259),"")))</f>
        <v>15</v>
      </c>
      <c r="DO63" s="12">
        <f>IF('Données projet'!$A$166&gt;35,DO62+DN63-DW62,IF(A63&lt;'Données projet'!$A$166,$DL$205^A63,IF(A63='Données projet'!$A$166,'Données projet'!$B$166,DO62+DN63-DW62)))</f>
        <v>441.99999999999994</v>
      </c>
      <c r="DP63" s="17">
        <f>DO63*VLOOKUP('Données projet'!$B$14,Paramètres!$A$1:$I$89,3,0)*VLOOKUP('Données projet'!$B$14,Paramètres!$A$1:$I$89,5,0)</f>
        <v>252.82399999999998</v>
      </c>
      <c r="DQ63" s="13">
        <f t="shared" si="43"/>
        <v>61.190262053098571</v>
      </c>
      <c r="DR63" s="20">
        <f t="shared" si="16"/>
        <v>546.90817307581324</v>
      </c>
      <c r="DS63" s="59">
        <f t="shared" si="17"/>
        <v>840.2415064091465</v>
      </c>
      <c r="DT63" s="59">
        <f ca="1">AVERAGE(OFFSET($DS$3,0,0,'Données projet'!$E$14+1,1))-AVERAGE(OFFSET($H$3,0,0,'Données projet'!$E$14+1,1))</f>
        <v>227.99747790451215</v>
      </c>
      <c r="DU63" s="59">
        <f t="shared" si="44"/>
        <v>209.49597700966933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82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1.5833993943970828</v>
      </c>
      <c r="EB63" s="21">
        <f>EXP(-LN(2)/25)*EB62+(1-EXP(-LN(2)/25))/(LN(2)/25)*Calculateur!DW63*Calculateur!DY63*VLOOKUP('Données projet'!$B$14,Paramètres!$A$1:$I$89,3,0)*0.475*44/12</f>
        <v>6.6057808874359019</v>
      </c>
      <c r="EC63" s="21">
        <f>EXP(-LN(2)/2)*EC62+(1-EXP(-LN(2)/2))/(LN(2)/2)*DW63*DZ63*VLOOKUP('Données projet'!$B$14,Paramètres!$A$1:$I$89,3,0)*0.475*44/12</f>
        <v>7.5264958847237563E-4</v>
      </c>
      <c r="ED63" s="22">
        <f t="shared" si="18"/>
        <v>8.1899329314214562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755</v>
      </c>
      <c r="EH63" s="12">
        <f>VLOOKUP(A63,'Données projet'!$A$191:$I$211,9,0)</f>
        <v>19.600000000000001</v>
      </c>
      <c r="EI63" s="12">
        <f t="array" ref="EI63">INDEX(EH:EH,MIN(IF(ISNUMBER(EH63:EH259),ROW(EH63:EH259),"")))</f>
        <v>19.600000000000001</v>
      </c>
      <c r="EJ63" s="12">
        <f>IF('Données projet'!$A$192&gt;35,EJ62+EI63-ER62,IF(A63&lt;'Données projet'!$A$192,$EG$205^A63,IF(A63='Données projet'!$A$192,'Données projet'!$B$192,EJ62+EI63-ER62)))</f>
        <v>755.00000000000011</v>
      </c>
      <c r="EK63" s="17">
        <f>EJ63*VLOOKUP('Données projet'!$B$15,Paramètres!$A$1:$I$89,3,0)*VLOOKUP('Données projet'!$B$15,Paramètres!$A$1:$I$89,5,0)</f>
        <v>333.71000000000009</v>
      </c>
      <c r="EL63" s="13">
        <f t="shared" si="45"/>
        <v>78.198983639672946</v>
      </c>
      <c r="EM63" s="20">
        <f t="shared" si="19"/>
        <v>717.40814650576385</v>
      </c>
      <c r="EN63" s="59">
        <f t="shared" si="20"/>
        <v>1010.7414798390971</v>
      </c>
      <c r="EO63" s="59">
        <f ca="1">AVERAGE(OFFSET($EN$3,0,0,'Données projet'!$E$15+1,1))-AVERAGE(OFFSET($H$3,0,0,'Données projet'!$E$15+1,1))</f>
        <v>335.27356627949155</v>
      </c>
      <c r="EP63" s="59">
        <f t="shared" si="46"/>
        <v>322.66829503077247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83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12.171434735148694</v>
      </c>
      <c r="EX63" s="21">
        <f>EXP(-LN(2)/2)*EX62+(1-EXP(-LN(2)/2))/(LN(2)/2)*ER63*EU63*VLOOKUP('Données projet'!$B$15,Paramètres!$A$1:$I$89,3,0)*0.475*44/12</f>
        <v>1.0798078568781892E-3</v>
      </c>
      <c r="EY63" s="22">
        <f t="shared" si="21"/>
        <v>12.172514543005573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8.5</v>
      </c>
      <c r="N64" s="13">
        <f>IF('Données projet'!$A$36&gt;35,N63+M64-V63,IF(A64&lt;'Données projet'!$A$36,$K$205^A64,IF(A64='Données projet'!$A$36,'Données projet'!$B$36,N63+M64-V63)))</f>
        <v>253.5</v>
      </c>
      <c r="O64" s="13">
        <f>N64*VLOOKUP('Données projet'!$B$9,Paramètres!$A$1:$I$89,3,0)*VLOOKUP('Données projet'!$B$9,Paramètres!$A$1:$I$89,5,0)</f>
        <v>229.36680000000001</v>
      </c>
      <c r="P64" s="13">
        <f t="shared" si="33"/>
        <v>56.14574692729505</v>
      </c>
      <c r="Q64" s="20">
        <f t="shared" si="53"/>
        <v>497.26768589837212</v>
      </c>
      <c r="R64" s="59">
        <f t="shared" si="0"/>
        <v>790.60101923170544</v>
      </c>
      <c r="S64" s="59">
        <f ca="1">AVERAGE(OFFSET($R$3,0,0,'Données projet'!$E$9+1,1))-AVERAGE(OFFSET($H$3,0,0,'Données projet'!$E$9+1,1))</f>
        <v>319.18811755575183</v>
      </c>
      <c r="T64" s="59">
        <f t="shared" si="34"/>
        <v>234.87694492493506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1.3035557729763476</v>
      </c>
      <c r="AA64" s="21">
        <f>EXP(-LN(2)/25)*AA63+(1-EXP(-LN(2)/25))/(LN(2)/25)*Calculateur!V64*Calculateur!X64*VLOOKUP('Données projet'!$B$9,Paramètres!$A$1:$I$89,3,0)*0.475*44/12</f>
        <v>4.7768367954346491</v>
      </c>
      <c r="AB64" s="21">
        <f>EXP(-LN(2)/2)*AB63+(1-EXP(-LN(2)/2))/(LN(2)/2)*V64*Y64*VLOOKUP('Données projet'!$B$9,Paramètres!$A$1:$I$89,3,0)*0.475*44/12</f>
        <v>4.6510347260034739E-4</v>
      </c>
      <c r="AC64" s="22">
        <f t="shared" si="3"/>
        <v>6.0808576718835967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5.6</v>
      </c>
      <c r="AI64" s="13">
        <f>IF('Données projet'!$A$62&gt;35,AI63+AH64-AQ63,IF(A64&lt;'Données projet'!$A$62,$AF$205^A64,IF(A64='Données projet'!$A$62,'Données projet'!$B$62,AI63+AH64-AQ63)))</f>
        <v>331.5999999999998</v>
      </c>
      <c r="AJ64" s="13">
        <f>AI64*VLOOKUP('Données projet'!$B$10,Paramètres!$A$1:$I$89,3,0)*VLOOKUP('Données projet'!$B$10,Paramètres!$A$1:$I$89,5,0)</f>
        <v>263.82095999999984</v>
      </c>
      <c r="AK64" s="13">
        <f t="shared" si="35"/>
        <v>63.536159374372303</v>
      </c>
      <c r="AL64" s="20">
        <f t="shared" si="4"/>
        <v>570.14698291036473</v>
      </c>
      <c r="AM64" s="59">
        <f t="shared" si="5"/>
        <v>863.4803162436981</v>
      </c>
      <c r="AN64" s="59">
        <f ca="1">AVERAGE(OFFSET($AM$3,0,0,'Données projet'!$E$10+1,1))-AVERAGE(OFFSET($H$3,0,0,'Données projet'!$E$10+1,1))</f>
        <v>314.94704727988847</v>
      </c>
      <c r="AO64" s="59">
        <f t="shared" si="36"/>
        <v>366.49199094166454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2.1191928153699289</v>
      </c>
      <c r="AV64" s="21">
        <f>EXP(-LN(2)/25)*AV63+(1-EXP(-LN(2)/25))/(LN(2)/25)*Calculateur!AQ64*Calculateur!AS64*VLOOKUP('Données projet'!$B$10,Paramètres!$A$1:$I$89,3,0)*0.475*44/12</f>
        <v>10.756583724030765</v>
      </c>
      <c r="AW64" s="21">
        <f>EXP(-LN(2)/2)*AW63+(1-EXP(-LN(2)/2))/(LN(2)/2)*AQ64*AT64*VLOOKUP('Données projet'!$B$10,Paramètres!$A$1:$I$89,3,0)*0.475*44/12</f>
        <v>6.2297463848665427E-4</v>
      </c>
      <c r="AX64" s="21">
        <f t="shared" si="6"/>
        <v>12.87639951403918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5.6</v>
      </c>
      <c r="BD64" s="12">
        <f>IF('Données projet'!$A$88&gt;35,BD63+BC64-BL63,IF(A64&lt;'Données projet'!$A$88,$BA$205^A64,IF(A64='Données projet'!$A$88,'Données projet'!$B$88,BD63+BC64-BL63)))</f>
        <v>331.5999999999998</v>
      </c>
      <c r="BE64" s="13">
        <f>BD64*VLOOKUP('Données projet'!$B$11,Paramètres!$A$1:$I$89,3,0)*VLOOKUP('Données projet'!$B$11,Paramètres!$A$1:$I$89,5,0)</f>
        <v>217.26431999999986</v>
      </c>
      <c r="BF64" s="13">
        <f t="shared" si="37"/>
        <v>53.51986687538939</v>
      </c>
      <c r="BG64" s="20">
        <f t="shared" si="7"/>
        <v>471.61579214130296</v>
      </c>
      <c r="BH64" s="59">
        <f t="shared" si="8"/>
        <v>764.94912547463628</v>
      </c>
      <c r="BI64" s="59">
        <f ca="1">AVERAGE(OFFSET($BH$3,0,0,'Données projet'!$E$11+1,1))-AVERAGE(OFFSET($H$3,0,0,'Données projet'!$E$11+1,1))</f>
        <v>246.64951465060813</v>
      </c>
      <c r="BJ64" s="59">
        <f t="shared" si="38"/>
        <v>292.64550285216865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1.4159312706467224</v>
      </c>
      <c r="BQ64" s="21">
        <f>EXP(-LN(2)/25)*BQ63+(1-EXP(-LN(2)/25))/(LN(2)/25)*Calculateur!BL64*Calculateur!BN64*VLOOKUP('Données projet'!$B$11,Paramètres!$A$1:$I$89,3,0)*0.475*44/12</f>
        <v>7.1869738089528488</v>
      </c>
      <c r="BR64" s="21">
        <f>EXP(-LN(2)/2)*BR63+(1-EXP(-LN(2)/2))/(LN(2)/2)*BL64*BO64*VLOOKUP('Données projet'!$B$11,Paramètres!$A$1:$I$89,3,0)*0.475*44/12</f>
        <v>5.1303793757724472E-4</v>
      </c>
      <c r="BS64" s="22">
        <f t="shared" si="9"/>
        <v>8.6034181175371476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5.6</v>
      </c>
      <c r="BY64" s="12">
        <f>IF('Données projet'!$A$114&gt;35,BY63+BX64-CG63,IF(A64&lt;'Données projet'!$A$114,$BV$205^A64,IF(A64='Données projet'!$A$114,'Données projet'!$B$114,BY63+BX64-CG63)))</f>
        <v>331.5999999999998</v>
      </c>
      <c r="BZ64" s="13">
        <f>BY64*VLOOKUP('Données projet'!$B$12,Paramètres!$A$1:$I$89,3,0)*VLOOKUP('Données projet'!$B$12,Paramètres!$A$1:$I$89,5,0)</f>
        <v>222.43727999999987</v>
      </c>
      <c r="CA64" s="13">
        <f t="shared" si="39"/>
        <v>54.644276331181047</v>
      </c>
      <c r="CB64" s="20">
        <f t="shared" si="10"/>
        <v>482.58371061014009</v>
      </c>
      <c r="CC64" s="59">
        <f t="shared" si="11"/>
        <v>775.91704394347335</v>
      </c>
      <c r="CD64" s="59">
        <f ca="1">AVERAGE(OFFSET($CC$3,0,0,'Données projet'!$E$12+1,1))-AVERAGE(OFFSET($H$3,0,0,'Données projet'!$E$12+1,1))</f>
        <v>254.25222107710192</v>
      </c>
      <c r="CE64" s="59">
        <f t="shared" si="40"/>
        <v>300.86609173447573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1.786770412958959</v>
      </c>
      <c r="CL64" s="21">
        <f>EXP(-LN(2)/25)*CL63+(1-EXP(-LN(2)/25))/(LN(2)/25)*Calculateur!CG64*Calculateur!CI64*VLOOKUP('Données projet'!$B$12,Paramètres!$A$1:$I$89,3,0)*0.475*44/12</f>
        <v>9.0692764732024092</v>
      </c>
      <c r="CM64" s="21">
        <f>EXP(-LN(2)/2)*CM63+(1-EXP(-LN(2)/2))/(LN(2)/2)*CG64*CJ64*VLOOKUP('Données projet'!$B$12,Paramètres!$A$1:$I$89,3,0)*0.475*44/12</f>
        <v>5.2525312656717942E-4</v>
      </c>
      <c r="CN64" s="22">
        <f t="shared" si="12"/>
        <v>10.856572139287934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5.6</v>
      </c>
      <c r="CT64" s="12">
        <f>IF('Données projet'!$A$140&gt;35,CT63+CS64-DB63,IF(A64&lt;'Données projet'!$A$140,$CQ$205^A64,IF(A64='Données projet'!$A$140,'Données projet'!$B$140,CT63+CS64-DB63)))</f>
        <v>221.59999999999997</v>
      </c>
      <c r="CU64" s="17">
        <f>CT64*VLOOKUP('Données projet'!$B$13,Paramètres!$A$1:$I$89,3,0)*VLOOKUP('Données projet'!$B$13,Paramètres!$A$1:$I$89,5,0)</f>
        <v>193.58975999999998</v>
      </c>
      <c r="CV64" s="13">
        <f t="shared" si="41"/>
        <v>48.332731202087039</v>
      </c>
      <c r="CW64" s="20">
        <f t="shared" si="13"/>
        <v>421.34833884363485</v>
      </c>
      <c r="CX64" s="59">
        <f t="shared" si="14"/>
        <v>714.68167217696816</v>
      </c>
      <c r="CY64" s="59">
        <f ca="1">AVERAGE(OFFSET($CX$3,0,0,'Données projet'!$E$13+1,1))-AVERAGE(OFFSET($H$3,0,0,'Données projet'!$E$13+1,1))</f>
        <v>243.38048563215585</v>
      </c>
      <c r="CZ64" s="59">
        <f t="shared" si="42"/>
        <v>372.1604147006675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3.9556175179971924</v>
      </c>
      <c r="DG64" s="21">
        <f>EXP(-LN(2)/25)*DG63+(1-EXP(-LN(2)/25))/(LN(2)/25)*Calculateur!DB64*Calculateur!DD64*VLOOKUP('Données projet'!$B$13,Paramètres!$A$1:$I$89,3,0)*0.475*44/12</f>
        <v>8.1975227987271868</v>
      </c>
      <c r="DH64" s="21">
        <f>EXP(-LN(2)/2)*DH63+(1-EXP(-LN(2)/2))/(LN(2)/2)*DB64*DE64*VLOOKUP('Données projet'!$B$13,Paramètres!$A$1:$I$89,3,0)*0.475*44/12</f>
        <v>6.3259253868708492E-4</v>
      </c>
      <c r="DI64" s="22">
        <f t="shared" si="15"/>
        <v>12.153772909263067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12.8</v>
      </c>
      <c r="DO64" s="12">
        <f>IF('Données projet'!$A$166&gt;35,DO63+DN64-DW63,IF(A64&lt;'Données projet'!$A$166,$DL$205^A64,IF(A64='Données projet'!$A$166,'Données projet'!$B$166,DO63+DN64-DW63)))</f>
        <v>372.79999999999995</v>
      </c>
      <c r="DP64" s="17">
        <f>DO64*VLOOKUP('Données projet'!$B$14,Paramètres!$A$1:$I$89,3,0)*VLOOKUP('Données projet'!$B$14,Paramètres!$A$1:$I$89,5,0)</f>
        <v>213.24159999999998</v>
      </c>
      <c r="DQ64" s="13">
        <f t="shared" si="43"/>
        <v>52.643324090897032</v>
      </c>
      <c r="DR64" s="20">
        <f t="shared" si="16"/>
        <v>463.08290945831232</v>
      </c>
      <c r="DS64" s="59">
        <f t="shared" si="17"/>
        <v>756.41624279164557</v>
      </c>
      <c r="DT64" s="59">
        <f ca="1">AVERAGE(OFFSET($DS$3,0,0,'Données projet'!$E$14+1,1))-AVERAGE(OFFSET($H$3,0,0,'Données projet'!$E$14+1,1))</f>
        <v>227.99747790451215</v>
      </c>
      <c r="DU64" s="59">
        <f t="shared" si="44"/>
        <v>209.49597700966933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1.5523498980512238</v>
      </c>
      <c r="EB64" s="21">
        <f>EXP(-LN(2)/25)*EB63+(1-EXP(-LN(2)/25))/(LN(2)/25)*Calculateur!DW64*Calculateur!DY64*VLOOKUP('Données projet'!$B$14,Paramètres!$A$1:$I$89,3,0)*0.475*44/12</f>
        <v>6.4251454616860482</v>
      </c>
      <c r="EC64" s="21">
        <f>EXP(-LN(2)/2)*EC63+(1-EXP(-LN(2)/2))/(LN(2)/2)*DW64*DZ64*VLOOKUP('Données projet'!$B$14,Paramètres!$A$1:$I$89,3,0)*0.475*44/12</f>
        <v>5.3220362786608115E-4</v>
      </c>
      <c r="ED64" s="22">
        <f t="shared" si="18"/>
        <v>7.9780275633651385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13.7</v>
      </c>
      <c r="EJ64" s="12">
        <f>IF('Données projet'!$A$192&gt;35,EJ63+EI64-ER63,IF(A64&lt;'Données projet'!$A$192,$EG$205^A64,IF(A64='Données projet'!$A$192,'Données projet'!$B$192,EJ63+EI64-ER63)))</f>
        <v>685.70000000000016</v>
      </c>
      <c r="EK64" s="17">
        <f>EJ64*VLOOKUP('Données projet'!$B$15,Paramètres!$A$1:$I$89,3,0)*VLOOKUP('Données projet'!$B$15,Paramètres!$A$1:$I$89,5,0)</f>
        <v>303.07940000000008</v>
      </c>
      <c r="EL64" s="13">
        <f t="shared" si="45"/>
        <v>71.821639801772193</v>
      </c>
      <c r="EM64" s="20">
        <f t="shared" si="19"/>
        <v>652.95264432142005</v>
      </c>
      <c r="EN64" s="59">
        <f t="shared" si="20"/>
        <v>946.28597765475342</v>
      </c>
      <c r="EO64" s="59">
        <f ca="1">AVERAGE(OFFSET($EN$3,0,0,'Données projet'!$E$15+1,1))-AVERAGE(OFFSET($H$3,0,0,'Données projet'!$E$15+1,1))</f>
        <v>335.27356627949155</v>
      </c>
      <c r="EP64" s="59">
        <f t="shared" si="46"/>
        <v>322.66829503077247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11.838606212248118</v>
      </c>
      <c r="EX64" s="21">
        <f>EXP(-LN(2)/2)*EX63+(1-EXP(-LN(2)/2))/(LN(2)/2)*ER64*EU64*VLOOKUP('Données projet'!$B$15,Paramètres!$A$1:$I$89,3,0)*0.475*44/12</f>
        <v>7.6353945797708056E-4</v>
      </c>
      <c r="EY64" s="22">
        <f t="shared" si="21"/>
        <v>11.839369751706096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8.5</v>
      </c>
      <c r="N65" s="13">
        <f>IF('Données projet'!$A$36&gt;35,N64+M65-V64,IF(A65&lt;'Données projet'!$A$36,$K$205^A65,IF(A65='Données projet'!$A$36,'Données projet'!$B$36,N64+M65-V64)))</f>
        <v>262</v>
      </c>
      <c r="O65" s="13">
        <f>N65*VLOOKUP('Données projet'!$B$9,Paramètres!$A$1:$I$89,3,0)*VLOOKUP('Données projet'!$B$9,Paramètres!$A$1:$I$89,5,0)</f>
        <v>237.05759999999998</v>
      </c>
      <c r="P65" s="13">
        <f t="shared" si="33"/>
        <v>57.806004997354641</v>
      </c>
      <c r="Q65" s="20">
        <f t="shared" si="53"/>
        <v>513.55411203705933</v>
      </c>
      <c r="R65" s="59">
        <f t="shared" si="0"/>
        <v>806.8874453703927</v>
      </c>
      <c r="S65" s="59">
        <f ca="1">AVERAGE(OFFSET($R$3,0,0,'Données projet'!$E$9+1,1))-AVERAGE(OFFSET($H$3,0,0,'Données projet'!$E$9+1,1))</f>
        <v>319.18811755575183</v>
      </c>
      <c r="T65" s="59">
        <f t="shared" si="34"/>
        <v>234.87694492493506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1.2779938393587942</v>
      </c>
      <c r="AA65" s="21">
        <f>EXP(-LN(2)/25)*AA64+(1-EXP(-LN(2)/25))/(LN(2)/25)*Calculateur!V65*Calculateur!X65*VLOOKUP('Données projet'!$B$9,Paramètres!$A$1:$I$89,3,0)*0.475*44/12</f>
        <v>4.6462139420605588</v>
      </c>
      <c r="AB65" s="21">
        <f>EXP(-LN(2)/2)*AB64+(1-EXP(-LN(2)/2))/(LN(2)/2)*V65*Y65*VLOOKUP('Données projet'!$B$9,Paramètres!$A$1:$I$89,3,0)*0.475*44/12</f>
        <v>3.2887781942911727E-4</v>
      </c>
      <c r="AC65" s="22">
        <f t="shared" si="3"/>
        <v>5.9245366592387825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5.6</v>
      </c>
      <c r="AI65" s="13">
        <f>IF('Données projet'!$A$62&gt;35,AI64+AH65-AQ64,IF(A65&lt;'Données projet'!$A$62,$AF$205^A65,IF(A65='Données projet'!$A$62,'Données projet'!$B$62,AI64+AH65-AQ64)))</f>
        <v>337.19999999999982</v>
      </c>
      <c r="AJ65" s="13">
        <f>AI65*VLOOKUP('Données projet'!$B$10,Paramètres!$A$1:$I$89,3,0)*VLOOKUP('Données projet'!$B$10,Paramètres!$A$1:$I$89,5,0)</f>
        <v>268.27631999999988</v>
      </c>
      <c r="AK65" s="13">
        <f t="shared" si="35"/>
        <v>64.483324649413319</v>
      </c>
      <c r="AL65" s="20">
        <f t="shared" si="4"/>
        <v>579.55638109772792</v>
      </c>
      <c r="AM65" s="59">
        <f t="shared" si="5"/>
        <v>872.88971443106129</v>
      </c>
      <c r="AN65" s="59">
        <f ca="1">AVERAGE(OFFSET($AM$3,0,0,'Données projet'!$E$10+1,1))-AVERAGE(OFFSET($H$3,0,0,'Données projet'!$E$10+1,1))</f>
        <v>314.94704727988847</v>
      </c>
      <c r="AO65" s="59">
        <f t="shared" si="36"/>
        <v>366.49199094166454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2.0776367368405104</v>
      </c>
      <c r="AV65" s="21">
        <f>EXP(-LN(2)/25)*AV64+(1-EXP(-LN(2)/25))/(LN(2)/25)*Calculateur!AQ65*Calculateur!AS65*VLOOKUP('Données projet'!$B$10,Paramètres!$A$1:$I$89,3,0)*0.475*44/12</f>
        <v>10.462444376432991</v>
      </c>
      <c r="AW65" s="21">
        <f>EXP(-LN(2)/2)*AW64+(1-EXP(-LN(2)/2))/(LN(2)/2)*AQ65*AT65*VLOOKUP('Données projet'!$B$10,Paramètres!$A$1:$I$89,3,0)*0.475*44/12</f>
        <v>4.405095913811512E-4</v>
      </c>
      <c r="AX65" s="21">
        <f t="shared" si="6"/>
        <v>12.540521622864883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5.6</v>
      </c>
      <c r="BD65" s="12">
        <f>IF('Données projet'!$A$88&gt;35,BD64+BC65-BL64,IF(A65&lt;'Données projet'!$A$88,$BA$205^A65,IF(A65='Données projet'!$A$88,'Données projet'!$B$88,BD64+BC65-BL64)))</f>
        <v>337.19999999999982</v>
      </c>
      <c r="BE65" s="13">
        <f>BD65*VLOOKUP('Données projet'!$B$11,Paramètres!$A$1:$I$89,3,0)*VLOOKUP('Données projet'!$B$11,Paramètres!$A$1:$I$89,5,0)</f>
        <v>220.93343999999988</v>
      </c>
      <c r="BF65" s="13">
        <f t="shared" si="37"/>
        <v>54.317714273286036</v>
      </c>
      <c r="BG65" s="20">
        <f t="shared" si="7"/>
        <v>479.39576035930628</v>
      </c>
      <c r="BH65" s="59">
        <f t="shared" si="8"/>
        <v>772.72909369263959</v>
      </c>
      <c r="BI65" s="59">
        <f ca="1">AVERAGE(OFFSET($BH$3,0,0,'Données projet'!$E$11+1,1))-AVERAGE(OFFSET($H$3,0,0,'Données projet'!$E$11+1,1))</f>
        <v>246.64951465060813</v>
      </c>
      <c r="BJ65" s="59">
        <f t="shared" si="38"/>
        <v>292.64550285216865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1.3881657220621386</v>
      </c>
      <c r="BQ65" s="21">
        <f>EXP(-LN(2)/25)*BQ64+(1-EXP(-LN(2)/25))/(LN(2)/25)*Calculateur!BL65*Calculateur!BN65*VLOOKUP('Données projet'!$B$11,Paramètres!$A$1:$I$89,3,0)*0.475*44/12</f>
        <v>6.9904456322005064</v>
      </c>
      <c r="BR65" s="21">
        <f>EXP(-LN(2)/2)*BR64+(1-EXP(-LN(2)/2))/(LN(2)/2)*BL65*BO65*VLOOKUP('Données projet'!$B$11,Paramètres!$A$1:$I$89,3,0)*0.475*44/12</f>
        <v>3.6277260466683042E-4</v>
      </c>
      <c r="BS65" s="22">
        <f t="shared" si="9"/>
        <v>8.3789741268673126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5.6</v>
      </c>
      <c r="BY65" s="12">
        <f>IF('Données projet'!$A$114&gt;35,BY64+BX65-CG64,IF(A65&lt;'Données projet'!$A$114,$BV$205^A65,IF(A65='Données projet'!$A$114,'Données projet'!$B$114,BY64+BX65-CG64)))</f>
        <v>337.19999999999982</v>
      </c>
      <c r="BZ65" s="13">
        <f>BY65*VLOOKUP('Données projet'!$B$12,Paramètres!$A$1:$I$89,3,0)*VLOOKUP('Données projet'!$B$12,Paramètres!$A$1:$I$89,5,0)</f>
        <v>226.19375999999988</v>
      </c>
      <c r="CA65" s="13">
        <f t="shared" si="39"/>
        <v>55.458885862671181</v>
      </c>
      <c r="CB65" s="20">
        <f t="shared" si="10"/>
        <v>490.5450248774855</v>
      </c>
      <c r="CC65" s="59">
        <f t="shared" si="11"/>
        <v>783.87835821081876</v>
      </c>
      <c r="CD65" s="59">
        <f ca="1">AVERAGE(OFFSET($CC$3,0,0,'Données projet'!$E$12+1,1))-AVERAGE(OFFSET($H$3,0,0,'Données projet'!$E$12+1,1))</f>
        <v>254.25222107710192</v>
      </c>
      <c r="CE65" s="59">
        <f t="shared" si="40"/>
        <v>300.86609173447573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1.7517329349831747</v>
      </c>
      <c r="CL65" s="21">
        <f>EXP(-LN(2)/25)*CL64+(1-EXP(-LN(2)/25))/(LN(2)/25)*Calculateur!CG65*Calculateur!CI65*VLOOKUP('Données projet'!$B$12,Paramètres!$A$1:$I$89,3,0)*0.475*44/12</f>
        <v>8.8212766311101678</v>
      </c>
      <c r="CM65" s="21">
        <f>EXP(-LN(2)/2)*CM64+(1-EXP(-LN(2)/2))/(LN(2)/2)*CG65*CJ65*VLOOKUP('Données projet'!$B$12,Paramètres!$A$1:$I$89,3,0)*0.475*44/12</f>
        <v>3.714100476350885E-4</v>
      </c>
      <c r="CN65" s="22">
        <f t="shared" si="12"/>
        <v>10.573380976140976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5.6</v>
      </c>
      <c r="CT65" s="12">
        <f>IF('Données projet'!$A$140&gt;35,CT64+CS65-DB64,IF(A65&lt;'Données projet'!$A$140,$CQ$205^A65,IF(A65='Données projet'!$A$140,'Données projet'!$B$140,CT64+CS65-DB64)))</f>
        <v>227.19999999999996</v>
      </c>
      <c r="CU65" s="17">
        <f>CT65*VLOOKUP('Données projet'!$B$13,Paramètres!$A$1:$I$89,3,0)*VLOOKUP('Données projet'!$B$13,Paramètres!$A$1:$I$89,5,0)</f>
        <v>198.48191999999997</v>
      </c>
      <c r="CV65" s="13">
        <f t="shared" si="41"/>
        <v>49.410391887159271</v>
      </c>
      <c r="CW65" s="20">
        <f t="shared" si="13"/>
        <v>431.74577653680234</v>
      </c>
      <c r="CX65" s="59">
        <f t="shared" si="14"/>
        <v>725.07910987013565</v>
      </c>
      <c r="CY65" s="59">
        <f ca="1">AVERAGE(OFFSET($CX$3,0,0,'Données projet'!$E$13+1,1))-AVERAGE(OFFSET($H$3,0,0,'Données projet'!$E$13+1,1))</f>
        <v>243.38048563215585</v>
      </c>
      <c r="CZ65" s="59">
        <f t="shared" si="42"/>
        <v>372.1604147006675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3.8780502711577203</v>
      </c>
      <c r="DG65" s="21">
        <f>EXP(-LN(2)/25)*DG64+(1-EXP(-LN(2)/25))/(LN(2)/25)*Calculateur!DB65*Calculateur!DD65*VLOOKUP('Données projet'!$B$13,Paramètres!$A$1:$I$89,3,0)*0.475*44/12</f>
        <v>7.9733611067070038</v>
      </c>
      <c r="DH65" s="21">
        <f>EXP(-LN(2)/2)*DH64+(1-EXP(-LN(2)/2))/(LN(2)/2)*DB65*DE65*VLOOKUP('Données projet'!$B$13,Paramètres!$A$1:$I$89,3,0)*0.475*44/12</f>
        <v>4.4731047383365116E-4</v>
      </c>
      <c r="DI65" s="22">
        <f t="shared" si="15"/>
        <v>11.851858688338559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12.8</v>
      </c>
      <c r="DO65" s="12">
        <f>IF('Données projet'!$A$166&gt;35,DO64+DN65-DW64,IF(A65&lt;'Données projet'!$A$166,$DL$205^A65,IF(A65='Données projet'!$A$166,'Données projet'!$B$166,DO64+DN65-DW64)))</f>
        <v>385.59999999999997</v>
      </c>
      <c r="DP65" s="17">
        <f>DO65*VLOOKUP('Données projet'!$B$14,Paramètres!$A$1:$I$89,3,0)*VLOOKUP('Données projet'!$B$14,Paramètres!$A$1:$I$89,5,0)</f>
        <v>220.56319999999999</v>
      </c>
      <c r="DQ65" s="13">
        <f t="shared" si="43"/>
        <v>54.23727623736265</v>
      </c>
      <c r="DR65" s="20">
        <f t="shared" si="16"/>
        <v>478.61082944673996</v>
      </c>
      <c r="DS65" s="59">
        <f t="shared" si="17"/>
        <v>771.94416278007327</v>
      </c>
      <c r="DT65" s="59">
        <f ca="1">AVERAGE(OFFSET($DS$3,0,0,'Données projet'!$E$14+1,1))-AVERAGE(OFFSET($H$3,0,0,'Données projet'!$E$14+1,1))</f>
        <v>227.99747790451215</v>
      </c>
      <c r="DU65" s="59">
        <f t="shared" si="44"/>
        <v>209.49597700966933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1.5219092633903843</v>
      </c>
      <c r="EB65" s="21">
        <f>EXP(-LN(2)/25)*EB64+(1-EXP(-LN(2)/25))/(LN(2)/25)*Calculateur!DW65*Calculateur!DY65*VLOOKUP('Données projet'!$B$14,Paramètres!$A$1:$I$89,3,0)*0.475*44/12</f>
        <v>6.2494495211525285</v>
      </c>
      <c r="EC65" s="21">
        <f>EXP(-LN(2)/2)*EC64+(1-EXP(-LN(2)/2))/(LN(2)/2)*DW65*DZ65*VLOOKUP('Données projet'!$B$14,Paramètres!$A$1:$I$89,3,0)*0.475*44/12</f>
        <v>3.7632479423618781E-4</v>
      </c>
      <c r="ED65" s="22">
        <f t="shared" si="18"/>
        <v>7.7717351093371487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13.7</v>
      </c>
      <c r="EJ65" s="12">
        <f>IF('Données projet'!$A$192&gt;35,EJ64+EI65-ER64,IF(A65&lt;'Données projet'!$A$192,$EG$205^A65,IF(A65='Données projet'!$A$192,'Données projet'!$B$192,EJ64+EI65-ER64)))</f>
        <v>699.4000000000002</v>
      </c>
      <c r="EK65" s="17">
        <f>EJ65*VLOOKUP('Données projet'!$B$15,Paramètres!$A$1:$I$89,3,0)*VLOOKUP('Données projet'!$B$15,Paramètres!$A$1:$I$89,5,0)</f>
        <v>309.1348000000001</v>
      </c>
      <c r="EL65" s="13">
        <f t="shared" si="45"/>
        <v>73.0881125953794</v>
      </c>
      <c r="EM65" s="20">
        <f t="shared" si="19"/>
        <v>665.70490610361924</v>
      </c>
      <c r="EN65" s="59">
        <f t="shared" si="20"/>
        <v>959.03823943695261</v>
      </c>
      <c r="EO65" s="59">
        <f ca="1">AVERAGE(OFFSET($EN$3,0,0,'Données projet'!$E$15+1,1))-AVERAGE(OFFSET($H$3,0,0,'Données projet'!$E$15+1,1))</f>
        <v>335.27356627949155</v>
      </c>
      <c r="EP65" s="59">
        <f t="shared" si="46"/>
        <v>322.66829503077247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11.514878902808951</v>
      </c>
      <c r="EX65" s="21">
        <f>EXP(-LN(2)/2)*EX64+(1-EXP(-LN(2)/2))/(LN(2)/2)*ER65*EU65*VLOOKUP('Données projet'!$B$15,Paramètres!$A$1:$I$89,3,0)*0.475*44/12</f>
        <v>5.3990392843909459E-4</v>
      </c>
      <c r="EY65" s="22">
        <f t="shared" si="21"/>
        <v>11.51541880673739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8.5</v>
      </c>
      <c r="N66" s="13">
        <f>IF('Données projet'!$A$36&gt;35,N65+M66-V65,IF(A66&lt;'Données projet'!$A$36,$K$205^A66,IF(A66='Données projet'!$A$36,'Données projet'!$B$36,N65+M66-V65)))</f>
        <v>270.5</v>
      </c>
      <c r="O66" s="13">
        <f>N66*VLOOKUP('Données projet'!$B$9,Paramètres!$A$1:$I$89,3,0)*VLOOKUP('Données projet'!$B$9,Paramètres!$A$1:$I$89,5,0)</f>
        <v>244.74839999999998</v>
      </c>
      <c r="P66" s="13">
        <f t="shared" si="33"/>
        <v>59.460004038665112</v>
      </c>
      <c r="Q66" s="20">
        <f t="shared" si="53"/>
        <v>529.82963703400833</v>
      </c>
      <c r="R66" s="59">
        <f t="shared" si="0"/>
        <v>823.16297036734159</v>
      </c>
      <c r="S66" s="59">
        <f ca="1">AVERAGE(OFFSET($R$3,0,0,'Données projet'!$E$9+1,1))-AVERAGE(OFFSET($H$3,0,0,'Données projet'!$E$9+1,1))</f>
        <v>319.18811755575183</v>
      </c>
      <c r="T66" s="59">
        <f t="shared" si="34"/>
        <v>234.87694492493506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1.2529331596682411</v>
      </c>
      <c r="AA66" s="21">
        <f>EXP(-LN(2)/25)*AA65+(1-EXP(-LN(2)/25))/(LN(2)/25)*Calculateur!V66*Calculateur!X66*VLOOKUP('Données projet'!$B$9,Paramètres!$A$1:$I$89,3,0)*0.475*44/12</f>
        <v>4.519162977481141</v>
      </c>
      <c r="AB66" s="21">
        <f>EXP(-LN(2)/2)*AB65+(1-EXP(-LN(2)/2))/(LN(2)/2)*V66*Y66*VLOOKUP('Données projet'!$B$9,Paramètres!$A$1:$I$89,3,0)*0.475*44/12</f>
        <v>2.3255173630017372E-4</v>
      </c>
      <c r="AC66" s="22">
        <f t="shared" si="3"/>
        <v>5.7723286888856817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5.6</v>
      </c>
      <c r="AI66" s="13">
        <f>IF('Données projet'!$A$62&gt;35,AI65+AH66-AQ65,IF(A66&lt;'Données projet'!$A$62,$AF$205^A66,IF(A66='Données projet'!$A$62,'Données projet'!$B$62,AI65+AH66-AQ65)))</f>
        <v>342.79999999999984</v>
      </c>
      <c r="AJ66" s="13">
        <f>AI66*VLOOKUP('Données projet'!$B$10,Paramètres!$A$1:$I$89,3,0)*VLOOKUP('Données projet'!$B$10,Paramètres!$A$1:$I$89,5,0)</f>
        <v>272.73167999999987</v>
      </c>
      <c r="AK66" s="13">
        <f t="shared" si="35"/>
        <v>65.428660642640267</v>
      </c>
      <c r="AL66" s="20">
        <f t="shared" si="4"/>
        <v>588.96259328593146</v>
      </c>
      <c r="AM66" s="59">
        <f t="shared" si="5"/>
        <v>882.29592661926472</v>
      </c>
      <c r="AN66" s="59">
        <f ca="1">AVERAGE(OFFSET($AM$3,0,0,'Données projet'!$E$10+1,1))-AVERAGE(OFFSET($H$3,0,0,'Données projet'!$E$10+1,1))</f>
        <v>314.94704727988847</v>
      </c>
      <c r="AO66" s="59">
        <f t="shared" si="36"/>
        <v>366.49199094166454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2.0368955476643484</v>
      </c>
      <c r="AV66" s="21">
        <f>EXP(-LN(2)/25)*AV65+(1-EXP(-LN(2)/25))/(LN(2)/25)*Calculateur!AQ66*Calculateur!AS66*VLOOKUP('Données projet'!$B$10,Paramètres!$A$1:$I$89,3,0)*0.475*44/12</f>
        <v>10.176348284763394</v>
      </c>
      <c r="AW66" s="21">
        <f>EXP(-LN(2)/2)*AW65+(1-EXP(-LN(2)/2))/(LN(2)/2)*AQ66*AT66*VLOOKUP('Données projet'!$B$10,Paramètres!$A$1:$I$89,3,0)*0.475*44/12</f>
        <v>3.1148731924332713E-4</v>
      </c>
      <c r="AX66" s="21">
        <f t="shared" si="6"/>
        <v>12.213555319746986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5.6</v>
      </c>
      <c r="BD66" s="12">
        <f>IF('Données projet'!$A$88&gt;35,BD65+BC66-BL65,IF(A66&lt;'Données projet'!$A$88,$BA$205^A66,IF(A66='Données projet'!$A$88,'Données projet'!$B$88,BD65+BC66-BL65)))</f>
        <v>342.79999999999984</v>
      </c>
      <c r="BE66" s="13">
        <f>BD66*VLOOKUP('Données projet'!$B$11,Paramètres!$A$1:$I$89,3,0)*VLOOKUP('Données projet'!$B$11,Paramètres!$A$1:$I$89,5,0)</f>
        <v>224.60255999999987</v>
      </c>
      <c r="BF66" s="13">
        <f t="shared" si="37"/>
        <v>55.11402077037696</v>
      </c>
      <c r="BG66" s="20">
        <f t="shared" si="7"/>
        <v>487.17304484173968</v>
      </c>
      <c r="BH66" s="59">
        <f t="shared" si="8"/>
        <v>780.506378175073</v>
      </c>
      <c r="BI66" s="59">
        <f ca="1">AVERAGE(OFFSET($BH$3,0,0,'Données projet'!$E$11+1,1))-AVERAGE(OFFSET($H$3,0,0,'Données projet'!$E$11+1,1))</f>
        <v>246.64951465060813</v>
      </c>
      <c r="BJ66" s="59">
        <f t="shared" si="38"/>
        <v>292.64550285216865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1.3609446389499862</v>
      </c>
      <c r="BQ66" s="21">
        <f>EXP(-LN(2)/25)*BQ65+(1-EXP(-LN(2)/25))/(LN(2)/25)*Calculateur!BL66*Calculateur!BN66*VLOOKUP('Données projet'!$B$11,Paramètres!$A$1:$I$89,3,0)*0.475*44/12</f>
        <v>6.7992915287764246</v>
      </c>
      <c r="BR66" s="21">
        <f>EXP(-LN(2)/2)*BR65+(1-EXP(-LN(2)/2))/(LN(2)/2)*BL66*BO66*VLOOKUP('Données projet'!$B$11,Paramètres!$A$1:$I$89,3,0)*0.475*44/12</f>
        <v>2.5651896878862236E-4</v>
      </c>
      <c r="BS66" s="22">
        <f t="shared" si="9"/>
        <v>8.1604926866951981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5.6</v>
      </c>
      <c r="BY66" s="12">
        <f>IF('Données projet'!$A$114&gt;35,BY65+BX66-CG65,IF(A66&lt;'Données projet'!$A$114,$BV$205^A66,IF(A66='Données projet'!$A$114,'Données projet'!$B$114,BY65+BX66-CG65)))</f>
        <v>342.79999999999984</v>
      </c>
      <c r="BZ66" s="13">
        <f>BY66*VLOOKUP('Données projet'!$B$12,Paramètres!$A$1:$I$89,3,0)*VLOOKUP('Données projet'!$B$12,Paramètres!$A$1:$I$89,5,0)</f>
        <v>229.95023999999992</v>
      </c>
      <c r="CA66" s="13">
        <f t="shared" si="39"/>
        <v>56.271922120266268</v>
      </c>
      <c r="CB66" s="20">
        <f t="shared" si="10"/>
        <v>498.5035990261303</v>
      </c>
      <c r="CC66" s="59">
        <f t="shared" si="11"/>
        <v>791.83693235946362</v>
      </c>
      <c r="CD66" s="59">
        <f ca="1">AVERAGE(OFFSET($CC$3,0,0,'Données projet'!$E$12+1,1))-AVERAGE(OFFSET($H$3,0,0,'Données projet'!$E$12+1,1))</f>
        <v>254.25222107710192</v>
      </c>
      <c r="CE66" s="59">
        <f t="shared" si="40"/>
        <v>300.86609173447573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1.7173825205797442</v>
      </c>
      <c r="CL66" s="21">
        <f>EXP(-LN(2)/25)*CL65+(1-EXP(-LN(2)/25))/(LN(2)/25)*Calculateur!CG66*Calculateur!CI66*VLOOKUP('Données projet'!$B$12,Paramètres!$A$1:$I$89,3,0)*0.475*44/12</f>
        <v>8.5800583577416827</v>
      </c>
      <c r="CM66" s="21">
        <f>EXP(-LN(2)/2)*CM65+(1-EXP(-LN(2)/2))/(LN(2)/2)*CG66*CJ66*VLOOKUP('Données projet'!$B$12,Paramètres!$A$1:$I$89,3,0)*0.475*44/12</f>
        <v>2.6262656328358971E-4</v>
      </c>
      <c r="CN66" s="22">
        <f t="shared" si="12"/>
        <v>10.29770350488471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5.6</v>
      </c>
      <c r="CT66" s="12">
        <f>IF('Données projet'!$A$140&gt;35,CT65+CS66-DB65,IF(A66&lt;'Données projet'!$A$140,$CQ$205^A66,IF(A66='Données projet'!$A$140,'Données projet'!$B$140,CT65+CS66-DB65)))</f>
        <v>232.79999999999995</v>
      </c>
      <c r="CU66" s="17">
        <f>CT66*VLOOKUP('Données projet'!$B$13,Paramètres!$A$1:$I$89,3,0)*VLOOKUP('Données projet'!$B$13,Paramètres!$A$1:$I$89,5,0)</f>
        <v>203.37407999999999</v>
      </c>
      <c r="CV66" s="13">
        <f t="shared" si="41"/>
        <v>50.484964849140574</v>
      </c>
      <c r="CW66" s="20">
        <f t="shared" si="13"/>
        <v>442.1378364455864</v>
      </c>
      <c r="CX66" s="59">
        <f t="shared" si="14"/>
        <v>735.47116977891972</v>
      </c>
      <c r="CY66" s="59">
        <f ca="1">AVERAGE(OFFSET($CX$3,0,0,'Données projet'!$E$13+1,1))-AVERAGE(OFFSET($H$3,0,0,'Données projet'!$E$13+1,1))</f>
        <v>243.38048563215585</v>
      </c>
      <c r="CZ66" s="59">
        <f t="shared" si="42"/>
        <v>372.1604147006675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3.8020040707174214</v>
      </c>
      <c r="DG66" s="21">
        <f>EXP(-LN(2)/25)*DG65+(1-EXP(-LN(2)/25))/(LN(2)/25)*Calculateur!DB66*Calculateur!DD66*VLOOKUP('Données projet'!$B$13,Paramètres!$A$1:$I$89,3,0)*0.475*44/12</f>
        <v>7.7553291279432637</v>
      </c>
      <c r="DH66" s="21">
        <f>EXP(-LN(2)/2)*DH65+(1-EXP(-LN(2)/2))/(LN(2)/2)*DB66*DE66*VLOOKUP('Données projet'!$B$13,Paramètres!$A$1:$I$89,3,0)*0.475*44/12</f>
        <v>3.1629626934354246E-4</v>
      </c>
      <c r="DI66" s="22">
        <f t="shared" si="15"/>
        <v>11.557649494930029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12.8</v>
      </c>
      <c r="DO66" s="12">
        <f>IF('Données projet'!$A$166&gt;35,DO65+DN66-DW65,IF(A66&lt;'Données projet'!$A$166,$DL$205^A66,IF(A66='Données projet'!$A$166,'Données projet'!$B$166,DO65+DN66-DW65)))</f>
        <v>398.4</v>
      </c>
      <c r="DP66" s="17">
        <f>DO66*VLOOKUP('Données projet'!$B$14,Paramètres!$A$1:$I$89,3,0)*VLOOKUP('Données projet'!$B$14,Paramètres!$A$1:$I$89,5,0)</f>
        <v>227.88479999999998</v>
      </c>
      <c r="DQ66" s="13">
        <f t="shared" si="43"/>
        <v>55.825080201942612</v>
      </c>
      <c r="DR66" s="20">
        <f t="shared" si="16"/>
        <v>494.12804135171672</v>
      </c>
      <c r="DS66" s="59">
        <f t="shared" si="17"/>
        <v>787.46137468505003</v>
      </c>
      <c r="DT66" s="59">
        <f ca="1">AVERAGE(OFFSET($DS$3,0,0,'Données projet'!$E$14+1,1))-AVERAGE(OFFSET($H$3,0,0,'Données projet'!$E$14+1,1))</f>
        <v>227.99747790451215</v>
      </c>
      <c r="DU66" s="59">
        <f t="shared" si="44"/>
        <v>209.49597700966933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1.4920655510082903</v>
      </c>
      <c r="EB66" s="21">
        <f>EXP(-LN(2)/25)*EB65+(1-EXP(-LN(2)/25))/(LN(2)/25)*Calculateur!DW66*Calculateur!DY66*VLOOKUP('Données projet'!$B$14,Paramètres!$A$1:$I$89,3,0)*0.475*44/12</f>
        <v>6.0785579953523454</v>
      </c>
      <c r="EC66" s="21">
        <f>EXP(-LN(2)/2)*EC65+(1-EXP(-LN(2)/2))/(LN(2)/2)*DW66*DZ66*VLOOKUP('Données projet'!$B$14,Paramètres!$A$1:$I$89,3,0)*0.475*44/12</f>
        <v>2.6610181393304057E-4</v>
      </c>
      <c r="ED66" s="22">
        <f t="shared" si="18"/>
        <v>7.5708896481745693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13.7</v>
      </c>
      <c r="EJ66" s="12">
        <f>IF('Données projet'!$A$192&gt;35,EJ65+EI66-ER65,IF(A66&lt;'Données projet'!$A$192,$EG$205^A66,IF(A66='Données projet'!$A$192,'Données projet'!$B$192,EJ65+EI66-ER65)))</f>
        <v>713.10000000000025</v>
      </c>
      <c r="EK66" s="17">
        <f>EJ66*VLOOKUP('Données projet'!$B$15,Paramètres!$A$1:$I$89,3,0)*VLOOKUP('Données projet'!$B$15,Paramètres!$A$1:$I$89,5,0)</f>
        <v>315.19020000000012</v>
      </c>
      <c r="EL66" s="13">
        <f t="shared" si="45"/>
        <v>74.351700838614804</v>
      </c>
      <c r="EM66" s="20">
        <f t="shared" si="19"/>
        <v>678.4521439605877</v>
      </c>
      <c r="EN66" s="59">
        <f t="shared" si="20"/>
        <v>971.78547729392108</v>
      </c>
      <c r="EO66" s="59">
        <f ca="1">AVERAGE(OFFSET($EN$3,0,0,'Données projet'!$E$15+1,1))-AVERAGE(OFFSET($H$3,0,0,'Données projet'!$E$15+1,1))</f>
        <v>335.27356627949155</v>
      </c>
      <c r="EP66" s="59">
        <f t="shared" si="46"/>
        <v>322.66829503077247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11.200003933670477</v>
      </c>
      <c r="EX66" s="21">
        <f>EXP(-LN(2)/2)*EX65+(1-EXP(-LN(2)/2))/(LN(2)/2)*ER66*EU66*VLOOKUP('Données projet'!$B$15,Paramètres!$A$1:$I$89,3,0)*0.475*44/12</f>
        <v>3.8176972898854028E-4</v>
      </c>
      <c r="EY66" s="22">
        <f t="shared" si="21"/>
        <v>11.200385703399466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8.5</v>
      </c>
      <c r="N67" s="13">
        <f>IF('Données projet'!$A$36&gt;35,N66+M67-V66,IF(A67&lt;'Données projet'!$A$36,$K$205^A67,IF(A67='Données projet'!$A$36,'Données projet'!$B$36,N66+M67-V66)))</f>
        <v>279</v>
      </c>
      <c r="O67" s="13">
        <f>N67*VLOOKUP('Données projet'!$B$9,Paramètres!$A$1:$I$89,3,0)*VLOOKUP('Données projet'!$B$9,Paramètres!$A$1:$I$89,5,0)</f>
        <v>252.4392</v>
      </c>
      <c r="P67" s="13">
        <f t="shared" si="33"/>
        <v>61.107963296116218</v>
      </c>
      <c r="Q67" s="20">
        <f t="shared" ref="Q67:Q98" si="54">(O67+P67)*0.475*44/12</f>
        <v>546.09464274073571</v>
      </c>
      <c r="R67" s="59">
        <f t="shared" ref="R67:R130" si="55">Q67+(I67+J67)*44/12</f>
        <v>839.42797607406897</v>
      </c>
      <c r="S67" s="59">
        <f ca="1">AVERAGE(OFFSET($R$3,0,0,'Données projet'!$E$9+1,1))-AVERAGE(OFFSET($H$3,0,0,'Données projet'!$E$9+1,1))</f>
        <v>319.18811755575183</v>
      </c>
      <c r="T67" s="59">
        <f t="shared" si="34"/>
        <v>234.87694492493506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1.2283639046209145</v>
      </c>
      <c r="AA67" s="21">
        <f>EXP(-LN(2)/25)*AA66+(1-EXP(-LN(2)/25))/(LN(2)/25)*Calculateur!V67*Calculateur!X67*VLOOKUP('Données projet'!$B$9,Paramètres!$A$1:$I$89,3,0)*0.475*44/12</f>
        <v>4.3955862282094671</v>
      </c>
      <c r="AB67" s="21">
        <f>EXP(-LN(2)/2)*AB66+(1-EXP(-LN(2)/2))/(LN(2)/2)*V67*Y67*VLOOKUP('Données projet'!$B$9,Paramètres!$A$1:$I$89,3,0)*0.475*44/12</f>
        <v>1.6443890971455866E-4</v>
      </c>
      <c r="AC67" s="22">
        <f t="shared" si="3"/>
        <v>5.6241145717400967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5.6</v>
      </c>
      <c r="AI67" s="13">
        <f>IF('Données projet'!$A$62&gt;35,AI66+AH67-AQ66,IF(A67&lt;'Données projet'!$A$62,$AF$205^A67,IF(A67='Données projet'!$A$62,'Données projet'!$B$62,AI66+AH67-AQ66)))</f>
        <v>348.39999999999986</v>
      </c>
      <c r="AJ67" s="13">
        <f>AI67*VLOOKUP('Données projet'!$B$10,Paramètres!$A$1:$I$89,3,0)*VLOOKUP('Données projet'!$B$10,Paramètres!$A$1:$I$89,5,0)</f>
        <v>277.18703999999991</v>
      </c>
      <c r="AK67" s="13">
        <f t="shared" si="35"/>
        <v>66.372200687001879</v>
      </c>
      <c r="AL67" s="20">
        <f t="shared" si="4"/>
        <v>598.36567752986139</v>
      </c>
      <c r="AM67" s="59">
        <f t="shared" si="5"/>
        <v>891.69901086319464</v>
      </c>
      <c r="AN67" s="59">
        <f ca="1">AVERAGE(OFFSET($AM$3,0,0,'Données projet'!$E$10+1,1))-AVERAGE(OFFSET($H$3,0,0,'Données projet'!$E$10+1,1))</f>
        <v>314.94704727988847</v>
      </c>
      <c r="AO67" s="59">
        <f t="shared" si="36"/>
        <v>366.49199094166454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1.9969532683582594</v>
      </c>
      <c r="AV67" s="21">
        <f>EXP(-LN(2)/25)*AV66+(1-EXP(-LN(2)/25))/(LN(2)/25)*Calculateur!AQ67*Calculateur!AS67*VLOOKUP('Données projet'!$B$10,Paramètres!$A$1:$I$89,3,0)*0.475*44/12</f>
        <v>9.8980755057656413</v>
      </c>
      <c r="AW67" s="21">
        <f>EXP(-LN(2)/2)*AW66+(1-EXP(-LN(2)/2))/(LN(2)/2)*AQ67*AT67*VLOOKUP('Données projet'!$B$10,Paramètres!$A$1:$I$89,3,0)*0.475*44/12</f>
        <v>2.202547956905756E-4</v>
      </c>
      <c r="AX67" s="21">
        <f t="shared" si="6"/>
        <v>11.895249028919592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5.6</v>
      </c>
      <c r="BD67" s="12">
        <f>IF('Données projet'!$A$88&gt;35,BD66+BC67-BL66,IF(A67&lt;'Données projet'!$A$88,$BA$205^A67,IF(A67='Données projet'!$A$88,'Données projet'!$B$88,BD66+BC67-BL66)))</f>
        <v>348.39999999999986</v>
      </c>
      <c r="BE67" s="13">
        <f>BD67*VLOOKUP('Données projet'!$B$11,Paramètres!$A$1:$I$89,3,0)*VLOOKUP('Données projet'!$B$11,Paramètres!$A$1:$I$89,5,0)</f>
        <v>228.27167999999992</v>
      </c>
      <c r="BF67" s="13">
        <f t="shared" si="37"/>
        <v>55.908814444767749</v>
      </c>
      <c r="BG67" s="20">
        <f t="shared" si="7"/>
        <v>494.94769449130371</v>
      </c>
      <c r="BH67" s="59">
        <f t="shared" si="8"/>
        <v>788.28102782463702</v>
      </c>
      <c r="BI67" s="59">
        <f ca="1">AVERAGE(OFFSET($BH$3,0,0,'Données projet'!$E$11+1,1))-AVERAGE(OFFSET($H$3,0,0,'Données projet'!$E$11+1,1))</f>
        <v>246.64951465060813</v>
      </c>
      <c r="BJ67" s="59">
        <f t="shared" si="38"/>
        <v>292.64550285216865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1.3342573446744417</v>
      </c>
      <c r="BQ67" s="21">
        <f>EXP(-LN(2)/25)*BQ66+(1-EXP(-LN(2)/25))/(LN(2)/25)*Calculateur!BL67*Calculateur!BN67*VLOOKUP('Données projet'!$B$11,Paramètres!$A$1:$I$89,3,0)*0.475*44/12</f>
        <v>6.6133645443628319</v>
      </c>
      <c r="BR67" s="21">
        <f>EXP(-LN(2)/2)*BR66+(1-EXP(-LN(2)/2))/(LN(2)/2)*BL67*BO67*VLOOKUP('Données projet'!$B$11,Paramètres!$A$1:$I$89,3,0)*0.475*44/12</f>
        <v>1.8138630233341521E-4</v>
      </c>
      <c r="BS67" s="22">
        <f t="shared" si="9"/>
        <v>7.9478032753396075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5.6</v>
      </c>
      <c r="BY67" s="12">
        <f>IF('Données projet'!$A$114&gt;35,BY66+BX67-CG66,IF(A67&lt;'Données projet'!$A$114,$BV$205^A67,IF(A67='Données projet'!$A$114,'Données projet'!$B$114,BY66+BX67-CG66)))</f>
        <v>348.39999999999986</v>
      </c>
      <c r="BZ67" s="13">
        <f>BY67*VLOOKUP('Données projet'!$B$12,Paramètres!$A$1:$I$89,3,0)*VLOOKUP('Données projet'!$B$12,Paramètres!$A$1:$I$89,5,0)</f>
        <v>233.7067199999999</v>
      </c>
      <c r="CA67" s="13">
        <f t="shared" si="39"/>
        <v>57.083413771970164</v>
      </c>
      <c r="CB67" s="20">
        <f t="shared" si="10"/>
        <v>506.45948298618123</v>
      </c>
      <c r="CC67" s="59">
        <f t="shared" si="11"/>
        <v>799.79281631951449</v>
      </c>
      <c r="CD67" s="59">
        <f ca="1">AVERAGE(OFFSET($CC$3,0,0,'Données projet'!$E$12+1,1))-AVERAGE(OFFSET($H$3,0,0,'Données projet'!$E$12+1,1))</f>
        <v>254.25222107710192</v>
      </c>
      <c r="CE67" s="59">
        <f t="shared" si="40"/>
        <v>300.86609173447573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1.6837056968510808</v>
      </c>
      <c r="CL67" s="21">
        <f>EXP(-LN(2)/25)*CL66+(1-EXP(-LN(2)/25))/(LN(2)/25)*Calculateur!CG67*Calculateur!CI67*VLOOKUP('Données projet'!$B$12,Paramètres!$A$1:$I$89,3,0)*0.475*44/12</f>
        <v>8.3454362107435767</v>
      </c>
      <c r="CM67" s="21">
        <f>EXP(-LN(2)/2)*CM66+(1-EXP(-LN(2)/2))/(LN(2)/2)*CG67*CJ67*VLOOKUP('Données projet'!$B$12,Paramètres!$A$1:$I$89,3,0)*0.475*44/12</f>
        <v>1.8570502381754425E-4</v>
      </c>
      <c r="CN67" s="22">
        <f t="shared" si="12"/>
        <v>10.029327612618475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5.6</v>
      </c>
      <c r="CT67" s="12">
        <f>IF('Données projet'!$A$140&gt;35,CT66+CS67-DB66,IF(A67&lt;'Données projet'!$A$140,$CQ$205^A67,IF(A67='Données projet'!$A$140,'Données projet'!$B$140,CT66+CS67-DB66)))</f>
        <v>238.39999999999995</v>
      </c>
      <c r="CU67" s="17">
        <f>CT67*VLOOKUP('Données projet'!$B$13,Paramètres!$A$1:$I$89,3,0)*VLOOKUP('Données projet'!$B$13,Paramètres!$A$1:$I$89,5,0)</f>
        <v>208.26623999999998</v>
      </c>
      <c r="CV67" s="13">
        <f t="shared" si="41"/>
        <v>51.556532908951887</v>
      </c>
      <c r="CW67" s="20">
        <f t="shared" si="13"/>
        <v>452.5246628164245</v>
      </c>
      <c r="CX67" s="59">
        <f t="shared" si="14"/>
        <v>745.85799614975781</v>
      </c>
      <c r="CY67" s="59">
        <f ca="1">AVERAGE(OFFSET($CX$3,0,0,'Données projet'!$E$13+1,1))-AVERAGE(OFFSET($H$3,0,0,'Données projet'!$E$13+1,1))</f>
        <v>243.38048563215585</v>
      </c>
      <c r="CZ67" s="59">
        <f t="shared" si="42"/>
        <v>372.1604147006675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3.7274490898841544</v>
      </c>
      <c r="DG67" s="21">
        <f>EXP(-LN(2)/25)*DG66+(1-EXP(-LN(2)/25))/(LN(2)/25)*Calculateur!DB67*Calculateur!DD67*VLOOKUP('Données projet'!$B$13,Paramètres!$A$1:$I$89,3,0)*0.475*44/12</f>
        <v>7.543259245104621</v>
      </c>
      <c r="DH67" s="21">
        <f>EXP(-LN(2)/2)*DH66+(1-EXP(-LN(2)/2))/(LN(2)/2)*DB67*DE67*VLOOKUP('Données projet'!$B$13,Paramètres!$A$1:$I$89,3,0)*0.475*44/12</f>
        <v>2.2365523691682558E-4</v>
      </c>
      <c r="DI67" s="22">
        <f t="shared" si="15"/>
        <v>11.270931990225693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12.8</v>
      </c>
      <c r="DO67" s="12">
        <f>IF('Données projet'!$A$166&gt;35,DO66+DN67-DW66,IF(A67&lt;'Données projet'!$A$166,$DL$205^A67,IF(A67='Données projet'!$A$166,'Données projet'!$B$166,DO66+DN67-DW66)))</f>
        <v>411.2</v>
      </c>
      <c r="DP67" s="17">
        <f>DO67*VLOOKUP('Données projet'!$B$14,Paramètres!$A$1:$I$89,3,0)*VLOOKUP('Données projet'!$B$14,Paramètres!$A$1:$I$89,5,0)</f>
        <v>235.2064</v>
      </c>
      <c r="DQ67" s="13">
        <f t="shared" si="43"/>
        <v>57.406956174360978</v>
      </c>
      <c r="DR67" s="20">
        <f t="shared" si="16"/>
        <v>509.63492867034546</v>
      </c>
      <c r="DS67" s="59">
        <f t="shared" si="17"/>
        <v>802.96826200367877</v>
      </c>
      <c r="DT67" s="59">
        <f ca="1">AVERAGE(OFFSET($DS$3,0,0,'Données projet'!$E$14+1,1))-AVERAGE(OFFSET($H$3,0,0,'Données projet'!$E$14+1,1))</f>
        <v>227.99747790451215</v>
      </c>
      <c r="DU67" s="59">
        <f t="shared" si="44"/>
        <v>209.49597700966933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1.4628070556231418</v>
      </c>
      <c r="EB67" s="21">
        <f>EXP(-LN(2)/25)*EB66+(1-EXP(-LN(2)/25))/(LN(2)/25)*Calculateur!DW67*Calculateur!DY67*VLOOKUP('Données projet'!$B$14,Paramètres!$A$1:$I$89,3,0)*0.475*44/12</f>
        <v>5.9123395073119633</v>
      </c>
      <c r="EC67" s="21">
        <f>EXP(-LN(2)/2)*EC66+(1-EXP(-LN(2)/2))/(LN(2)/2)*DW67*DZ67*VLOOKUP('Données projet'!$B$14,Paramètres!$A$1:$I$89,3,0)*0.475*44/12</f>
        <v>1.8816239711809391E-4</v>
      </c>
      <c r="ED67" s="22">
        <f t="shared" si="18"/>
        <v>7.3753347253322241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13.7</v>
      </c>
      <c r="EJ67" s="12">
        <f>IF('Données projet'!$A$192&gt;35,EJ66+EI67-ER66,IF(A67&lt;'Données projet'!$A$192,$EG$205^A67,IF(A67='Données projet'!$A$192,'Données projet'!$B$192,EJ66+EI67-ER66)))</f>
        <v>726.8000000000003</v>
      </c>
      <c r="EK67" s="17">
        <f>EJ67*VLOOKUP('Données projet'!$B$15,Paramètres!$A$1:$I$89,3,0)*VLOOKUP('Données projet'!$B$15,Paramètres!$A$1:$I$89,5,0)</f>
        <v>321.24560000000014</v>
      </c>
      <c r="EL67" s="13">
        <f t="shared" si="45"/>
        <v>75.612466338309915</v>
      </c>
      <c r="EM67" s="20">
        <f t="shared" si="19"/>
        <v>691.19446553922319</v>
      </c>
      <c r="EN67" s="59">
        <f t="shared" si="20"/>
        <v>984.52779887255656</v>
      </c>
      <c r="EO67" s="59">
        <f ca="1">AVERAGE(OFFSET($EN$3,0,0,'Données projet'!$E$15+1,1))-AVERAGE(OFFSET($H$3,0,0,'Données projet'!$E$15+1,1))</f>
        <v>335.27356627949155</v>
      </c>
      <c r="EP67" s="59">
        <f t="shared" si="46"/>
        <v>322.66829503077247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10.893739237121649</v>
      </c>
      <c r="EX67" s="21">
        <f>EXP(-LN(2)/2)*EX66+(1-EXP(-LN(2)/2))/(LN(2)/2)*ER67*EU67*VLOOKUP('Données projet'!$B$15,Paramètres!$A$1:$I$89,3,0)*0.475*44/12</f>
        <v>2.699519642195473E-4</v>
      </c>
      <c r="EY67" s="22">
        <f t="shared" si="21"/>
        <v>10.894009189085867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8.5</v>
      </c>
      <c r="N68" s="13">
        <f>IF('Données projet'!$A$36&gt;35,N67+M68-V67,IF(A68&lt;'Données projet'!$A$36,$K$205^A68,IF(A68='Données projet'!$A$36,'Données projet'!$B$36,N67+M68-V67)))</f>
        <v>287.5</v>
      </c>
      <c r="O68" s="13">
        <f>N68*VLOOKUP('Données projet'!$B$9,Paramètres!$A$1:$I$89,3,0)*VLOOKUP('Données projet'!$B$9,Paramètres!$A$1:$I$89,5,0)</f>
        <v>260.13</v>
      </c>
      <c r="P68" s="13">
        <f t="shared" si="33"/>
        <v>62.750087896510983</v>
      </c>
      <c r="Q68" s="20">
        <f t="shared" si="54"/>
        <v>562.34948641975654</v>
      </c>
      <c r="R68" s="59">
        <f t="shared" si="55"/>
        <v>855.68281975308992</v>
      </c>
      <c r="S68" s="59">
        <f ca="1">AVERAGE(OFFSET($R$3,0,0,'Données projet'!$E$9+1,1))-AVERAGE(OFFSET($H$3,0,0,'Données projet'!$E$9+1,1))</f>
        <v>319.18811755575183</v>
      </c>
      <c r="T68" s="59">
        <f t="shared" si="34"/>
        <v>234.87694492493506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1.2042764376793</v>
      </c>
      <c r="AA68" s="21">
        <f>EXP(-LN(2)/25)*AA67+(1-EXP(-LN(2)/25))/(LN(2)/25)*Calculateur!V68*Calculateur!X68*VLOOKUP('Données projet'!$B$9,Paramètres!$A$1:$I$89,3,0)*0.475*44/12</f>
        <v>4.2753886916452455</v>
      </c>
      <c r="AB68" s="21">
        <f>EXP(-LN(2)/2)*AB67+(1-EXP(-LN(2)/2))/(LN(2)/2)*V68*Y68*VLOOKUP('Données projet'!$B$9,Paramètres!$A$1:$I$89,3,0)*0.475*44/12</f>
        <v>1.1627586815008689E-4</v>
      </c>
      <c r="AC68" s="22">
        <f t="shared" ref="AC68:AC131" si="57">SUM(Z68:AB68)</f>
        <v>5.4797814051926954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5.6</v>
      </c>
      <c r="AI68" s="13">
        <f>IF('Données projet'!$A$62&gt;35,AI67+AH68-AQ67,IF(A68&lt;'Données projet'!$A$62,$AF$205^A68,IF(A68='Données projet'!$A$62,'Données projet'!$B$62,AI67+AH68-AQ67)))</f>
        <v>353.99999999999989</v>
      </c>
      <c r="AJ68" s="13">
        <f>AI68*VLOOKUP('Données projet'!$B$10,Paramètres!$A$1:$I$89,3,0)*VLOOKUP('Données projet'!$B$10,Paramètres!$A$1:$I$89,5,0)</f>
        <v>281.6423999999999</v>
      </c>
      <c r="AK68" s="13">
        <f t="shared" si="35"/>
        <v>67.313976982444089</v>
      </c>
      <c r="AL68" s="20">
        <f t="shared" ref="AL68:AL131" si="58">(AJ68+AK68)*0.475*44/12</f>
        <v>607.76568991108991</v>
      </c>
      <c r="AM68" s="59">
        <f t="shared" ref="AM68:AM131" si="59">AL68+(AD68+AE68)*44/12</f>
        <v>901.09902324442328</v>
      </c>
      <c r="AN68" s="59">
        <f ca="1">AVERAGE(OFFSET($AM$3,0,0,'Données projet'!$E$10+1,1))-AVERAGE(OFFSET($H$3,0,0,'Données projet'!$E$10+1,1))</f>
        <v>314.94704727988847</v>
      </c>
      <c r="AO68" s="59">
        <f t="shared" si="36"/>
        <v>366.49199094166454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1.957794232786978</v>
      </c>
      <c r="AV68" s="21">
        <f>EXP(-LN(2)/25)*AV67+(1-EXP(-LN(2)/25))/(LN(2)/25)*Calculateur!AQ68*Calculateur!AS68*VLOOKUP('Données projet'!$B$10,Paramètres!$A$1:$I$89,3,0)*0.475*44/12</f>
        <v>9.627412110543311</v>
      </c>
      <c r="AW68" s="21">
        <f>EXP(-LN(2)/2)*AW67+(1-EXP(-LN(2)/2))/(LN(2)/2)*AQ68*AT68*VLOOKUP('Données projet'!$B$10,Paramètres!$A$1:$I$89,3,0)*0.475*44/12</f>
        <v>1.5574365962166357E-4</v>
      </c>
      <c r="AX68" s="21">
        <f t="shared" ref="AX68:AX131" si="60">SUM(AU68:AW68)</f>
        <v>11.58536208698991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5.6</v>
      </c>
      <c r="BD68" s="12">
        <f>IF('Données projet'!$A$88&gt;35,BD67+BC68-BL67,IF(A68&lt;'Données projet'!$A$88,$BA$205^A68,IF(A68='Données projet'!$A$88,'Données projet'!$B$88,BD67+BC68-BL67)))</f>
        <v>353.99999999999989</v>
      </c>
      <c r="BE68" s="13">
        <f>BD68*VLOOKUP('Données projet'!$B$11,Paramètres!$A$1:$I$89,3,0)*VLOOKUP('Données projet'!$B$11,Paramètres!$A$1:$I$89,5,0)</f>
        <v>231.94079999999994</v>
      </c>
      <c r="BF68" s="13">
        <f t="shared" si="37"/>
        <v>56.702122420175449</v>
      </c>
      <c r="BG68" s="20">
        <f t="shared" ref="BG68:BG131" si="61">(BE68+BF68)*0.475*44/12</f>
        <v>502.71975654847216</v>
      </c>
      <c r="BH68" s="59">
        <f t="shared" ref="BH68:BH131" si="62">BG68+(AY68+AZ68)*44/12</f>
        <v>796.05308988180548</v>
      </c>
      <c r="BI68" s="59">
        <f ca="1">AVERAGE(OFFSET($BH$3,0,0,'Données projet'!$E$11+1,1))-AVERAGE(OFFSET($H$3,0,0,'Données projet'!$E$11+1,1))</f>
        <v>246.64951465060813</v>
      </c>
      <c r="BJ68" s="59">
        <f t="shared" si="38"/>
        <v>292.64550285216865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1.3080933719619985</v>
      </c>
      <c r="BQ68" s="21">
        <f>EXP(-LN(2)/25)*BQ67+(1-EXP(-LN(2)/25))/(LN(2)/25)*Calculateur!BL68*Calculateur!BN68*VLOOKUP('Données projet'!$B$11,Paramètres!$A$1:$I$89,3,0)*0.475*44/12</f>
        <v>6.4325217431155037</v>
      </c>
      <c r="BR68" s="21">
        <f>EXP(-LN(2)/2)*BR67+(1-EXP(-LN(2)/2))/(LN(2)/2)*BL68*BO68*VLOOKUP('Données projet'!$B$11,Paramètres!$A$1:$I$89,3,0)*0.475*44/12</f>
        <v>1.2825948439431118E-4</v>
      </c>
      <c r="BS68" s="22">
        <f t="shared" ref="BS68:BS131" si="63">SUM(BP68:BR68)</f>
        <v>7.7407433745618963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5.6</v>
      </c>
      <c r="BY68" s="12">
        <f>IF('Données projet'!$A$114&gt;35,BY67+BX68-CG67,IF(A68&lt;'Données projet'!$A$114,$BV$205^A68,IF(A68='Données projet'!$A$114,'Données projet'!$B$114,BY67+BX68-CG67)))</f>
        <v>353.99999999999989</v>
      </c>
      <c r="BZ68" s="13">
        <f>BY68*VLOOKUP('Données projet'!$B$12,Paramètres!$A$1:$I$89,3,0)*VLOOKUP('Données projet'!$B$12,Paramètres!$A$1:$I$89,5,0)</f>
        <v>237.46319999999992</v>
      </c>
      <c r="CA68" s="13">
        <f t="shared" si="39"/>
        <v>57.893388511347652</v>
      </c>
      <c r="CB68" s="20">
        <f t="shared" ref="CB68:CB131" si="64">(BZ68+CA68)*0.475*44/12</f>
        <v>514.41272499059698</v>
      </c>
      <c r="CC68" s="59">
        <f t="shared" ref="CC68:CC131" si="65">CB68+(BT68+BU68)*44/12</f>
        <v>807.74605832393036</v>
      </c>
      <c r="CD68" s="59">
        <f ca="1">AVERAGE(OFFSET($CC$3,0,0,'Données projet'!$E$12+1,1))-AVERAGE(OFFSET($H$3,0,0,'Données projet'!$E$12+1,1))</f>
        <v>254.25222107710192</v>
      </c>
      <c r="CE68" s="59">
        <f t="shared" si="40"/>
        <v>300.86609173447573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1.6506892550949024</v>
      </c>
      <c r="CL68" s="21">
        <f>EXP(-LN(2)/25)*CL67+(1-EXP(-LN(2)/25))/(LN(2)/25)*Calculateur!CG68*Calculateur!CI68*VLOOKUP('Données projet'!$B$12,Paramètres!$A$1:$I$89,3,0)*0.475*44/12</f>
        <v>8.1172298186933762</v>
      </c>
      <c r="CM68" s="21">
        <f>EXP(-LN(2)/2)*CM67+(1-EXP(-LN(2)/2))/(LN(2)/2)*CG68*CJ68*VLOOKUP('Données projet'!$B$12,Paramètres!$A$1:$I$89,3,0)*0.475*44/12</f>
        <v>1.3131328164179485E-4</v>
      </c>
      <c r="CN68" s="22">
        <f t="shared" ref="CN68:CN131" si="66">SUM(CK68:CM68)</f>
        <v>9.7680503870699198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5.6</v>
      </c>
      <c r="CT68" s="12">
        <f>IF('Données projet'!$A$140&gt;35,CT67+CS68-DB67,IF(A68&lt;'Données projet'!$A$140,$CQ$205^A68,IF(A68='Données projet'!$A$140,'Données projet'!$B$140,CT67+CS68-DB67)))</f>
        <v>243.99999999999994</v>
      </c>
      <c r="CU68" s="17">
        <f>CT68*VLOOKUP('Données projet'!$B$13,Paramètres!$A$1:$I$89,3,0)*VLOOKUP('Données projet'!$B$13,Paramètres!$A$1:$I$89,5,0)</f>
        <v>213.15839999999997</v>
      </c>
      <c r="CV68" s="13">
        <f t="shared" si="41"/>
        <v>52.62517477463237</v>
      </c>
      <c r="CW68" s="20">
        <f t="shared" ref="CW68:CW131" si="67">(CU68+CV68)*0.475*44/12</f>
        <v>462.90639273248468</v>
      </c>
      <c r="CX68" s="59">
        <f t="shared" ref="CX68:CX131" si="68">CW68+(CO68+CP68)*44/12</f>
        <v>756.23972606581799</v>
      </c>
      <c r="CY68" s="59">
        <f ca="1">AVERAGE(OFFSET($CX$3,0,0,'Données projet'!$E$13+1,1))-AVERAGE(OFFSET($H$3,0,0,'Données projet'!$E$13+1,1))</f>
        <v>243.38048563215585</v>
      </c>
      <c r="CZ68" s="59">
        <f t="shared" si="42"/>
        <v>372.1604147006675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3.6543560867509797</v>
      </c>
      <c r="DG68" s="21">
        <f>EXP(-LN(2)/25)*DG67+(1-EXP(-LN(2)/25))/(LN(2)/25)*Calculateur!DB68*Calculateur!DD68*VLOOKUP('Données projet'!$B$13,Paramètres!$A$1:$I$89,3,0)*0.475*44/12</f>
        <v>7.3369884243644714</v>
      </c>
      <c r="DH68" s="21">
        <f>EXP(-LN(2)/2)*DH67+(1-EXP(-LN(2)/2))/(LN(2)/2)*DB68*DE68*VLOOKUP('Données projet'!$B$13,Paramètres!$A$1:$I$89,3,0)*0.475*44/12</f>
        <v>1.5814813467177123E-4</v>
      </c>
      <c r="DI68" s="22">
        <f t="shared" ref="DI68:DI131" si="69">SUM(DF68:DH68)</f>
        <v>10.991502659250122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12.8</v>
      </c>
      <c r="DO68" s="12">
        <f>IF('Données projet'!$A$166&gt;35,DO67+DN68-DW67,IF(A68&lt;'Données projet'!$A$166,$DL$205^A68,IF(A68='Données projet'!$A$166,'Données projet'!$B$166,DO67+DN68-DW67)))</f>
        <v>424</v>
      </c>
      <c r="DP68" s="17">
        <f>DO68*VLOOKUP('Données projet'!$B$14,Paramètres!$A$1:$I$89,3,0)*VLOOKUP('Données projet'!$B$14,Paramètres!$A$1:$I$89,5,0)</f>
        <v>242.52800000000002</v>
      </c>
      <c r="DQ68" s="13">
        <f t="shared" si="43"/>
        <v>58.983109857359402</v>
      </c>
      <c r="DR68" s="20">
        <f t="shared" ref="DR68:DR131" si="70">(DP68+DQ68)*0.475*44/12</f>
        <v>525.13184966823439</v>
      </c>
      <c r="DS68" s="59">
        <f t="shared" ref="DS68:DS131" si="71">DR68+(DJ68+DK68)*44/12</f>
        <v>818.46518300156777</v>
      </c>
      <c r="DT68" s="59">
        <f ca="1">AVERAGE(OFFSET($DS$3,0,0,'Données projet'!$E$14+1,1))-AVERAGE(OFFSET($H$3,0,0,'Données projet'!$E$14+1,1))</f>
        <v>227.99747790451215</v>
      </c>
      <c r="DU68" s="59">
        <f t="shared" si="44"/>
        <v>209.49597700966933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1.434122301486576</v>
      </c>
      <c r="EB68" s="21">
        <f>EXP(-LN(2)/25)*EB67+(1-EXP(-LN(2)/25))/(LN(2)/25)*Calculateur!DW68*Calculateur!DY68*VLOOKUP('Données projet'!$B$14,Paramètres!$A$1:$I$89,3,0)*0.475*44/12</f>
        <v>5.7506662725680959</v>
      </c>
      <c r="EC68" s="21">
        <f>EXP(-LN(2)/2)*EC67+(1-EXP(-LN(2)/2))/(LN(2)/2)*DW68*DZ68*VLOOKUP('Données projet'!$B$14,Paramètres!$A$1:$I$89,3,0)*0.475*44/12</f>
        <v>1.3305090696652029E-4</v>
      </c>
      <c r="ED68" s="22">
        <f t="shared" ref="ED68:ED131" si="72">SUM(EA68:EC68)</f>
        <v>7.1849216249616381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13.7</v>
      </c>
      <c r="EJ68" s="12">
        <f>IF('Données projet'!$A$192&gt;35,EJ67+EI68-ER67,IF(A68&lt;'Données projet'!$A$192,$EG$205^A68,IF(A68='Données projet'!$A$192,'Données projet'!$B$192,EJ67+EI68-ER67)))</f>
        <v>740.50000000000034</v>
      </c>
      <c r="EK68" s="17">
        <f>EJ68*VLOOKUP('Données projet'!$B$15,Paramètres!$A$1:$I$89,3,0)*VLOOKUP('Données projet'!$B$15,Paramètres!$A$1:$I$89,5,0)</f>
        <v>327.30100000000016</v>
      </c>
      <c r="EL68" s="13">
        <f t="shared" si="45"/>
        <v>76.870468437864261</v>
      </c>
      <c r="EM68" s="20">
        <f t="shared" ref="EM68:EM131" si="73">(EK68+EL68)*0.475*44/12</f>
        <v>703.93197419594719</v>
      </c>
      <c r="EN68" s="59">
        <f t="shared" ref="EN68:EN131" si="74">EM68+(EE68+EF68)*44/12</f>
        <v>997.26530752928056</v>
      </c>
      <c r="EO68" s="59">
        <f ca="1">AVERAGE(OFFSET($EN$3,0,0,'Données projet'!$E$15+1,1))-AVERAGE(OFFSET($H$3,0,0,'Données projet'!$E$15+1,1))</f>
        <v>335.27356627949155</v>
      </c>
      <c r="EP68" s="59">
        <f t="shared" si="46"/>
        <v>322.66829503077247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10.595849364805709</v>
      </c>
      <c r="EX68" s="21">
        <f>EXP(-LN(2)/2)*EX67+(1-EXP(-LN(2)/2))/(LN(2)/2)*ER68*EU68*VLOOKUP('Données projet'!$B$15,Paramètres!$A$1:$I$89,3,0)*0.475*44/12</f>
        <v>1.9088486449427014E-4</v>
      </c>
      <c r="EY68" s="22">
        <f t="shared" ref="EY68:EY131" si="75">SUM(EV68:EX68)</f>
        <v>10.596040249670203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8.5</v>
      </c>
      <c r="N69" s="13">
        <f>IF('Données projet'!$A$36&gt;35,N68+M69-V68,IF(A69&lt;'Données projet'!$A$36,$K$205^A69,IF(A69='Données projet'!$A$36,'Données projet'!$B$36,N68+M69-V68)))</f>
        <v>296</v>
      </c>
      <c r="O69" s="13">
        <f>N69*VLOOKUP('Données projet'!$B$9,Paramètres!$A$1:$I$89,3,0)*VLOOKUP('Données projet'!$B$9,Paramètres!$A$1:$I$89,5,0)</f>
        <v>267.82079999999996</v>
      </c>
      <c r="P69" s="13">
        <f t="shared" ref="P69:P132" si="87">EXP(-1.0587+0.8836*LN(O69)+0.284)</f>
        <v>64.386570147897302</v>
      </c>
      <c r="Q69" s="20">
        <f t="shared" si="54"/>
        <v>578.59450300758772</v>
      </c>
      <c r="R69" s="59">
        <f t="shared" si="55"/>
        <v>871.92783634092098</v>
      </c>
      <c r="S69" s="59">
        <f ca="1">AVERAGE(OFFSET($R$3,0,0,'Données projet'!$E$9+1,1))-AVERAGE(OFFSET($H$3,0,0,'Données projet'!$E$9+1,1))</f>
        <v>319.18811755575183</v>
      </c>
      <c r="T69" s="59">
        <f t="shared" ref="T69:T132" si="88">$T$3</f>
        <v>234.87694492493506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1.1806613112725066</v>
      </c>
      <c r="AA69" s="21">
        <f>EXP(-LN(2)/25)*AA68+(1-EXP(-LN(2)/25))/(LN(2)/25)*Calculateur!V69*Calculateur!X69*VLOOKUP('Données projet'!$B$9,Paramètres!$A$1:$I$89,3,0)*0.475*44/12</f>
        <v>4.1584779630392861</v>
      </c>
      <c r="AB69" s="21">
        <f>EXP(-LN(2)/2)*AB68+(1-EXP(-LN(2)/2))/(LN(2)/2)*V69*Y69*VLOOKUP('Données projet'!$B$9,Paramètres!$A$1:$I$89,3,0)*0.475*44/12</f>
        <v>8.2219454857279344E-5</v>
      </c>
      <c r="AC69" s="22">
        <f t="shared" si="57"/>
        <v>5.3392214937666491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5.6</v>
      </c>
      <c r="AI69" s="13">
        <f>IF('Données projet'!$A$62&gt;35,AI68+AH69-AQ68,IF(A69&lt;'Données projet'!$A$62,$AF$205^A69,IF(A69='Données projet'!$A$62,'Données projet'!$B$62,AI68+AH69-AQ68)))</f>
        <v>359.59999999999991</v>
      </c>
      <c r="AJ69" s="13">
        <f>AI69*VLOOKUP('Données projet'!$B$10,Paramètres!$A$1:$I$89,3,0)*VLOOKUP('Données projet'!$B$10,Paramètres!$A$1:$I$89,5,0)</f>
        <v>286.09775999999994</v>
      </c>
      <c r="AK69" s="13">
        <f t="shared" ref="AK69:AK132" si="89">EXP(-1.0587+0.8836*LN(AJ69)+0.284)</f>
        <v>68.254020651723678</v>
      </c>
      <c r="AL69" s="20">
        <f t="shared" si="58"/>
        <v>617.16268463508527</v>
      </c>
      <c r="AM69" s="59">
        <f t="shared" si="59"/>
        <v>910.49601796841853</v>
      </c>
      <c r="AN69" s="59">
        <f ca="1">AVERAGE(OFFSET($AM$3,0,0,'Données projet'!$E$10+1,1))-AVERAGE(OFFSET($H$3,0,0,'Données projet'!$E$10+1,1))</f>
        <v>314.94704727988847</v>
      </c>
      <c r="AO69" s="59">
        <f t="shared" ref="AO69:AO132" si="90">$AO$3</f>
        <v>366.49199094166454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1.9194030820185961</v>
      </c>
      <c r="AV69" s="21">
        <f>EXP(-LN(2)/25)*AV68+(1-EXP(-LN(2)/25))/(LN(2)/25)*Calculateur!AQ69*Calculateur!AS69*VLOOKUP('Données projet'!$B$10,Paramètres!$A$1:$I$89,3,0)*0.475*44/12</f>
        <v>9.3641500200969059</v>
      </c>
      <c r="AW69" s="21">
        <f>EXP(-LN(2)/2)*AW68+(1-EXP(-LN(2)/2))/(LN(2)/2)*AQ69*AT69*VLOOKUP('Données projet'!$B$10,Paramètres!$A$1:$I$89,3,0)*0.475*44/12</f>
        <v>1.101273978452878E-4</v>
      </c>
      <c r="AX69" s="21">
        <f t="shared" si="60"/>
        <v>11.283663229513346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5.6</v>
      </c>
      <c r="BD69" s="12">
        <f>IF('Données projet'!$A$88&gt;35,BD68+BC69-BL68,IF(A69&lt;'Données projet'!$A$88,$BA$205^A69,IF(A69='Données projet'!$A$88,'Données projet'!$B$88,BD68+BC69-BL68)))</f>
        <v>359.59999999999991</v>
      </c>
      <c r="BE69" s="13">
        <f>BD69*VLOOKUP('Données projet'!$B$11,Paramètres!$A$1:$I$89,3,0)*VLOOKUP('Données projet'!$B$11,Paramètres!$A$1:$I$89,5,0)</f>
        <v>235.60991999999993</v>
      </c>
      <c r="BF69" s="13">
        <f t="shared" ref="BF69:BF132" si="91">EXP(-1.0587+0.8836*LN(BE69)+0.284)</f>
        <v>57.493970912943901</v>
      </c>
      <c r="BG69" s="20">
        <f t="shared" si="61"/>
        <v>510.48927667337716</v>
      </c>
      <c r="BH69" s="59">
        <f t="shared" si="62"/>
        <v>803.82261000671042</v>
      </c>
      <c r="BI69" s="59">
        <f ca="1">AVERAGE(OFFSET($BH$3,0,0,'Données projet'!$E$11+1,1))-AVERAGE(OFFSET($H$3,0,0,'Données projet'!$E$11+1,1))</f>
        <v>246.64951465060813</v>
      </c>
      <c r="BJ69" s="59">
        <f t="shared" ref="BJ69:BJ132" si="92">$BJ$3</f>
        <v>292.64550285216865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1.2824424587959986</v>
      </c>
      <c r="BQ69" s="21">
        <f>EXP(-LN(2)/25)*BQ68+(1-EXP(-LN(2)/25))/(LN(2)/25)*Calculateur!BL69*Calculateur!BN69*VLOOKUP('Données projet'!$B$11,Paramètres!$A$1:$I$89,3,0)*0.475*44/12</f>
        <v>6.2566240977783938</v>
      </c>
      <c r="BR69" s="21">
        <f>EXP(-LN(2)/2)*BR68+(1-EXP(-LN(2)/2))/(LN(2)/2)*BL69*BO69*VLOOKUP('Données projet'!$B$11,Paramètres!$A$1:$I$89,3,0)*0.475*44/12</f>
        <v>9.0693151166707604E-5</v>
      </c>
      <c r="BS69" s="22">
        <f t="shared" si="63"/>
        <v>7.5391572497255588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5.6</v>
      </c>
      <c r="BY69" s="12">
        <f>IF('Données projet'!$A$114&gt;35,BY68+BX69-CG68,IF(A69&lt;'Données projet'!$A$114,$BV$205^A69,IF(A69='Données projet'!$A$114,'Données projet'!$B$114,BY68+BX69-CG68)))</f>
        <v>359.59999999999991</v>
      </c>
      <c r="BZ69" s="13">
        <f>BY69*VLOOKUP('Données projet'!$B$12,Paramètres!$A$1:$I$89,3,0)*VLOOKUP('Données projet'!$B$12,Paramètres!$A$1:$I$89,5,0)</f>
        <v>241.21967999999995</v>
      </c>
      <c r="CA69" s="13">
        <f t="shared" ref="CA69:CA132" si="93">EXP(-1.0587+0.8836*LN(BZ69)+0.284)</f>
        <v>58.701873105526744</v>
      </c>
      <c r="CB69" s="20">
        <f t="shared" si="64"/>
        <v>522.36337165879229</v>
      </c>
      <c r="CC69" s="59">
        <f t="shared" si="65"/>
        <v>815.69670499212566</v>
      </c>
      <c r="CD69" s="59">
        <f ca="1">AVERAGE(OFFSET($CC$3,0,0,'Données projet'!$E$12+1,1))-AVERAGE(OFFSET($H$3,0,0,'Données projet'!$E$12+1,1))</f>
        <v>254.25222107710192</v>
      </c>
      <c r="CE69" s="59">
        <f t="shared" ref="CE69:CE132" si="94">$CE$3</f>
        <v>300.86609173447573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1.6183202456235217</v>
      </c>
      <c r="CL69" s="21">
        <f>EXP(-LN(2)/25)*CL68+(1-EXP(-LN(2)/25))/(LN(2)/25)*Calculateur!CG69*Calculateur!CI69*VLOOKUP('Données projet'!$B$12,Paramètres!$A$1:$I$89,3,0)*0.475*44/12</f>
        <v>7.8952637424346417</v>
      </c>
      <c r="CM69" s="21">
        <f>EXP(-LN(2)/2)*CM68+(1-EXP(-LN(2)/2))/(LN(2)/2)*CG69*CJ69*VLOOKUP('Données projet'!$B$12,Paramètres!$A$1:$I$89,3,0)*0.475*44/12</f>
        <v>9.2852511908772124E-5</v>
      </c>
      <c r="CN69" s="22">
        <f t="shared" si="66"/>
        <v>9.5136768405700725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5.6</v>
      </c>
      <c r="CT69" s="12">
        <f>IF('Données projet'!$A$140&gt;35,CT68+CS69-DB68,IF(A69&lt;'Données projet'!$A$140,$CQ$205^A69,IF(A69='Données projet'!$A$140,'Données projet'!$B$140,CT68+CS69-DB68)))</f>
        <v>249.59999999999994</v>
      </c>
      <c r="CU69" s="17">
        <f>CT69*VLOOKUP('Données projet'!$B$13,Paramètres!$A$1:$I$89,3,0)*VLOOKUP('Données projet'!$B$13,Paramètres!$A$1:$I$89,5,0)</f>
        <v>218.05055999999999</v>
      </c>
      <c r="CV69" s="13">
        <f t="shared" ref="CV69:CV132" si="95">EXP(-1.0587+0.8836*LN(CU69)+0.284)</f>
        <v>53.690965335220028</v>
      </c>
      <c r="CW69" s="20">
        <f t="shared" si="67"/>
        <v>473.28315662550813</v>
      </c>
      <c r="CX69" s="59">
        <f t="shared" si="68"/>
        <v>766.61648995884138</v>
      </c>
      <c r="CY69" s="59">
        <f ca="1">AVERAGE(OFFSET($CX$3,0,0,'Données projet'!$E$13+1,1))-AVERAGE(OFFSET($H$3,0,0,'Données projet'!$E$13+1,1))</f>
        <v>243.38048563215585</v>
      </c>
      <c r="CZ69" s="59">
        <f t="shared" ref="CZ69:CZ132" si="96">$CZ$3</f>
        <v>372.1604147006675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3.5826963928269167</v>
      </c>
      <c r="DG69" s="21">
        <f>EXP(-LN(2)/25)*DG68+(1-EXP(-LN(2)/25))/(LN(2)/25)*Calculateur!DB69*Calculateur!DD69*VLOOKUP('Données projet'!$B$13,Paramètres!$A$1:$I$89,3,0)*0.475*44/12</f>
        <v>7.136358090064773</v>
      </c>
      <c r="DH69" s="21">
        <f>EXP(-LN(2)/2)*DH68+(1-EXP(-LN(2)/2))/(LN(2)/2)*DB69*DE69*VLOOKUP('Données projet'!$B$13,Paramètres!$A$1:$I$89,3,0)*0.475*44/12</f>
        <v>1.1182761845841279E-4</v>
      </c>
      <c r="DI69" s="22">
        <f t="shared" si="69"/>
        <v>10.719166310510147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12.8</v>
      </c>
      <c r="DO69" s="12">
        <f>IF('Données projet'!$A$166&gt;35,DO68+DN69-DW68,IF(A69&lt;'Données projet'!$A$166,$DL$205^A69,IF(A69='Données projet'!$A$166,'Données projet'!$B$166,DO68+DN69-DW68)))</f>
        <v>436.8</v>
      </c>
      <c r="DP69" s="17">
        <f>DO69*VLOOKUP('Données projet'!$B$14,Paramètres!$A$1:$I$89,3,0)*VLOOKUP('Données projet'!$B$14,Paramètres!$A$1:$I$89,5,0)</f>
        <v>249.84960000000001</v>
      </c>
      <c r="DQ69" s="13">
        <f t="shared" ref="DQ69:DQ132" si="97">EXP(-1.0587+0.8836*LN(DP69)+0.284)</f>
        <v>60.553733828081292</v>
      </c>
      <c r="DR69" s="20">
        <f t="shared" si="70"/>
        <v>540.61913975057496</v>
      </c>
      <c r="DS69" s="59">
        <f t="shared" si="71"/>
        <v>833.95247308390822</v>
      </c>
      <c r="DT69" s="59">
        <f ca="1">AVERAGE(OFFSET($DS$3,0,0,'Données projet'!$E$14+1,1))-AVERAGE(OFFSET($H$3,0,0,'Données projet'!$E$14+1,1))</f>
        <v>227.99747790451215</v>
      </c>
      <c r="DU69" s="59">
        <f t="shared" ref="DU69:DU132" si="98">$DU$3</f>
        <v>209.49597700966933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1.406000037882656</v>
      </c>
      <c r="EB69" s="21">
        <f>EXP(-LN(2)/25)*EB68+(1-EXP(-LN(2)/25))/(LN(2)/25)*Calculateur!DW69*Calculateur!DY69*VLOOKUP('Données projet'!$B$14,Paramètres!$A$1:$I$89,3,0)*0.475*44/12</f>
        <v>5.5934140009303253</v>
      </c>
      <c r="EC69" s="21">
        <f>EXP(-LN(2)/2)*EC68+(1-EXP(-LN(2)/2))/(LN(2)/2)*DW69*DZ69*VLOOKUP('Données projet'!$B$14,Paramètres!$A$1:$I$89,3,0)*0.475*44/12</f>
        <v>9.4081198559046954E-5</v>
      </c>
      <c r="ED69" s="22">
        <f t="shared" si="72"/>
        <v>6.9995081200115399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13.7</v>
      </c>
      <c r="EJ69" s="12">
        <f>IF('Données projet'!$A$192&gt;35,EJ68+EI69-ER68,IF(A69&lt;'Données projet'!$A$192,$EG$205^A69,IF(A69='Données projet'!$A$192,'Données projet'!$B$192,EJ68+EI69-ER68)))</f>
        <v>754.20000000000039</v>
      </c>
      <c r="EK69" s="17">
        <f>EJ69*VLOOKUP('Données projet'!$B$15,Paramètres!$A$1:$I$89,3,0)*VLOOKUP('Données projet'!$B$15,Paramètres!$A$1:$I$89,5,0)</f>
        <v>333.35640000000024</v>
      </c>
      <c r="EL69" s="13">
        <f t="shared" ref="EL69:EL132" si="99">EXP(-1.0587+0.8836*LN(EK69)+0.284)</f>
        <v>78.125764159158024</v>
      </c>
      <c r="EM69" s="20">
        <f t="shared" si="73"/>
        <v>716.66476924386734</v>
      </c>
      <c r="EN69" s="59">
        <f t="shared" si="74"/>
        <v>1009.9981025772006</v>
      </c>
      <c r="EO69" s="59">
        <f ca="1">AVERAGE(OFFSET($EN$3,0,0,'Données projet'!$E$15+1,1))-AVERAGE(OFFSET($H$3,0,0,'Données projet'!$E$15+1,1))</f>
        <v>335.27356627949155</v>
      </c>
      <c r="EP69" s="59">
        <f t="shared" ref="EP69:EP132" si="100">$EP$3</f>
        <v>322.66829503077247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10.306105306713595</v>
      </c>
      <c r="EX69" s="21">
        <f>EXP(-LN(2)/2)*EX68+(1-EXP(-LN(2)/2))/(LN(2)/2)*ER69*EU69*VLOOKUP('Données projet'!$B$15,Paramètres!$A$1:$I$89,3,0)*0.475*44/12</f>
        <v>1.3497598210977365E-4</v>
      </c>
      <c r="EY69" s="22">
        <f t="shared" si="75"/>
        <v>10.306240282695706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8.5</v>
      </c>
      <c r="N70" s="13">
        <f>IF('Données projet'!$A$36&gt;35,N69+M70-V69,IF(A70&lt;'Données projet'!$A$36,$K$205^A70,IF(A70='Données projet'!$A$36,'Données projet'!$B$36,N69+M70-V69)))</f>
        <v>304.5</v>
      </c>
      <c r="O70" s="13">
        <f>N70*VLOOKUP('Données projet'!$B$9,Paramètres!$A$1:$I$89,3,0)*VLOOKUP('Données projet'!$B$9,Paramètres!$A$1:$I$89,5,0)</f>
        <v>275.51159999999999</v>
      </c>
      <c r="P70" s="13">
        <f t="shared" si="87"/>
        <v>66.017590685458188</v>
      </c>
      <c r="Q70" s="20">
        <f t="shared" si="54"/>
        <v>594.83000711050624</v>
      </c>
      <c r="R70" s="59">
        <f t="shared" si="55"/>
        <v>888.16334044383962</v>
      </c>
      <c r="S70" s="59">
        <f ca="1">AVERAGE(OFFSET($R$3,0,0,'Données projet'!$E$9+1,1))-AVERAGE(OFFSET($H$3,0,0,'Données projet'!$E$9+1,1))</f>
        <v>319.18811755575183</v>
      </c>
      <c r="T70" s="59">
        <f t="shared" si="88"/>
        <v>234.87694492493506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1.1575092630907455</v>
      </c>
      <c r="AA70" s="21">
        <f>EXP(-LN(2)/25)*AA69+(1-EXP(-LN(2)/25))/(LN(2)/25)*Calculateur!V70*Calculateur!X70*VLOOKUP('Données projet'!$B$9,Paramètres!$A$1:$I$89,3,0)*0.475*44/12</f>
        <v>4.0447641644551249</v>
      </c>
      <c r="AB70" s="21">
        <f>EXP(-LN(2)/2)*AB69+(1-EXP(-LN(2)/2))/(LN(2)/2)*V70*Y70*VLOOKUP('Données projet'!$B$9,Paramètres!$A$1:$I$89,3,0)*0.475*44/12</f>
        <v>5.8137934075043451E-5</v>
      </c>
      <c r="AC70" s="22">
        <f t="shared" si="57"/>
        <v>5.2023315654799456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5.6</v>
      </c>
      <c r="AI70" s="13">
        <f>IF('Données projet'!$A$62&gt;35,AI69+AH70-AQ69,IF(A70&lt;'Données projet'!$A$62,$AF$205^A70,IF(A70='Données projet'!$A$62,'Données projet'!$B$62,AI69+AH70-AQ69)))</f>
        <v>365.19999999999993</v>
      </c>
      <c r="AJ70" s="13">
        <f>AI70*VLOOKUP('Données projet'!$B$10,Paramètres!$A$1:$I$89,3,0)*VLOOKUP('Données projet'!$B$10,Paramètres!$A$1:$I$89,5,0)</f>
        <v>290.55311999999998</v>
      </c>
      <c r="AK70" s="13">
        <f t="shared" si="89"/>
        <v>69.192361792646295</v>
      </c>
      <c r="AL70" s="20">
        <f t="shared" si="58"/>
        <v>626.55671412219226</v>
      </c>
      <c r="AM70" s="59">
        <f t="shared" si="59"/>
        <v>919.89004745552552</v>
      </c>
      <c r="AN70" s="59">
        <f ca="1">AVERAGE(OFFSET($AM$3,0,0,'Données projet'!$E$10+1,1))-AVERAGE(OFFSET($H$3,0,0,'Données projet'!$E$10+1,1))</f>
        <v>314.94704727988847</v>
      </c>
      <c r="AO70" s="59">
        <f t="shared" si="90"/>
        <v>366.49199094166454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1.8817647583004924</v>
      </c>
      <c r="AV70" s="21">
        <f>EXP(-LN(2)/25)*AV69+(1-EXP(-LN(2)/25))/(LN(2)/25)*Calculateur!AQ70*Calculateur!AS70*VLOOKUP('Données projet'!$B$10,Paramètres!$A$1:$I$89,3,0)*0.475*44/12</f>
        <v>9.108086845358109</v>
      </c>
      <c r="AW70" s="21">
        <f>EXP(-LN(2)/2)*AW69+(1-EXP(-LN(2)/2))/(LN(2)/2)*AQ70*AT70*VLOOKUP('Données projet'!$B$10,Paramètres!$A$1:$I$89,3,0)*0.475*44/12</f>
        <v>7.7871829810831784E-5</v>
      </c>
      <c r="AX70" s="21">
        <f t="shared" si="60"/>
        <v>10.989929475488413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5.6</v>
      </c>
      <c r="BD70" s="12">
        <f>IF('Données projet'!$A$88&gt;35,BD69+BC70-BL69,IF(A70&lt;'Données projet'!$A$88,$BA$205^A70,IF(A70='Données projet'!$A$88,'Données projet'!$B$88,BD69+BC70-BL69)))</f>
        <v>365.19999999999993</v>
      </c>
      <c r="BE70" s="13">
        <f>BD70*VLOOKUP('Données projet'!$B$11,Paramètres!$A$1:$I$89,3,0)*VLOOKUP('Données projet'!$B$11,Paramètres!$A$1:$I$89,5,0)</f>
        <v>239.27903999999995</v>
      </c>
      <c r="BF70" s="13">
        <f t="shared" si="91"/>
        <v>58.284385276046542</v>
      </c>
      <c r="BG70" s="20">
        <f t="shared" si="61"/>
        <v>518.25629902244748</v>
      </c>
      <c r="BH70" s="59">
        <f t="shared" si="62"/>
        <v>811.58963235578085</v>
      </c>
      <c r="BI70" s="59">
        <f ca="1">AVERAGE(OFFSET($BH$3,0,0,'Données projet'!$E$11+1,1))-AVERAGE(OFFSET($H$3,0,0,'Données projet'!$E$11+1,1))</f>
        <v>246.64951465060813</v>
      </c>
      <c r="BJ70" s="59">
        <f t="shared" si="92"/>
        <v>292.64550285216865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1.2572945443916719</v>
      </c>
      <c r="BQ70" s="21">
        <f>EXP(-LN(2)/25)*BQ69+(1-EXP(-LN(2)/25))/(LN(2)/25)*Calculateur!BL70*Calculateur!BN70*VLOOKUP('Données projet'!$B$11,Paramètres!$A$1:$I$89,3,0)*0.475*44/12</f>
        <v>6.085536382803082</v>
      </c>
      <c r="BR70" s="21">
        <f>EXP(-LN(2)/2)*BR69+(1-EXP(-LN(2)/2))/(LN(2)/2)*BL70*BO70*VLOOKUP('Données projet'!$B$11,Paramètres!$A$1:$I$89,3,0)*0.475*44/12</f>
        <v>6.4129742197155591E-5</v>
      </c>
      <c r="BS70" s="22">
        <f t="shared" si="63"/>
        <v>7.3428950569369515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5.6</v>
      </c>
      <c r="BY70" s="12">
        <f>IF('Données projet'!$A$114&gt;35,BY69+BX70-CG69,IF(A70&lt;'Données projet'!$A$114,$BV$205^A70,IF(A70='Données projet'!$A$114,'Données projet'!$B$114,BY69+BX70-CG69)))</f>
        <v>365.19999999999993</v>
      </c>
      <c r="BZ70" s="13">
        <f>BY70*VLOOKUP('Données projet'!$B$12,Paramètres!$A$1:$I$89,3,0)*VLOOKUP('Données projet'!$B$12,Paramètres!$A$1:$I$89,5,0)</f>
        <v>244.97615999999996</v>
      </c>
      <c r="CA70" s="13">
        <f t="shared" si="93"/>
        <v>59.508893440126577</v>
      </c>
      <c r="CB70" s="20">
        <f t="shared" si="64"/>
        <v>530.31146807488699</v>
      </c>
      <c r="CC70" s="59">
        <f t="shared" si="65"/>
        <v>823.64480140822025</v>
      </c>
      <c r="CD70" s="59">
        <f ca="1">AVERAGE(OFFSET($CC$3,0,0,'Données projet'!$E$12+1,1))-AVERAGE(OFFSET($H$3,0,0,'Données projet'!$E$12+1,1))</f>
        <v>254.25222107710192</v>
      </c>
      <c r="CE70" s="59">
        <f t="shared" si="94"/>
        <v>300.86609173447573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1.5865859726847285</v>
      </c>
      <c r="CL70" s="21">
        <f>EXP(-LN(2)/25)*CL69+(1-EXP(-LN(2)/25))/(LN(2)/25)*Calculateur!CG70*Calculateur!CI70*VLOOKUP('Données projet'!$B$12,Paramètres!$A$1:$I$89,3,0)*0.475*44/12</f>
        <v>7.6793673402038909</v>
      </c>
      <c r="CM70" s="21">
        <f>EXP(-LN(2)/2)*CM69+(1-EXP(-LN(2)/2))/(LN(2)/2)*CG70*CJ70*VLOOKUP('Données projet'!$B$12,Paramètres!$A$1:$I$89,3,0)*0.475*44/12</f>
        <v>6.5656640820897427E-5</v>
      </c>
      <c r="CN70" s="22">
        <f t="shared" si="66"/>
        <v>9.2660189695294406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5.6</v>
      </c>
      <c r="CT70" s="12">
        <f>IF('Données projet'!$A$140&gt;35,CT69+CS70-DB69,IF(A70&lt;'Données projet'!$A$140,$CQ$205^A70,IF(A70='Données projet'!$A$140,'Données projet'!$B$140,CT69+CS70-DB69)))</f>
        <v>255.19999999999993</v>
      </c>
      <c r="CU70" s="17">
        <f>CT70*VLOOKUP('Données projet'!$B$13,Paramètres!$A$1:$I$89,3,0)*VLOOKUP('Données projet'!$B$13,Paramètres!$A$1:$I$89,5,0)</f>
        <v>222.94271999999998</v>
      </c>
      <c r="CV70" s="13">
        <f t="shared" si="95"/>
        <v>54.753975927514929</v>
      </c>
      <c r="CW70" s="20">
        <f t="shared" si="67"/>
        <v>483.65507874042174</v>
      </c>
      <c r="CX70" s="59">
        <f t="shared" si="68"/>
        <v>776.98841207375506</v>
      </c>
      <c r="CY70" s="59">
        <f ca="1">AVERAGE(OFFSET($CX$3,0,0,'Données projet'!$E$13+1,1))-AVERAGE(OFFSET($H$3,0,0,'Données projet'!$E$13+1,1))</f>
        <v>243.38048563215585</v>
      </c>
      <c r="CZ70" s="59">
        <f t="shared" si="96"/>
        <v>372.1604147006675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3.5124419017926072</v>
      </c>
      <c r="DG70" s="21">
        <f>EXP(-LN(2)/25)*DG69+(1-EXP(-LN(2)/25))/(LN(2)/25)*Calculateur!DB70*Calculateur!DD70*VLOOKUP('Données projet'!$B$13,Paramètres!$A$1:$I$89,3,0)*0.475*44/12</f>
        <v>6.9412140028071905</v>
      </c>
      <c r="DH70" s="21">
        <f>EXP(-LN(2)/2)*DH69+(1-EXP(-LN(2)/2))/(LN(2)/2)*DB70*DE70*VLOOKUP('Données projet'!$B$13,Paramètres!$A$1:$I$89,3,0)*0.475*44/12</f>
        <v>7.9074067335885615E-5</v>
      </c>
      <c r="DI70" s="22">
        <f t="shared" si="69"/>
        <v>10.453734978667134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12.8</v>
      </c>
      <c r="DO70" s="12">
        <f>IF('Données projet'!$A$166&gt;35,DO69+DN70-DW69,IF(A70&lt;'Données projet'!$A$166,$DL$205^A70,IF(A70='Données projet'!$A$166,'Données projet'!$B$166,DO69+DN70-DW69)))</f>
        <v>449.6</v>
      </c>
      <c r="DP70" s="17">
        <f>DO70*VLOOKUP('Données projet'!$B$14,Paramètres!$A$1:$I$89,3,0)*VLOOKUP('Données projet'!$B$14,Paramètres!$A$1:$I$89,5,0)</f>
        <v>257.1712</v>
      </c>
      <c r="DQ70" s="13">
        <f t="shared" si="97"/>
        <v>62.1190087353961</v>
      </c>
      <c r="DR70" s="20">
        <f t="shared" si="70"/>
        <v>556.09711354748151</v>
      </c>
      <c r="DS70" s="59">
        <f t="shared" si="71"/>
        <v>849.43044688081477</v>
      </c>
      <c r="DT70" s="59">
        <f ca="1">AVERAGE(OFFSET($DS$3,0,0,'Données projet'!$E$14+1,1))-AVERAGE(OFFSET($H$3,0,0,'Données projet'!$E$14+1,1))</f>
        <v>227.99747790451215</v>
      </c>
      <c r="DU70" s="59">
        <f t="shared" si="98"/>
        <v>209.49597700966933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1.3784292347151217</v>
      </c>
      <c r="EB70" s="21">
        <f>EXP(-LN(2)/25)*EB69+(1-EXP(-LN(2)/25))/(LN(2)/25)*Calculateur!DW70*Calculateur!DY70*VLOOKUP('Données projet'!$B$14,Paramètres!$A$1:$I$89,3,0)*0.475*44/12</f>
        <v>5.4404618009300272</v>
      </c>
      <c r="EC70" s="21">
        <f>EXP(-LN(2)/2)*EC69+(1-EXP(-LN(2)/2))/(LN(2)/2)*DW70*DZ70*VLOOKUP('Données projet'!$B$14,Paramètres!$A$1:$I$89,3,0)*0.475*44/12</f>
        <v>6.6525453483260144E-5</v>
      </c>
      <c r="ED70" s="22">
        <f t="shared" si="72"/>
        <v>6.8189575610986317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13.7</v>
      </c>
      <c r="EJ70" s="12">
        <f>IF('Données projet'!$A$192&gt;35,EJ69+EI70-ER69,IF(A70&lt;'Données projet'!$A$192,$EG$205^A70,IF(A70='Données projet'!$A$192,'Données projet'!$B$192,EJ69+EI70-ER69)))</f>
        <v>767.90000000000043</v>
      </c>
      <c r="EK70" s="17">
        <f>EJ70*VLOOKUP('Données projet'!$B$15,Paramètres!$A$1:$I$89,3,0)*VLOOKUP('Données projet'!$B$15,Paramètres!$A$1:$I$89,5,0)</f>
        <v>339.41180000000026</v>
      </c>
      <c r="EL70" s="13">
        <f t="shared" si="99"/>
        <v>79.378408333860875</v>
      </c>
      <c r="EM70" s="20">
        <f t="shared" si="73"/>
        <v>729.39294618147471</v>
      </c>
      <c r="EN70" s="59">
        <f t="shared" si="74"/>
        <v>1022.7262795148081</v>
      </c>
      <c r="EO70" s="59">
        <f ca="1">AVERAGE(OFFSET($EN$3,0,0,'Données projet'!$E$15+1,1))-AVERAGE(OFFSET($H$3,0,0,'Données projet'!$E$15+1,1))</f>
        <v>335.27356627949155</v>
      </c>
      <c r="EP70" s="59">
        <f t="shared" si="100"/>
        <v>322.66829503077247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10.024284315126989</v>
      </c>
      <c r="EX70" s="21">
        <f>EXP(-LN(2)/2)*EX69+(1-EXP(-LN(2)/2))/(LN(2)/2)*ER70*EU70*VLOOKUP('Données projet'!$B$15,Paramètres!$A$1:$I$89,3,0)*0.475*44/12</f>
        <v>9.544243224713507E-5</v>
      </c>
      <c r="EY70" s="22">
        <f t="shared" si="75"/>
        <v>10.024379757559236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8.5</v>
      </c>
      <c r="N71" s="13">
        <f>IF('Données projet'!$A$36&gt;35,N70+M71-V70,IF(A71&lt;'Données projet'!$A$36,$K$205^A71,IF(A71='Données projet'!$A$36,'Données projet'!$B$36,N70+M71-V70)))</f>
        <v>313</v>
      </c>
      <c r="O71" s="13">
        <f>N71*VLOOKUP('Données projet'!$B$9,Paramètres!$A$1:$I$89,3,0)*VLOOKUP('Données projet'!$B$9,Paramètres!$A$1:$I$89,5,0)</f>
        <v>283.20240000000001</v>
      </c>
      <c r="P71" s="13">
        <f t="shared" si="87"/>
        <v>67.643319485855841</v>
      </c>
      <c r="Q71" s="20">
        <f t="shared" si="54"/>
        <v>611.05629477119896</v>
      </c>
      <c r="R71" s="59">
        <f t="shared" si="55"/>
        <v>904.38962810453222</v>
      </c>
      <c r="S71" s="59">
        <f ca="1">AVERAGE(OFFSET($R$3,0,0,'Données projet'!$E$9+1,1))-AVERAGE(OFFSET($H$3,0,0,'Données projet'!$E$9+1,1))</f>
        <v>319.18811755575183</v>
      </c>
      <c r="T71" s="59">
        <f t="shared" si="88"/>
        <v>234.87694492493506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1.1348112124524736</v>
      </c>
      <c r="AA71" s="21">
        <f>EXP(-LN(2)/25)*AA70+(1-EXP(-LN(2)/25))/(LN(2)/25)*Calculateur!V71*Calculateur!X71*VLOOKUP('Données projet'!$B$9,Paramètres!$A$1:$I$89,3,0)*0.475*44/12</f>
        <v>3.9341598756731964</v>
      </c>
      <c r="AB71" s="21">
        <f>EXP(-LN(2)/2)*AB70+(1-EXP(-LN(2)/2))/(LN(2)/2)*V71*Y71*VLOOKUP('Données projet'!$B$9,Paramètres!$A$1:$I$89,3,0)*0.475*44/12</f>
        <v>4.1109727428639679E-5</v>
      </c>
      <c r="AC71" s="22">
        <f t="shared" si="57"/>
        <v>5.0690121978530982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5.6</v>
      </c>
      <c r="AI71" s="13">
        <f>IF('Données projet'!$A$62&gt;35,AI70+AH71-AQ70,IF(A71&lt;'Données projet'!$A$62,$AF$205^A71,IF(A71='Données projet'!$A$62,'Données projet'!$B$62,AI70+AH71-AQ70)))</f>
        <v>370.79999999999995</v>
      </c>
      <c r="AJ71" s="13">
        <f>AI71*VLOOKUP('Données projet'!$B$10,Paramètres!$A$1:$I$89,3,0)*VLOOKUP('Données projet'!$B$10,Paramètres!$A$1:$I$89,5,0)</f>
        <v>295.00847999999996</v>
      </c>
      <c r="AK71" s="13">
        <f t="shared" si="89"/>
        <v>70.12902952701063</v>
      </c>
      <c r="AL71" s="20">
        <f t="shared" si="58"/>
        <v>635.94782909287676</v>
      </c>
      <c r="AM71" s="59">
        <f t="shared" si="59"/>
        <v>929.28116242621013</v>
      </c>
      <c r="AN71" s="59">
        <f ca="1">AVERAGE(OFFSET($AM$3,0,0,'Données projet'!$E$10+1,1))-AVERAGE(OFFSET($H$3,0,0,'Données projet'!$E$10+1,1))</f>
        <v>314.94704727988847</v>
      </c>
      <c r="AO71" s="59">
        <f t="shared" si="90"/>
        <v>366.49199094166454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1.84486449915339</v>
      </c>
      <c r="AV71" s="21">
        <f>EXP(-LN(2)/25)*AV70+(1-EXP(-LN(2)/25))/(LN(2)/25)*Calculateur!AQ71*Calculateur!AS71*VLOOKUP('Données projet'!$B$10,Paramètres!$A$1:$I$89,3,0)*0.475*44/12</f>
        <v>8.8590257315983205</v>
      </c>
      <c r="AW71" s="21">
        <f>EXP(-LN(2)/2)*AW70+(1-EXP(-LN(2)/2))/(LN(2)/2)*AQ71*AT71*VLOOKUP('Données projet'!$B$10,Paramètres!$A$1:$I$89,3,0)*0.475*44/12</f>
        <v>5.5063698922643899E-5</v>
      </c>
      <c r="AX71" s="21">
        <f t="shared" si="60"/>
        <v>10.703945294450634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</v>
      </c>
      <c r="BD71" s="12">
        <f>IF('Données projet'!$A$88&gt;35,BD70+BC71-BL70,IF(A71&lt;'Données projet'!$A$88,$BA$205^A71,IF(A71='Données projet'!$A$88,'Données projet'!$B$88,BD70+BC71-BL70)))</f>
        <v>370.79999999999995</v>
      </c>
      <c r="BE71" s="13">
        <f>BD71*VLOOKUP('Données projet'!$B$11,Paramètres!$A$1:$I$89,3,0)*VLOOKUP('Données projet'!$B$11,Paramètres!$A$1:$I$89,5,0)</f>
        <v>242.94815999999994</v>
      </c>
      <c r="BF71" s="13">
        <f t="shared" si="91"/>
        <v>59.073390040314202</v>
      </c>
      <c r="BG71" s="20">
        <f t="shared" si="61"/>
        <v>526.02086632021383</v>
      </c>
      <c r="BH71" s="59">
        <f t="shared" si="62"/>
        <v>819.35419965354708</v>
      </c>
      <c r="BI71" s="59">
        <f ca="1">AVERAGE(OFFSET($BH$3,0,0,'Données projet'!$E$11+1,1))-AVERAGE(OFFSET($H$3,0,0,'Données projet'!$E$11+1,1))</f>
        <v>246.64951465060813</v>
      </c>
      <c r="BJ71" s="59">
        <f t="shared" si="92"/>
        <v>292.64550285216865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1.2326397652501007</v>
      </c>
      <c r="BQ71" s="21">
        <f>EXP(-LN(2)/25)*BQ70+(1-EXP(-LN(2)/25))/(LN(2)/25)*Calculateur!BL71*Calculateur!BN71*VLOOKUP('Données projet'!$B$11,Paramètres!$A$1:$I$89,3,0)*0.475*44/12</f>
        <v>5.919127070390882</v>
      </c>
      <c r="BR71" s="21">
        <f>EXP(-LN(2)/2)*BR70+(1-EXP(-LN(2)/2))/(LN(2)/2)*BL71*BO71*VLOOKUP('Données projet'!$B$11,Paramètres!$A$1:$I$89,3,0)*0.475*44/12</f>
        <v>4.5346575583353802E-5</v>
      </c>
      <c r="BS71" s="22">
        <f t="shared" si="63"/>
        <v>7.1518121822165659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5.6</v>
      </c>
      <c r="BY71" s="12">
        <f>IF('Données projet'!$A$114&gt;35,BY70+BX71-CG70,IF(A71&lt;'Données projet'!$A$114,$BV$205^A71,IF(A71='Données projet'!$A$114,'Données projet'!$B$114,BY70+BX71-CG70)))</f>
        <v>370.79999999999995</v>
      </c>
      <c r="BZ71" s="13">
        <f>BY71*VLOOKUP('Données projet'!$B$12,Paramètres!$A$1:$I$89,3,0)*VLOOKUP('Données projet'!$B$12,Paramètres!$A$1:$I$89,5,0)</f>
        <v>248.73264</v>
      </c>
      <c r="CA71" s="13">
        <f t="shared" si="93"/>
        <v>60.314474561351041</v>
      </c>
      <c r="CB71" s="20">
        <f t="shared" si="64"/>
        <v>538.25705786101969</v>
      </c>
      <c r="CC71" s="59">
        <f t="shared" si="65"/>
        <v>831.59039119435306</v>
      </c>
      <c r="CD71" s="59">
        <f ca="1">AVERAGE(OFFSET($CC$3,0,0,'Données projet'!$E$12+1,1))-AVERAGE(OFFSET($H$3,0,0,'Données projet'!$E$12+1,1))</f>
        <v>254.25222107710192</v>
      </c>
      <c r="CE71" s="59">
        <f t="shared" si="94"/>
        <v>300.86609173447573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1.5554739894822696</v>
      </c>
      <c r="CL71" s="21">
        <f>EXP(-LN(2)/25)*CL70+(1-EXP(-LN(2)/25))/(LN(2)/25)*Calculateur!CG71*Calculateur!CI71*VLOOKUP('Données projet'!$B$12,Paramètres!$A$1:$I$89,3,0)*0.475*44/12</f>
        <v>7.4693746364456386</v>
      </c>
      <c r="CM71" s="21">
        <f>EXP(-LN(2)/2)*CM70+(1-EXP(-LN(2)/2))/(LN(2)/2)*CG71*CJ71*VLOOKUP('Données projet'!$B$12,Paramètres!$A$1:$I$89,3,0)*0.475*44/12</f>
        <v>4.6426255954386062E-5</v>
      </c>
      <c r="CN71" s="22">
        <f t="shared" si="66"/>
        <v>9.0248950521838633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5.6</v>
      </c>
      <c r="CT71" s="12">
        <f>IF('Données projet'!$A$140&gt;35,CT70+CS71-DB70,IF(A71&lt;'Données projet'!$A$140,$CQ$205^A71,IF(A71='Données projet'!$A$140,'Données projet'!$B$140,CT70+CS71-DB70)))</f>
        <v>260.79999999999995</v>
      </c>
      <c r="CU71" s="17">
        <f>CT71*VLOOKUP('Données projet'!$B$13,Paramètres!$A$1:$I$89,3,0)*VLOOKUP('Données projet'!$B$13,Paramètres!$A$1:$I$89,5,0)</f>
        <v>227.83488</v>
      </c>
      <c r="CV71" s="13">
        <f t="shared" si="95"/>
        <v>55.814274578766934</v>
      </c>
      <c r="CW71" s="20">
        <f t="shared" si="67"/>
        <v>494.02227755801908</v>
      </c>
      <c r="CX71" s="59">
        <f t="shared" si="68"/>
        <v>787.3556108913524</v>
      </c>
      <c r="CY71" s="59">
        <f ca="1">AVERAGE(OFFSET($CX$3,0,0,'Données projet'!$E$13+1,1))-AVERAGE(OFFSET($H$3,0,0,'Données projet'!$E$13+1,1))</f>
        <v>243.38048563215585</v>
      </c>
      <c r="CZ71" s="59">
        <f t="shared" si="96"/>
        <v>372.1604147006675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3.4435650584764721</v>
      </c>
      <c r="DG71" s="21">
        <f>EXP(-LN(2)/25)*DG70+(1-EXP(-LN(2)/25))/(LN(2)/25)*Calculateur!DB71*Calculateur!DD71*VLOOKUP('Données projet'!$B$13,Paramètres!$A$1:$I$89,3,0)*0.475*44/12</f>
        <v>6.7514061408778474</v>
      </c>
      <c r="DH71" s="21">
        <f>EXP(-LN(2)/2)*DH70+(1-EXP(-LN(2)/2))/(LN(2)/2)*DB71*DE71*VLOOKUP('Données projet'!$B$13,Paramètres!$A$1:$I$89,3,0)*0.475*44/12</f>
        <v>5.5913809229206395E-5</v>
      </c>
      <c r="DI71" s="22">
        <f t="shared" si="69"/>
        <v>10.195027113163549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12.8</v>
      </c>
      <c r="DO71" s="12">
        <f>IF('Données projet'!$A$166&gt;35,DO70+DN71-DW70,IF(A71&lt;'Données projet'!$A$166,$DL$205^A71,IF(A71='Données projet'!$A$166,'Données projet'!$B$166,DO70+DN71-DW70)))</f>
        <v>462.40000000000003</v>
      </c>
      <c r="DP71" s="17">
        <f>DO71*VLOOKUP('Données projet'!$B$14,Paramètres!$A$1:$I$89,3,0)*VLOOKUP('Données projet'!$B$14,Paramètres!$A$1:$I$89,5,0)</f>
        <v>264.49280000000005</v>
      </c>
      <c r="DQ71" s="13">
        <f t="shared" si="97"/>
        <v>63.679104357040451</v>
      </c>
      <c r="DR71" s="20">
        <f t="shared" si="70"/>
        <v>571.56606675517878</v>
      </c>
      <c r="DS71" s="59">
        <f t="shared" si="71"/>
        <v>864.89940008851204</v>
      </c>
      <c r="DT71" s="59">
        <f ca="1">AVERAGE(OFFSET($DS$3,0,0,'Données projet'!$E$14+1,1))-AVERAGE(OFFSET($H$3,0,0,'Données projet'!$E$14+1,1))</f>
        <v>227.99747790451215</v>
      </c>
      <c r="DU71" s="59">
        <f t="shared" si="98"/>
        <v>209.49597700966933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1.3513990781811733</v>
      </c>
      <c r="EB71" s="21">
        <f>EXP(-LN(2)/25)*EB70+(1-EXP(-LN(2)/25))/(LN(2)/25)*Calculateur!DW71*Calculateur!DY71*VLOOKUP('Données projet'!$B$14,Paramètres!$A$1:$I$89,3,0)*0.475*44/12</f>
        <v>5.2916920868821435</v>
      </c>
      <c r="EC71" s="21">
        <f>EXP(-LN(2)/2)*EC70+(1-EXP(-LN(2)/2))/(LN(2)/2)*DW71*DZ71*VLOOKUP('Données projet'!$B$14,Paramètres!$A$1:$I$89,3,0)*0.475*44/12</f>
        <v>4.7040599279523477E-5</v>
      </c>
      <c r="ED71" s="22">
        <f t="shared" si="72"/>
        <v>6.6431382056625967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13.7</v>
      </c>
      <c r="EJ71" s="12">
        <f>IF('Données projet'!$A$192&gt;35,EJ70+EI71-ER70,IF(A71&lt;'Données projet'!$A$192,$EG$205^A71,IF(A71='Données projet'!$A$192,'Données projet'!$B$192,EJ70+EI71-ER70)))</f>
        <v>781.60000000000048</v>
      </c>
      <c r="EK71" s="17">
        <f>EJ71*VLOOKUP('Données projet'!$B$15,Paramètres!$A$1:$I$89,3,0)*VLOOKUP('Données projet'!$B$15,Paramètres!$A$1:$I$89,5,0)</f>
        <v>345.46720000000028</v>
      </c>
      <c r="EL71" s="13">
        <f t="shared" si="99"/>
        <v>80.628453725106255</v>
      </c>
      <c r="EM71" s="20">
        <f t="shared" si="73"/>
        <v>742.11659690456054</v>
      </c>
      <c r="EN71" s="59">
        <f t="shared" si="74"/>
        <v>1035.4499302378938</v>
      </c>
      <c r="EO71" s="59">
        <f ca="1">AVERAGE(OFFSET($EN$3,0,0,'Données projet'!$E$15+1,1))-AVERAGE(OFFSET($H$3,0,0,'Données projet'!$E$15+1,1))</f>
        <v>335.27356627949155</v>
      </c>
      <c r="EP71" s="59">
        <f t="shared" si="100"/>
        <v>322.66829503077247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9.7501697333756407</v>
      </c>
      <c r="EX71" s="21">
        <f>EXP(-LN(2)/2)*EX70+(1-EXP(-LN(2)/2))/(LN(2)/2)*ER71*EU71*VLOOKUP('Données projet'!$B$15,Paramètres!$A$1:$I$89,3,0)*0.475*44/12</f>
        <v>6.7487991054886824E-5</v>
      </c>
      <c r="EY71" s="22">
        <f t="shared" si="75"/>
        <v>9.7502372213666959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8.5</v>
      </c>
      <c r="N72" s="13">
        <f>IF('Données projet'!$A$36&gt;35,N71+M72-V71,IF(A72&lt;'Données projet'!$A$36,$K$205^A72,IF(A72='Données projet'!$A$36,'Données projet'!$B$36,N71+M72-V71)))</f>
        <v>321.5</v>
      </c>
      <c r="O72" s="13">
        <f>N72*VLOOKUP('Données projet'!$B$9,Paramètres!$A$1:$I$89,3,0)*VLOOKUP('Données projet'!$B$9,Paramètres!$A$1:$I$89,5,0)</f>
        <v>290.89320000000004</v>
      </c>
      <c r="P72" s="13">
        <f t="shared" si="87"/>
        <v>69.263916768293996</v>
      </c>
      <c r="Q72" s="20">
        <f t="shared" si="54"/>
        <v>627.27364503811202</v>
      </c>
      <c r="R72" s="59">
        <f t="shared" si="55"/>
        <v>920.60697837144539</v>
      </c>
      <c r="S72" s="59">
        <f ca="1">AVERAGE(OFFSET($R$3,0,0,'Données projet'!$E$9+1,1))-AVERAGE(OFFSET($H$3,0,0,'Données projet'!$E$9+1,1))</f>
        <v>319.18811755575183</v>
      </c>
      <c r="T72" s="59">
        <f t="shared" si="88"/>
        <v>234.87694492493506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1.1125582567427745</v>
      </c>
      <c r="AA72" s="21">
        <f>EXP(-LN(2)/25)*AA71+(1-EXP(-LN(2)/25))/(LN(2)/25)*Calculateur!V72*Calculateur!X72*VLOOKUP('Données projet'!$B$9,Paramètres!$A$1:$I$89,3,0)*0.475*44/12</f>
        <v>3.8265800669844365</v>
      </c>
      <c r="AB72" s="21">
        <f>EXP(-LN(2)/2)*AB71+(1-EXP(-LN(2)/2))/(LN(2)/2)*V72*Y72*VLOOKUP('Données projet'!$B$9,Paramètres!$A$1:$I$89,3,0)*0.475*44/12</f>
        <v>2.9068967037521732E-5</v>
      </c>
      <c r="AC72" s="22">
        <f t="shared" si="57"/>
        <v>4.939167392694249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5.6</v>
      </c>
      <c r="AI72" s="13">
        <f>IF('Données projet'!$A$62&gt;35,AI71+AH72-AQ71,IF(A72&lt;'Données projet'!$A$62,$AF$205^A72,IF(A72='Données projet'!$A$62,'Données projet'!$B$62,AI71+AH72-AQ71)))</f>
        <v>376.4</v>
      </c>
      <c r="AJ72" s="13">
        <f>AI72*VLOOKUP('Données projet'!$B$10,Paramètres!$A$1:$I$89,3,0)*VLOOKUP('Données projet'!$B$10,Paramètres!$A$1:$I$89,5,0)</f>
        <v>299.46384</v>
      </c>
      <c r="AK72" s="13">
        <f t="shared" si="89"/>
        <v>71.064052046510113</v>
      </c>
      <c r="AL72" s="20">
        <f t="shared" si="58"/>
        <v>645.3360786476718</v>
      </c>
      <c r="AM72" s="59">
        <f t="shared" si="59"/>
        <v>938.66941198100517</v>
      </c>
      <c r="AN72" s="59">
        <f ca="1">AVERAGE(OFFSET($AM$3,0,0,'Données projet'!$E$10+1,1))-AVERAGE(OFFSET($H$3,0,0,'Données projet'!$E$10+1,1))</f>
        <v>314.94704727988847</v>
      </c>
      <c r="AO72" s="59">
        <f t="shared" si="90"/>
        <v>366.49199094166454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1.8086878315812267</v>
      </c>
      <c r="AV72" s="21">
        <f>EXP(-LN(2)/25)*AV71+(1-EXP(-LN(2)/25))/(LN(2)/25)*Calculateur!AQ72*Calculateur!AS72*VLOOKUP('Données projet'!$B$10,Paramètres!$A$1:$I$89,3,0)*0.475*44/12</f>
        <v>8.6167752070918482</v>
      </c>
      <c r="AW72" s="21">
        <f>EXP(-LN(2)/2)*AW71+(1-EXP(-LN(2)/2))/(LN(2)/2)*AQ72*AT72*VLOOKUP('Données projet'!$B$10,Paramètres!$A$1:$I$89,3,0)*0.475*44/12</f>
        <v>3.8935914905415892E-5</v>
      </c>
      <c r="AX72" s="21">
        <f t="shared" si="60"/>
        <v>10.425501974587979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</v>
      </c>
      <c r="BD72" s="12">
        <f>IF('Données projet'!$A$88&gt;35,BD71+BC72-BL71,IF(A72&lt;'Données projet'!$A$88,$BA$205^A72,IF(A72='Données projet'!$A$88,'Données projet'!$B$88,BD71+BC72-BL71)))</f>
        <v>376.4</v>
      </c>
      <c r="BE72" s="13">
        <f>BD72*VLOOKUP('Données projet'!$B$11,Paramètres!$A$1:$I$89,3,0)*VLOOKUP('Données projet'!$B$11,Paramètres!$A$1:$I$89,5,0)</f>
        <v>246.61727999999999</v>
      </c>
      <c r="BF72" s="13">
        <f t="shared" si="91"/>
        <v>59.861008953101241</v>
      </c>
      <c r="BG72" s="20">
        <f t="shared" si="61"/>
        <v>533.78301992665138</v>
      </c>
      <c r="BH72" s="59">
        <f t="shared" si="62"/>
        <v>827.11635325998463</v>
      </c>
      <c r="BI72" s="59">
        <f ca="1">AVERAGE(OFFSET($BH$3,0,0,'Données projet'!$E$11+1,1))-AVERAGE(OFFSET($H$3,0,0,'Données projet'!$E$11+1,1))</f>
        <v>246.64951465060813</v>
      </c>
      <c r="BJ72" s="59">
        <f t="shared" si="92"/>
        <v>292.64550285216865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1.2084684512895654</v>
      </c>
      <c r="BQ72" s="21">
        <f>EXP(-LN(2)/25)*BQ71+(1-EXP(-LN(2)/25))/(LN(2)/25)*Calculateur!BL72*Calculateur!BN72*VLOOKUP('Données projet'!$B$11,Paramètres!$A$1:$I$89,3,0)*0.475*44/12</f>
        <v>5.7572682293776793</v>
      </c>
      <c r="BR72" s="21">
        <f>EXP(-LN(2)/2)*BR71+(1-EXP(-LN(2)/2))/(LN(2)/2)*BL72*BO72*VLOOKUP('Données projet'!$B$11,Paramètres!$A$1:$I$89,3,0)*0.475*44/12</f>
        <v>3.2064871098577795E-5</v>
      </c>
      <c r="BS72" s="22">
        <f t="shared" si="63"/>
        <v>6.9657687455383437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5.6</v>
      </c>
      <c r="BY72" s="12">
        <f>IF('Données projet'!$A$114&gt;35,BY71+BX72-CG71,IF(A72&lt;'Données projet'!$A$114,$BV$205^A72,IF(A72='Données projet'!$A$114,'Données projet'!$B$114,BY71+BX72-CG71)))</f>
        <v>376.4</v>
      </c>
      <c r="BZ72" s="13">
        <f>BY72*VLOOKUP('Données projet'!$B$12,Paramètres!$A$1:$I$89,3,0)*VLOOKUP('Données projet'!$B$12,Paramètres!$A$1:$I$89,5,0)</f>
        <v>252.48911999999996</v>
      </c>
      <c r="CA72" s="13">
        <f t="shared" si="93"/>
        <v>61.118640715467357</v>
      </c>
      <c r="CB72" s="20">
        <f t="shared" si="64"/>
        <v>546.20018324610555</v>
      </c>
      <c r="CC72" s="59">
        <f t="shared" si="65"/>
        <v>839.53351657943881</v>
      </c>
      <c r="CD72" s="59">
        <f ca="1">AVERAGE(OFFSET($CC$3,0,0,'Données projet'!$E$12+1,1))-AVERAGE(OFFSET($H$3,0,0,'Données projet'!$E$12+1,1))</f>
        <v>254.25222107710192</v>
      </c>
      <c r="CE72" s="59">
        <f t="shared" si="94"/>
        <v>300.86609173447573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1.524972093293975</v>
      </c>
      <c r="CL72" s="21">
        <f>EXP(-LN(2)/25)*CL71+(1-EXP(-LN(2)/25))/(LN(2)/25)*Calculateur!CG72*Calculateur!CI72*VLOOKUP('Données projet'!$B$12,Paramètres!$A$1:$I$89,3,0)*0.475*44/12</f>
        <v>7.2651241942146916</v>
      </c>
      <c r="CM72" s="21">
        <f>EXP(-LN(2)/2)*CM71+(1-EXP(-LN(2)/2))/(LN(2)/2)*CG72*CJ72*VLOOKUP('Données projet'!$B$12,Paramètres!$A$1:$I$89,3,0)*0.475*44/12</f>
        <v>3.2828320410448714E-5</v>
      </c>
      <c r="CN72" s="22">
        <f t="shared" si="66"/>
        <v>8.7901291158290764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5.6</v>
      </c>
      <c r="CT72" s="12">
        <f>IF('Données projet'!$A$140&gt;35,CT71+CS72-DB71,IF(A72&lt;'Données projet'!$A$140,$CQ$205^A72,IF(A72='Données projet'!$A$140,'Données projet'!$B$140,CT71+CS72-DB71)))</f>
        <v>266.39999999999998</v>
      </c>
      <c r="CU72" s="17">
        <f>CT72*VLOOKUP('Données projet'!$B$13,Paramètres!$A$1:$I$89,3,0)*VLOOKUP('Données projet'!$B$13,Paramètres!$A$1:$I$89,5,0)</f>
        <v>232.72704000000002</v>
      </c>
      <c r="CV72" s="13">
        <f t="shared" si="95"/>
        <v>56.871926227931105</v>
      </c>
      <c r="CW72" s="20">
        <f t="shared" si="67"/>
        <v>504.38486618031328</v>
      </c>
      <c r="CX72" s="59">
        <f t="shared" si="68"/>
        <v>797.7181995136466</v>
      </c>
      <c r="CY72" s="59">
        <f ca="1">AVERAGE(OFFSET($CX$3,0,0,'Données projet'!$E$13+1,1))-AVERAGE(OFFSET($H$3,0,0,'Données projet'!$E$13+1,1))</f>
        <v>243.38048563215585</v>
      </c>
      <c r="CZ72" s="59">
        <f t="shared" si="96"/>
        <v>372.1604147006675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3.37603884804704</v>
      </c>
      <c r="DG72" s="21">
        <f>EXP(-LN(2)/25)*DG71+(1-EXP(-LN(2)/25))/(LN(2)/25)*Calculateur!DB72*Calculateur!DD72*VLOOKUP('Données projet'!$B$13,Paramètres!$A$1:$I$89,3,0)*0.475*44/12</f>
        <v>6.5667885849145247</v>
      </c>
      <c r="DH72" s="21">
        <f>EXP(-LN(2)/2)*DH71+(1-EXP(-LN(2)/2))/(LN(2)/2)*DB72*DE72*VLOOKUP('Données projet'!$B$13,Paramètres!$A$1:$I$89,3,0)*0.475*44/12</f>
        <v>3.9537033667942807E-5</v>
      </c>
      <c r="DI72" s="22">
        <f t="shared" si="69"/>
        <v>9.942866969995233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12.8</v>
      </c>
      <c r="DO72" s="12">
        <f>IF('Données projet'!$A$166&gt;35,DO71+DN72-DW71,IF(A72&lt;'Données projet'!$A$166,$DL$205^A72,IF(A72='Données projet'!$A$166,'Données projet'!$B$166,DO71+DN72-DW71)))</f>
        <v>475.20000000000005</v>
      </c>
      <c r="DP72" s="17">
        <f>DO72*VLOOKUP('Données projet'!$B$14,Paramètres!$A$1:$I$89,3,0)*VLOOKUP('Données projet'!$B$14,Paramètres!$A$1:$I$89,5,0)</f>
        <v>271.81440000000003</v>
      </c>
      <c r="DQ72" s="13">
        <f t="shared" si="97"/>
        <v>65.234180536414911</v>
      </c>
      <c r="DR72" s="20">
        <f t="shared" si="70"/>
        <v>587.02627776758936</v>
      </c>
      <c r="DS72" s="59">
        <f t="shared" si="71"/>
        <v>880.35961110092262</v>
      </c>
      <c r="DT72" s="59">
        <f ca="1">AVERAGE(OFFSET($DS$3,0,0,'Données projet'!$E$14+1,1))-AVERAGE(OFFSET($H$3,0,0,'Données projet'!$E$14+1,1))</f>
        <v>227.99747790451215</v>
      </c>
      <c r="DU72" s="59">
        <f t="shared" si="98"/>
        <v>209.49597700966933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1.3248989665300881</v>
      </c>
      <c r="EB72" s="21">
        <f>EXP(-LN(2)/25)*EB71+(1-EXP(-LN(2)/25))/(LN(2)/25)*Calculateur!DW72*Calculateur!DY72*VLOOKUP('Données projet'!$B$14,Paramètres!$A$1:$I$89,3,0)*0.475*44/12</f>
        <v>5.1469904884883588</v>
      </c>
      <c r="EC72" s="21">
        <f>EXP(-LN(2)/2)*EC71+(1-EXP(-LN(2)/2))/(LN(2)/2)*DW72*DZ72*VLOOKUP('Données projet'!$B$14,Paramètres!$A$1:$I$89,3,0)*0.475*44/12</f>
        <v>3.3262726741630072E-5</v>
      </c>
      <c r="ED72" s="22">
        <f t="shared" si="72"/>
        <v>6.4719227177451888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13.7</v>
      </c>
      <c r="EJ72" s="12">
        <f>IF('Données projet'!$A$192&gt;35,EJ71+EI72-ER71,IF(A72&lt;'Données projet'!$A$192,$EG$205^A72,IF(A72='Données projet'!$A$192,'Données projet'!$B$192,EJ71+EI72-ER71)))</f>
        <v>795.30000000000052</v>
      </c>
      <c r="EK72" s="17">
        <f>EJ72*VLOOKUP('Données projet'!$B$15,Paramètres!$A$1:$I$89,3,0)*VLOOKUP('Données projet'!$B$15,Paramètres!$A$1:$I$89,5,0)</f>
        <v>351.5226000000003</v>
      </c>
      <c r="EL72" s="13">
        <f t="shared" si="99"/>
        <v>81.875951140391848</v>
      </c>
      <c r="EM72" s="20">
        <f t="shared" si="73"/>
        <v>754.83580990284963</v>
      </c>
      <c r="EN72" s="59">
        <f t="shared" si="74"/>
        <v>1048.1691432361829</v>
      </c>
      <c r="EO72" s="59">
        <f ca="1">AVERAGE(OFFSET($EN$3,0,0,'Données projet'!$E$15+1,1))-AVERAGE(OFFSET($H$3,0,0,'Données projet'!$E$15+1,1))</f>
        <v>335.27356627949155</v>
      </c>
      <c r="EP72" s="59">
        <f t="shared" si="100"/>
        <v>322.66829503077247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9.4835508292773412</v>
      </c>
      <c r="EX72" s="21">
        <f>EXP(-LN(2)/2)*EX71+(1-EXP(-LN(2)/2))/(LN(2)/2)*ER72*EU72*VLOOKUP('Données projet'!$B$15,Paramètres!$A$1:$I$89,3,0)*0.475*44/12</f>
        <v>4.7721216123567535E-5</v>
      </c>
      <c r="EY72" s="22">
        <f t="shared" si="75"/>
        <v>9.4835985504934648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330</v>
      </c>
      <c r="L73" s="12">
        <f>VLOOKUP(A73,'Données projet'!$A$35:$I$55,9,0)</f>
        <v>8.5</v>
      </c>
      <c r="M73" s="12">
        <f t="array" ref="M73">INDEX(L:L,MIN(IF(ISNUMBER(L73:L269),ROW(L73:L269),"")))</f>
        <v>8.5</v>
      </c>
      <c r="N73" s="13">
        <f>IF('Données projet'!$A$36&gt;35,N72+M73-V72,IF(A73&lt;'Données projet'!$A$36,$K$205^A73,IF(A73='Données projet'!$A$36,'Données projet'!$B$36,N72+M73-V72)))</f>
        <v>330</v>
      </c>
      <c r="O73" s="13">
        <f>N73*VLOOKUP('Données projet'!$B$9,Paramètres!$A$1:$I$89,3,0)*VLOOKUP('Données projet'!$B$9,Paramètres!$A$1:$I$89,5,0)</f>
        <v>298.58399999999995</v>
      </c>
      <c r="P73" s="13">
        <f t="shared" si="87"/>
        <v>70.879533797607607</v>
      </c>
      <c r="Q73" s="20">
        <f t="shared" si="54"/>
        <v>643.48232136416652</v>
      </c>
      <c r="R73" s="59">
        <f t="shared" si="55"/>
        <v>936.81565469749989</v>
      </c>
      <c r="S73" s="59">
        <f ca="1">AVERAGE(OFFSET($R$3,0,0,'Données projet'!$E$9+1,1))-AVERAGE(OFFSET($H$3,0,0,'Données projet'!$E$9+1,1))</f>
        <v>319.18811755575183</v>
      </c>
      <c r="T73" s="59">
        <f t="shared" si="88"/>
        <v>234.87694492493506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56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1.0907416679215798</v>
      </c>
      <c r="AA73" s="21">
        <f>EXP(-LN(2)/25)*AA72+(1-EXP(-LN(2)/25))/(LN(2)/25)*Calculateur!V73*Calculateur!X73*VLOOKUP('Données projet'!$B$9,Paramètres!$A$1:$I$89,3,0)*0.475*44/12</f>
        <v>3.7219420338216471</v>
      </c>
      <c r="AB73" s="21">
        <f>EXP(-LN(2)/2)*AB72+(1-EXP(-LN(2)/2))/(LN(2)/2)*V73*Y73*VLOOKUP('Données projet'!$B$9,Paramètres!$A$1:$I$89,3,0)*0.475*44/12</f>
        <v>2.0554863714319843E-5</v>
      </c>
      <c r="AC73" s="22">
        <f t="shared" si="57"/>
        <v>4.8127042566069411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382</v>
      </c>
      <c r="AG73" s="12">
        <f>VLOOKUP(A73,'Données projet'!$A$61:$I$81,9,0)</f>
        <v>5.6</v>
      </c>
      <c r="AH73" s="12">
        <f t="array" ref="AH73">INDEX(AG:AG,MIN(IF(ISNUMBER(AG73:AG269),ROW(AG73:AG269),"")))</f>
        <v>5.6</v>
      </c>
      <c r="AI73" s="13">
        <f>IF('Données projet'!$A$62&gt;35,AI72+AH73-AQ72,IF(A73&lt;'Données projet'!$A$62,$AF$205^A73,IF(A73='Données projet'!$A$62,'Données projet'!$B$62,AI72+AH73-AQ72)))</f>
        <v>382</v>
      </c>
      <c r="AJ73" s="13">
        <f>AI73*VLOOKUP('Données projet'!$B$10,Paramètres!$A$1:$I$89,3,0)*VLOOKUP('Données projet'!$B$10,Paramètres!$A$1:$I$89,5,0)</f>
        <v>303.91919999999999</v>
      </c>
      <c r="AK73" s="13">
        <f t="shared" si="89"/>
        <v>71.997456655827349</v>
      </c>
      <c r="AL73" s="20">
        <f t="shared" si="58"/>
        <v>654.72151034223259</v>
      </c>
      <c r="AM73" s="59">
        <f t="shared" si="59"/>
        <v>948.05484367556596</v>
      </c>
      <c r="AN73" s="59">
        <f ca="1">AVERAGE(OFFSET($AM$3,0,0,'Données projet'!$E$10+1,1))-AVERAGE(OFFSET($H$3,0,0,'Données projet'!$E$10+1,1))</f>
        <v>314.94704727988847</v>
      </c>
      <c r="AO73" s="59">
        <f t="shared" si="90"/>
        <v>366.49199094166454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31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1.773220566394565</v>
      </c>
      <c r="AV73" s="21">
        <f>EXP(-LN(2)/25)*AV72+(1-EXP(-LN(2)/25))/(LN(2)/25)*Calculateur!AQ73*Calculateur!AS73*VLOOKUP('Données projet'!$B$10,Paramètres!$A$1:$I$89,3,0)*0.475*44/12</f>
        <v>8.3811490359174066</v>
      </c>
      <c r="AW73" s="21">
        <f>EXP(-LN(2)/2)*AW72+(1-EXP(-LN(2)/2))/(LN(2)/2)*AQ73*AT73*VLOOKUP('Données projet'!$B$10,Paramètres!$A$1:$I$89,3,0)*0.475*44/12</f>
        <v>2.753184946132195E-5</v>
      </c>
      <c r="AX73" s="21">
        <f t="shared" si="60"/>
        <v>10.154397134161433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382</v>
      </c>
      <c r="BB73" s="12">
        <f>VLOOKUP(A73,'Données projet'!$A$87:$I$107,9,0)</f>
        <v>5.6</v>
      </c>
      <c r="BC73" s="12">
        <f t="array" ref="BC73">INDEX(BB:BB,MIN(IF(ISNUMBER(BB73:BB269),ROW(BB73:BB269),"")))</f>
        <v>5.6</v>
      </c>
      <c r="BD73" s="12">
        <f>IF('Données projet'!$A$88&gt;35,BD72+BC73-BL72,IF(A73&lt;'Données projet'!$A$88,$BA$205^A73,IF(A73='Données projet'!$A$88,'Données projet'!$B$88,BD72+BC73-BL72)))</f>
        <v>382</v>
      </c>
      <c r="BE73" s="13">
        <f>BD73*VLOOKUP('Données projet'!$B$11,Paramètres!$A$1:$I$89,3,0)*VLOOKUP('Données projet'!$B$11,Paramètres!$A$1:$I$89,5,0)</f>
        <v>250.28640000000001</v>
      </c>
      <c r="BF73" s="13">
        <f t="shared" si="91"/>
        <v>60.647265014585493</v>
      </c>
      <c r="BG73" s="20">
        <f t="shared" si="61"/>
        <v>541.54279990040311</v>
      </c>
      <c r="BH73" s="59">
        <f t="shared" si="62"/>
        <v>834.87613323373648</v>
      </c>
      <c r="BI73" s="59">
        <f ca="1">AVERAGE(OFFSET($BH$3,0,0,'Données projet'!$E$11+1,1))-AVERAGE(OFFSET($H$3,0,0,'Données projet'!$E$11+1,1))</f>
        <v>246.64951465060813</v>
      </c>
      <c r="BJ73" s="59">
        <f t="shared" si="92"/>
        <v>292.64550285216865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31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1.1847711220527504</v>
      </c>
      <c r="BQ73" s="21">
        <f>EXP(-LN(2)/25)*BQ72+(1-EXP(-LN(2)/25))/(LN(2)/25)*Calculateur!BL73*Calculateur!BN73*VLOOKUP('Données projet'!$B$11,Paramètres!$A$1:$I$89,3,0)*0.475*44/12</f>
        <v>5.5998354268837689</v>
      </c>
      <c r="BR73" s="21">
        <f>EXP(-LN(2)/2)*BR72+(1-EXP(-LN(2)/2))/(LN(2)/2)*BL73*BO73*VLOOKUP('Données projet'!$B$11,Paramètres!$A$1:$I$89,3,0)*0.475*44/12</f>
        <v>2.2673287791676901E-5</v>
      </c>
      <c r="BS73" s="22">
        <f t="shared" si="63"/>
        <v>6.7846292222243108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382</v>
      </c>
      <c r="BW73" s="12">
        <f>VLOOKUP(A73,'Données projet'!$A$113:$I$133,9,0)</f>
        <v>5.6</v>
      </c>
      <c r="BX73" s="12">
        <f t="array" ref="BX73">INDEX(BW:BW,MIN(IF(ISNUMBER(BW73:BW269),ROW(BW73:BW269),"")))</f>
        <v>5.6</v>
      </c>
      <c r="BY73" s="12">
        <f>IF('Données projet'!$A$114&gt;35,BY72+BX73-CG72,IF(A73&lt;'Données projet'!$A$114,$BV$205^A73,IF(A73='Données projet'!$A$114,'Données projet'!$B$114,BY72+BX73-CG72)))</f>
        <v>382</v>
      </c>
      <c r="BZ73" s="13">
        <f>BY73*VLOOKUP('Données projet'!$B$12,Paramètres!$A$1:$I$89,3,0)*VLOOKUP('Données projet'!$B$12,Paramètres!$A$1:$I$89,5,0)</f>
        <v>256.24559999999997</v>
      </c>
      <c r="CA73" s="13">
        <f t="shared" si="93"/>
        <v>61.921415385868649</v>
      </c>
      <c r="CB73" s="20">
        <f t="shared" si="64"/>
        <v>554.1408851303878</v>
      </c>
      <c r="CC73" s="59">
        <f t="shared" si="65"/>
        <v>847.47421846372117</v>
      </c>
      <c r="CD73" s="59">
        <f ca="1">AVERAGE(OFFSET($CC$3,0,0,'Données projet'!$E$12+1,1))-AVERAGE(OFFSET($H$3,0,0,'Données projet'!$E$12+1,1))</f>
        <v>254.25222107710192</v>
      </c>
      <c r="CE73" s="59">
        <f t="shared" si="94"/>
        <v>300.86609173447573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31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1.4950683206856132</v>
      </c>
      <c r="CL73" s="21">
        <f>EXP(-LN(2)/25)*CL72+(1-EXP(-LN(2)/25))/(LN(2)/25)*Calculateur!CG73*Calculateur!CI73*VLOOKUP('Données projet'!$B$12,Paramètres!$A$1:$I$89,3,0)*0.475*44/12</f>
        <v>7.0664589910676145</v>
      </c>
      <c r="CM73" s="21">
        <f>EXP(-LN(2)/2)*CM72+(1-EXP(-LN(2)/2))/(LN(2)/2)*CG73*CJ73*VLOOKUP('Données projet'!$B$12,Paramètres!$A$1:$I$89,3,0)*0.475*44/12</f>
        <v>2.3213127977193031E-5</v>
      </c>
      <c r="CN73" s="22">
        <f t="shared" si="66"/>
        <v>8.5615505248812056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272</v>
      </c>
      <c r="CR73" s="12">
        <f>VLOOKUP(A73,'Données projet'!$A$139:$I$159,9,0)</f>
        <v>5.6</v>
      </c>
      <c r="CS73" s="12">
        <f t="array" ref="CS73">INDEX(CR:CR,MIN(IF(ISNUMBER(CR73:CR269),ROW(CR73:CR269),"")))</f>
        <v>5.6</v>
      </c>
      <c r="CT73" s="12">
        <f>IF('Données projet'!$A$140&gt;35,CT72+CS73-DB72,IF(A73&lt;'Données projet'!$A$140,$CQ$205^A73,IF(A73='Données projet'!$A$140,'Données projet'!$B$140,CT72+CS73-DB72)))</f>
        <v>272</v>
      </c>
      <c r="CU73" s="17">
        <f>CT73*VLOOKUP('Données projet'!$B$13,Paramètres!$A$1:$I$89,3,0)*VLOOKUP('Données projet'!$B$13,Paramètres!$A$1:$I$89,5,0)</f>
        <v>237.61920000000003</v>
      </c>
      <c r="CV73" s="13">
        <f t="shared" si="95"/>
        <v>57.926992927794117</v>
      </c>
      <c r="CW73" s="20">
        <f t="shared" si="67"/>
        <v>514.74295268257481</v>
      </c>
      <c r="CX73" s="59">
        <f t="shared" si="68"/>
        <v>808.07628601590818</v>
      </c>
      <c r="CY73" s="59">
        <f ca="1">AVERAGE(OFFSET($CX$3,0,0,'Données projet'!$E$13+1,1))-AVERAGE(OFFSET($H$3,0,0,'Données projet'!$E$13+1,1))</f>
        <v>243.38048563215585</v>
      </c>
      <c r="CZ73" s="59">
        <f t="shared" si="96"/>
        <v>372.1604147006675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272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3.3098367854172075</v>
      </c>
      <c r="DG73" s="21">
        <f>EXP(-LN(2)/25)*DG72+(1-EXP(-LN(2)/25))/(LN(2)/25)*Calculateur!DB73*Calculateur!DD73*VLOOKUP('Données projet'!$B$13,Paramètres!$A$1:$I$89,3,0)*0.475*44/12</f>
        <v>6.3872194057276337</v>
      </c>
      <c r="DH73" s="21">
        <f>EXP(-LN(2)/2)*DH72+(1-EXP(-LN(2)/2))/(LN(2)/2)*DB73*DE73*VLOOKUP('Données projet'!$B$13,Paramètres!$A$1:$I$89,3,0)*0.475*44/12</f>
        <v>2.7956904614603198E-5</v>
      </c>
      <c r="DI73" s="22">
        <f t="shared" si="69"/>
        <v>9.6970841480494574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488</v>
      </c>
      <c r="DM73" s="12">
        <f>VLOOKUP(A73,'Données projet'!$A$165:$I$185,9,0)</f>
        <v>12.8</v>
      </c>
      <c r="DN73" s="12">
        <f t="array" ref="DN73">INDEX(DM:DM,MIN(IF(ISNUMBER(DM73:DM269),ROW(DM73:DM269),"")))</f>
        <v>12.8</v>
      </c>
      <c r="DO73" s="12">
        <f>IF('Données projet'!$A$166&gt;35,DO72+DN73-DW72,IF(A73&lt;'Données projet'!$A$166,$DL$205^A73,IF(A73='Données projet'!$A$166,'Données projet'!$B$166,DO72+DN73-DW72)))</f>
        <v>488.00000000000006</v>
      </c>
      <c r="DP73" s="17">
        <f>DO73*VLOOKUP('Données projet'!$B$14,Paramètres!$A$1:$I$89,3,0)*VLOOKUP('Données projet'!$B$14,Paramètres!$A$1:$I$89,5,0)</f>
        <v>279.13600000000002</v>
      </c>
      <c r="DQ73" s="13">
        <f t="shared" si="97"/>
        <v>66.784388015607817</v>
      </c>
      <c r="DR73" s="20">
        <f t="shared" si="70"/>
        <v>602.47800912718367</v>
      </c>
      <c r="DS73" s="59">
        <f t="shared" si="71"/>
        <v>895.81134246051693</v>
      </c>
      <c r="DT73" s="59">
        <f ca="1">AVERAGE(OFFSET($DS$3,0,0,'Données projet'!$E$14+1,1))-AVERAGE(OFFSET($H$3,0,0,'Données projet'!$E$14+1,1))</f>
        <v>227.99747790451215</v>
      </c>
      <c r="DU73" s="59">
        <f t="shared" si="98"/>
        <v>209.49597700966933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70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1.2989185059050086</v>
      </c>
      <c r="EB73" s="21">
        <f>EXP(-LN(2)/25)*EB72+(1-EXP(-LN(2)/25))/(LN(2)/25)*Calculateur!DW73*Calculateur!DY73*VLOOKUP('Données projet'!$B$14,Paramètres!$A$1:$I$89,3,0)*0.475*44/12</f>
        <v>5.0062457629121786</v>
      </c>
      <c r="EC73" s="21">
        <f>EXP(-LN(2)/2)*EC72+(1-EXP(-LN(2)/2))/(LN(2)/2)*DW73*DZ73*VLOOKUP('Données projet'!$B$14,Paramètres!$A$1:$I$89,3,0)*0.475*44/12</f>
        <v>2.3520299639761738E-5</v>
      </c>
      <c r="ED73" s="22">
        <f t="shared" si="72"/>
        <v>6.3051877891168262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809</v>
      </c>
      <c r="EH73" s="12">
        <f>VLOOKUP(A73,'Données projet'!$A$191:$I$211,9,0)</f>
        <v>13.7</v>
      </c>
      <c r="EI73" s="12">
        <f t="array" ref="EI73">INDEX(EH:EH,MIN(IF(ISNUMBER(EH73:EH269),ROW(EH73:EH269),"")))</f>
        <v>13.7</v>
      </c>
      <c r="EJ73" s="12">
        <f>IF('Données projet'!$A$192&gt;35,EJ72+EI73-ER72,IF(A73&lt;'Données projet'!$A$192,$EG$205^A73,IF(A73='Données projet'!$A$192,'Données projet'!$B$192,EJ72+EI73-ER72)))</f>
        <v>809.00000000000057</v>
      </c>
      <c r="EK73" s="17">
        <f>EJ73*VLOOKUP('Données projet'!$B$15,Paramètres!$A$1:$I$89,3,0)*VLOOKUP('Données projet'!$B$15,Paramètres!$A$1:$I$89,5,0)</f>
        <v>357.57800000000032</v>
      </c>
      <c r="EL73" s="13">
        <f t="shared" si="99"/>
        <v>83.120949536481049</v>
      </c>
      <c r="EM73" s="20">
        <f t="shared" si="73"/>
        <v>767.55067044270493</v>
      </c>
      <c r="EN73" s="59">
        <f t="shared" si="74"/>
        <v>1060.8840037760383</v>
      </c>
      <c r="EO73" s="59">
        <f ca="1">AVERAGE(OFFSET($EN$3,0,0,'Données projet'!$E$15+1,1))-AVERAGE(OFFSET($H$3,0,0,'Données projet'!$E$15+1,1))</f>
        <v>335.27356627949155</v>
      </c>
      <c r="EP73" s="59">
        <f t="shared" si="100"/>
        <v>322.66829503077247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63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9.2242226331324897</v>
      </c>
      <c r="EX73" s="21">
        <f>EXP(-LN(2)/2)*EX72+(1-EXP(-LN(2)/2))/(LN(2)/2)*ER73*EU73*VLOOKUP('Données projet'!$B$15,Paramètres!$A$1:$I$89,3,0)*0.475*44/12</f>
        <v>3.3743995527443412E-5</v>
      </c>
      <c r="EY73" s="22">
        <f t="shared" si="75"/>
        <v>9.2242563771280164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7.4</v>
      </c>
      <c r="N74" s="13">
        <f>IF('Données projet'!$A$36&gt;35,N73+M74-V73,IF(A74&lt;'Données projet'!$A$36,$K$205^A74,IF(A74='Données projet'!$A$36,'Données projet'!$B$36,N73+M74-V73)))</f>
        <v>281.39999999999998</v>
      </c>
      <c r="O74" s="13">
        <f>N74*VLOOKUP('Données projet'!$B$9,Paramètres!$A$1:$I$89,3,0)*VLOOKUP('Données projet'!$B$9,Paramètres!$A$1:$I$89,5,0)</f>
        <v>254.61071999999999</v>
      </c>
      <c r="P74" s="13">
        <f t="shared" si="87"/>
        <v>61.572204587965679</v>
      </c>
      <c r="Q74" s="20">
        <f t="shared" si="54"/>
        <v>550.68526032404009</v>
      </c>
      <c r="R74" s="59">
        <f t="shared" si="55"/>
        <v>844.01859365737346</v>
      </c>
      <c r="S74" s="59">
        <f ca="1">AVERAGE(OFFSET($R$3,0,0,'Données projet'!$E$9+1,1))-AVERAGE(OFFSET($H$3,0,0,'Données projet'!$E$9+1,1))</f>
        <v>319.18811755575183</v>
      </c>
      <c r="T74" s="59">
        <f t="shared" si="88"/>
        <v>234.87694492493506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1.0693528891003634</v>
      </c>
      <c r="AA74" s="21">
        <f>EXP(-LN(2)/25)*AA73+(1-EXP(-LN(2)/25))/(LN(2)/25)*Calculateur!V74*Calculateur!X74*VLOOKUP('Données projet'!$B$9,Paramètres!$A$1:$I$89,3,0)*0.475*44/12</f>
        <v>3.6201653331783694</v>
      </c>
      <c r="AB74" s="21">
        <f>EXP(-LN(2)/2)*AB73+(1-EXP(-LN(2)/2))/(LN(2)/2)*V74*Y74*VLOOKUP('Données projet'!$B$9,Paramètres!$A$1:$I$89,3,0)*0.475*44/12</f>
        <v>1.4534483518760868E-5</v>
      </c>
      <c r="AC74" s="22">
        <f t="shared" si="57"/>
        <v>4.6895327567622518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4.4000000000000004</v>
      </c>
      <c r="AI74" s="13">
        <f>IF('Données projet'!$A$62&gt;35,AI73+AH74-AQ73,IF(A74&lt;'Données projet'!$A$62,$AF$205^A74,IF(A74='Données projet'!$A$62,'Données projet'!$B$62,AI73+AH74-AQ73)))</f>
        <v>355.4</v>
      </c>
      <c r="AJ74" s="13">
        <f>AI74*VLOOKUP('Données projet'!$B$10,Paramètres!$A$1:$I$89,3,0)*VLOOKUP('Données projet'!$B$10,Paramètres!$A$1:$I$89,5,0)</f>
        <v>282.75623999999999</v>
      </c>
      <c r="AK74" s="13">
        <f t="shared" si="89"/>
        <v>67.549149140642555</v>
      </c>
      <c r="AL74" s="20">
        <f t="shared" si="58"/>
        <v>610.11521941995238</v>
      </c>
      <c r="AM74" s="59">
        <f t="shared" si="59"/>
        <v>903.44855275328564</v>
      </c>
      <c r="AN74" s="59">
        <f ca="1">AVERAGE(OFFSET($AM$3,0,0,'Données projet'!$E$10+1,1))-AVERAGE(OFFSET($H$3,0,0,'Données projet'!$E$10+1,1))</f>
        <v>314.94704727988847</v>
      </c>
      <c r="AO74" s="59">
        <f t="shared" si="90"/>
        <v>366.49199094166454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1.7384487926453183</v>
      </c>
      <c r="AV74" s="21">
        <f>EXP(-LN(2)/25)*AV73+(1-EXP(-LN(2)/25))/(LN(2)/25)*Calculateur!AQ74*Calculateur!AS74*VLOOKUP('Données projet'!$B$10,Paramètres!$A$1:$I$89,3,0)*0.475*44/12</f>
        <v>8.151966074784772</v>
      </c>
      <c r="AW74" s="21">
        <f>EXP(-LN(2)/2)*AW73+(1-EXP(-LN(2)/2))/(LN(2)/2)*AQ74*AT74*VLOOKUP('Données projet'!$B$10,Paramètres!$A$1:$I$89,3,0)*0.475*44/12</f>
        <v>1.9467957452707946E-5</v>
      </c>
      <c r="AX74" s="21">
        <f t="shared" si="60"/>
        <v>9.8904343353875426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4.4000000000000004</v>
      </c>
      <c r="BD74" s="12">
        <f>IF('Données projet'!$A$88&gt;35,BD73+BC74-BL73,IF(A74&lt;'Données projet'!$A$88,$BA$205^A74,IF(A74='Données projet'!$A$88,'Données projet'!$B$88,BD73+BC74-BL73)))</f>
        <v>355.4</v>
      </c>
      <c r="BE74" s="13">
        <f>BD74*VLOOKUP('Données projet'!$B$11,Paramètres!$A$1:$I$89,3,0)*VLOOKUP('Données projet'!$B$11,Paramètres!$A$1:$I$89,5,0)</f>
        <v>232.85807999999997</v>
      </c>
      <c r="BF74" s="13">
        <f t="shared" si="91"/>
        <v>56.900220365086113</v>
      </c>
      <c r="BG74" s="20">
        <f t="shared" si="61"/>
        <v>504.66237313585816</v>
      </c>
      <c r="BH74" s="59">
        <f t="shared" si="62"/>
        <v>797.99570646919142</v>
      </c>
      <c r="BI74" s="59">
        <f ca="1">AVERAGE(OFFSET($BH$3,0,0,'Données projet'!$E$11+1,1))-AVERAGE(OFFSET($H$3,0,0,'Données projet'!$E$11+1,1))</f>
        <v>246.64951465060813</v>
      </c>
      <c r="BJ74" s="59">
        <f t="shared" si="92"/>
        <v>292.64550285216865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1.1615384829883257</v>
      </c>
      <c r="BQ74" s="21">
        <f>EXP(-LN(2)/25)*BQ73+(1-EXP(-LN(2)/25))/(LN(2)/25)*Calculateur!BL74*Calculateur!BN74*VLOOKUP('Données projet'!$B$11,Paramètres!$A$1:$I$89,3,0)*0.475*44/12</f>
        <v>5.4467076326530854</v>
      </c>
      <c r="BR74" s="21">
        <f>EXP(-LN(2)/2)*BR73+(1-EXP(-LN(2)/2))/(LN(2)/2)*BL74*BO74*VLOOKUP('Données projet'!$B$11,Paramètres!$A$1:$I$89,3,0)*0.475*44/12</f>
        <v>1.6032435549288898E-5</v>
      </c>
      <c r="BS74" s="22">
        <f t="shared" si="63"/>
        <v>6.6082621480769603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4.4000000000000004</v>
      </c>
      <c r="BY74" s="12">
        <f>IF('Données projet'!$A$114&gt;35,BY73+BX74-CG73,IF(A74&lt;'Données projet'!$A$114,$BV$205^A74,IF(A74='Données projet'!$A$114,'Données projet'!$B$114,BY73+BX74-CG73)))</f>
        <v>355.4</v>
      </c>
      <c r="BZ74" s="13">
        <f>BY74*VLOOKUP('Données projet'!$B$12,Paramètres!$A$1:$I$89,3,0)*VLOOKUP('Données projet'!$B$12,Paramètres!$A$1:$I$89,5,0)</f>
        <v>238.40231999999997</v>
      </c>
      <c r="CA74" s="13">
        <f t="shared" si="93"/>
        <v>58.095648335116287</v>
      </c>
      <c r="CB74" s="20">
        <f t="shared" si="64"/>
        <v>516.40062818366073</v>
      </c>
      <c r="CC74" s="59">
        <f t="shared" si="65"/>
        <v>809.73396151699399</v>
      </c>
      <c r="CD74" s="59">
        <f ca="1">AVERAGE(OFFSET($CC$3,0,0,'Données projet'!$E$12+1,1))-AVERAGE(OFFSET($H$3,0,0,'Données projet'!$E$12+1,1))</f>
        <v>254.25222107710192</v>
      </c>
      <c r="CE74" s="59">
        <f t="shared" si="94"/>
        <v>300.86609173447573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1.4657509428186011</v>
      </c>
      <c r="CL74" s="21">
        <f>EXP(-LN(2)/25)*CL73+(1-EXP(-LN(2)/25))/(LN(2)/25)*Calculateur!CG74*Calculateur!CI74*VLOOKUP('Données projet'!$B$12,Paramètres!$A$1:$I$89,3,0)*0.475*44/12</f>
        <v>6.8732262983479426</v>
      </c>
      <c r="CM74" s="21">
        <f>EXP(-LN(2)/2)*CM73+(1-EXP(-LN(2)/2))/(LN(2)/2)*CG74*CJ74*VLOOKUP('Données projet'!$B$12,Paramètres!$A$1:$I$89,3,0)*0.475*44/12</f>
        <v>1.6414160205224357E-5</v>
      </c>
      <c r="CN74" s="22">
        <f t="shared" si="66"/>
        <v>8.3389936553267496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243.38048563215585</v>
      </c>
      <c r="CZ74" s="59">
        <f t="shared" si="96"/>
        <v>372.1604147006675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3.2449329048562752</v>
      </c>
      <c r="DG74" s="21">
        <f>EXP(-LN(2)/25)*DG73+(1-EXP(-LN(2)/25))/(LN(2)/25)*Calculateur!DB74*Calculateur!DD74*VLOOKUP('Données projet'!$B$13,Paramètres!$A$1:$I$89,3,0)*0.475*44/12</f>
        <v>6.2125605551887411</v>
      </c>
      <c r="DH74" s="21">
        <f>EXP(-LN(2)/2)*DH73+(1-EXP(-LN(2)/2))/(LN(2)/2)*DB74*DE74*VLOOKUP('Données projet'!$B$13,Paramètres!$A$1:$I$89,3,0)*0.475*44/12</f>
        <v>1.9768516833971404E-5</v>
      </c>
      <c r="DI74" s="22">
        <f t="shared" si="69"/>
        <v>9.4575132285618508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10.8</v>
      </c>
      <c r="DO74" s="12">
        <f>IF('Données projet'!$A$166&gt;35,DO73+DN74-DW73,IF(A74&lt;'Données projet'!$A$166,$DL$205^A74,IF(A74='Données projet'!$A$166,'Données projet'!$B$166,DO73+DN74-DW73)))</f>
        <v>428.80000000000007</v>
      </c>
      <c r="DP74" s="17">
        <f>DO74*VLOOKUP('Données projet'!$B$14,Paramètres!$A$1:$I$89,3,0)*VLOOKUP('Données projet'!$B$14,Paramètres!$A$1:$I$89,5,0)</f>
        <v>245.27360000000004</v>
      </c>
      <c r="DQ74" s="13">
        <f t="shared" si="97"/>
        <v>59.572731907987084</v>
      </c>
      <c r="DR74" s="20">
        <f t="shared" si="70"/>
        <v>530.94069473974423</v>
      </c>
      <c r="DS74" s="59">
        <f t="shared" si="71"/>
        <v>824.27402807307749</v>
      </c>
      <c r="DT74" s="59">
        <f ca="1">AVERAGE(OFFSET($DS$3,0,0,'Données projet'!$E$14+1,1))-AVERAGE(OFFSET($H$3,0,0,'Données projet'!$E$14+1,1))</f>
        <v>227.99747790451215</v>
      </c>
      <c r="DU74" s="59">
        <f t="shared" si="98"/>
        <v>209.49597700966933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1.2734475062662707</v>
      </c>
      <c r="EB74" s="21">
        <f>EXP(-LN(2)/25)*EB73+(1-EXP(-LN(2)/25))/(LN(2)/25)*Calculateur!DW74*Calculateur!DY74*VLOOKUP('Données projet'!$B$14,Paramètres!$A$1:$I$89,3,0)*0.475*44/12</f>
        <v>4.869349709258322</v>
      </c>
      <c r="EC74" s="21">
        <f>EXP(-LN(2)/2)*EC73+(1-EXP(-LN(2)/2))/(LN(2)/2)*DW74*DZ74*VLOOKUP('Données projet'!$B$14,Paramètres!$A$1:$I$89,3,0)*0.475*44/12</f>
        <v>1.6631363370815036E-5</v>
      </c>
      <c r="ED74" s="22">
        <f t="shared" si="72"/>
        <v>6.1428138468879636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8.9</v>
      </c>
      <c r="EJ74" s="12">
        <f>IF('Données projet'!$A$192&gt;35,EJ73+EI74-ER73,IF(A74&lt;'Données projet'!$A$192,$EG$205^A74,IF(A74='Données projet'!$A$192,'Données projet'!$B$192,EJ73+EI74-ER73)))</f>
        <v>754.90000000000055</v>
      </c>
      <c r="EK74" s="17">
        <f>EJ74*VLOOKUP('Données projet'!$B$15,Paramètres!$A$1:$I$89,3,0)*VLOOKUP('Données projet'!$B$15,Paramètres!$A$1:$I$89,5,0)</f>
        <v>333.66580000000033</v>
      </c>
      <c r="EL74" s="13">
        <f t="shared" si="99"/>
        <v>78.189831698665202</v>
      </c>
      <c r="EM74" s="20">
        <f t="shared" si="73"/>
        <v>717.31522520850922</v>
      </c>
      <c r="EN74" s="59">
        <f t="shared" si="74"/>
        <v>1010.6485585418425</v>
      </c>
      <c r="EO74" s="59">
        <f ca="1">AVERAGE(OFFSET($EN$3,0,0,'Données projet'!$E$15+1,1))-AVERAGE(OFFSET($H$3,0,0,'Données projet'!$E$15+1,1))</f>
        <v>335.27356627949155</v>
      </c>
      <c r="EP74" s="59">
        <f t="shared" si="100"/>
        <v>322.66829503077247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8.971985780148696</v>
      </c>
      <c r="EX74" s="21">
        <f>EXP(-LN(2)/2)*EX73+(1-EXP(-LN(2)/2))/(LN(2)/2)*ER74*EU74*VLOOKUP('Données projet'!$B$15,Paramètres!$A$1:$I$89,3,0)*0.475*44/12</f>
        <v>2.3860608061783767E-5</v>
      </c>
      <c r="EY74" s="22">
        <f t="shared" si="75"/>
        <v>8.9720096407567578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7.4</v>
      </c>
      <c r="N75" s="13">
        <f>IF('Données projet'!$A$36&gt;35,N74+M75-V74,IF(A75&lt;'Données projet'!$A$36,$K$205^A75,IF(A75='Données projet'!$A$36,'Données projet'!$B$36,N74+M75-V74)))</f>
        <v>288.79999999999995</v>
      </c>
      <c r="O75" s="13">
        <f>N75*VLOOKUP('Données projet'!$B$9,Paramètres!$A$1:$I$89,3,0)*VLOOKUP('Données projet'!$B$9,Paramètres!$A$1:$I$89,5,0)</f>
        <v>261.30623999999995</v>
      </c>
      <c r="P75" s="13">
        <f t="shared" si="87"/>
        <v>63.000734275359598</v>
      </c>
      <c r="Q75" s="20">
        <f t="shared" si="54"/>
        <v>564.83464686291791</v>
      </c>
      <c r="R75" s="59">
        <f t="shared" si="55"/>
        <v>858.16798019625116</v>
      </c>
      <c r="S75" s="59">
        <f ca="1">AVERAGE(OFFSET($R$3,0,0,'Données projet'!$E$9+1,1))-AVERAGE(OFFSET($H$3,0,0,'Données projet'!$E$9+1,1))</f>
        <v>319.18811755575183</v>
      </c>
      <c r="T75" s="59">
        <f t="shared" si="88"/>
        <v>234.87694492493506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1.0483835311859642</v>
      </c>
      <c r="AA75" s="21">
        <f>EXP(-LN(2)/25)*AA74+(1-EXP(-LN(2)/25))/(LN(2)/25)*Calculateur!V75*Calculateur!X75*VLOOKUP('Données projet'!$B$9,Paramètres!$A$1:$I$89,3,0)*0.475*44/12</f>
        <v>3.521171721766386</v>
      </c>
      <c r="AB75" s="21">
        <f>EXP(-LN(2)/2)*AB74+(1-EXP(-LN(2)/2))/(LN(2)/2)*V75*Y75*VLOOKUP('Données projet'!$B$9,Paramètres!$A$1:$I$89,3,0)*0.475*44/12</f>
        <v>1.0277431857159923E-5</v>
      </c>
      <c r="AC75" s="22">
        <f t="shared" si="57"/>
        <v>4.5695655303842075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4.4000000000000004</v>
      </c>
      <c r="AI75" s="13">
        <f>IF('Données projet'!$A$62&gt;35,AI74+AH75-AQ74,IF(A75&lt;'Données projet'!$A$62,$AF$205^A75,IF(A75='Données projet'!$A$62,'Données projet'!$B$62,AI74+AH75-AQ74)))</f>
        <v>359.79999999999995</v>
      </c>
      <c r="AJ75" s="13">
        <f>AI75*VLOOKUP('Données projet'!$B$10,Paramètres!$A$1:$I$89,3,0)*VLOOKUP('Données projet'!$B$10,Paramètres!$A$1:$I$89,5,0)</f>
        <v>286.25687999999997</v>
      </c>
      <c r="AK75" s="13">
        <f t="shared" si="89"/>
        <v>68.287561975908019</v>
      </c>
      <c r="AL75" s="20">
        <f t="shared" si="58"/>
        <v>617.49823644137302</v>
      </c>
      <c r="AM75" s="59">
        <f t="shared" si="59"/>
        <v>910.8315697747064</v>
      </c>
      <c r="AN75" s="59">
        <f ca="1">AVERAGE(OFFSET($AM$3,0,0,'Données projet'!$E$10+1,1))-AVERAGE(OFFSET($H$3,0,0,'Données projet'!$E$10+1,1))</f>
        <v>314.94704727988847</v>
      </c>
      <c r="AO75" s="59">
        <f t="shared" si="90"/>
        <v>366.49199094166454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1.7043588721706062</v>
      </c>
      <c r="AV75" s="21">
        <f>EXP(-LN(2)/25)*AV74+(1-EXP(-LN(2)/25))/(LN(2)/25)*Calculateur!AQ75*Calculateur!AS75*VLOOKUP('Données projet'!$B$10,Paramètres!$A$1:$I$89,3,0)*0.475*44/12</f>
        <v>7.929050133776518</v>
      </c>
      <c r="AW75" s="21">
        <f>EXP(-LN(2)/2)*AW74+(1-EXP(-LN(2)/2))/(LN(2)/2)*AQ75*AT75*VLOOKUP('Données projet'!$B$10,Paramètres!$A$1:$I$89,3,0)*0.475*44/12</f>
        <v>1.3765924730660975E-5</v>
      </c>
      <c r="AX75" s="21">
        <f t="shared" si="60"/>
        <v>9.6334227718718548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4.4000000000000004</v>
      </c>
      <c r="BD75" s="12">
        <f>IF('Données projet'!$A$88&gt;35,BD74+BC75-BL74,IF(A75&lt;'Données projet'!$A$88,$BA$205^A75,IF(A75='Données projet'!$A$88,'Données projet'!$B$88,BD74+BC75-BL74)))</f>
        <v>359.79999999999995</v>
      </c>
      <c r="BE75" s="13">
        <f>BD75*VLOOKUP('Données projet'!$B$11,Paramètres!$A$1:$I$89,3,0)*VLOOKUP('Données projet'!$B$11,Paramètres!$A$1:$I$89,5,0)</f>
        <v>235.74095999999997</v>
      </c>
      <c r="BF75" s="13">
        <f t="shared" si="91"/>
        <v>57.522224543991953</v>
      </c>
      <c r="BG75" s="20">
        <f t="shared" si="61"/>
        <v>510.76671308078591</v>
      </c>
      <c r="BH75" s="59">
        <f t="shared" si="62"/>
        <v>804.10004641411922</v>
      </c>
      <c r="BI75" s="59">
        <f ca="1">AVERAGE(OFFSET($BH$3,0,0,'Données projet'!$E$11+1,1))-AVERAGE(OFFSET($H$3,0,0,'Données projet'!$E$11+1,1))</f>
        <v>246.64951465060813</v>
      </c>
      <c r="BJ75" s="59">
        <f t="shared" si="92"/>
        <v>292.64550285216865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1.1387614218054438</v>
      </c>
      <c r="BQ75" s="21">
        <f>EXP(-LN(2)/25)*BQ74+(1-EXP(-LN(2)/25))/(LN(2)/25)*Calculateur!BL75*Calculateur!BN75*VLOOKUP('Données projet'!$B$11,Paramètres!$A$1:$I$89,3,0)*0.475*44/12</f>
        <v>5.2977671260082815</v>
      </c>
      <c r="BR75" s="21">
        <f>EXP(-LN(2)/2)*BR74+(1-EXP(-LN(2)/2))/(LN(2)/2)*BL75*BO75*VLOOKUP('Données projet'!$B$11,Paramètres!$A$1:$I$89,3,0)*0.475*44/12</f>
        <v>1.133664389583845E-5</v>
      </c>
      <c r="BS75" s="22">
        <f t="shared" si="63"/>
        <v>6.4365398844576207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4.4000000000000004</v>
      </c>
      <c r="BY75" s="12">
        <f>IF('Données projet'!$A$114&gt;35,BY74+BX75-CG74,IF(A75&lt;'Données projet'!$A$114,$BV$205^A75,IF(A75='Données projet'!$A$114,'Données projet'!$B$114,BY74+BX75-CG74)))</f>
        <v>359.79999999999995</v>
      </c>
      <c r="BZ75" s="13">
        <f>BY75*VLOOKUP('Données projet'!$B$12,Paramètres!$A$1:$I$89,3,0)*VLOOKUP('Données projet'!$B$12,Paramètres!$A$1:$I$89,5,0)</f>
        <v>241.35383999999996</v>
      </c>
      <c r="CA75" s="13">
        <f t="shared" si="93"/>
        <v>58.730720322690864</v>
      </c>
      <c r="CB75" s="20">
        <f t="shared" si="64"/>
        <v>522.64727589535312</v>
      </c>
      <c r="CC75" s="59">
        <f t="shared" si="65"/>
        <v>815.98060922868649</v>
      </c>
      <c r="CD75" s="59">
        <f ca="1">AVERAGE(OFFSET($CC$3,0,0,'Données projet'!$E$12+1,1))-AVERAGE(OFFSET($H$3,0,0,'Données projet'!$E$12+1,1))</f>
        <v>254.25222107710192</v>
      </c>
      <c r="CE75" s="59">
        <f t="shared" si="94"/>
        <v>300.86609173447573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1.4370084608497262</v>
      </c>
      <c r="CL75" s="21">
        <f>EXP(-LN(2)/25)*CL74+(1-EXP(-LN(2)/25))/(LN(2)/25)*Calculateur!CG75*Calculateur!CI75*VLOOKUP('Données projet'!$B$12,Paramètres!$A$1:$I$89,3,0)*0.475*44/12</f>
        <v>6.685277563772356</v>
      </c>
      <c r="CM75" s="21">
        <f>EXP(-LN(2)/2)*CM74+(1-EXP(-LN(2)/2))/(LN(2)/2)*CG75*CJ75*VLOOKUP('Données projet'!$B$12,Paramètres!$A$1:$I$89,3,0)*0.475*44/12</f>
        <v>1.1606563988596516E-5</v>
      </c>
      <c r="CN75" s="22">
        <f t="shared" si="66"/>
        <v>8.122297631186072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243.38048563215585</v>
      </c>
      <c r="CZ75" s="59">
        <f t="shared" si="96"/>
        <v>372.1604147006675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3.1813017498056846</v>
      </c>
      <c r="DG75" s="21">
        <f>EXP(-LN(2)/25)*DG74+(1-EXP(-LN(2)/25))/(LN(2)/25)*Calculateur!DB75*Calculateur!DD75*VLOOKUP('Données projet'!$B$13,Paramètres!$A$1:$I$89,3,0)*0.475*44/12</f>
        <v>6.0426777601027446</v>
      </c>
      <c r="DH75" s="21">
        <f>EXP(-LN(2)/2)*DH74+(1-EXP(-LN(2)/2))/(LN(2)/2)*DB75*DE75*VLOOKUP('Données projet'!$B$13,Paramètres!$A$1:$I$89,3,0)*0.475*44/12</f>
        <v>1.3978452307301599E-5</v>
      </c>
      <c r="DI75" s="22">
        <f t="shared" si="69"/>
        <v>9.2239934883607351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10.8</v>
      </c>
      <c r="DO75" s="12">
        <f>IF('Données projet'!$A$166&gt;35,DO74+DN75-DW74,IF(A75&lt;'Données projet'!$A$166,$DL$205^A75,IF(A75='Données projet'!$A$166,'Données projet'!$B$166,DO74+DN75-DW74)))</f>
        <v>439.60000000000008</v>
      </c>
      <c r="DP75" s="17">
        <f>DO75*VLOOKUP('Données projet'!$B$14,Paramètres!$A$1:$I$89,3,0)*VLOOKUP('Données projet'!$B$14,Paramètres!$A$1:$I$89,5,0)</f>
        <v>251.45120000000006</v>
      </c>
      <c r="DQ75" s="13">
        <f t="shared" si="97"/>
        <v>60.896588732456053</v>
      </c>
      <c r="DR75" s="20">
        <f t="shared" si="70"/>
        <v>544.00573204236105</v>
      </c>
      <c r="DS75" s="59">
        <f t="shared" si="71"/>
        <v>837.33906537569442</v>
      </c>
      <c r="DT75" s="59">
        <f ca="1">AVERAGE(OFFSET($DS$3,0,0,'Données projet'!$E$14+1,1))-AVERAGE(OFFSET($H$3,0,0,'Données projet'!$E$14+1,1))</f>
        <v>227.99747790451215</v>
      </c>
      <c r="DU75" s="59">
        <f t="shared" si="98"/>
        <v>209.49597700966933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1.2484759773946725</v>
      </c>
      <c r="EB75" s="21">
        <f>EXP(-LN(2)/25)*EB74+(1-EXP(-LN(2)/25))/(LN(2)/25)*Calculateur!DW75*Calculateur!DY75*VLOOKUP('Données projet'!$B$14,Paramètres!$A$1:$I$89,3,0)*0.475*44/12</f>
        <v>4.736197085390681</v>
      </c>
      <c r="EC75" s="21">
        <f>EXP(-LN(2)/2)*EC74+(1-EXP(-LN(2)/2))/(LN(2)/2)*DW75*DZ75*VLOOKUP('Données projet'!$B$14,Paramètres!$A$1:$I$89,3,0)*0.475*44/12</f>
        <v>1.1760149819880869E-5</v>
      </c>
      <c r="ED75" s="22">
        <f t="shared" si="72"/>
        <v>5.9846848229351739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8.9</v>
      </c>
      <c r="EJ75" s="12">
        <f>IF('Données projet'!$A$192&gt;35,EJ74+EI75-ER74,IF(A75&lt;'Données projet'!$A$192,$EG$205^A75,IF(A75='Données projet'!$A$192,'Données projet'!$B$192,EJ74+EI75-ER74)))</f>
        <v>763.80000000000052</v>
      </c>
      <c r="EK75" s="17">
        <f>EJ75*VLOOKUP('Données projet'!$B$15,Paramètres!$A$1:$I$89,3,0)*VLOOKUP('Données projet'!$B$15,Paramètres!$A$1:$I$89,5,0)</f>
        <v>337.59960000000024</v>
      </c>
      <c r="EL75" s="13">
        <f t="shared" si="99"/>
        <v>79.003804269753971</v>
      </c>
      <c r="EM75" s="20">
        <f t="shared" si="73"/>
        <v>725.58426243648853</v>
      </c>
      <c r="EN75" s="59">
        <f t="shared" si="74"/>
        <v>1018.9175957698219</v>
      </c>
      <c r="EO75" s="59">
        <f ca="1">AVERAGE(OFFSET($EN$3,0,0,'Données projet'!$E$15+1,1))-AVERAGE(OFFSET($H$3,0,0,'Données projet'!$E$15+1,1))</f>
        <v>335.27356627949155</v>
      </c>
      <c r="EP75" s="59">
        <f t="shared" si="100"/>
        <v>322.66829503077247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8.7266463571743031</v>
      </c>
      <c r="EX75" s="21">
        <f>EXP(-LN(2)/2)*EX74+(1-EXP(-LN(2)/2))/(LN(2)/2)*ER75*EU75*VLOOKUP('Données projet'!$B$15,Paramètres!$A$1:$I$89,3,0)*0.475*44/12</f>
        <v>1.6871997763721706E-5</v>
      </c>
      <c r="EY75" s="22">
        <f t="shared" si="75"/>
        <v>8.7266632291720665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7.4</v>
      </c>
      <c r="N76" s="13">
        <f>IF('Données projet'!$A$36&gt;35,N75+M76-V75,IF(A76&lt;'Données projet'!$A$36,$K$205^A76,IF(A76='Données projet'!$A$36,'Données projet'!$B$36,N75+M76-V75)))</f>
        <v>296.19999999999993</v>
      </c>
      <c r="O76" s="13">
        <f>N76*VLOOKUP('Données projet'!$B$9,Paramètres!$A$1:$I$89,3,0)*VLOOKUP('Données projet'!$B$9,Paramètres!$A$1:$I$89,5,0)</f>
        <v>268.00175999999993</v>
      </c>
      <c r="P76" s="13">
        <f t="shared" si="87"/>
        <v>64.425009159185578</v>
      </c>
      <c r="Q76" s="20">
        <f t="shared" si="54"/>
        <v>578.97662295224802</v>
      </c>
      <c r="R76" s="59">
        <f t="shared" si="55"/>
        <v>872.30995628558139</v>
      </c>
      <c r="S76" s="59">
        <f ca="1">AVERAGE(OFFSET($R$3,0,0,'Données projet'!$E$9+1,1))-AVERAGE(OFFSET($H$3,0,0,'Données projet'!$E$9+1,1))</f>
        <v>319.18811755575183</v>
      </c>
      <c r="T76" s="59">
        <f t="shared" si="88"/>
        <v>234.87694492493506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1.0278253695902209</v>
      </c>
      <c r="AA76" s="21">
        <f>EXP(-LN(2)/25)*AA75+(1-EXP(-LN(2)/25))/(LN(2)/25)*Calculateur!V76*Calculateur!X76*VLOOKUP('Données projet'!$B$9,Paramètres!$A$1:$I$89,3,0)*0.475*44/12</f>
        <v>3.4248850958643113</v>
      </c>
      <c r="AB76" s="21">
        <f>EXP(-LN(2)/2)*AB75+(1-EXP(-LN(2)/2))/(LN(2)/2)*V76*Y76*VLOOKUP('Données projet'!$B$9,Paramètres!$A$1:$I$89,3,0)*0.475*44/12</f>
        <v>7.2672417593804347E-6</v>
      </c>
      <c r="AC76" s="22">
        <f t="shared" si="57"/>
        <v>4.4527177326962919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4.4000000000000004</v>
      </c>
      <c r="AI76" s="13">
        <f>IF('Données projet'!$A$62&gt;35,AI75+AH76-AQ75,IF(A76&lt;'Données projet'!$A$62,$AF$205^A76,IF(A76='Données projet'!$A$62,'Données projet'!$B$62,AI75+AH76-AQ75)))</f>
        <v>364.19999999999993</v>
      </c>
      <c r="AJ76" s="13">
        <f>AI76*VLOOKUP('Données projet'!$B$10,Paramètres!$A$1:$I$89,3,0)*VLOOKUP('Données projet'!$B$10,Paramètres!$A$1:$I$89,5,0)</f>
        <v>289.75751999999994</v>
      </c>
      <c r="AK76" s="13">
        <f t="shared" si="89"/>
        <v>69.024924431959747</v>
      </c>
      <c r="AL76" s="20">
        <f t="shared" si="58"/>
        <v>624.8794240523298</v>
      </c>
      <c r="AM76" s="59">
        <f t="shared" si="59"/>
        <v>918.21275738566305</v>
      </c>
      <c r="AN76" s="59">
        <f ca="1">AVERAGE(OFFSET($AM$3,0,0,'Données projet'!$E$10+1,1))-AVERAGE(OFFSET($H$3,0,0,'Données projet'!$E$10+1,1))</f>
        <v>314.94704727988847</v>
      </c>
      <c r="AO76" s="59">
        <f t="shared" si="90"/>
        <v>366.49199094166454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1.670937434243605</v>
      </c>
      <c r="AV76" s="21">
        <f>EXP(-LN(2)/25)*AV75+(1-EXP(-LN(2)/25))/(LN(2)/25)*Calculateur!AQ76*Calculateur!AS76*VLOOKUP('Données projet'!$B$10,Paramètres!$A$1:$I$89,3,0)*0.475*44/12</f>
        <v>7.7122298408977743</v>
      </c>
      <c r="AW76" s="21">
        <f>EXP(-LN(2)/2)*AW75+(1-EXP(-LN(2)/2))/(LN(2)/2)*AQ76*AT76*VLOOKUP('Données projet'!$B$10,Paramètres!$A$1:$I$89,3,0)*0.475*44/12</f>
        <v>9.733978726353973E-6</v>
      </c>
      <c r="AX76" s="21">
        <f t="shared" si="60"/>
        <v>9.3831770091201054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4.4000000000000004</v>
      </c>
      <c r="BD76" s="12">
        <f>IF('Données projet'!$A$88&gt;35,BD75+BC76-BL75,IF(A76&lt;'Données projet'!$A$88,$BA$205^A76,IF(A76='Données projet'!$A$88,'Données projet'!$B$88,BD75+BC76-BL75)))</f>
        <v>364.19999999999993</v>
      </c>
      <c r="BE76" s="13">
        <f>BD76*VLOOKUP('Données projet'!$B$11,Paramètres!$A$1:$I$89,3,0)*VLOOKUP('Données projet'!$B$11,Paramètres!$A$1:$I$89,5,0)</f>
        <v>238.62383999999997</v>
      </c>
      <c r="BF76" s="13">
        <f t="shared" si="91"/>
        <v>58.143343932941299</v>
      </c>
      <c r="BG76" s="20">
        <f t="shared" si="61"/>
        <v>516.86951201653937</v>
      </c>
      <c r="BH76" s="59">
        <f t="shared" si="62"/>
        <v>810.20284534987263</v>
      </c>
      <c r="BI76" s="59">
        <f ca="1">AVERAGE(OFFSET($BH$3,0,0,'Données projet'!$E$11+1,1))-AVERAGE(OFFSET($H$3,0,0,'Données projet'!$E$11+1,1))</f>
        <v>246.64951465060813</v>
      </c>
      <c r="BJ76" s="59">
        <f t="shared" si="92"/>
        <v>292.64550285216865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1.1164310048997228</v>
      </c>
      <c r="BQ76" s="21">
        <f>EXP(-LN(2)/25)*BQ75+(1-EXP(-LN(2)/25))/(LN(2)/25)*Calculateur!BL76*Calculateur!BN76*VLOOKUP('Données projet'!$B$11,Paramètres!$A$1:$I$89,3,0)*0.475*44/12</f>
        <v>5.1528994053501203</v>
      </c>
      <c r="BR76" s="21">
        <f>EXP(-LN(2)/2)*BR75+(1-EXP(-LN(2)/2))/(LN(2)/2)*BL76*BO76*VLOOKUP('Données projet'!$B$11,Paramètres!$A$1:$I$89,3,0)*0.475*44/12</f>
        <v>8.0162177746444488E-6</v>
      </c>
      <c r="BS76" s="22">
        <f t="shared" si="63"/>
        <v>6.269338426467618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4.4000000000000004</v>
      </c>
      <c r="BY76" s="12">
        <f>IF('Données projet'!$A$114&gt;35,BY75+BX76-CG75,IF(A76&lt;'Données projet'!$A$114,$BV$205^A76,IF(A76='Données projet'!$A$114,'Données projet'!$B$114,BY75+BX76-CG75)))</f>
        <v>364.19999999999993</v>
      </c>
      <c r="BZ76" s="13">
        <f>BY76*VLOOKUP('Données projet'!$B$12,Paramètres!$A$1:$I$89,3,0)*VLOOKUP('Données projet'!$B$12,Paramètres!$A$1:$I$89,5,0)</f>
        <v>244.30535999999995</v>
      </c>
      <c r="CA76" s="13">
        <f t="shared" si="93"/>
        <v>59.364888931581909</v>
      </c>
      <c r="CB76" s="20">
        <f t="shared" si="64"/>
        <v>528.892350222505</v>
      </c>
      <c r="CC76" s="59">
        <f t="shared" si="65"/>
        <v>822.22568355583826</v>
      </c>
      <c r="CD76" s="59">
        <f ca="1">AVERAGE(OFFSET($CC$3,0,0,'Données projet'!$E$12+1,1))-AVERAGE(OFFSET($H$3,0,0,'Données projet'!$E$12+1,1))</f>
        <v>254.25222107710192</v>
      </c>
      <c r="CE76" s="59">
        <f t="shared" si="94"/>
        <v>300.86609173447573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1.4088296014210782</v>
      </c>
      <c r="CL76" s="21">
        <f>EXP(-LN(2)/25)*CL75+(1-EXP(-LN(2)/25))/(LN(2)/25)*Calculateur!CG76*Calculateur!CI76*VLOOKUP('Données projet'!$B$12,Paramètres!$A$1:$I$89,3,0)*0.475*44/12</f>
        <v>6.5024682972275336</v>
      </c>
      <c r="CM76" s="21">
        <f>EXP(-LN(2)/2)*CM75+(1-EXP(-LN(2)/2))/(LN(2)/2)*CG76*CJ76*VLOOKUP('Données projet'!$B$12,Paramètres!$A$1:$I$89,3,0)*0.475*44/12</f>
        <v>8.2070801026121784E-6</v>
      </c>
      <c r="CN76" s="22">
        <f t="shared" si="66"/>
        <v>7.9113061057287144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243.38048563215585</v>
      </c>
      <c r="CZ76" s="59">
        <f t="shared" si="96"/>
        <v>372.1604147006675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3.1189183628944637</v>
      </c>
      <c r="DG76" s="21">
        <f>EXP(-LN(2)/25)*DG75+(1-EXP(-LN(2)/25))/(LN(2)/25)*Calculateur!DB76*Calculateur!DD76*VLOOKUP('Données projet'!$B$13,Paramètres!$A$1:$I$89,3,0)*0.475*44/12</f>
        <v>5.8774404189821228</v>
      </c>
      <c r="DH76" s="21">
        <f>EXP(-LN(2)/2)*DH75+(1-EXP(-LN(2)/2))/(LN(2)/2)*DB76*DE76*VLOOKUP('Données projet'!$B$13,Paramètres!$A$1:$I$89,3,0)*0.475*44/12</f>
        <v>9.8842584169857019E-6</v>
      </c>
      <c r="DI76" s="22">
        <f t="shared" si="69"/>
        <v>8.9963686661350035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10.8</v>
      </c>
      <c r="DO76" s="12">
        <f>IF('Données projet'!$A$166&gt;35,DO75+DN76-DW75,IF(A76&lt;'Données projet'!$A$166,$DL$205^A76,IF(A76='Données projet'!$A$166,'Données projet'!$B$166,DO75+DN76-DW75)))</f>
        <v>450.40000000000009</v>
      </c>
      <c r="DP76" s="17">
        <f>DO76*VLOOKUP('Données projet'!$B$14,Paramètres!$A$1:$I$89,3,0)*VLOOKUP('Données projet'!$B$14,Paramètres!$A$1:$I$89,5,0)</f>
        <v>257.62880000000007</v>
      </c>
      <c r="DQ76" s="13">
        <f t="shared" si="97"/>
        <v>62.216664741999416</v>
      </c>
      <c r="DR76" s="20">
        <f t="shared" si="70"/>
        <v>557.06418442564905</v>
      </c>
      <c r="DS76" s="59">
        <f t="shared" si="71"/>
        <v>850.3975177589823</v>
      </c>
      <c r="DT76" s="59">
        <f ca="1">AVERAGE(OFFSET($DS$3,0,0,'Données projet'!$E$14+1,1))-AVERAGE(OFFSET($H$3,0,0,'Données projet'!$E$14+1,1))</f>
        <v>227.99747790451215</v>
      </c>
      <c r="DU76" s="59">
        <f t="shared" si="98"/>
        <v>209.49597700966933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1.2239941249731179</v>
      </c>
      <c r="EB76" s="21">
        <f>EXP(-LN(2)/25)*EB75+(1-EXP(-LN(2)/25))/(LN(2)/25)*Calculateur!DW76*Calculateur!DY76*VLOOKUP('Données projet'!$B$14,Paramètres!$A$1:$I$89,3,0)*0.475*44/12</f>
        <v>4.6066855270248928</v>
      </c>
      <c r="EC76" s="21">
        <f>EXP(-LN(2)/2)*EC75+(1-EXP(-LN(2)/2))/(LN(2)/2)*DW76*DZ76*VLOOKUP('Données projet'!$B$14,Paramètres!$A$1:$I$89,3,0)*0.475*44/12</f>
        <v>8.3156816854075179E-6</v>
      </c>
      <c r="ED76" s="22">
        <f t="shared" si="72"/>
        <v>5.8306879676796965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8.9</v>
      </c>
      <c r="EJ76" s="12">
        <f>IF('Données projet'!$A$192&gt;35,EJ75+EI76-ER75,IF(A76&lt;'Données projet'!$A$192,$EG$205^A76,IF(A76='Données projet'!$A$192,'Données projet'!$B$192,EJ75+EI76-ER75)))</f>
        <v>772.7000000000005</v>
      </c>
      <c r="EK76" s="17">
        <f>EJ76*VLOOKUP('Données projet'!$B$15,Paramètres!$A$1:$I$89,3,0)*VLOOKUP('Données projet'!$B$15,Paramètres!$A$1:$I$89,5,0)</f>
        <v>341.53340000000026</v>
      </c>
      <c r="EL76" s="13">
        <f t="shared" si="99"/>
        <v>79.816673552554974</v>
      </c>
      <c r="EM76" s="20">
        <f t="shared" si="73"/>
        <v>733.85137810403364</v>
      </c>
      <c r="EN76" s="59">
        <f t="shared" si="74"/>
        <v>1027.184711437367</v>
      </c>
      <c r="EO76" s="59">
        <f ca="1">AVERAGE(OFFSET($EN$3,0,0,'Données projet'!$E$15+1,1))-AVERAGE(OFFSET($H$3,0,0,'Données projet'!$E$15+1,1))</f>
        <v>335.27356627949155</v>
      </c>
      <c r="EP76" s="59">
        <f t="shared" si="100"/>
        <v>322.66829503077247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8.4880157536229852</v>
      </c>
      <c r="EX76" s="21">
        <f>EXP(-LN(2)/2)*EX75+(1-EXP(-LN(2)/2))/(LN(2)/2)*ER76*EU76*VLOOKUP('Données projet'!$B$15,Paramètres!$A$1:$I$89,3,0)*0.475*44/12</f>
        <v>1.1930304030891884E-5</v>
      </c>
      <c r="EY76" s="22">
        <f t="shared" si="75"/>
        <v>8.4880276839270152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7.4</v>
      </c>
      <c r="N77" s="13">
        <f>IF('Données projet'!$A$36&gt;35,N76+M77-V76,IF(A77&lt;'Données projet'!$A$36,$K$205^A77,IF(A77='Données projet'!$A$36,'Données projet'!$B$36,N76+M77-V76)))</f>
        <v>303.59999999999991</v>
      </c>
      <c r="O77" s="13">
        <f>N77*VLOOKUP('Données projet'!$B$9,Paramètres!$A$1:$I$89,3,0)*VLOOKUP('Données projet'!$B$9,Paramètres!$A$1:$I$89,5,0)</f>
        <v>274.69727999999992</v>
      </c>
      <c r="P77" s="13">
        <f t="shared" si="87"/>
        <v>65.845147763387502</v>
      </c>
      <c r="Q77" s="20">
        <f t="shared" si="54"/>
        <v>593.11139502123308</v>
      </c>
      <c r="R77" s="59">
        <f t="shared" si="55"/>
        <v>886.44472835456645</v>
      </c>
      <c r="S77" s="59">
        <f ca="1">AVERAGE(OFFSET($R$3,0,0,'Données projet'!$E$9+1,1))-AVERAGE(OFFSET($H$3,0,0,'Données projet'!$E$9+1,1))</f>
        <v>319.18811755575183</v>
      </c>
      <c r="T77" s="59">
        <f t="shared" si="88"/>
        <v>234.87694492493506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1.0076703410041297</v>
      </c>
      <c r="AA77" s="21">
        <f>EXP(-LN(2)/25)*AA76+(1-EXP(-LN(2)/25))/(LN(2)/25)*Calculateur!V77*Calculateur!X77*VLOOKUP('Données projet'!$B$9,Paramètres!$A$1:$I$89,3,0)*0.475*44/12</f>
        <v>3.3312314328110224</v>
      </c>
      <c r="AB77" s="21">
        <f>EXP(-LN(2)/2)*AB76+(1-EXP(-LN(2)/2))/(LN(2)/2)*V77*Y77*VLOOKUP('Données projet'!$B$9,Paramètres!$A$1:$I$89,3,0)*0.475*44/12</f>
        <v>5.1387159285799624E-6</v>
      </c>
      <c r="AC77" s="22">
        <f t="shared" si="57"/>
        <v>4.3389069125310806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4.4000000000000004</v>
      </c>
      <c r="AI77" s="13">
        <f>IF('Données projet'!$A$62&gt;35,AI76+AH77-AQ76,IF(A77&lt;'Données projet'!$A$62,$AF$205^A77,IF(A77='Données projet'!$A$62,'Données projet'!$B$62,AI76+AH77-AQ76)))</f>
        <v>368.59999999999991</v>
      </c>
      <c r="AJ77" s="13">
        <f>AI77*VLOOKUP('Données projet'!$B$10,Paramètres!$A$1:$I$89,3,0)*VLOOKUP('Données projet'!$B$10,Paramètres!$A$1:$I$89,5,0)</f>
        <v>293.25815999999998</v>
      </c>
      <c r="AK77" s="13">
        <f t="shared" si="89"/>
        <v>69.761250666559334</v>
      </c>
      <c r="AL77" s="20">
        <f t="shared" si="58"/>
        <v>632.25880691092414</v>
      </c>
      <c r="AM77" s="59">
        <f t="shared" si="59"/>
        <v>925.59214024425751</v>
      </c>
      <c r="AN77" s="59">
        <f ca="1">AVERAGE(OFFSET($AM$3,0,0,'Données projet'!$E$10+1,1))-AVERAGE(OFFSET($H$3,0,0,'Données projet'!$E$10+1,1))</f>
        <v>314.94704727988847</v>
      </c>
      <c r="AO77" s="59">
        <f t="shared" si="90"/>
        <v>366.49199094166454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1.6381713703292879</v>
      </c>
      <c r="AV77" s="21">
        <f>EXP(-LN(2)/25)*AV76+(1-EXP(-LN(2)/25))/(LN(2)/25)*Calculateur!AQ77*Calculateur!AS77*VLOOKUP('Données projet'!$B$10,Paramètres!$A$1:$I$89,3,0)*0.475*44/12</f>
        <v>7.5013385103298837</v>
      </c>
      <c r="AW77" s="21">
        <f>EXP(-LN(2)/2)*AW76+(1-EXP(-LN(2)/2))/(LN(2)/2)*AQ77*AT77*VLOOKUP('Données projet'!$B$10,Paramètres!$A$1:$I$89,3,0)*0.475*44/12</f>
        <v>6.8829623653304874E-6</v>
      </c>
      <c r="AX77" s="21">
        <f t="shared" si="60"/>
        <v>9.139516763621538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4.4000000000000004</v>
      </c>
      <c r="BD77" s="12">
        <f>IF('Données projet'!$A$88&gt;35,BD76+BC77-BL76,IF(A77&lt;'Données projet'!$A$88,$BA$205^A77,IF(A77='Données projet'!$A$88,'Données projet'!$B$88,BD76+BC77-BL76)))</f>
        <v>368.59999999999991</v>
      </c>
      <c r="BE77" s="13">
        <f>BD77*VLOOKUP('Données projet'!$B$11,Paramètres!$A$1:$I$89,3,0)*VLOOKUP('Données projet'!$B$11,Paramètres!$A$1:$I$89,5,0)</f>
        <v>241.50671999999994</v>
      </c>
      <c r="BF77" s="13">
        <f t="shared" si="91"/>
        <v>58.763590457765382</v>
      </c>
      <c r="BG77" s="20">
        <f t="shared" si="61"/>
        <v>522.97079071394126</v>
      </c>
      <c r="BH77" s="59">
        <f t="shared" si="62"/>
        <v>816.30412404727463</v>
      </c>
      <c r="BI77" s="59">
        <f ca="1">AVERAGE(OFFSET($BH$3,0,0,'Données projet'!$E$11+1,1))-AVERAGE(OFFSET($H$3,0,0,'Données projet'!$E$11+1,1))</f>
        <v>246.64951465060813</v>
      </c>
      <c r="BJ77" s="59">
        <f t="shared" si="92"/>
        <v>292.64550285216865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1.0945384738493134</v>
      </c>
      <c r="BQ77" s="21">
        <f>EXP(-LN(2)/25)*BQ76+(1-EXP(-LN(2)/25))/(LN(2)/25)*Calculateur!BL77*Calculateur!BN77*VLOOKUP('Données projet'!$B$11,Paramètres!$A$1:$I$89,3,0)*0.475*44/12</f>
        <v>5.0119931001316189</v>
      </c>
      <c r="BR77" s="21">
        <f>EXP(-LN(2)/2)*BR76+(1-EXP(-LN(2)/2))/(LN(2)/2)*BL77*BO77*VLOOKUP('Données projet'!$B$11,Paramètres!$A$1:$I$89,3,0)*0.475*44/12</f>
        <v>5.6683219479192252E-6</v>
      </c>
      <c r="BS77" s="22">
        <f t="shared" si="63"/>
        <v>6.1065372423028803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4.4000000000000004</v>
      </c>
      <c r="BY77" s="12">
        <f>IF('Données projet'!$A$114&gt;35,BY76+BX77-CG76,IF(A77&lt;'Données projet'!$A$114,$BV$205^A77,IF(A77='Données projet'!$A$114,'Données projet'!$B$114,BY76+BX77-CG76)))</f>
        <v>368.59999999999991</v>
      </c>
      <c r="BZ77" s="13">
        <f>BY77*VLOOKUP('Données projet'!$B$12,Paramètres!$A$1:$I$89,3,0)*VLOOKUP('Données projet'!$B$12,Paramètres!$A$1:$I$89,5,0)</f>
        <v>247.25687999999994</v>
      </c>
      <c r="CA77" s="13">
        <f t="shared" si="93"/>
        <v>59.998166338173007</v>
      </c>
      <c r="CB77" s="20">
        <f t="shared" si="64"/>
        <v>535.13587237231798</v>
      </c>
      <c r="CC77" s="59">
        <f t="shared" si="65"/>
        <v>828.46920570565135</v>
      </c>
      <c r="CD77" s="59">
        <f ca="1">AVERAGE(OFFSET($CC$3,0,0,'Données projet'!$E$12+1,1))-AVERAGE(OFFSET($H$3,0,0,'Données projet'!$E$12+1,1))</f>
        <v>254.25222107710192</v>
      </c>
      <c r="CE77" s="59">
        <f t="shared" si="94"/>
        <v>300.86609173447573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1.3812033122384186</v>
      </c>
      <c r="CL77" s="21">
        <f>EXP(-LN(2)/25)*CL76+(1-EXP(-LN(2)/25))/(LN(2)/25)*Calculateur!CG77*Calculateur!CI77*VLOOKUP('Données projet'!$B$12,Paramètres!$A$1:$I$89,3,0)*0.475*44/12</f>
        <v>6.3246579596899002</v>
      </c>
      <c r="CM77" s="21">
        <f>EXP(-LN(2)/2)*CM76+(1-EXP(-LN(2)/2))/(LN(2)/2)*CG77*CJ77*VLOOKUP('Données projet'!$B$12,Paramètres!$A$1:$I$89,3,0)*0.475*44/12</f>
        <v>5.8032819942982578E-6</v>
      </c>
      <c r="CN77" s="22">
        <f t="shared" si="66"/>
        <v>7.7058670752103131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243.38048563215585</v>
      </c>
      <c r="CZ77" s="59">
        <f t="shared" si="96"/>
        <v>372.1604147006675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3.0577582761504627</v>
      </c>
      <c r="DG77" s="21">
        <f>EXP(-LN(2)/25)*DG76+(1-EXP(-LN(2)/25))/(LN(2)/25)*Calculateur!DB77*Calculateur!DD77*VLOOKUP('Données projet'!$B$13,Paramètres!$A$1:$I$89,3,0)*0.475*44/12</f>
        <v>5.7167215016438977</v>
      </c>
      <c r="DH77" s="21">
        <f>EXP(-LN(2)/2)*DH76+(1-EXP(-LN(2)/2))/(LN(2)/2)*DB77*DE77*VLOOKUP('Données projet'!$B$13,Paramètres!$A$1:$I$89,3,0)*0.475*44/12</f>
        <v>6.9892261536507994E-6</v>
      </c>
      <c r="DI77" s="22">
        <f t="shared" si="69"/>
        <v>8.7744867670205142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10.8</v>
      </c>
      <c r="DO77" s="12">
        <f>IF('Données projet'!$A$166&gt;35,DO76+DN77-DW76,IF(A77&lt;'Données projet'!$A$166,$DL$205^A77,IF(A77='Données projet'!$A$166,'Données projet'!$B$166,DO76+DN77-DW76)))</f>
        <v>461.2000000000001</v>
      </c>
      <c r="DP77" s="17">
        <f>DO77*VLOOKUP('Données projet'!$B$14,Paramètres!$A$1:$I$89,3,0)*VLOOKUP('Données projet'!$B$14,Paramètres!$A$1:$I$89,5,0)</f>
        <v>263.80640000000005</v>
      </c>
      <c r="DQ77" s="13">
        <f t="shared" si="97"/>
        <v>63.533061026766731</v>
      </c>
      <c r="DR77" s="20">
        <f t="shared" si="70"/>
        <v>570.11622795495225</v>
      </c>
      <c r="DS77" s="59">
        <f t="shared" si="71"/>
        <v>863.44956128828562</v>
      </c>
      <c r="DT77" s="59">
        <f ca="1">AVERAGE(OFFSET($DS$3,0,0,'Données projet'!$E$14+1,1))-AVERAGE(OFFSET($H$3,0,0,'Données projet'!$E$14+1,1))</f>
        <v>227.99747790451215</v>
      </c>
      <c r="DU77" s="59">
        <f t="shared" si="98"/>
        <v>209.49597700966933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1.1999923467450944</v>
      </c>
      <c r="EB77" s="21">
        <f>EXP(-LN(2)/25)*EB76+(1-EXP(-LN(2)/25))/(LN(2)/25)*Calculateur!DW77*Calculateur!DY77*VLOOKUP('Données projet'!$B$14,Paramètres!$A$1:$I$89,3,0)*0.475*44/12</f>
        <v>4.480715469033334</v>
      </c>
      <c r="EC77" s="21">
        <f>EXP(-LN(2)/2)*EC76+(1-EXP(-LN(2)/2))/(LN(2)/2)*DW77*DZ77*VLOOKUP('Données projet'!$B$14,Paramètres!$A$1:$I$89,3,0)*0.475*44/12</f>
        <v>5.8800749099404346E-6</v>
      </c>
      <c r="ED77" s="22">
        <f t="shared" si="72"/>
        <v>5.6807136958533375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8.9</v>
      </c>
      <c r="EJ77" s="12">
        <f>IF('Données projet'!$A$192&gt;35,EJ76+EI77-ER76,IF(A77&lt;'Données projet'!$A$192,$EG$205^A77,IF(A77='Données projet'!$A$192,'Données projet'!$B$192,EJ76+EI77-ER76)))</f>
        <v>781.60000000000048</v>
      </c>
      <c r="EK77" s="17">
        <f>EJ77*VLOOKUP('Données projet'!$B$15,Paramètres!$A$1:$I$89,3,0)*VLOOKUP('Données projet'!$B$15,Paramètres!$A$1:$I$89,5,0)</f>
        <v>345.46720000000028</v>
      </c>
      <c r="EL77" s="13">
        <f t="shared" si="99"/>
        <v>80.628453725106255</v>
      </c>
      <c r="EM77" s="20">
        <f t="shared" si="73"/>
        <v>742.11659690456054</v>
      </c>
      <c r="EN77" s="59">
        <f t="shared" si="74"/>
        <v>1035.4499302378938</v>
      </c>
      <c r="EO77" s="59">
        <f ca="1">AVERAGE(OFFSET($EN$3,0,0,'Données projet'!$E$15+1,1))-AVERAGE(OFFSET($H$3,0,0,'Données projet'!$E$15+1,1))</f>
        <v>335.27356627949155</v>
      </c>
      <c r="EP77" s="59">
        <f t="shared" si="100"/>
        <v>322.66829503077247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8.255910516474815</v>
      </c>
      <c r="EX77" s="21">
        <f>EXP(-LN(2)/2)*EX76+(1-EXP(-LN(2)/2))/(LN(2)/2)*ER77*EU77*VLOOKUP('Données projet'!$B$15,Paramètres!$A$1:$I$89,3,0)*0.475*44/12</f>
        <v>8.435998881860853E-6</v>
      </c>
      <c r="EY77" s="22">
        <f t="shared" si="75"/>
        <v>8.2559189524736976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7.4</v>
      </c>
      <c r="N78" s="13">
        <f>IF('Données projet'!$A$36&gt;35,N77+M78-V77,IF(A78&lt;'Données projet'!$A$36,$K$205^A78,IF(A78='Données projet'!$A$36,'Données projet'!$B$36,N77+M78-V77)))</f>
        <v>310.99999999999989</v>
      </c>
      <c r="O78" s="13">
        <f>N78*VLOOKUP('Données projet'!$B$9,Paramètres!$A$1:$I$89,3,0)*VLOOKUP('Données projet'!$B$9,Paramètres!$A$1:$I$89,5,0)</f>
        <v>281.39279999999985</v>
      </c>
      <c r="P78" s="13">
        <f t="shared" si="87"/>
        <v>67.261262504634658</v>
      </c>
      <c r="Q78" s="20">
        <f t="shared" si="54"/>
        <v>607.23915886223847</v>
      </c>
      <c r="R78" s="59">
        <f t="shared" si="55"/>
        <v>900.57249219557184</v>
      </c>
      <c r="S78" s="59">
        <f ca="1">AVERAGE(OFFSET($R$3,0,0,'Données projet'!$E$9+1,1))-AVERAGE(OFFSET($H$3,0,0,'Données projet'!$E$9+1,1))</f>
        <v>319.18811755575183</v>
      </c>
      <c r="T78" s="59">
        <f t="shared" si="88"/>
        <v>234.87694492493506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0.98791054023525815</v>
      </c>
      <c r="AA78" s="21">
        <f>EXP(-LN(2)/25)*AA77+(1-EXP(-LN(2)/25))/(LN(2)/25)*Calculateur!V78*Calculateur!X78*VLOOKUP('Données projet'!$B$9,Paramètres!$A$1:$I$89,3,0)*0.475*44/12</f>
        <v>3.2401387340989576</v>
      </c>
      <c r="AB78" s="21">
        <f>EXP(-LN(2)/2)*AB77+(1-EXP(-LN(2)/2))/(LN(2)/2)*V78*Y78*VLOOKUP('Données projet'!$B$9,Paramètres!$A$1:$I$89,3,0)*0.475*44/12</f>
        <v>3.6336208796902182E-6</v>
      </c>
      <c r="AC78" s="22">
        <f t="shared" si="57"/>
        <v>4.2280529079550959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4.4000000000000004</v>
      </c>
      <c r="AI78" s="13">
        <f>IF('Données projet'!$A$62&gt;35,AI77+AH78-AQ77,IF(A78&lt;'Données projet'!$A$62,$AF$205^A78,IF(A78='Données projet'!$A$62,'Données projet'!$B$62,AI77+AH78-AQ77)))</f>
        <v>372.99999999999989</v>
      </c>
      <c r="AJ78" s="13">
        <f>AI78*VLOOKUP('Données projet'!$B$10,Paramètres!$A$1:$I$89,3,0)*VLOOKUP('Données projet'!$B$10,Paramètres!$A$1:$I$89,5,0)</f>
        <v>296.75879999999989</v>
      </c>
      <c r="AK78" s="13">
        <f t="shared" si="89"/>
        <v>70.496554480015604</v>
      </c>
      <c r="AL78" s="20">
        <f t="shared" si="58"/>
        <v>639.63640905269369</v>
      </c>
      <c r="AM78" s="59">
        <f t="shared" si="59"/>
        <v>932.96974238602706</v>
      </c>
      <c r="AN78" s="59">
        <f ca="1">AVERAGE(OFFSET($AM$3,0,0,'Données projet'!$E$10+1,1))-AVERAGE(OFFSET($H$3,0,0,'Données projet'!$E$10+1,1))</f>
        <v>314.94704727988847</v>
      </c>
      <c r="AO78" s="59">
        <f t="shared" si="90"/>
        <v>366.49199094166454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1.6060478289430051</v>
      </c>
      <c r="AV78" s="21">
        <f>EXP(-LN(2)/25)*AV77+(1-EXP(-LN(2)/25))/(LN(2)/25)*Calculateur!AQ78*Calculateur!AS78*VLOOKUP('Données projet'!$B$10,Paramètres!$A$1:$I$89,3,0)*0.475*44/12</f>
        <v>7.2962140142866652</v>
      </c>
      <c r="AW78" s="21">
        <f>EXP(-LN(2)/2)*AW77+(1-EXP(-LN(2)/2))/(LN(2)/2)*AQ78*AT78*VLOOKUP('Données projet'!$B$10,Paramètres!$A$1:$I$89,3,0)*0.475*44/12</f>
        <v>4.8669893631769865E-6</v>
      </c>
      <c r="AX78" s="21">
        <f t="shared" si="60"/>
        <v>8.9022667102190329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4.4000000000000004</v>
      </c>
      <c r="BD78" s="12">
        <f>IF('Données projet'!$A$88&gt;35,BD77+BC78-BL77,IF(A78&lt;'Données projet'!$A$88,$BA$205^A78,IF(A78='Données projet'!$A$88,'Données projet'!$B$88,BD77+BC78-BL77)))</f>
        <v>372.99999999999989</v>
      </c>
      <c r="BE78" s="13">
        <f>BD78*VLOOKUP('Données projet'!$B$11,Paramètres!$A$1:$I$89,3,0)*VLOOKUP('Données projet'!$B$11,Paramètres!$A$1:$I$89,5,0)</f>
        <v>244.38959999999992</v>
      </c>
      <c r="BF78" s="13">
        <f t="shared" si="91"/>
        <v>59.382975743194187</v>
      </c>
      <c r="BG78" s="20">
        <f t="shared" si="61"/>
        <v>529.07056941939652</v>
      </c>
      <c r="BH78" s="59">
        <f t="shared" si="62"/>
        <v>822.40390275272989</v>
      </c>
      <c r="BI78" s="59">
        <f ca="1">AVERAGE(OFFSET($BH$3,0,0,'Données projet'!$E$11+1,1))-AVERAGE(OFFSET($H$3,0,0,'Données projet'!$E$11+1,1))</f>
        <v>246.64951465060813</v>
      </c>
      <c r="BJ78" s="59">
        <f t="shared" si="92"/>
        <v>292.64550285216865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1.0730752419796772</v>
      </c>
      <c r="BQ78" s="21">
        <f>EXP(-LN(2)/25)*BQ77+(1-EXP(-LN(2)/25))/(LN(2)/25)*Calculateur!BL78*Calculateur!BN78*VLOOKUP('Données projet'!$B$11,Paramètres!$A$1:$I$89,3,0)*0.475*44/12</f>
        <v>4.8749398852392574</v>
      </c>
      <c r="BR78" s="21">
        <f>EXP(-LN(2)/2)*BR77+(1-EXP(-LN(2)/2))/(LN(2)/2)*BL78*BO78*VLOOKUP('Données projet'!$B$11,Paramètres!$A$1:$I$89,3,0)*0.475*44/12</f>
        <v>4.0081088873222244E-6</v>
      </c>
      <c r="BS78" s="22">
        <f t="shared" si="63"/>
        <v>5.9480191353278222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4.4000000000000004</v>
      </c>
      <c r="BY78" s="12">
        <f>IF('Données projet'!$A$114&gt;35,BY77+BX78-CG77,IF(A78&lt;'Données projet'!$A$114,$BV$205^A78,IF(A78='Données projet'!$A$114,'Données projet'!$B$114,BY77+BX78-CG77)))</f>
        <v>372.99999999999989</v>
      </c>
      <c r="BZ78" s="13">
        <f>BY78*VLOOKUP('Données projet'!$B$12,Paramètres!$A$1:$I$89,3,0)*VLOOKUP('Données projet'!$B$12,Paramètres!$A$1:$I$89,5,0)</f>
        <v>250.20839999999995</v>
      </c>
      <c r="CA78" s="13">
        <f t="shared" si="93"/>
        <v>60.630564411420131</v>
      </c>
      <c r="CB78" s="20">
        <f t="shared" si="64"/>
        <v>541.3778630165566</v>
      </c>
      <c r="CC78" s="59">
        <f t="shared" si="65"/>
        <v>834.71119634988986</v>
      </c>
      <c r="CD78" s="59">
        <f ca="1">AVERAGE(OFFSET($CC$3,0,0,'Données projet'!$E$12+1,1))-AVERAGE(OFFSET($H$3,0,0,'Données projet'!$E$12+1,1))</f>
        <v>254.25222107710192</v>
      </c>
      <c r="CE78" s="59">
        <f t="shared" si="94"/>
        <v>300.86609173447573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1.3541187577362586</v>
      </c>
      <c r="CL78" s="21">
        <f>EXP(-LN(2)/25)*CL77+(1-EXP(-LN(2)/25))/(LN(2)/25)*Calculateur!CG78*Calculateur!CI78*VLOOKUP('Données projet'!$B$12,Paramètres!$A$1:$I$89,3,0)*0.475*44/12</f>
        <v>6.1517098551828733</v>
      </c>
      <c r="CM78" s="21">
        <f>EXP(-LN(2)/2)*CM77+(1-EXP(-LN(2)/2))/(LN(2)/2)*CG78*CJ78*VLOOKUP('Données projet'!$B$12,Paramètres!$A$1:$I$89,3,0)*0.475*44/12</f>
        <v>4.1035400513060892E-6</v>
      </c>
      <c r="CN78" s="22">
        <f t="shared" si="66"/>
        <v>7.5058327164591825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243.38048563215585</v>
      </c>
      <c r="CZ78" s="59">
        <f t="shared" si="96"/>
        <v>372.1604147006675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2.9977975014035425</v>
      </c>
      <c r="DG78" s="21">
        <f>EXP(-LN(2)/25)*DG77+(1-EXP(-LN(2)/25))/(LN(2)/25)*Calculateur!DB78*Calculateur!DD78*VLOOKUP('Données projet'!$B$13,Paramètres!$A$1:$I$89,3,0)*0.475*44/12</f>
        <v>5.5603974515521273</v>
      </c>
      <c r="DH78" s="21">
        <f>EXP(-LN(2)/2)*DH77+(1-EXP(-LN(2)/2))/(LN(2)/2)*DB78*DE78*VLOOKUP('Données projet'!$B$13,Paramètres!$A$1:$I$89,3,0)*0.475*44/12</f>
        <v>4.9421292084928509E-6</v>
      </c>
      <c r="DI78" s="22">
        <f t="shared" si="69"/>
        <v>8.5581998950848792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10.8</v>
      </c>
      <c r="DO78" s="12">
        <f>IF('Données projet'!$A$166&gt;35,DO77+DN78-DW77,IF(A78&lt;'Données projet'!$A$166,$DL$205^A78,IF(A78='Données projet'!$A$166,'Données projet'!$B$166,DO77+DN78-DW77)))</f>
        <v>472.00000000000011</v>
      </c>
      <c r="DP78" s="17">
        <f>DO78*VLOOKUP('Données projet'!$B$14,Paramètres!$A$1:$I$89,3,0)*VLOOKUP('Données projet'!$B$14,Paramètres!$A$1:$I$89,5,0)</f>
        <v>269.98400000000009</v>
      </c>
      <c r="DQ78" s="13">
        <f t="shared" si="97"/>
        <v>64.845873672314511</v>
      </c>
      <c r="DR78" s="20">
        <f t="shared" si="70"/>
        <v>583.1620299792811</v>
      </c>
      <c r="DS78" s="59">
        <f t="shared" si="71"/>
        <v>876.49536331261447</v>
      </c>
      <c r="DT78" s="59">
        <f ca="1">AVERAGE(OFFSET($DS$3,0,0,'Données projet'!$E$14+1,1))-AVERAGE(OFFSET($H$3,0,0,'Données projet'!$E$14+1,1))</f>
        <v>227.99747790451215</v>
      </c>
      <c r="DU78" s="59">
        <f t="shared" si="98"/>
        <v>209.49597700966933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1.1764612287484832</v>
      </c>
      <c r="EB78" s="21">
        <f>EXP(-LN(2)/25)*EB77+(1-EXP(-LN(2)/25))/(LN(2)/25)*Calculateur!DW78*Calculateur!DY78*VLOOKUP('Données projet'!$B$14,Paramètres!$A$1:$I$89,3,0)*0.475*44/12</f>
        <v>4.3581900689020321</v>
      </c>
      <c r="EC78" s="21">
        <f>EXP(-LN(2)/2)*EC77+(1-EXP(-LN(2)/2))/(LN(2)/2)*DW78*DZ78*VLOOKUP('Données projet'!$B$14,Paramètres!$A$1:$I$89,3,0)*0.475*44/12</f>
        <v>4.157840842703759E-6</v>
      </c>
      <c r="ED78" s="22">
        <f t="shared" si="72"/>
        <v>5.5346554554913574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8.9</v>
      </c>
      <c r="EJ78" s="12">
        <f>IF('Données projet'!$A$192&gt;35,EJ77+EI78-ER77,IF(A78&lt;'Données projet'!$A$192,$EG$205^A78,IF(A78='Données projet'!$A$192,'Données projet'!$B$192,EJ77+EI78-ER77)))</f>
        <v>790.50000000000045</v>
      </c>
      <c r="EK78" s="17">
        <f>EJ78*VLOOKUP('Données projet'!$B$15,Paramètres!$A$1:$I$89,3,0)*VLOOKUP('Données projet'!$B$15,Paramètres!$A$1:$I$89,5,0)</f>
        <v>349.40100000000024</v>
      </c>
      <c r="EL78" s="13">
        <f t="shared" si="99"/>
        <v>81.439158623970329</v>
      </c>
      <c r="EM78" s="20">
        <f t="shared" si="73"/>
        <v>750.37994293674865</v>
      </c>
      <c r="EN78" s="59">
        <f t="shared" si="74"/>
        <v>1043.7132762700819</v>
      </c>
      <c r="EO78" s="59">
        <f ca="1">AVERAGE(OFFSET($EN$3,0,0,'Données projet'!$E$15+1,1))-AVERAGE(OFFSET($H$3,0,0,'Données projet'!$E$15+1,1))</f>
        <v>335.27356627949155</v>
      </c>
      <c r="EP78" s="59">
        <f t="shared" si="100"/>
        <v>322.66829503077247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8.0301522092423454</v>
      </c>
      <c r="EX78" s="21">
        <f>EXP(-LN(2)/2)*EX77+(1-EXP(-LN(2)/2))/(LN(2)/2)*ER78*EU78*VLOOKUP('Données projet'!$B$15,Paramètres!$A$1:$I$89,3,0)*0.475*44/12</f>
        <v>5.9651520154459419E-6</v>
      </c>
      <c r="EY78" s="22">
        <f t="shared" si="75"/>
        <v>8.0301581743943604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7.4</v>
      </c>
      <c r="N79" s="13">
        <f>IF('Données projet'!$A$36&gt;35,N78+M79-V78,IF(A79&lt;'Données projet'!$A$36,$K$205^A79,IF(A79='Données projet'!$A$36,'Données projet'!$B$36,N78+M79-V78)))</f>
        <v>318.39999999999986</v>
      </c>
      <c r="O79" s="13">
        <f>N79*VLOOKUP('Données projet'!$B$9,Paramètres!$A$1:$I$89,3,0)*VLOOKUP('Données projet'!$B$9,Paramètres!$A$1:$I$89,5,0)</f>
        <v>288.0883199999999</v>
      </c>
      <c r="P79" s="13">
        <f t="shared" si="87"/>
        <v>68.673460144735557</v>
      </c>
      <c r="Q79" s="20">
        <f t="shared" si="54"/>
        <v>621.36010041874761</v>
      </c>
      <c r="R79" s="59">
        <f t="shared" si="55"/>
        <v>914.69343375208086</v>
      </c>
      <c r="S79" s="59">
        <f ca="1">AVERAGE(OFFSET($R$3,0,0,'Données projet'!$E$9+1,1))-AVERAGE(OFFSET($H$3,0,0,'Données projet'!$E$9+1,1))</f>
        <v>319.18811755575183</v>
      </c>
      <c r="T79" s="59">
        <f t="shared" si="88"/>
        <v>234.87694492493506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0.9685382171071758</v>
      </c>
      <c r="AA79" s="21">
        <f>EXP(-LN(2)/25)*AA78+(1-EXP(-LN(2)/25))/(LN(2)/25)*Calculateur!V79*Calculateur!X79*VLOOKUP('Données projet'!$B$9,Paramètres!$A$1:$I$89,3,0)*0.475*44/12</f>
        <v>3.1515369700235309</v>
      </c>
      <c r="AB79" s="21">
        <f>EXP(-LN(2)/2)*AB78+(1-EXP(-LN(2)/2))/(LN(2)/2)*V79*Y79*VLOOKUP('Données projet'!$B$9,Paramètres!$A$1:$I$89,3,0)*0.475*44/12</f>
        <v>2.5693579642899816E-6</v>
      </c>
      <c r="AC79" s="22">
        <f t="shared" si="57"/>
        <v>4.120077756488671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4.4000000000000004</v>
      </c>
      <c r="AI79" s="13">
        <f>IF('Données projet'!$A$62&gt;35,AI78+AH79-AQ78,IF(A79&lt;'Données projet'!$A$62,$AF$205^A79,IF(A79='Données projet'!$A$62,'Données projet'!$B$62,AI78+AH79-AQ78)))</f>
        <v>377.39999999999986</v>
      </c>
      <c r="AJ79" s="13">
        <f>AI79*VLOOKUP('Données projet'!$B$10,Paramètres!$A$1:$I$89,3,0)*VLOOKUP('Données projet'!$B$10,Paramètres!$A$1:$I$89,5,0)</f>
        <v>300.25943999999993</v>
      </c>
      <c r="AK79" s="13">
        <f t="shared" si="89"/>
        <v>71.230849328317547</v>
      </c>
      <c r="AL79" s="20">
        <f t="shared" si="58"/>
        <v>647.01225391348623</v>
      </c>
      <c r="AM79" s="59">
        <f t="shared" si="59"/>
        <v>940.3455872468196</v>
      </c>
      <c r="AN79" s="59">
        <f ca="1">AVERAGE(OFFSET($AM$3,0,0,'Données projet'!$E$10+1,1))-AVERAGE(OFFSET($H$3,0,0,'Données projet'!$E$10+1,1))</f>
        <v>314.94704727988847</v>
      </c>
      <c r="AO79" s="59">
        <f t="shared" si="90"/>
        <v>366.49199094166454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1.5745542106098818</v>
      </c>
      <c r="AV79" s="21">
        <f>EXP(-LN(2)/25)*AV78+(1-EXP(-LN(2)/25))/(LN(2)/25)*Calculateur!AQ79*Calculateur!AS79*VLOOKUP('Données projet'!$B$10,Paramètres!$A$1:$I$89,3,0)*0.475*44/12</f>
        <v>7.0966986583747769</v>
      </c>
      <c r="AW79" s="21">
        <f>EXP(-LN(2)/2)*AW78+(1-EXP(-LN(2)/2))/(LN(2)/2)*AQ79*AT79*VLOOKUP('Données projet'!$B$10,Paramètres!$A$1:$I$89,3,0)*0.475*44/12</f>
        <v>3.4414811826652437E-6</v>
      </c>
      <c r="AX79" s="21">
        <f t="shared" si="60"/>
        <v>8.6712563104658411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4.4000000000000004</v>
      </c>
      <c r="BD79" s="12">
        <f>IF('Données projet'!$A$88&gt;35,BD78+BC79-BL78,IF(A79&lt;'Données projet'!$A$88,$BA$205^A79,IF(A79='Données projet'!$A$88,'Données projet'!$B$88,BD78+BC79-BL78)))</f>
        <v>377.39999999999986</v>
      </c>
      <c r="BE79" s="13">
        <f>BD79*VLOOKUP('Données projet'!$B$11,Paramètres!$A$1:$I$89,3,0)*VLOOKUP('Données projet'!$B$11,Paramètres!$A$1:$I$89,5,0)</f>
        <v>247.27247999999989</v>
      </c>
      <c r="BF79" s="13">
        <f t="shared" si="91"/>
        <v>60.00151112391876</v>
      </c>
      <c r="BG79" s="20">
        <f t="shared" si="61"/>
        <v>535.16886787415831</v>
      </c>
      <c r="BH79" s="59">
        <f t="shared" si="62"/>
        <v>828.50220120749168</v>
      </c>
      <c r="BI79" s="59">
        <f ca="1">AVERAGE(OFFSET($BH$3,0,0,'Données projet'!$E$11+1,1))-AVERAGE(OFFSET($H$3,0,0,'Données projet'!$E$11+1,1))</f>
        <v>246.64951465060813</v>
      </c>
      <c r="BJ79" s="59">
        <f t="shared" si="92"/>
        <v>292.64550285216865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1.0520328909957257</v>
      </c>
      <c r="BQ79" s="21">
        <f>EXP(-LN(2)/25)*BQ78+(1-EXP(-LN(2)/25))/(LN(2)/25)*Calculateur!BL79*Calculateur!BN79*VLOOKUP('Données projet'!$B$11,Paramètres!$A$1:$I$89,3,0)*0.475*44/12</f>
        <v>4.7416343977154431</v>
      </c>
      <c r="BR79" s="21">
        <f>EXP(-LN(2)/2)*BR78+(1-EXP(-LN(2)/2))/(LN(2)/2)*BL79*BO79*VLOOKUP('Données projet'!$B$11,Paramètres!$A$1:$I$89,3,0)*0.475*44/12</f>
        <v>2.8341609739596126E-6</v>
      </c>
      <c r="BS79" s="22">
        <f t="shared" si="63"/>
        <v>5.7936701228721432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4.4000000000000004</v>
      </c>
      <c r="BY79" s="12">
        <f>IF('Données projet'!$A$114&gt;35,BY78+BX79-CG78,IF(A79&lt;'Données projet'!$A$114,$BV$205^A79,IF(A79='Données projet'!$A$114,'Données projet'!$B$114,BY78+BX79-CG78)))</f>
        <v>377.39999999999986</v>
      </c>
      <c r="BZ79" s="13">
        <f>BY79*VLOOKUP('Données projet'!$B$12,Paramètres!$A$1:$I$89,3,0)*VLOOKUP('Données projet'!$B$12,Paramètres!$A$1:$I$89,5,0)</f>
        <v>253.15991999999989</v>
      </c>
      <c r="CA79" s="13">
        <f t="shared" si="93"/>
        <v>61.262094724147147</v>
      </c>
      <c r="CB79" s="20">
        <f t="shared" si="64"/>
        <v>547.61834231122282</v>
      </c>
      <c r="CC79" s="59">
        <f t="shared" si="65"/>
        <v>840.95167564455619</v>
      </c>
      <c r="CD79" s="59">
        <f ca="1">AVERAGE(OFFSET($CC$3,0,0,'Données projet'!$E$12+1,1))-AVERAGE(OFFSET($H$3,0,0,'Données projet'!$E$12+1,1))</f>
        <v>254.25222107710192</v>
      </c>
      <c r="CE79" s="59">
        <f t="shared" si="94"/>
        <v>300.86609173447573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1.3275653148279389</v>
      </c>
      <c r="CL79" s="21">
        <f>EXP(-LN(2)/25)*CL78+(1-EXP(-LN(2)/25))/(LN(2)/25)*Calculateur!CG79*Calculateur!CI79*VLOOKUP('Données projet'!$B$12,Paramètres!$A$1:$I$89,3,0)*0.475*44/12</f>
        <v>5.9834910256885365</v>
      </c>
      <c r="CM79" s="21">
        <f>EXP(-LN(2)/2)*CM78+(1-EXP(-LN(2)/2))/(LN(2)/2)*CG79*CJ79*VLOOKUP('Données projet'!$B$12,Paramètres!$A$1:$I$89,3,0)*0.475*44/12</f>
        <v>2.9016409971491289E-6</v>
      </c>
      <c r="CN79" s="22">
        <f t="shared" si="66"/>
        <v>7.311059242157472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243.38048563215585</v>
      </c>
      <c r="CZ79" s="59">
        <f t="shared" si="96"/>
        <v>372.1604147006675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2.9390125208769478</v>
      </c>
      <c r="DG79" s="21">
        <f>EXP(-LN(2)/25)*DG78+(1-EXP(-LN(2)/25))/(LN(2)/25)*Calculateur!DB79*Calculateur!DD79*VLOOKUP('Données projet'!$B$13,Paramètres!$A$1:$I$89,3,0)*0.475*44/12</f>
        <v>5.4083480908308408</v>
      </c>
      <c r="DH79" s="21">
        <f>EXP(-LN(2)/2)*DH78+(1-EXP(-LN(2)/2))/(LN(2)/2)*DB79*DE79*VLOOKUP('Données projet'!$B$13,Paramètres!$A$1:$I$89,3,0)*0.475*44/12</f>
        <v>3.4946130768253997E-6</v>
      </c>
      <c r="DI79" s="22">
        <f t="shared" si="69"/>
        <v>8.3473641063208657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10.8</v>
      </c>
      <c r="DO79" s="12">
        <f>IF('Données projet'!$A$166&gt;35,DO78+DN79-DW78,IF(A79&lt;'Données projet'!$A$166,$DL$205^A79,IF(A79='Données projet'!$A$166,'Données projet'!$B$166,DO78+DN79-DW78)))</f>
        <v>482.80000000000013</v>
      </c>
      <c r="DP79" s="17">
        <f>DO79*VLOOKUP('Données projet'!$B$14,Paramètres!$A$1:$I$89,3,0)*VLOOKUP('Données projet'!$B$14,Paramètres!$A$1:$I$89,5,0)</f>
        <v>276.16160000000008</v>
      </c>
      <c r="DQ79" s="13">
        <f t="shared" si="97"/>
        <v>66.155194116121109</v>
      </c>
      <c r="DR79" s="20">
        <f t="shared" si="70"/>
        <v>596.20174975224438</v>
      </c>
      <c r="DS79" s="59">
        <f t="shared" si="71"/>
        <v>889.53508308557775</v>
      </c>
      <c r="DT79" s="59">
        <f ca="1">AVERAGE(OFFSET($DS$3,0,0,'Données projet'!$E$14+1,1))-AVERAGE(OFFSET($H$3,0,0,'Données projet'!$E$14+1,1))</f>
        <v>227.99747790451215</v>
      </c>
      <c r="DU79" s="59">
        <f t="shared" si="98"/>
        <v>209.49597700966933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1.1533915416232208</v>
      </c>
      <c r="EB79" s="21">
        <f>EXP(-LN(2)/25)*EB78+(1-EXP(-LN(2)/25))/(LN(2)/25)*Calculateur!DW79*Calculateur!DY79*VLOOKUP('Données projet'!$B$14,Paramètres!$A$1:$I$89,3,0)*0.475*44/12</f>
        <v>4.2390151322806506</v>
      </c>
      <c r="EC79" s="21">
        <f>EXP(-LN(2)/2)*EC78+(1-EXP(-LN(2)/2))/(LN(2)/2)*DW79*DZ79*VLOOKUP('Données projet'!$B$14,Paramètres!$A$1:$I$89,3,0)*0.475*44/12</f>
        <v>2.9400374549702173E-6</v>
      </c>
      <c r="ED79" s="22">
        <f t="shared" si="72"/>
        <v>5.3924096139413269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8.9</v>
      </c>
      <c r="EJ79" s="12">
        <f>IF('Données projet'!$A$192&gt;35,EJ78+EI79-ER78,IF(A79&lt;'Données projet'!$A$192,$EG$205^A79,IF(A79='Données projet'!$A$192,'Données projet'!$B$192,EJ78+EI79-ER78)))</f>
        <v>799.40000000000043</v>
      </c>
      <c r="EK79" s="17">
        <f>EJ79*VLOOKUP('Données projet'!$B$15,Paramètres!$A$1:$I$89,3,0)*VLOOKUP('Données projet'!$B$15,Paramètres!$A$1:$I$89,5,0)</f>
        <v>353.3348000000002</v>
      </c>
      <c r="EL79" s="13">
        <f t="shared" si="99"/>
        <v>82.248801756208891</v>
      </c>
      <c r="EM79" s="20">
        <f t="shared" si="73"/>
        <v>758.6414397253975</v>
      </c>
      <c r="EN79" s="59">
        <f t="shared" si="74"/>
        <v>1051.9747730587308</v>
      </c>
      <c r="EO79" s="59">
        <f ca="1">AVERAGE(OFFSET($EN$3,0,0,'Données projet'!$E$15+1,1))-AVERAGE(OFFSET($H$3,0,0,'Données projet'!$E$15+1,1))</f>
        <v>335.27356627949155</v>
      </c>
      <c r="EP79" s="59">
        <f t="shared" si="100"/>
        <v>322.66829503077247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7.8105672747932617</v>
      </c>
      <c r="EX79" s="21">
        <f>EXP(-LN(2)/2)*EX78+(1-EXP(-LN(2)/2))/(LN(2)/2)*ER79*EU79*VLOOKUP('Données projet'!$B$15,Paramètres!$A$1:$I$89,3,0)*0.475*44/12</f>
        <v>4.2179994409304265E-6</v>
      </c>
      <c r="EY79" s="22">
        <f t="shared" si="75"/>
        <v>7.810571492792703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7.4</v>
      </c>
      <c r="N80" s="13">
        <f>IF('Données projet'!$A$36&gt;35,N79+M80-V79,IF(A80&lt;'Données projet'!$A$36,$K$205^A80,IF(A80='Données projet'!$A$36,'Données projet'!$B$36,N79+M80-V79)))</f>
        <v>325.79999999999984</v>
      </c>
      <c r="O80" s="13">
        <f>N80*VLOOKUP('Données projet'!$B$9,Paramètres!$A$1:$I$89,3,0)*VLOOKUP('Données projet'!$B$9,Paramètres!$A$1:$I$89,5,0)</f>
        <v>294.78383999999983</v>
      </c>
      <c r="P80" s="13">
        <f t="shared" si="87"/>
        <v>70.081842199807596</v>
      </c>
      <c r="Q80" s="20">
        <f t="shared" si="54"/>
        <v>635.47439649799799</v>
      </c>
      <c r="R80" s="59">
        <f t="shared" si="55"/>
        <v>928.80772983133124</v>
      </c>
      <c r="S80" s="59">
        <f ca="1">AVERAGE(OFFSET($R$3,0,0,'Données projet'!$E$9+1,1))-AVERAGE(OFFSET($H$3,0,0,'Données projet'!$E$9+1,1))</f>
        <v>319.18811755575183</v>
      </c>
      <c r="T80" s="59">
        <f t="shared" si="88"/>
        <v>234.87694492493506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0.94954577341968482</v>
      </c>
      <c r="AA80" s="21">
        <f>EXP(-LN(2)/25)*AA79+(1-EXP(-LN(2)/25))/(LN(2)/25)*Calculateur!V80*Calculateur!X80*VLOOKUP('Données projet'!$B$9,Paramètres!$A$1:$I$89,3,0)*0.475*44/12</f>
        <v>3.0653580258461113</v>
      </c>
      <c r="AB80" s="21">
        <f>EXP(-LN(2)/2)*AB79+(1-EXP(-LN(2)/2))/(LN(2)/2)*V80*Y80*VLOOKUP('Données projet'!$B$9,Paramètres!$A$1:$I$89,3,0)*0.475*44/12</f>
        <v>1.8168104398451093E-6</v>
      </c>
      <c r="AC80" s="22">
        <f t="shared" si="57"/>
        <v>4.014905616076236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4.4000000000000004</v>
      </c>
      <c r="AI80" s="13">
        <f>IF('Données projet'!$A$62&gt;35,AI79+AH80-AQ79,IF(A80&lt;'Données projet'!$A$62,$AF$205^A80,IF(A80='Données projet'!$A$62,'Données projet'!$B$62,AI79+AH80-AQ79)))</f>
        <v>381.79999999999984</v>
      </c>
      <c r="AJ80" s="13">
        <f>AI80*VLOOKUP('Données projet'!$B$10,Paramètres!$A$1:$I$89,3,0)*VLOOKUP('Données projet'!$B$10,Paramètres!$A$1:$I$89,5,0)</f>
        <v>303.7600799999999</v>
      </c>
      <c r="AK80" s="13">
        <f t="shared" si="89"/>
        <v>71.964148335636722</v>
      </c>
      <c r="AL80" s="20">
        <f t="shared" si="58"/>
        <v>654.38636435123374</v>
      </c>
      <c r="AM80" s="59">
        <f t="shared" si="59"/>
        <v>947.71969768456711</v>
      </c>
      <c r="AN80" s="59">
        <f ca="1">AVERAGE(OFFSET($AM$3,0,0,'Données projet'!$E$10+1,1))-AVERAGE(OFFSET($H$3,0,0,'Données projet'!$E$10+1,1))</f>
        <v>314.94704727988847</v>
      </c>
      <c r="AO80" s="59">
        <f t="shared" si="90"/>
        <v>366.49199094166454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1.5436781629230605</v>
      </c>
      <c r="AV80" s="21">
        <f>EXP(-LN(2)/25)*AV79+(1-EXP(-LN(2)/25))/(LN(2)/25)*Calculateur!AQ80*Calculateur!AS80*VLOOKUP('Données projet'!$B$10,Paramètres!$A$1:$I$89,3,0)*0.475*44/12</f>
        <v>6.9026390603623557</v>
      </c>
      <c r="AW80" s="21">
        <f>EXP(-LN(2)/2)*AW79+(1-EXP(-LN(2)/2))/(LN(2)/2)*AQ80*AT80*VLOOKUP('Données projet'!$B$10,Paramètres!$A$1:$I$89,3,0)*0.475*44/12</f>
        <v>2.4334946815884932E-6</v>
      </c>
      <c r="AX80" s="21">
        <f t="shared" si="60"/>
        <v>8.4463196567800978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4.4000000000000004</v>
      </c>
      <c r="BD80" s="12">
        <f>IF('Données projet'!$A$88&gt;35,BD79+BC80-BL79,IF(A80&lt;'Données projet'!$A$88,$BA$205^A80,IF(A80='Données projet'!$A$88,'Données projet'!$B$88,BD79+BC80-BL79)))</f>
        <v>381.79999999999984</v>
      </c>
      <c r="BE80" s="13">
        <f>BD80*VLOOKUP('Données projet'!$B$11,Paramètres!$A$1:$I$89,3,0)*VLOOKUP('Données projet'!$B$11,Paramètres!$A$1:$I$89,5,0)</f>
        <v>250.15535999999992</v>
      </c>
      <c r="BF80" s="13">
        <f t="shared" si="91"/>
        <v>60.619207655122857</v>
      </c>
      <c r="BG80" s="20">
        <f t="shared" si="61"/>
        <v>541.26570533267216</v>
      </c>
      <c r="BH80" s="59">
        <f t="shared" si="62"/>
        <v>834.59903866600553</v>
      </c>
      <c r="BI80" s="59">
        <f ca="1">AVERAGE(OFFSET($BH$3,0,0,'Données projet'!$E$11+1,1))-AVERAGE(OFFSET($H$3,0,0,'Données projet'!$E$11+1,1))</f>
        <v>246.64951465060813</v>
      </c>
      <c r="BJ80" s="59">
        <f t="shared" si="92"/>
        <v>292.64550285216865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1.0314031676800028</v>
      </c>
      <c r="BQ80" s="21">
        <f>EXP(-LN(2)/25)*BQ79+(1-EXP(-LN(2)/25))/(LN(2)/25)*Calculateur!BL80*Calculateur!BN80*VLOOKUP('Données projet'!$B$11,Paramètres!$A$1:$I$89,3,0)*0.475*44/12</f>
        <v>4.6119741557581984</v>
      </c>
      <c r="BR80" s="21">
        <f>EXP(-LN(2)/2)*BR79+(1-EXP(-LN(2)/2))/(LN(2)/2)*BL80*BO80*VLOOKUP('Données projet'!$B$11,Paramètres!$A$1:$I$89,3,0)*0.475*44/12</f>
        <v>2.0040544436611122E-6</v>
      </c>
      <c r="BS80" s="22">
        <f t="shared" si="63"/>
        <v>5.6433793274926449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4.4000000000000004</v>
      </c>
      <c r="BY80" s="12">
        <f>IF('Données projet'!$A$114&gt;35,BY79+BX80-CG79,IF(A80&lt;'Données projet'!$A$114,$BV$205^A80,IF(A80='Données projet'!$A$114,'Données projet'!$B$114,BY79+BX80-CG79)))</f>
        <v>381.79999999999984</v>
      </c>
      <c r="BZ80" s="13">
        <f>BY80*VLOOKUP('Données projet'!$B$12,Paramètres!$A$1:$I$89,3,0)*VLOOKUP('Données projet'!$B$12,Paramètres!$A$1:$I$89,5,0)</f>
        <v>256.1114399999999</v>
      </c>
      <c r="CA80" s="13">
        <f t="shared" si="93"/>
        <v>61.892768563798455</v>
      </c>
      <c r="CB80" s="20">
        <f t="shared" si="64"/>
        <v>553.85732991528209</v>
      </c>
      <c r="CC80" s="59">
        <f t="shared" si="65"/>
        <v>847.19066324861546</v>
      </c>
      <c r="CD80" s="59">
        <f ca="1">AVERAGE(OFFSET($CC$3,0,0,'Données projet'!$E$12+1,1))-AVERAGE(OFFSET($H$3,0,0,'Données projet'!$E$12+1,1))</f>
        <v>254.25222107710192</v>
      </c>
      <c r="CE80" s="59">
        <f t="shared" si="94"/>
        <v>300.86609173447573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1.3015325687390504</v>
      </c>
      <c r="CL80" s="21">
        <f>EXP(-LN(2)/25)*CL79+(1-EXP(-LN(2)/25))/(LN(2)/25)*Calculateur!CG80*Calculateur!CI80*VLOOKUP('Données projet'!$B$12,Paramètres!$A$1:$I$89,3,0)*0.475*44/12</f>
        <v>5.8198721489329657</v>
      </c>
      <c r="CM80" s="21">
        <f>EXP(-LN(2)/2)*CM79+(1-EXP(-LN(2)/2))/(LN(2)/2)*CG80*CJ80*VLOOKUP('Données projet'!$B$12,Paramètres!$A$1:$I$89,3,0)*0.475*44/12</f>
        <v>2.0517700256530446E-6</v>
      </c>
      <c r="CN80" s="22">
        <f t="shared" si="66"/>
        <v>7.121406769442042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243.38048563215585</v>
      </c>
      <c r="CZ80" s="59">
        <f t="shared" si="96"/>
        <v>372.1604147006675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2.8813802779631819</v>
      </c>
      <c r="DG80" s="21">
        <f>EXP(-LN(2)/25)*DG79+(1-EXP(-LN(2)/25))/(LN(2)/25)*Calculateur!DB80*Calculateur!DD80*VLOOKUP('Données projet'!$B$13,Paramètres!$A$1:$I$89,3,0)*0.475*44/12</f>
        <v>5.260456527874406</v>
      </c>
      <c r="DH80" s="21">
        <f>EXP(-LN(2)/2)*DH79+(1-EXP(-LN(2)/2))/(LN(2)/2)*DB80*DE80*VLOOKUP('Données projet'!$B$13,Paramètres!$A$1:$I$89,3,0)*0.475*44/12</f>
        <v>2.4710646042464255E-6</v>
      </c>
      <c r="DI80" s="22">
        <f t="shared" si="69"/>
        <v>8.1418392769021928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10.8</v>
      </c>
      <c r="DO80" s="12">
        <f>IF('Données projet'!$A$166&gt;35,DO79+DN80-DW79,IF(A80&lt;'Données projet'!$A$166,$DL$205^A80,IF(A80='Données projet'!$A$166,'Données projet'!$B$166,DO79+DN80-DW79)))</f>
        <v>493.60000000000014</v>
      </c>
      <c r="DP80" s="17">
        <f>DO80*VLOOKUP('Données projet'!$B$14,Paramètres!$A$1:$I$89,3,0)*VLOOKUP('Données projet'!$B$14,Paramètres!$A$1:$I$89,5,0)</f>
        <v>282.33920000000006</v>
      </c>
      <c r="DQ80" s="13">
        <f t="shared" si="97"/>
        <v>67.461109471302223</v>
      </c>
      <c r="DR80" s="20">
        <f t="shared" si="70"/>
        <v>609.23553899585147</v>
      </c>
      <c r="DS80" s="59">
        <f t="shared" si="71"/>
        <v>902.56887232918484</v>
      </c>
      <c r="DT80" s="59">
        <f ca="1">AVERAGE(OFFSET($DS$3,0,0,'Données projet'!$E$14+1,1))-AVERAGE(OFFSET($H$3,0,0,'Données projet'!$E$14+1,1))</f>
        <v>227.99747790451215</v>
      </c>
      <c r="DU80" s="59">
        <f t="shared" si="98"/>
        <v>209.49597700966933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1.1307742369913649</v>
      </c>
      <c r="EB80" s="21">
        <f>EXP(-LN(2)/25)*EB79+(1-EXP(-LN(2)/25))/(LN(2)/25)*Calculateur!DW80*Calculateur!DY80*VLOOKUP('Données projet'!$B$14,Paramètres!$A$1:$I$89,3,0)*0.475*44/12</f>
        <v>4.1230990405683192</v>
      </c>
      <c r="EC80" s="21">
        <f>EXP(-LN(2)/2)*EC79+(1-EXP(-LN(2)/2))/(LN(2)/2)*DW80*DZ80*VLOOKUP('Données projet'!$B$14,Paramètres!$A$1:$I$89,3,0)*0.475*44/12</f>
        <v>2.0789204213518795E-6</v>
      </c>
      <c r="ED80" s="22">
        <f t="shared" si="72"/>
        <v>5.2538753564801057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8.9</v>
      </c>
      <c r="EJ80" s="12">
        <f>IF('Données projet'!$A$192&gt;35,EJ79+EI80-ER79,IF(A80&lt;'Données projet'!$A$192,$EG$205^A80,IF(A80='Données projet'!$A$192,'Données projet'!$B$192,EJ79+EI80-ER79)))</f>
        <v>808.30000000000041</v>
      </c>
      <c r="EK80" s="17">
        <f>EJ80*VLOOKUP('Données projet'!$B$15,Paramètres!$A$1:$I$89,3,0)*VLOOKUP('Données projet'!$B$15,Paramètres!$A$1:$I$89,5,0)</f>
        <v>357.26860000000022</v>
      </c>
      <c r="EL80" s="13">
        <f t="shared" si="99"/>
        <v>83.057396310808258</v>
      </c>
      <c r="EM80" s="20">
        <f t="shared" si="73"/>
        <v>766.90111024132477</v>
      </c>
      <c r="EN80" s="59">
        <f t="shared" si="74"/>
        <v>1060.2344435746581</v>
      </c>
      <c r="EO80" s="59">
        <f ca="1">AVERAGE(OFFSET($EN$3,0,0,'Données projet'!$E$15+1,1))-AVERAGE(OFFSET($H$3,0,0,'Données projet'!$E$15+1,1))</f>
        <v>335.27356627949155</v>
      </c>
      <c r="EP80" s="59">
        <f t="shared" si="100"/>
        <v>322.66829503077247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7.5969869019241587</v>
      </c>
      <c r="EX80" s="21">
        <f>EXP(-LN(2)/2)*EX79+(1-EXP(-LN(2)/2))/(LN(2)/2)*ER80*EU80*VLOOKUP('Données projet'!$B$15,Paramètres!$A$1:$I$89,3,0)*0.475*44/12</f>
        <v>2.9825760077229709E-6</v>
      </c>
      <c r="EY80" s="22">
        <f t="shared" si="75"/>
        <v>7.5969898845001662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7.4</v>
      </c>
      <c r="N81" s="13">
        <f>IF('Données projet'!$A$36&gt;35,N80+M81-V80,IF(A81&lt;'Données projet'!$A$36,$K$205^A81,IF(A81='Données projet'!$A$36,'Données projet'!$B$36,N80+M81-V80)))</f>
        <v>333.19999999999982</v>
      </c>
      <c r="O81" s="13">
        <f>N81*VLOOKUP('Données projet'!$B$9,Paramètres!$A$1:$I$89,3,0)*VLOOKUP('Données projet'!$B$9,Paramètres!$A$1:$I$89,5,0)</f>
        <v>301.47935999999982</v>
      </c>
      <c r="P81" s="13">
        <f t="shared" si="87"/>
        <v>71.486505311225272</v>
      </c>
      <c r="Q81" s="20">
        <f t="shared" si="54"/>
        <v>649.58221541705041</v>
      </c>
      <c r="R81" s="59">
        <f t="shared" si="55"/>
        <v>942.91554875038378</v>
      </c>
      <c r="S81" s="59">
        <f ca="1">AVERAGE(OFFSET($R$3,0,0,'Données projet'!$E$9+1,1))-AVERAGE(OFFSET($H$3,0,0,'Données projet'!$E$9+1,1))</f>
        <v>319.18811755575183</v>
      </c>
      <c r="T81" s="59">
        <f t="shared" si="88"/>
        <v>234.87694492493506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0.93092575996865867</v>
      </c>
      <c r="AA81" s="21">
        <f>EXP(-LN(2)/25)*AA80+(1-EXP(-LN(2)/25))/(LN(2)/25)*Calculateur!V81*Calculateur!X81*VLOOKUP('Données projet'!$B$9,Paramètres!$A$1:$I$89,3,0)*0.475*44/12</f>
        <v>2.9815356494291767</v>
      </c>
      <c r="AB81" s="21">
        <f>EXP(-LN(2)/2)*AB80+(1-EXP(-LN(2)/2))/(LN(2)/2)*V81*Y81*VLOOKUP('Données projet'!$B$9,Paramètres!$A$1:$I$89,3,0)*0.475*44/12</f>
        <v>1.284678982144991E-6</v>
      </c>
      <c r="AC81" s="22">
        <f t="shared" si="57"/>
        <v>3.9124626940768175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4.4000000000000004</v>
      </c>
      <c r="AI81" s="13">
        <f>IF('Données projet'!$A$62&gt;35,AI80+AH81-AQ80,IF(A81&lt;'Données projet'!$A$62,$AF$205^A81,IF(A81='Données projet'!$A$62,'Données projet'!$B$62,AI80+AH81-AQ80)))</f>
        <v>386.19999999999982</v>
      </c>
      <c r="AJ81" s="13">
        <f>AI81*VLOOKUP('Données projet'!$B$10,Paramètres!$A$1:$I$89,3,0)*VLOOKUP('Données projet'!$B$10,Paramètres!$A$1:$I$89,5,0)</f>
        <v>307.26071999999988</v>
      </c>
      <c r="AK81" s="13">
        <f t="shared" si="89"/>
        <v>72.696464306238028</v>
      </c>
      <c r="AL81" s="20">
        <f t="shared" si="58"/>
        <v>661.75876266669763</v>
      </c>
      <c r="AM81" s="59">
        <f t="shared" si="59"/>
        <v>955.09209600003101</v>
      </c>
      <c r="AN81" s="59">
        <f ca="1">AVERAGE(OFFSET($AM$3,0,0,'Données projet'!$E$10+1,1))-AVERAGE(OFFSET($H$3,0,0,'Données projet'!$E$10+1,1))</f>
        <v>314.94704727988847</v>
      </c>
      <c r="AO81" s="59">
        <f t="shared" si="90"/>
        <v>366.49199094166454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1.5134075756988483</v>
      </c>
      <c r="AV81" s="21">
        <f>EXP(-LN(2)/25)*AV80+(1-EXP(-LN(2)/25))/(LN(2)/25)*Calculateur!AQ81*Calculateur!AS81*VLOOKUP('Données projet'!$B$10,Paramètres!$A$1:$I$89,3,0)*0.475*44/12</f>
        <v>6.7138860322627352</v>
      </c>
      <c r="AW81" s="21">
        <f>EXP(-LN(2)/2)*AW80+(1-EXP(-LN(2)/2))/(LN(2)/2)*AQ81*AT81*VLOOKUP('Données projet'!$B$10,Paramètres!$A$1:$I$89,3,0)*0.475*44/12</f>
        <v>1.7207405913326219E-6</v>
      </c>
      <c r="AX81" s="21">
        <f t="shared" si="60"/>
        <v>8.2272953287021746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4.4000000000000004</v>
      </c>
      <c r="BD81" s="12">
        <f>IF('Données projet'!$A$88&gt;35,BD80+BC81-BL80,IF(A81&lt;'Données projet'!$A$88,$BA$205^A81,IF(A81='Données projet'!$A$88,'Données projet'!$B$88,BD80+BC81-BL80)))</f>
        <v>386.19999999999982</v>
      </c>
      <c r="BE81" s="13">
        <f>BD81*VLOOKUP('Données projet'!$B$11,Paramètres!$A$1:$I$89,3,0)*VLOOKUP('Données projet'!$B$11,Paramètres!$A$1:$I$89,5,0)</f>
        <v>253.03823999999989</v>
      </c>
      <c r="BF81" s="13">
        <f t="shared" si="91"/>
        <v>61.236076122515811</v>
      </c>
      <c r="BG81" s="20">
        <f t="shared" si="61"/>
        <v>547.36110058004817</v>
      </c>
      <c r="BH81" s="59">
        <f t="shared" si="62"/>
        <v>840.69443391338154</v>
      </c>
      <c r="BI81" s="59">
        <f ca="1">AVERAGE(OFFSET($BH$3,0,0,'Données projet'!$E$11+1,1))-AVERAGE(OFFSET($H$3,0,0,'Données projet'!$E$11+1,1))</f>
        <v>246.64951465060813</v>
      </c>
      <c r="BJ81" s="59">
        <f t="shared" si="92"/>
        <v>292.64550285216865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1.0111779806556125</v>
      </c>
      <c r="BQ81" s="21">
        <f>EXP(-LN(2)/25)*BQ80+(1-EXP(-LN(2)/25))/(LN(2)/25)*Calculateur!BL81*Calculateur!BN81*VLOOKUP('Données projet'!$B$11,Paramètres!$A$1:$I$89,3,0)*0.475*44/12</f>
        <v>4.4858594799358107</v>
      </c>
      <c r="BR81" s="21">
        <f>EXP(-LN(2)/2)*BR80+(1-EXP(-LN(2)/2))/(LN(2)/2)*BL81*BO81*VLOOKUP('Données projet'!$B$11,Paramètres!$A$1:$I$89,3,0)*0.475*44/12</f>
        <v>1.4170804869798063E-6</v>
      </c>
      <c r="BS81" s="22">
        <f t="shared" si="63"/>
        <v>5.4970388776719101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4.4000000000000004</v>
      </c>
      <c r="BY81" s="12">
        <f>IF('Données projet'!$A$114&gt;35,BY80+BX81-CG80,IF(A81&lt;'Données projet'!$A$114,$BV$205^A81,IF(A81='Données projet'!$A$114,'Données projet'!$B$114,BY80+BX81-CG80)))</f>
        <v>386.19999999999982</v>
      </c>
      <c r="BZ81" s="13">
        <f>BY81*VLOOKUP('Données projet'!$B$12,Paramètres!$A$1:$I$89,3,0)*VLOOKUP('Données projet'!$B$12,Paramètres!$A$1:$I$89,5,0)</f>
        <v>259.06295999999986</v>
      </c>
      <c r="CA81" s="13">
        <f t="shared" si="93"/>
        <v>62.522596942682434</v>
      </c>
      <c r="CB81" s="20">
        <f t="shared" si="64"/>
        <v>560.09484500850499</v>
      </c>
      <c r="CC81" s="59">
        <f t="shared" si="65"/>
        <v>853.42817834183825</v>
      </c>
      <c r="CD81" s="59">
        <f ca="1">AVERAGE(OFFSET($CC$3,0,0,'Données projet'!$E$12+1,1))-AVERAGE(OFFSET($H$3,0,0,'Données projet'!$E$12+1,1))</f>
        <v>254.25222107710192</v>
      </c>
      <c r="CE81" s="59">
        <f t="shared" si="94"/>
        <v>300.86609173447573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1.2760103089225578</v>
      </c>
      <c r="CL81" s="21">
        <f>EXP(-LN(2)/25)*CL80+(1-EXP(-LN(2)/25))/(LN(2)/25)*Calculateur!CG81*Calculateur!CI81*VLOOKUP('Données projet'!$B$12,Paramètres!$A$1:$I$89,3,0)*0.475*44/12</f>
        <v>5.6607274389666191</v>
      </c>
      <c r="CM81" s="21">
        <f>EXP(-LN(2)/2)*CM80+(1-EXP(-LN(2)/2))/(LN(2)/2)*CG81*CJ81*VLOOKUP('Données projet'!$B$12,Paramètres!$A$1:$I$89,3,0)*0.475*44/12</f>
        <v>1.4508204985745644E-6</v>
      </c>
      <c r="CN81" s="22">
        <f t="shared" si="66"/>
        <v>6.9367391987096756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243.38048563215585</v>
      </c>
      <c r="CZ81" s="59">
        <f t="shared" si="96"/>
        <v>372.1604147006675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2.8248781681807578</v>
      </c>
      <c r="DG81" s="21">
        <f>EXP(-LN(2)/25)*DG80+(1-EXP(-LN(2)/25))/(LN(2)/25)*Calculateur!DB81*Calculateur!DD81*VLOOKUP('Données projet'!$B$13,Paramètres!$A$1:$I$89,3,0)*0.475*44/12</f>
        <v>5.1166090674842941</v>
      </c>
      <c r="DH81" s="21">
        <f>EXP(-LN(2)/2)*DH80+(1-EXP(-LN(2)/2))/(LN(2)/2)*DB81*DE81*VLOOKUP('Données projet'!$B$13,Paramètres!$A$1:$I$89,3,0)*0.475*44/12</f>
        <v>1.7473065384126998E-6</v>
      </c>
      <c r="DI81" s="22">
        <f t="shared" si="69"/>
        <v>7.9414889829715909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10.8</v>
      </c>
      <c r="DO81" s="12">
        <f>IF('Données projet'!$A$166&gt;35,DO80+DN81-DW80,IF(A81&lt;'Données projet'!$A$166,$DL$205^A81,IF(A81='Données projet'!$A$166,'Données projet'!$B$166,DO80+DN81-DW80)))</f>
        <v>504.40000000000015</v>
      </c>
      <c r="DP81" s="17">
        <f>DO81*VLOOKUP('Données projet'!$B$14,Paramètres!$A$1:$I$89,3,0)*VLOOKUP('Données projet'!$B$14,Paramètres!$A$1:$I$89,5,0)</f>
        <v>288.5168000000001</v>
      </c>
      <c r="DQ81" s="13">
        <f t="shared" si="97"/>
        <v>68.763702821195338</v>
      </c>
      <c r="DR81" s="20">
        <f t="shared" si="70"/>
        <v>622.26354241358206</v>
      </c>
      <c r="DS81" s="59">
        <f t="shared" si="71"/>
        <v>915.59687574691543</v>
      </c>
      <c r="DT81" s="59">
        <f ca="1">AVERAGE(OFFSET($DS$3,0,0,'Données projet'!$E$14+1,1))-AVERAGE(OFFSET($H$3,0,0,'Données projet'!$E$14+1,1))</f>
        <v>227.99747790451215</v>
      </c>
      <c r="DU81" s="59">
        <f t="shared" si="98"/>
        <v>209.49597700966933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1.1086004439081463</v>
      </c>
      <c r="EB81" s="21">
        <f>EXP(-LN(2)/25)*EB80+(1-EXP(-LN(2)/25))/(LN(2)/25)*Calculateur!DW81*Calculateur!DY81*VLOOKUP('Données projet'!$B$14,Paramètres!$A$1:$I$89,3,0)*0.475*44/12</f>
        <v>4.0103526804796239</v>
      </c>
      <c r="EC81" s="21">
        <f>EXP(-LN(2)/2)*EC80+(1-EXP(-LN(2)/2))/(LN(2)/2)*DW81*DZ81*VLOOKUP('Données projet'!$B$14,Paramètres!$A$1:$I$89,3,0)*0.475*44/12</f>
        <v>1.4700187274851087E-6</v>
      </c>
      <c r="ED81" s="22">
        <f t="shared" si="72"/>
        <v>5.1189545944064978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8.9</v>
      </c>
      <c r="EJ81" s="12">
        <f>IF('Données projet'!$A$192&gt;35,EJ80+EI81-ER80,IF(A81&lt;'Données projet'!$A$192,$EG$205^A81,IF(A81='Données projet'!$A$192,'Données projet'!$B$192,EJ80+EI81-ER80)))</f>
        <v>817.20000000000039</v>
      </c>
      <c r="EK81" s="17">
        <f>EJ81*VLOOKUP('Données projet'!$B$15,Paramètres!$A$1:$I$89,3,0)*VLOOKUP('Données projet'!$B$15,Paramètres!$A$1:$I$89,5,0)</f>
        <v>361.20240000000018</v>
      </c>
      <c r="EL81" s="13">
        <f t="shared" si="99"/>
        <v>83.864955169587773</v>
      </c>
      <c r="EM81" s="20">
        <f t="shared" si="73"/>
        <v>775.1589769203656</v>
      </c>
      <c r="EN81" s="59">
        <f t="shared" si="74"/>
        <v>1068.4923102536989</v>
      </c>
      <c r="EO81" s="59">
        <f ca="1">AVERAGE(OFFSET($EN$3,0,0,'Données projet'!$E$15+1,1))-AVERAGE(OFFSET($H$3,0,0,'Données projet'!$E$15+1,1))</f>
        <v>335.27356627949155</v>
      </c>
      <c r="EP81" s="59">
        <f t="shared" si="100"/>
        <v>322.66829503077247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7.3892468955828647</v>
      </c>
      <c r="EX81" s="21">
        <f>EXP(-LN(2)/2)*EX80+(1-EXP(-LN(2)/2))/(LN(2)/2)*ER81*EU81*VLOOKUP('Données projet'!$B$15,Paramètres!$A$1:$I$89,3,0)*0.475*44/12</f>
        <v>2.1089997204652132E-6</v>
      </c>
      <c r="EY81" s="22">
        <f t="shared" si="75"/>
        <v>7.3892490045825854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7.4</v>
      </c>
      <c r="N82" s="13">
        <f>IF('Données projet'!$A$36&gt;35,N81+M82-V81,IF(A82&lt;'Données projet'!$A$36,$K$205^A82,IF(A82='Données projet'!$A$36,'Données projet'!$B$36,N81+M82-V81)))</f>
        <v>340.5999999999998</v>
      </c>
      <c r="O82" s="13">
        <f>N82*VLOOKUP('Données projet'!$B$9,Paramètres!$A$1:$I$89,3,0)*VLOOKUP('Données projet'!$B$9,Paramètres!$A$1:$I$89,5,0)</f>
        <v>308.1748799999998</v>
      </c>
      <c r="P82" s="13">
        <f t="shared" si="87"/>
        <v>72.887541582684676</v>
      </c>
      <c r="Q82" s="20">
        <f t="shared" si="54"/>
        <v>663.6837175898421</v>
      </c>
      <c r="R82" s="59">
        <f t="shared" si="55"/>
        <v>957.01705092317547</v>
      </c>
      <c r="S82" s="59">
        <f ca="1">AVERAGE(OFFSET($R$3,0,0,'Données projet'!$E$9+1,1))-AVERAGE(OFFSET($H$3,0,0,'Données projet'!$E$9+1,1))</f>
        <v>319.18811755575183</v>
      </c>
      <c r="T82" s="59">
        <f t="shared" si="88"/>
        <v>234.87694492493506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0.91267087362432042</v>
      </c>
      <c r="AA82" s="21">
        <f>EXP(-LN(2)/25)*AA81+(1-EXP(-LN(2)/25))/(LN(2)/25)*Calculateur!V82*Calculateur!X82*VLOOKUP('Données projet'!$B$9,Paramètres!$A$1:$I$89,3,0)*0.475*44/12</f>
        <v>2.9000054003033906</v>
      </c>
      <c r="AB82" s="21">
        <f>EXP(-LN(2)/2)*AB81+(1-EXP(-LN(2)/2))/(LN(2)/2)*V82*Y82*VLOOKUP('Données projet'!$B$9,Paramètres!$A$1:$I$89,3,0)*0.475*44/12</f>
        <v>9.0840521992255487E-7</v>
      </c>
      <c r="AC82" s="22">
        <f t="shared" si="57"/>
        <v>3.8126771823329308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4.4000000000000004</v>
      </c>
      <c r="AI82" s="13">
        <f>IF('Données projet'!$A$62&gt;35,AI81+AH82-AQ81,IF(A82&lt;'Données projet'!$A$62,$AF$205^A82,IF(A82='Données projet'!$A$62,'Données projet'!$B$62,AI81+AH82-AQ81)))</f>
        <v>390.5999999999998</v>
      </c>
      <c r="AJ82" s="13">
        <f>AI82*VLOOKUP('Données projet'!$B$10,Paramètres!$A$1:$I$89,3,0)*VLOOKUP('Données projet'!$B$10,Paramètres!$A$1:$I$89,5,0)</f>
        <v>310.76135999999985</v>
      </c>
      <c r="AK82" s="13">
        <f t="shared" si="89"/>
        <v>73.427809735831019</v>
      </c>
      <c r="AL82" s="20">
        <f t="shared" si="58"/>
        <v>669.12947062323872</v>
      </c>
      <c r="AM82" s="59">
        <f t="shared" si="59"/>
        <v>962.46280395657209</v>
      </c>
      <c r="AN82" s="59">
        <f ca="1">AVERAGE(OFFSET($AM$3,0,0,'Données projet'!$E$10+1,1))-AVERAGE(OFFSET($H$3,0,0,'Données projet'!$E$10+1,1))</f>
        <v>314.94704727988847</v>
      </c>
      <c r="AO82" s="59">
        <f t="shared" si="90"/>
        <v>366.49199094166454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1.4837305762268678</v>
      </c>
      <c r="AV82" s="21">
        <f>EXP(-LN(2)/25)*AV81+(1-EXP(-LN(2)/25))/(LN(2)/25)*Calculateur!AQ82*Calculateur!AS82*VLOOKUP('Données projet'!$B$10,Paramètres!$A$1:$I$89,3,0)*0.475*44/12</f>
        <v>6.530294465642589</v>
      </c>
      <c r="AW82" s="21">
        <f>EXP(-LN(2)/2)*AW81+(1-EXP(-LN(2)/2))/(LN(2)/2)*AQ82*AT82*VLOOKUP('Données projet'!$B$10,Paramètres!$A$1:$I$89,3,0)*0.475*44/12</f>
        <v>1.2167473407942466E-6</v>
      </c>
      <c r="AX82" s="21">
        <f t="shared" si="60"/>
        <v>8.0140262586167985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4.4000000000000004</v>
      </c>
      <c r="BD82" s="12">
        <f>IF('Données projet'!$A$88&gt;35,BD81+BC82-BL81,IF(A82&lt;'Données projet'!$A$88,$BA$205^A82,IF(A82='Données projet'!$A$88,'Données projet'!$B$88,BD81+BC82-BL81)))</f>
        <v>390.5999999999998</v>
      </c>
      <c r="BE82" s="13">
        <f>BD82*VLOOKUP('Données projet'!$B$11,Paramètres!$A$1:$I$89,3,0)*VLOOKUP('Données projet'!$B$11,Paramètres!$A$1:$I$89,5,0)</f>
        <v>255.92111999999986</v>
      </c>
      <c r="BF82" s="13">
        <f t="shared" si="91"/>
        <v>61.852127051894612</v>
      </c>
      <c r="BG82" s="20">
        <f t="shared" si="61"/>
        <v>553.45507194871618</v>
      </c>
      <c r="BH82" s="59">
        <f t="shared" si="62"/>
        <v>846.78840528204955</v>
      </c>
      <c r="BI82" s="59">
        <f ca="1">AVERAGE(OFFSET($BH$3,0,0,'Données projet'!$E$11+1,1))-AVERAGE(OFFSET($H$3,0,0,'Données projet'!$E$11+1,1))</f>
        <v>246.64951465060813</v>
      </c>
      <c r="BJ82" s="59">
        <f t="shared" si="92"/>
        <v>292.64550285216865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0.99134939721262438</v>
      </c>
      <c r="BQ82" s="21">
        <f>EXP(-LN(2)/25)*BQ81+(1-EXP(-LN(2)/25))/(LN(2)/25)*Calculateur!BL82*Calculateur!BN82*VLOOKUP('Données projet'!$B$11,Paramètres!$A$1:$I$89,3,0)*0.475*44/12</f>
        <v>4.3631934165558688</v>
      </c>
      <c r="BR82" s="21">
        <f>EXP(-LN(2)/2)*BR81+(1-EXP(-LN(2)/2))/(LN(2)/2)*BL82*BO82*VLOOKUP('Données projet'!$B$11,Paramètres!$A$1:$I$89,3,0)*0.475*44/12</f>
        <v>1.0020272218305561E-6</v>
      </c>
      <c r="BS82" s="22">
        <f t="shared" si="63"/>
        <v>5.354543815795715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4.4000000000000004</v>
      </c>
      <c r="BY82" s="12">
        <f>IF('Données projet'!$A$114&gt;35,BY81+BX82-CG81,IF(A82&lt;'Données projet'!$A$114,$BV$205^A82,IF(A82='Données projet'!$A$114,'Données projet'!$B$114,BY81+BX82-CG81)))</f>
        <v>390.5999999999998</v>
      </c>
      <c r="BZ82" s="13">
        <f>BY82*VLOOKUP('Données projet'!$B$12,Paramètres!$A$1:$I$89,3,0)*VLOOKUP('Données projet'!$B$12,Paramètres!$A$1:$I$89,5,0)</f>
        <v>262.01447999999988</v>
      </c>
      <c r="CA82" s="13">
        <f t="shared" si="93"/>
        <v>63.151590607734619</v>
      </c>
      <c r="CB82" s="20">
        <f t="shared" si="64"/>
        <v>566.33090630847084</v>
      </c>
      <c r="CC82" s="59">
        <f t="shared" si="65"/>
        <v>859.66423964180422</v>
      </c>
      <c r="CD82" s="59">
        <f ca="1">AVERAGE(OFFSET($CC$3,0,0,'Données projet'!$E$12+1,1))-AVERAGE(OFFSET($H$3,0,0,'Données projet'!$E$12+1,1))</f>
        <v>254.25222107710192</v>
      </c>
      <c r="CE82" s="59">
        <f t="shared" si="94"/>
        <v>300.86609173447573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1.2509885250540251</v>
      </c>
      <c r="CL82" s="21">
        <f>EXP(-LN(2)/25)*CL81+(1-EXP(-LN(2)/25))/(LN(2)/25)*Calculateur!CG82*Calculateur!CI82*VLOOKUP('Données projet'!$B$12,Paramètres!$A$1:$I$89,3,0)*0.475*44/12</f>
        <v>5.5059345494633583</v>
      </c>
      <c r="CM82" s="21">
        <f>EXP(-LN(2)/2)*CM81+(1-EXP(-LN(2)/2))/(LN(2)/2)*CG82*CJ82*VLOOKUP('Données projet'!$B$12,Paramètres!$A$1:$I$89,3,0)*0.475*44/12</f>
        <v>1.0258850128265223E-6</v>
      </c>
      <c r="CN82" s="22">
        <f t="shared" si="66"/>
        <v>6.7569241004023954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243.38048563215585</v>
      </c>
      <c r="CZ82" s="59">
        <f t="shared" si="96"/>
        <v>372.1604147006675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2.7694840303082828</v>
      </c>
      <c r="DG82" s="21">
        <f>EXP(-LN(2)/25)*DG81+(1-EXP(-LN(2)/25))/(LN(2)/25)*Calculateur!DB82*Calculateur!DD82*VLOOKUP('Données projet'!$B$13,Paramètres!$A$1:$I$89,3,0)*0.475*44/12</f>
        <v>4.9766951234631591</v>
      </c>
      <c r="DH82" s="21">
        <f>EXP(-LN(2)/2)*DH81+(1-EXP(-LN(2)/2))/(LN(2)/2)*DB82*DE82*VLOOKUP('Données projet'!$B$13,Paramètres!$A$1:$I$89,3,0)*0.475*44/12</f>
        <v>1.2355323021232127E-6</v>
      </c>
      <c r="DI82" s="22">
        <f t="shared" si="69"/>
        <v>7.7461803893037438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10.8</v>
      </c>
      <c r="DO82" s="12">
        <f>IF('Données projet'!$A$166&gt;35,DO81+DN82-DW81,IF(A82&lt;'Données projet'!$A$166,$DL$205^A82,IF(A82='Données projet'!$A$166,'Données projet'!$B$166,DO81+DN82-DW81)))</f>
        <v>515.20000000000016</v>
      </c>
      <c r="DP82" s="17">
        <f>DO82*VLOOKUP('Données projet'!$B$14,Paramètres!$A$1:$I$89,3,0)*VLOOKUP('Données projet'!$B$14,Paramètres!$A$1:$I$89,5,0)</f>
        <v>294.69440000000009</v>
      </c>
      <c r="DQ82" s="13">
        <f t="shared" si="97"/>
        <v>70.063053488002765</v>
      </c>
      <c r="DR82" s="20">
        <f t="shared" si="70"/>
        <v>635.28589815827161</v>
      </c>
      <c r="DS82" s="59">
        <f t="shared" si="71"/>
        <v>928.61923149160498</v>
      </c>
      <c r="DT82" s="59">
        <f ca="1">AVERAGE(OFFSET($DS$3,0,0,'Données projet'!$E$14+1,1))-AVERAGE(OFFSET($H$3,0,0,'Données projet'!$E$14+1,1))</f>
        <v>227.99747790451215</v>
      </c>
      <c r="DU82" s="59">
        <f t="shared" si="98"/>
        <v>209.49597700966933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1.0868614653826112</v>
      </c>
      <c r="EB82" s="21">
        <f>EXP(-LN(2)/25)*EB81+(1-EXP(-LN(2)/25))/(LN(2)/25)*Calculateur!DW82*Calculateur!DY82*VLOOKUP('Données projet'!$B$14,Paramètres!$A$1:$I$89,3,0)*0.475*44/12</f>
        <v>3.900689375536627</v>
      </c>
      <c r="EC82" s="21">
        <f>EXP(-LN(2)/2)*EC81+(1-EXP(-LN(2)/2))/(LN(2)/2)*DW82*DZ82*VLOOKUP('Données projet'!$B$14,Paramètres!$A$1:$I$89,3,0)*0.475*44/12</f>
        <v>1.0394602106759397E-6</v>
      </c>
      <c r="ED82" s="22">
        <f t="shared" si="72"/>
        <v>4.9875518803794483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8.9</v>
      </c>
      <c r="EJ82" s="12">
        <f>IF('Données projet'!$A$192&gt;35,EJ81+EI82-ER81,IF(A82&lt;'Données projet'!$A$192,$EG$205^A82,IF(A82='Données projet'!$A$192,'Données projet'!$B$192,EJ81+EI82-ER81)))</f>
        <v>826.10000000000036</v>
      </c>
      <c r="EK82" s="17">
        <f>EJ82*VLOOKUP('Données projet'!$B$15,Paramètres!$A$1:$I$89,3,0)*VLOOKUP('Données projet'!$B$15,Paramètres!$A$1:$I$89,5,0)</f>
        <v>365.1362000000002</v>
      </c>
      <c r="EL82" s="13">
        <f t="shared" si="99"/>
        <v>84.671490917619536</v>
      </c>
      <c r="EM82" s="20">
        <f t="shared" si="73"/>
        <v>783.41506168152102</v>
      </c>
      <c r="EN82" s="59">
        <f t="shared" si="74"/>
        <v>1076.7483950148544</v>
      </c>
      <c r="EO82" s="59">
        <f ca="1">AVERAGE(OFFSET($EN$3,0,0,'Données projet'!$E$15+1,1))-AVERAGE(OFFSET($H$3,0,0,'Données projet'!$E$15+1,1))</f>
        <v>335.27356627949155</v>
      </c>
      <c r="EP82" s="59">
        <f t="shared" si="100"/>
        <v>322.66829503077247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7.1871875506395453</v>
      </c>
      <c r="EX82" s="21">
        <f>EXP(-LN(2)/2)*EX81+(1-EXP(-LN(2)/2))/(LN(2)/2)*ER82*EU82*VLOOKUP('Données projet'!$B$15,Paramètres!$A$1:$I$89,3,0)*0.475*44/12</f>
        <v>1.4912880038614855E-6</v>
      </c>
      <c r="EY82" s="22">
        <f t="shared" si="75"/>
        <v>7.1871890419275495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348</v>
      </c>
      <c r="L83" s="12">
        <f>VLOOKUP(A83,'Données projet'!$A$35:$I$55,9,0)</f>
        <v>7.4</v>
      </c>
      <c r="M83" s="12">
        <f t="array" ref="M83">INDEX(L:L,MIN(IF(ISNUMBER(L83:L279),ROW(L83:L279),"")))</f>
        <v>7.4</v>
      </c>
      <c r="N83" s="13">
        <f>IF('Données projet'!$A$36&gt;35,N82+M83-V82,IF(A83&lt;'Données projet'!$A$36,$K$205^A83,IF(A83='Données projet'!$A$36,'Données projet'!$B$36,N82+M83-V82)))</f>
        <v>347.99999999999977</v>
      </c>
      <c r="O83" s="13">
        <f>N83*VLOOKUP('Données projet'!$B$9,Paramètres!$A$1:$I$89,3,0)*VLOOKUP('Données projet'!$B$9,Paramètres!$A$1:$I$89,5,0)</f>
        <v>314.87039999999979</v>
      </c>
      <c r="P83" s="13">
        <f t="shared" si="87"/>
        <v>74.285038887149881</v>
      </c>
      <c r="Q83" s="20">
        <f t="shared" si="54"/>
        <v>677.7790560617857</v>
      </c>
      <c r="R83" s="59">
        <f t="shared" si="55"/>
        <v>971.11238939511895</v>
      </c>
      <c r="S83" s="59">
        <f ca="1">AVERAGE(OFFSET($R$3,0,0,'Données projet'!$E$9+1,1))-AVERAGE(OFFSET($H$3,0,0,'Données projet'!$E$9+1,1))</f>
        <v>319.18811755575183</v>
      </c>
      <c r="T83" s="59">
        <f t="shared" si="88"/>
        <v>234.87694492493506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56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0.8947739544668134</v>
      </c>
      <c r="AA83" s="21">
        <f>EXP(-LN(2)/25)*AA82+(1-EXP(-LN(2)/25))/(LN(2)/25)*Calculateur!V83*Calculateur!X83*VLOOKUP('Données projet'!$B$9,Paramètres!$A$1:$I$89,3,0)*0.475*44/12</f>
        <v>2.8207046001274385</v>
      </c>
      <c r="AB83" s="21">
        <f>EXP(-LN(2)/2)*AB82+(1-EXP(-LN(2)/2))/(LN(2)/2)*V83*Y83*VLOOKUP('Données projet'!$B$9,Paramètres!$A$1:$I$89,3,0)*0.475*44/12</f>
        <v>6.4233949107249562E-7</v>
      </c>
      <c r="AC83" s="22">
        <f t="shared" si="57"/>
        <v>3.7154791969337428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395</v>
      </c>
      <c r="AG83" s="12">
        <f>VLOOKUP(A83,'Données projet'!$A$61:$I$81,9,0)</f>
        <v>4.4000000000000004</v>
      </c>
      <c r="AH83" s="12">
        <f t="array" ref="AH83">INDEX(AG:AG,MIN(IF(ISNUMBER(AG83:AG279),ROW(AG83:AG279),"")))</f>
        <v>4.4000000000000004</v>
      </c>
      <c r="AI83" s="13">
        <f>IF('Données projet'!$A$62&gt;35,AI82+AH83-AQ82,IF(A83&lt;'Données projet'!$A$62,$AF$205^A83,IF(A83='Données projet'!$A$62,'Données projet'!$B$62,AI82+AH83-AQ82)))</f>
        <v>394.99999999999977</v>
      </c>
      <c r="AJ83" s="13">
        <f>AI83*VLOOKUP('Données projet'!$B$10,Paramètres!$A$1:$I$89,3,0)*VLOOKUP('Données projet'!$B$10,Paramètres!$A$1:$I$89,5,0)</f>
        <v>314.26199999999983</v>
      </c>
      <c r="AK83" s="13">
        <f t="shared" si="89"/>
        <v>74.158196822395908</v>
      </c>
      <c r="AL83" s="20">
        <f t="shared" si="58"/>
        <v>676.49850946567256</v>
      </c>
      <c r="AM83" s="59">
        <f t="shared" si="59"/>
        <v>969.83184279900593</v>
      </c>
      <c r="AN83" s="59">
        <f ca="1">AVERAGE(OFFSET($AM$3,0,0,'Données projet'!$E$10+1,1))-AVERAGE(OFFSET($H$3,0,0,'Données projet'!$E$10+1,1))</f>
        <v>314.94704727988847</v>
      </c>
      <c r="AO83" s="59">
        <f t="shared" si="90"/>
        <v>366.49199094166454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395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1.4546355246133504</v>
      </c>
      <c r="AV83" s="21">
        <f>EXP(-LN(2)/25)*AV82+(1-EXP(-LN(2)/25))/(LN(2)/25)*Calculateur!AQ83*Calculateur!AS83*VLOOKUP('Données projet'!$B$10,Paramètres!$A$1:$I$89,3,0)*0.475*44/12</f>
        <v>6.3517232200663321</v>
      </c>
      <c r="AW83" s="21">
        <f>EXP(-LN(2)/2)*AW82+(1-EXP(-LN(2)/2))/(LN(2)/2)*AQ83*AT83*VLOOKUP('Données projet'!$B$10,Paramètres!$A$1:$I$89,3,0)*0.475*44/12</f>
        <v>8.6037029566631093E-7</v>
      </c>
      <c r="AX83" s="21">
        <f t="shared" si="60"/>
        <v>7.8063596050499786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395</v>
      </c>
      <c r="BB83" s="12">
        <f>VLOOKUP(A83,'Données projet'!$A$87:$I$107,9,0)</f>
        <v>4.4000000000000004</v>
      </c>
      <c r="BC83" s="12">
        <f t="array" ref="BC83">INDEX(BB:BB,MIN(IF(ISNUMBER(BB83:BB279),ROW(BB83:BB279),"")))</f>
        <v>4.4000000000000004</v>
      </c>
      <c r="BD83" s="12">
        <f>IF('Données projet'!$A$88&gt;35,BD82+BC83-BL82,IF(A83&lt;'Données projet'!$A$88,$BA$205^A83,IF(A83='Données projet'!$A$88,'Données projet'!$B$88,BD82+BC83-BL82)))</f>
        <v>394.99999999999977</v>
      </c>
      <c r="BE83" s="13">
        <f>BD83*VLOOKUP('Données projet'!$B$11,Paramètres!$A$1:$I$89,3,0)*VLOOKUP('Données projet'!$B$11,Paramètres!$A$1:$I$89,5,0)</f>
        <v>258.80399999999986</v>
      </c>
      <c r="BF83" s="13">
        <f t="shared" si="91"/>
        <v>62.46737071826302</v>
      </c>
      <c r="BG83" s="20">
        <f t="shared" si="61"/>
        <v>559.54763733430775</v>
      </c>
      <c r="BH83" s="59">
        <f t="shared" si="62"/>
        <v>852.88097066764112</v>
      </c>
      <c r="BI83" s="59">
        <f ca="1">AVERAGE(OFFSET($BH$3,0,0,'Données projet'!$E$11+1,1))-AVERAGE(OFFSET($H$3,0,0,'Données projet'!$E$11+1,1))</f>
        <v>246.64951465060813</v>
      </c>
      <c r="BJ83" s="59">
        <f t="shared" si="92"/>
        <v>292.64550285216865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395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0.97190964019671156</v>
      </c>
      <c r="BQ83" s="21">
        <f>EXP(-LN(2)/25)*BQ82+(1-EXP(-LN(2)/25))/(LN(2)/25)*Calculateur!BL83*Calculateur!BN83*VLOOKUP('Données projet'!$B$11,Paramètres!$A$1:$I$89,3,0)*0.475*44/12</f>
        <v>4.2438816631297787</v>
      </c>
      <c r="BR83" s="21">
        <f>EXP(-LN(2)/2)*BR82+(1-EXP(-LN(2)/2))/(LN(2)/2)*BL83*BO83*VLOOKUP('Données projet'!$B$11,Paramètres!$A$1:$I$89,3,0)*0.475*44/12</f>
        <v>7.0854024348990316E-7</v>
      </c>
      <c r="BS83" s="22">
        <f t="shared" si="63"/>
        <v>5.2157920118667338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395</v>
      </c>
      <c r="BW83" s="12">
        <f>VLOOKUP(A83,'Données projet'!$A$113:$I$133,9,0)</f>
        <v>4.4000000000000004</v>
      </c>
      <c r="BX83" s="12">
        <f t="array" ref="BX83">INDEX(BW:BW,MIN(IF(ISNUMBER(BW83:BW279),ROW(BW83:BW279),"")))</f>
        <v>4.4000000000000004</v>
      </c>
      <c r="BY83" s="12">
        <f>IF('Données projet'!$A$114&gt;35,BY82+BX83-CG82,IF(A83&lt;'Données projet'!$A$114,$BV$205^A83,IF(A83='Données projet'!$A$114,'Données projet'!$B$114,BY82+BX83-CG82)))</f>
        <v>394.99999999999977</v>
      </c>
      <c r="BZ83" s="13">
        <f>BY83*VLOOKUP('Données projet'!$B$12,Paramètres!$A$1:$I$89,3,0)*VLOOKUP('Données projet'!$B$12,Paramètres!$A$1:$I$89,5,0)</f>
        <v>264.96599999999989</v>
      </c>
      <c r="CA83" s="13">
        <f t="shared" si="93"/>
        <v>63.779760049828347</v>
      </c>
      <c r="CB83" s="20">
        <f t="shared" si="64"/>
        <v>572.56553208678417</v>
      </c>
      <c r="CC83" s="59">
        <f t="shared" si="65"/>
        <v>865.89886542011754</v>
      </c>
      <c r="CD83" s="59">
        <f ca="1">AVERAGE(OFFSET($CC$3,0,0,'Données projet'!$E$12+1,1))-AVERAGE(OFFSET($H$3,0,0,'Données projet'!$E$12+1,1))</f>
        <v>254.25222107710192</v>
      </c>
      <c r="CE83" s="59">
        <f t="shared" si="94"/>
        <v>300.86609173447573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395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1.2264574031053732</v>
      </c>
      <c r="CL83" s="21">
        <f>EXP(-LN(2)/25)*CL82+(1-EXP(-LN(2)/25))/(LN(2)/25)*Calculateur!CG83*Calculateur!CI83*VLOOKUP('Données projet'!$B$12,Paramètres!$A$1:$I$89,3,0)*0.475*44/12</f>
        <v>5.3553744796637686</v>
      </c>
      <c r="CM83" s="21">
        <f>EXP(-LN(2)/2)*CM82+(1-EXP(-LN(2)/2))/(LN(2)/2)*CG83*CJ83*VLOOKUP('Données projet'!$B$12,Paramètres!$A$1:$I$89,3,0)*0.475*44/12</f>
        <v>7.2541024928728222E-7</v>
      </c>
      <c r="CN83" s="22">
        <f t="shared" si="66"/>
        <v>6.5818326081793908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243.38048563215585</v>
      </c>
      <c r="CZ83" s="59">
        <f t="shared" si="96"/>
        <v>372.1604147006675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2.7151761376923993</v>
      </c>
      <c r="DG83" s="21">
        <f>EXP(-LN(2)/25)*DG82+(1-EXP(-LN(2)/25))/(LN(2)/25)*Calculateur!DB83*Calculateur!DD83*VLOOKUP('Données projet'!$B$13,Paramètres!$A$1:$I$89,3,0)*0.475*44/12</f>
        <v>4.840607133599037</v>
      </c>
      <c r="DH83" s="21">
        <f>EXP(-LN(2)/2)*DH82+(1-EXP(-LN(2)/2))/(LN(2)/2)*DB83*DE83*VLOOKUP('Données projet'!$B$13,Paramètres!$A$1:$I$89,3,0)*0.475*44/12</f>
        <v>8.7365326920634992E-7</v>
      </c>
      <c r="DI83" s="22">
        <f t="shared" si="69"/>
        <v>7.5557841449447052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526</v>
      </c>
      <c r="DM83" s="12">
        <f>VLOOKUP(A83,'Données projet'!$A$165:$I$185,9,0)</f>
        <v>10.8</v>
      </c>
      <c r="DN83" s="12">
        <f t="array" ref="DN83">INDEX(DM:DM,MIN(IF(ISNUMBER(DM83:DM279),ROW(DM83:DM279),"")))</f>
        <v>10.8</v>
      </c>
      <c r="DO83" s="12">
        <f>IF('Données projet'!$A$166&gt;35,DO82+DN83-DW82,IF(A83&lt;'Données projet'!$A$166,$DL$205^A83,IF(A83='Données projet'!$A$166,'Données projet'!$B$166,DO82+DN83-DW82)))</f>
        <v>526.00000000000011</v>
      </c>
      <c r="DP83" s="17">
        <f>DO83*VLOOKUP('Données projet'!$B$14,Paramètres!$A$1:$I$89,3,0)*VLOOKUP('Données projet'!$B$14,Paramètres!$A$1:$I$89,5,0)</f>
        <v>300.87200000000007</v>
      </c>
      <c r="DQ83" s="13">
        <f t="shared" si="97"/>
        <v>71.359237278272232</v>
      </c>
      <c r="DR83" s="20">
        <f t="shared" si="70"/>
        <v>648.30273825965764</v>
      </c>
      <c r="DS83" s="59">
        <f t="shared" si="71"/>
        <v>941.6360715929909</v>
      </c>
      <c r="DT83" s="59">
        <f ca="1">AVERAGE(OFFSET($DS$3,0,0,'Données projet'!$E$14+1,1))-AVERAGE(OFFSET($H$3,0,0,'Données projet'!$E$14+1,1))</f>
        <v>227.99747790451215</v>
      </c>
      <c r="DU83" s="59">
        <f t="shared" si="98"/>
        <v>209.49597700966933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526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1.0655487749664942</v>
      </c>
      <c r="EB83" s="21">
        <f>EXP(-LN(2)/25)*EB82+(1-EXP(-LN(2)/25))/(LN(2)/25)*Calculateur!DW83*Calculateur!DY83*VLOOKUP('Données projet'!$B$14,Paramètres!$A$1:$I$89,3,0)*0.475*44/12</f>
        <v>3.794024819434239</v>
      </c>
      <c r="EC83" s="21">
        <f>EXP(-LN(2)/2)*EC82+(1-EXP(-LN(2)/2))/(LN(2)/2)*DW83*DZ83*VLOOKUP('Données projet'!$B$14,Paramètres!$A$1:$I$89,3,0)*0.475*44/12</f>
        <v>7.3500936374255433E-7</v>
      </c>
      <c r="ED83" s="22">
        <f t="shared" si="72"/>
        <v>4.8595743294100968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835</v>
      </c>
      <c r="EH83" s="12">
        <f>VLOOKUP(A83,'Données projet'!$A$191:$I$211,9,0)</f>
        <v>8.9</v>
      </c>
      <c r="EI83" s="12">
        <f t="array" ref="EI83">INDEX(EH:EH,MIN(IF(ISNUMBER(EH83:EH279),ROW(EH83:EH279),"")))</f>
        <v>8.9</v>
      </c>
      <c r="EJ83" s="12">
        <f>IF('Données projet'!$A$192&gt;35,EJ82+EI83-ER82,IF(A83&lt;'Données projet'!$A$192,$EG$205^A83,IF(A83='Données projet'!$A$192,'Données projet'!$B$192,EJ82+EI83-ER82)))</f>
        <v>835.00000000000034</v>
      </c>
      <c r="EK83" s="17">
        <f>EJ83*VLOOKUP('Données projet'!$B$15,Paramètres!$A$1:$I$89,3,0)*VLOOKUP('Données projet'!$B$15,Paramètres!$A$1:$I$89,5,0)</f>
        <v>369.07000000000022</v>
      </c>
      <c r="EL83" s="13">
        <f t="shared" si="99"/>
        <v>85.477015853186089</v>
      </c>
      <c r="EM83" s="20">
        <f t="shared" si="73"/>
        <v>791.66938594429939</v>
      </c>
      <c r="EN83" s="59">
        <f t="shared" si="74"/>
        <v>1085.0027192776327</v>
      </c>
      <c r="EO83" s="59">
        <f ca="1">AVERAGE(OFFSET($EN$3,0,0,'Données projet'!$E$15+1,1))-AVERAGE(OFFSET($H$3,0,0,'Données projet'!$E$15+1,1))</f>
        <v>335.27356627949155</v>
      </c>
      <c r="EP83" s="59">
        <f t="shared" si="100"/>
        <v>322.66829503077247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835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6.9906535291095402</v>
      </c>
      <c r="EX83" s="21">
        <f>EXP(-LN(2)/2)*EX82+(1-EXP(-LN(2)/2))/(LN(2)/2)*ER83*EU83*VLOOKUP('Données projet'!$B$15,Paramètres!$A$1:$I$89,3,0)*0.475*44/12</f>
        <v>1.0544998602326066E-6</v>
      </c>
      <c r="EY83" s="22">
        <f t="shared" si="75"/>
        <v>6.9906545836094001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298.5999999999998</v>
      </c>
      <c r="O84" s="13">
        <f>N84*VLOOKUP('Données projet'!$B$9,Paramètres!$A$1:$I$89,3,0)*VLOOKUP('Données projet'!$B$9,Paramètres!$A$1:$I$89,5,0)</f>
        <v>270.17327999999981</v>
      </c>
      <c r="P84" s="13">
        <f t="shared" si="87"/>
        <v>64.886042303882988</v>
      </c>
      <c r="Q84" s="20">
        <f t="shared" si="54"/>
        <v>583.56165301259591</v>
      </c>
      <c r="R84" s="59">
        <f t="shared" si="55"/>
        <v>876.89498634592928</v>
      </c>
      <c r="S84" s="59">
        <f ca="1">AVERAGE(OFFSET($R$3,0,0,'Données projet'!$E$9+1,1))-AVERAGE(OFFSET($H$3,0,0,'Données projet'!$E$9+1,1))</f>
        <v>319.18811755575183</v>
      </c>
      <c r="T84" s="59">
        <f t="shared" si="88"/>
        <v>234.87694492493506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0.87722798297794224</v>
      </c>
      <c r="AA84" s="21">
        <f>EXP(-LN(2)/25)*AA83+(1-EXP(-LN(2)/25))/(LN(2)/25)*Calculateur!V84*Calculateur!X84*VLOOKUP('Données projet'!$B$9,Paramètres!$A$1:$I$89,3,0)*0.475*44/12</f>
        <v>2.7435722845025454</v>
      </c>
      <c r="AB84" s="21">
        <f>EXP(-LN(2)/2)*AB83+(1-EXP(-LN(2)/2))/(LN(2)/2)*V84*Y84*VLOOKUP('Données projet'!$B$9,Paramètres!$A$1:$I$89,3,0)*0.475*44/12</f>
        <v>4.5420260996127749E-7</v>
      </c>
      <c r="AC84" s="22">
        <f t="shared" si="57"/>
        <v>3.6208007216830973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-1.8089849618263545E-13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314.94704727988847</v>
      </c>
      <c r="AO84" s="59">
        <f t="shared" si="90"/>
        <v>366.49199094166454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1.426111009215745</v>
      </c>
      <c r="AV84" s="21">
        <f>EXP(-LN(2)/25)*AV83+(1-EXP(-LN(2)/25))/(LN(2)/25)*Calculateur!AQ84*Calculateur!AS84*VLOOKUP('Données projet'!$B$10,Paramètres!$A$1:$I$89,3,0)*0.475*44/12</f>
        <v>6.1780350145910115</v>
      </c>
      <c r="AW84" s="21">
        <f>EXP(-LN(2)/2)*AW83+(1-EXP(-LN(2)/2))/(LN(2)/2)*AQ84*AT84*VLOOKUP('Données projet'!$B$10,Paramètres!$A$1:$I$89,3,0)*0.475*44/12</f>
        <v>6.0837367039712331E-7</v>
      </c>
      <c r="AX84" s="21">
        <f t="shared" si="60"/>
        <v>7.6041466321804272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-1.4897523215040565E-13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246.64951465060813</v>
      </c>
      <c r="BJ84" s="59">
        <f t="shared" si="92"/>
        <v>292.64550285216865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0.95285108495879978</v>
      </c>
      <c r="BQ84" s="21">
        <f>EXP(-LN(2)/25)*BQ83+(1-EXP(-LN(2)/25))/(LN(2)/25)*Calculateur!BL84*Calculateur!BN84*VLOOKUP('Données projet'!$B$11,Paramètres!$A$1:$I$89,3,0)*0.475*44/12</f>
        <v>4.1278324958754578</v>
      </c>
      <c r="BR84" s="21">
        <f>EXP(-LN(2)/2)*BR83+(1-EXP(-LN(2)/2))/(LN(2)/2)*BL84*BO84*VLOOKUP('Données projet'!$B$11,Paramètres!$A$1:$I$89,3,0)*0.475*44/12</f>
        <v>5.0101361091527805E-7</v>
      </c>
      <c r="BS84" s="22">
        <f t="shared" si="63"/>
        <v>5.0806840818478687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-2.2737367544323206E-13</v>
      </c>
      <c r="BZ84" s="13">
        <f>BY84*VLOOKUP('Données projet'!$B$12,Paramètres!$A$1:$I$89,3,0)*VLOOKUP('Données projet'!$B$12,Paramètres!$A$1:$I$89,5,0)</f>
        <v>-1.5252226148732008E-13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254.25222107710192</v>
      </c>
      <c r="CE84" s="59">
        <f t="shared" si="94"/>
        <v>300.86609173447573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1.2024073214956275</v>
      </c>
      <c r="CL84" s="21">
        <f>EXP(-LN(2)/25)*CL83+(1-EXP(-LN(2)/25))/(LN(2)/25)*Calculateur!CG84*Calculateur!CI84*VLOOKUP('Données projet'!$B$12,Paramètres!$A$1:$I$89,3,0)*0.475*44/12</f>
        <v>5.2089314828904589</v>
      </c>
      <c r="CM84" s="21">
        <f>EXP(-LN(2)/2)*CM83+(1-EXP(-LN(2)/2))/(LN(2)/2)*CG84*CJ84*VLOOKUP('Données projet'!$B$12,Paramètres!$A$1:$I$89,3,0)*0.475*44/12</f>
        <v>5.1294250641326115E-7</v>
      </c>
      <c r="CN84" s="22">
        <f t="shared" si="66"/>
        <v>6.4113393173285926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243.38048563215585</v>
      </c>
      <c r="CZ84" s="59">
        <f t="shared" si="96"/>
        <v>372.1604147006675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2.6619331897261698</v>
      </c>
      <c r="DG84" s="21">
        <f>EXP(-LN(2)/25)*DG83+(1-EXP(-LN(2)/25))/(LN(2)/25)*Calculateur!DB84*Calculateur!DD84*VLOOKUP('Données projet'!$B$13,Paramètres!$A$1:$I$89,3,0)*0.475*44/12</f>
        <v>4.7082404769743054</v>
      </c>
      <c r="DH84" s="21">
        <f>EXP(-LN(2)/2)*DH83+(1-EXP(-LN(2)/2))/(LN(2)/2)*DB84*DE84*VLOOKUP('Données projet'!$B$13,Paramètres!$A$1:$I$89,3,0)*0.475*44/12</f>
        <v>6.1776615106160637E-7</v>
      </c>
      <c r="DI84" s="22">
        <f t="shared" si="69"/>
        <v>7.3701742844666267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1.1368683772161603E-13</v>
      </c>
      <c r="DP84" s="17">
        <f>DO84*VLOOKUP('Données projet'!$B$14,Paramètres!$A$1:$I$89,3,0)*VLOOKUP('Données projet'!$B$14,Paramètres!$A$1:$I$89,5,0)</f>
        <v>6.5028871176764376E-14</v>
      </c>
      <c r="DQ84" s="13">
        <f t="shared" si="97"/>
        <v>1.0270999702906072E-12</v>
      </c>
      <c r="DR84" s="20">
        <f t="shared" si="70"/>
        <v>1.9021243988890057E-12</v>
      </c>
      <c r="DS84" s="59">
        <f t="shared" si="71"/>
        <v>293.33333333333519</v>
      </c>
      <c r="DT84" s="59">
        <f ca="1">AVERAGE(OFFSET($DS$3,0,0,'Données projet'!$E$14+1,1))-AVERAGE(OFFSET($H$3,0,0,'Données projet'!$E$14+1,1))</f>
        <v>227.99747790451215</v>
      </c>
      <c r="DU84" s="59">
        <f t="shared" si="98"/>
        <v>209.49597700966933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1.0446540134099798</v>
      </c>
      <c r="EB84" s="21">
        <f>EXP(-LN(2)/25)*EB83+(1-EXP(-LN(2)/25))/(LN(2)/25)*Calculateur!DW84*Calculateur!DY84*VLOOKUP('Données projet'!$B$14,Paramètres!$A$1:$I$89,3,0)*0.475*44/12</f>
        <v>3.6902770112277157</v>
      </c>
      <c r="EC84" s="21">
        <f>EXP(-LN(2)/2)*EC83+(1-EXP(-LN(2)/2))/(LN(2)/2)*DW84*DZ84*VLOOKUP('Données projet'!$B$14,Paramètres!$A$1:$I$89,3,0)*0.475*44/12</f>
        <v>5.1973010533796987E-7</v>
      </c>
      <c r="ED84" s="22">
        <f t="shared" si="72"/>
        <v>4.7349315443678011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3.4106051316484809E-13</v>
      </c>
      <c r="EK84" s="17">
        <f>EJ84*VLOOKUP('Données projet'!$B$15,Paramètres!$A$1:$I$89,3,0)*VLOOKUP('Données projet'!$B$15,Paramètres!$A$1:$I$89,5,0)</f>
        <v>1.5074874681886286E-13</v>
      </c>
      <c r="EL84" s="13">
        <f t="shared" si="99"/>
        <v>2.1590218794584103E-12</v>
      </c>
      <c r="EM84" s="20">
        <f t="shared" si="73"/>
        <v>4.0228505074329168E-12</v>
      </c>
      <c r="EN84" s="59">
        <f t="shared" si="74"/>
        <v>293.33333333333735</v>
      </c>
      <c r="EO84" s="59">
        <f ca="1">AVERAGE(OFFSET($EN$3,0,0,'Données projet'!$E$15+1,1))-AVERAGE(OFFSET($H$3,0,0,'Données projet'!$E$15+1,1))</f>
        <v>335.27356627949155</v>
      </c>
      <c r="EP84" s="59">
        <f t="shared" si="100"/>
        <v>322.66829503077247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6.7994937407335483</v>
      </c>
      <c r="EX84" s="21">
        <f>EXP(-LN(2)/2)*EX83+(1-EXP(-LN(2)/2))/(LN(2)/2)*ER84*EU84*VLOOKUP('Données projet'!$B$15,Paramètres!$A$1:$I$89,3,0)*0.475*44/12</f>
        <v>7.4564400193074273E-7</v>
      </c>
      <c r="EY84" s="22">
        <f t="shared" si="75"/>
        <v>6.7994944863775499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305.19999999999982</v>
      </c>
      <c r="O85" s="13">
        <f>N85*VLOOKUP('Données projet'!$B$9,Paramètres!$A$1:$I$89,3,0)*VLOOKUP('Données projet'!$B$9,Paramètres!$A$1:$I$89,5,0)</f>
        <v>276.1449599999998</v>
      </c>
      <c r="P85" s="13">
        <f t="shared" si="87"/>
        <v>66.151671938851194</v>
      </c>
      <c r="Q85" s="20">
        <f t="shared" si="54"/>
        <v>596.16663396016543</v>
      </c>
      <c r="R85" s="59">
        <f t="shared" si="55"/>
        <v>889.49996729349868</v>
      </c>
      <c r="S85" s="59">
        <f ca="1">AVERAGE(OFFSET($R$3,0,0,'Données projet'!$E$9+1,1))-AVERAGE(OFFSET($H$3,0,0,'Données projet'!$E$9+1,1))</f>
        <v>319.18811755575183</v>
      </c>
      <c r="T85" s="59">
        <f t="shared" si="88"/>
        <v>234.87694492493506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0.86002607728798197</v>
      </c>
      <c r="AA85" s="21">
        <f>EXP(-LN(2)/25)*AA84+(1-EXP(-LN(2)/25))/(LN(2)/25)*Calculateur!V85*Calculateur!X85*VLOOKUP('Données projet'!$B$9,Paramètres!$A$1:$I$89,3,0)*0.475*44/12</f>
        <v>2.6685491561046275</v>
      </c>
      <c r="AB85" s="21">
        <f>EXP(-LN(2)/2)*AB84+(1-EXP(-LN(2)/2))/(LN(2)/2)*V85*Y85*VLOOKUP('Données projet'!$B$9,Paramètres!$A$1:$I$89,3,0)*0.475*44/12</f>
        <v>3.2116974553624786E-7</v>
      </c>
      <c r="AC85" s="22">
        <f t="shared" si="57"/>
        <v>3.5285755545623547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-1.8089849618263545E-13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314.94704727988847</v>
      </c>
      <c r="AO85" s="59">
        <f t="shared" si="90"/>
        <v>366.49199094166454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1.39814584216685</v>
      </c>
      <c r="AV85" s="21">
        <f>EXP(-LN(2)/25)*AV84+(1-EXP(-LN(2)/25))/(LN(2)/25)*Calculateur!AQ85*Calculateur!AS85*VLOOKUP('Données projet'!$B$10,Paramètres!$A$1:$I$89,3,0)*0.475*44/12</f>
        <v>6.0090963222282792</v>
      </c>
      <c r="AW85" s="21">
        <f>EXP(-LN(2)/2)*AW84+(1-EXP(-LN(2)/2))/(LN(2)/2)*AQ85*AT85*VLOOKUP('Données projet'!$B$10,Paramètres!$A$1:$I$89,3,0)*0.475*44/12</f>
        <v>4.3018514783315546E-7</v>
      </c>
      <c r="AX85" s="21">
        <f t="shared" si="60"/>
        <v>7.4072425945802767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-1.4897523215040565E-13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246.64951465060813</v>
      </c>
      <c r="BJ85" s="59">
        <f t="shared" si="92"/>
        <v>292.64550285216865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0.93416625636453265</v>
      </c>
      <c r="BQ85" s="21">
        <f>EXP(-LN(2)/25)*BQ84+(1-EXP(-LN(2)/25))/(LN(2)/25)*Calculateur!BL85*Calculateur!BN85*VLOOKUP('Données projet'!$B$11,Paramètres!$A$1:$I$89,3,0)*0.475*44/12</f>
        <v>4.0149566992024663</v>
      </c>
      <c r="BR85" s="21">
        <f>EXP(-LN(2)/2)*BR84+(1-EXP(-LN(2)/2))/(LN(2)/2)*BL85*BO85*VLOOKUP('Données projet'!$B$11,Paramètres!$A$1:$I$89,3,0)*0.475*44/12</f>
        <v>3.5427012174495158E-7</v>
      </c>
      <c r="BS85" s="22">
        <f t="shared" si="63"/>
        <v>4.9491233098371206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-2.2737367544323206E-13</v>
      </c>
      <c r="BZ85" s="13">
        <f>BY85*VLOOKUP('Données projet'!$B$12,Paramètres!$A$1:$I$89,3,0)*VLOOKUP('Données projet'!$B$12,Paramètres!$A$1:$I$89,5,0)</f>
        <v>-1.5252226148732008E-13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254.25222107710192</v>
      </c>
      <c r="CE85" s="59">
        <f t="shared" si="94"/>
        <v>300.86609173447573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1.1788288473171475</v>
      </c>
      <c r="CL85" s="21">
        <f>EXP(-LN(2)/25)*CL84+(1-EXP(-LN(2)/25))/(LN(2)/25)*Calculateur!CG85*Calculateur!CI85*VLOOKUP('Données projet'!$B$12,Paramètres!$A$1:$I$89,3,0)*0.475*44/12</f>
        <v>5.0664929775650176</v>
      </c>
      <c r="CM85" s="21">
        <f>EXP(-LN(2)/2)*CM84+(1-EXP(-LN(2)/2))/(LN(2)/2)*CG85*CJ85*VLOOKUP('Données projet'!$B$12,Paramètres!$A$1:$I$89,3,0)*0.475*44/12</f>
        <v>3.6270512464364111E-7</v>
      </c>
      <c r="CN85" s="22">
        <f t="shared" si="66"/>
        <v>6.2453221875872895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243.38048563215585</v>
      </c>
      <c r="CZ85" s="59">
        <f t="shared" si="96"/>
        <v>372.1604147006675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2.6097343034945664</v>
      </c>
      <c r="DG85" s="21">
        <f>EXP(-LN(2)/25)*DG84+(1-EXP(-LN(2)/25))/(LN(2)/25)*Calculateur!DB85*Calculateur!DD85*VLOOKUP('Données projet'!$B$13,Paramètres!$A$1:$I$89,3,0)*0.475*44/12</f>
        <v>4.5794933935358371</v>
      </c>
      <c r="DH85" s="21">
        <f>EXP(-LN(2)/2)*DH84+(1-EXP(-LN(2)/2))/(LN(2)/2)*DB85*DE85*VLOOKUP('Données projet'!$B$13,Paramètres!$A$1:$I$89,3,0)*0.475*44/12</f>
        <v>4.3682663460317496E-7</v>
      </c>
      <c r="DI85" s="22">
        <f t="shared" si="69"/>
        <v>7.1892281338570383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1.1368683772161603E-13</v>
      </c>
      <c r="DP85" s="17">
        <f>DO85*VLOOKUP('Données projet'!$B$14,Paramètres!$A$1:$I$89,3,0)*VLOOKUP('Données projet'!$B$14,Paramètres!$A$1:$I$89,5,0)</f>
        <v>6.5028871176764376E-14</v>
      </c>
      <c r="DQ85" s="13">
        <f t="shared" si="97"/>
        <v>1.0270999702906072E-12</v>
      </c>
      <c r="DR85" s="20">
        <f t="shared" si="70"/>
        <v>1.9021243988890057E-12</v>
      </c>
      <c r="DS85" s="59">
        <f t="shared" si="71"/>
        <v>293.33333333333519</v>
      </c>
      <c r="DT85" s="59">
        <f ca="1">AVERAGE(OFFSET($DS$3,0,0,'Données projet'!$E$14+1,1))-AVERAGE(OFFSET($H$3,0,0,'Données projet'!$E$14+1,1))</f>
        <v>227.99747790451215</v>
      </c>
      <c r="DU85" s="59">
        <f t="shared" si="98"/>
        <v>209.49597700966933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1.0241689853830422</v>
      </c>
      <c r="EB85" s="21">
        <f>EXP(-LN(2)/25)*EB84+(1-EXP(-LN(2)/25))/(LN(2)/25)*Calculateur!DW85*Calculateur!DY85*VLOOKUP('Données projet'!$B$14,Paramètres!$A$1:$I$89,3,0)*0.475*44/12</f>
        <v>3.5893661922924602</v>
      </c>
      <c r="EC85" s="21">
        <f>EXP(-LN(2)/2)*EC84+(1-EXP(-LN(2)/2))/(LN(2)/2)*DW85*DZ85*VLOOKUP('Données projet'!$B$14,Paramètres!$A$1:$I$89,3,0)*0.475*44/12</f>
        <v>3.6750468187127716E-7</v>
      </c>
      <c r="ED85" s="22">
        <f t="shared" si="72"/>
        <v>4.6135355451801843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3.4106051316484809E-13</v>
      </c>
      <c r="EK85" s="17">
        <f>EJ85*VLOOKUP('Données projet'!$B$15,Paramètres!$A$1:$I$89,3,0)*VLOOKUP('Données projet'!$B$15,Paramètres!$A$1:$I$89,5,0)</f>
        <v>1.5074874681886286E-13</v>
      </c>
      <c r="EL85" s="13">
        <f t="shared" si="99"/>
        <v>2.1590218794584103E-12</v>
      </c>
      <c r="EM85" s="20">
        <f t="shared" si="73"/>
        <v>4.0228505074329168E-12</v>
      </c>
      <c r="EN85" s="59">
        <f t="shared" si="74"/>
        <v>293.33333333333735</v>
      </c>
      <c r="EO85" s="59">
        <f ca="1">AVERAGE(OFFSET($EN$3,0,0,'Données projet'!$E$15+1,1))-AVERAGE(OFFSET($H$3,0,0,'Données projet'!$E$15+1,1))</f>
        <v>335.27356627949155</v>
      </c>
      <c r="EP85" s="59">
        <f t="shared" si="100"/>
        <v>322.66829503077247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6.6135612268233537</v>
      </c>
      <c r="EX85" s="21">
        <f>EXP(-LN(2)/2)*EX84+(1-EXP(-LN(2)/2))/(LN(2)/2)*ER85*EU85*VLOOKUP('Données projet'!$B$15,Paramètres!$A$1:$I$89,3,0)*0.475*44/12</f>
        <v>5.2724993011630331E-7</v>
      </c>
      <c r="EY85" s="22">
        <f t="shared" si="75"/>
        <v>6.6135617540732836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311.79999999999984</v>
      </c>
      <c r="O86" s="13">
        <f>N86*VLOOKUP('Données projet'!$B$9,Paramètres!$A$1:$I$89,3,0)*VLOOKUP('Données projet'!$B$9,Paramètres!$A$1:$I$89,5,0)</f>
        <v>282.11663999999985</v>
      </c>
      <c r="P86" s="13">
        <f t="shared" si="87"/>
        <v>67.414119514142243</v>
      </c>
      <c r="Q86" s="20">
        <f t="shared" si="54"/>
        <v>608.76607282046416</v>
      </c>
      <c r="R86" s="59">
        <f t="shared" si="55"/>
        <v>902.09940615379742</v>
      </c>
      <c r="S86" s="59">
        <f ca="1">AVERAGE(OFFSET($R$3,0,0,'Données projet'!$E$9+1,1))-AVERAGE(OFFSET($H$3,0,0,'Données projet'!$E$9+1,1))</f>
        <v>319.18811755575183</v>
      </c>
      <c r="T86" s="59">
        <f t="shared" si="88"/>
        <v>234.87694492493506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0.84316149047647537</v>
      </c>
      <c r="AA86" s="21">
        <f>EXP(-LN(2)/25)*AA85+(1-EXP(-LN(2)/25))/(LN(2)/25)*Calculateur!V86*Calculateur!X86*VLOOKUP('Données projet'!$B$9,Paramètres!$A$1:$I$89,3,0)*0.475*44/12</f>
        <v>2.5955775390980453</v>
      </c>
      <c r="AB86" s="21">
        <f>EXP(-LN(2)/2)*AB85+(1-EXP(-LN(2)/2))/(LN(2)/2)*V86*Y86*VLOOKUP('Données projet'!$B$9,Paramètres!$A$1:$I$89,3,0)*0.475*44/12</f>
        <v>2.2710130498063877E-7</v>
      </c>
      <c r="AC86" s="22">
        <f t="shared" si="57"/>
        <v>3.4387392566758255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-1.8089849618263545E-13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314.94704727988847</v>
      </c>
      <c r="AO86" s="59">
        <f t="shared" si="90"/>
        <v>366.49199094166454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1.3707290549867164</v>
      </c>
      <c r="AV86" s="21">
        <f>EXP(-LN(2)/25)*AV85+(1-EXP(-LN(2)/25))/(LN(2)/25)*Calculateur!AQ86*Calculateur!AS86*VLOOKUP('Données projet'!$B$10,Paramètres!$A$1:$I$89,3,0)*0.475*44/12</f>
        <v>5.8447772672923053</v>
      </c>
      <c r="AW86" s="21">
        <f>EXP(-LN(2)/2)*AW85+(1-EXP(-LN(2)/2))/(LN(2)/2)*AQ86*AT86*VLOOKUP('Données projet'!$B$10,Paramètres!$A$1:$I$89,3,0)*0.475*44/12</f>
        <v>3.0418683519856166E-7</v>
      </c>
      <c r="AX86" s="21">
        <f t="shared" si="60"/>
        <v>7.2155066264658565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-1.4897523215040565E-13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246.64951465060813</v>
      </c>
      <c r="BJ86" s="59">
        <f t="shared" si="92"/>
        <v>292.64550285216865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0.91584782586237889</v>
      </c>
      <c r="BQ86" s="21">
        <f>EXP(-LN(2)/25)*BQ85+(1-EXP(-LN(2)/25))/(LN(2)/25)*Calculateur!BL86*Calculateur!BN86*VLOOKUP('Données projet'!$B$11,Paramètres!$A$1:$I$89,3,0)*0.475*44/12</f>
        <v>3.9051674971253783</v>
      </c>
      <c r="BR86" s="21">
        <f>EXP(-LN(2)/2)*BR85+(1-EXP(-LN(2)/2))/(LN(2)/2)*BL86*BO86*VLOOKUP('Données projet'!$B$11,Paramètres!$A$1:$I$89,3,0)*0.475*44/12</f>
        <v>2.5050680545763903E-7</v>
      </c>
      <c r="BS86" s="22">
        <f t="shared" si="63"/>
        <v>4.821015573494563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-2.2737367544323206E-13</v>
      </c>
      <c r="BZ86" s="13">
        <f>BY86*VLOOKUP('Données projet'!$B$12,Paramètres!$A$1:$I$89,3,0)*VLOOKUP('Données projet'!$B$12,Paramètres!$A$1:$I$89,5,0)</f>
        <v>-1.5252226148732008E-13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254.25222107710192</v>
      </c>
      <c r="CE86" s="59">
        <f t="shared" si="94"/>
        <v>300.86609173447573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1.1557127326358583</v>
      </c>
      <c r="CL86" s="21">
        <f>EXP(-LN(2)/25)*CL85+(1-EXP(-LN(2)/25))/(LN(2)/25)*Calculateur!CG86*Calculateur!CI86*VLOOKUP('Données projet'!$B$12,Paramètres!$A$1:$I$89,3,0)*0.475*44/12</f>
        <v>4.9279494606582164</v>
      </c>
      <c r="CM86" s="21">
        <f>EXP(-LN(2)/2)*CM85+(1-EXP(-LN(2)/2))/(LN(2)/2)*CG86*CJ86*VLOOKUP('Données projet'!$B$12,Paramètres!$A$1:$I$89,3,0)*0.475*44/12</f>
        <v>2.5647125320663058E-7</v>
      </c>
      <c r="CN86" s="22">
        <f t="shared" si="66"/>
        <v>6.0836624497653276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243.38048563215585</v>
      </c>
      <c r="CZ86" s="59">
        <f t="shared" si="96"/>
        <v>372.1604147006675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2.5585590055837879</v>
      </c>
      <c r="DG86" s="21">
        <f>EXP(-LN(2)/25)*DG85+(1-EXP(-LN(2)/25))/(LN(2)/25)*Calculateur!DB86*Calculateur!DD86*VLOOKUP('Données projet'!$B$13,Paramètres!$A$1:$I$89,3,0)*0.475*44/12</f>
        <v>4.4542669058645084</v>
      </c>
      <c r="DH86" s="21">
        <f>EXP(-LN(2)/2)*DH85+(1-EXP(-LN(2)/2))/(LN(2)/2)*DB86*DE86*VLOOKUP('Données projet'!$B$13,Paramètres!$A$1:$I$89,3,0)*0.475*44/12</f>
        <v>3.0888307553080318E-7</v>
      </c>
      <c r="DI86" s="22">
        <f t="shared" si="69"/>
        <v>7.0128262203313714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1.1368683772161603E-13</v>
      </c>
      <c r="DP86" s="17">
        <f>DO86*VLOOKUP('Données projet'!$B$14,Paramètres!$A$1:$I$89,3,0)*VLOOKUP('Données projet'!$B$14,Paramètres!$A$1:$I$89,5,0)</f>
        <v>6.5028871176764376E-14</v>
      </c>
      <c r="DQ86" s="13">
        <f t="shared" si="97"/>
        <v>1.0270999702906072E-12</v>
      </c>
      <c r="DR86" s="20">
        <f t="shared" si="70"/>
        <v>1.9021243988890057E-12</v>
      </c>
      <c r="DS86" s="59">
        <f t="shared" si="71"/>
        <v>293.33333333333519</v>
      </c>
      <c r="DT86" s="59">
        <f ca="1">AVERAGE(OFFSET($DS$3,0,0,'Données projet'!$E$14+1,1))-AVERAGE(OFFSET($H$3,0,0,'Données projet'!$E$14+1,1))</f>
        <v>227.99747790451215</v>
      </c>
      <c r="DU86" s="59">
        <f t="shared" si="98"/>
        <v>209.49597700966933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1.0040856562610796</v>
      </c>
      <c r="EB86" s="21">
        <f>EXP(-LN(2)/25)*EB85+(1-EXP(-LN(2)/25))/(LN(2)/25)*Calculateur!DW86*Calculateur!DY86*VLOOKUP('Données projet'!$B$14,Paramètres!$A$1:$I$89,3,0)*0.475*44/12</f>
        <v>3.4912147850076583</v>
      </c>
      <c r="EC86" s="21">
        <f>EXP(-LN(2)/2)*EC85+(1-EXP(-LN(2)/2))/(LN(2)/2)*DW86*DZ86*VLOOKUP('Données projet'!$B$14,Paramètres!$A$1:$I$89,3,0)*0.475*44/12</f>
        <v>2.5986505266898494E-7</v>
      </c>
      <c r="ED86" s="22">
        <f t="shared" si="72"/>
        <v>4.4953007011337904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3.4106051316484809E-13</v>
      </c>
      <c r="EK86" s="17">
        <f>EJ86*VLOOKUP('Données projet'!$B$15,Paramètres!$A$1:$I$89,3,0)*VLOOKUP('Données projet'!$B$15,Paramètres!$A$1:$I$89,5,0)</f>
        <v>1.5074874681886286E-13</v>
      </c>
      <c r="EL86" s="13">
        <f t="shared" si="99"/>
        <v>2.1590218794584103E-12</v>
      </c>
      <c r="EM86" s="20">
        <f t="shared" si="73"/>
        <v>4.0228505074329168E-12</v>
      </c>
      <c r="EN86" s="59">
        <f t="shared" si="74"/>
        <v>293.33333333333735</v>
      </c>
      <c r="EO86" s="59">
        <f ca="1">AVERAGE(OFFSET($EN$3,0,0,'Données projet'!$E$15+1,1))-AVERAGE(OFFSET($H$3,0,0,'Données projet'!$E$15+1,1))</f>
        <v>335.27356627949155</v>
      </c>
      <c r="EP86" s="59">
        <f t="shared" si="100"/>
        <v>322.66829503077247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6.4327130472837997</v>
      </c>
      <c r="EX86" s="21">
        <f>EXP(-LN(2)/2)*EX85+(1-EXP(-LN(2)/2))/(LN(2)/2)*ER86*EU86*VLOOKUP('Données projet'!$B$15,Paramètres!$A$1:$I$89,3,0)*0.475*44/12</f>
        <v>3.7282200096537137E-7</v>
      </c>
      <c r="EY86" s="22">
        <f t="shared" si="75"/>
        <v>6.4327134201058005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318.39999999999986</v>
      </c>
      <c r="O87" s="13">
        <f>N87*VLOOKUP('Données projet'!$B$9,Paramètres!$A$1:$I$89,3,0)*VLOOKUP('Données projet'!$B$9,Paramètres!$A$1:$I$89,5,0)</f>
        <v>288.0883199999999</v>
      </c>
      <c r="P87" s="13">
        <f t="shared" si="87"/>
        <v>68.673460144735557</v>
      </c>
      <c r="Q87" s="20">
        <f t="shared" si="54"/>
        <v>621.36010041874761</v>
      </c>
      <c r="R87" s="59">
        <f t="shared" si="55"/>
        <v>914.69343375208086</v>
      </c>
      <c r="S87" s="59">
        <f ca="1">AVERAGE(OFFSET($R$3,0,0,'Données projet'!$E$9+1,1))-AVERAGE(OFFSET($H$3,0,0,'Données projet'!$E$9+1,1))</f>
        <v>319.18811755575183</v>
      </c>
      <c r="T87" s="59">
        <f t="shared" si="88"/>
        <v>234.87694492493506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0.82662760792596013</v>
      </c>
      <c r="AA87" s="21">
        <f>EXP(-LN(2)/25)*AA86+(1-EXP(-LN(2)/25))/(LN(2)/25)*Calculateur!V87*Calculateur!X87*VLOOKUP('Données projet'!$B$9,Paramètres!$A$1:$I$89,3,0)*0.475*44/12</f>
        <v>2.5246013347959186</v>
      </c>
      <c r="AB87" s="21">
        <f>EXP(-LN(2)/2)*AB86+(1-EXP(-LN(2)/2))/(LN(2)/2)*V87*Y87*VLOOKUP('Données projet'!$B$9,Paramètres!$A$1:$I$89,3,0)*0.475*44/12</f>
        <v>1.6058487276812396E-7</v>
      </c>
      <c r="AC87" s="22">
        <f t="shared" si="57"/>
        <v>3.3512291033067516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-1.8089849618263545E-13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314.94704727988847</v>
      </c>
      <c r="AO87" s="59">
        <f t="shared" si="90"/>
        <v>366.49199094166454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1.3438498942805961</v>
      </c>
      <c r="AV87" s="21">
        <f>EXP(-LN(2)/25)*AV86+(1-EXP(-LN(2)/25))/(LN(2)/25)*Calculateur!AQ87*Calculateur!AS87*VLOOKUP('Données projet'!$B$10,Paramètres!$A$1:$I$89,3,0)*0.475*44/12</f>
        <v>5.6849515255547187</v>
      </c>
      <c r="AW87" s="21">
        <f>EXP(-LN(2)/2)*AW86+(1-EXP(-LN(2)/2))/(LN(2)/2)*AQ87*AT87*VLOOKUP('Données projet'!$B$10,Paramètres!$A$1:$I$89,3,0)*0.475*44/12</f>
        <v>2.1509257391657773E-7</v>
      </c>
      <c r="AX87" s="21">
        <f t="shared" si="60"/>
        <v>7.0288016349278886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-1.4897523215040565E-13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246.64951465060813</v>
      </c>
      <c r="BJ87" s="59">
        <f t="shared" si="92"/>
        <v>292.64550285216865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0.89788860860923303</v>
      </c>
      <c r="BQ87" s="21">
        <f>EXP(-LN(2)/25)*BQ86+(1-EXP(-LN(2)/25))/(LN(2)/25)*Calculateur!BL87*Calculateur!BN87*VLOOKUP('Données projet'!$B$11,Paramètres!$A$1:$I$89,3,0)*0.475*44/12</f>
        <v>3.7983804865526514</v>
      </c>
      <c r="BR87" s="21">
        <f>EXP(-LN(2)/2)*BR86+(1-EXP(-LN(2)/2))/(LN(2)/2)*BL87*BO87*VLOOKUP('Données projet'!$B$11,Paramètres!$A$1:$I$89,3,0)*0.475*44/12</f>
        <v>1.7713506087247579E-7</v>
      </c>
      <c r="BS87" s="22">
        <f t="shared" si="63"/>
        <v>4.6962692722969459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-2.2737367544323206E-13</v>
      </c>
      <c r="BZ87" s="13">
        <f>BY87*VLOOKUP('Données projet'!$B$12,Paramètres!$A$1:$I$89,3,0)*VLOOKUP('Données projet'!$B$12,Paramètres!$A$1:$I$89,5,0)</f>
        <v>-1.5252226148732008E-13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254.25222107710192</v>
      </c>
      <c r="CE87" s="59">
        <f t="shared" si="94"/>
        <v>300.86609173447573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1.1330499108640315</v>
      </c>
      <c r="CL87" s="21">
        <f>EXP(-LN(2)/25)*CL86+(1-EXP(-LN(2)/25))/(LN(2)/25)*Calculateur!CG87*Calculateur!CI87*VLOOKUP('Données projet'!$B$12,Paramètres!$A$1:$I$89,3,0)*0.475*44/12</f>
        <v>4.7931944235069182</v>
      </c>
      <c r="CM87" s="21">
        <f>EXP(-LN(2)/2)*CM86+(1-EXP(-LN(2)/2))/(LN(2)/2)*CG87*CJ87*VLOOKUP('Données projet'!$B$12,Paramètres!$A$1:$I$89,3,0)*0.475*44/12</f>
        <v>1.8135256232182056E-7</v>
      </c>
      <c r="CN87" s="22">
        <f t="shared" si="66"/>
        <v>5.9262445157235115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243.38048563215585</v>
      </c>
      <c r="CZ87" s="59">
        <f t="shared" si="96"/>
        <v>372.1604147006675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2.50838722405119</v>
      </c>
      <c r="DG87" s="21">
        <f>EXP(-LN(2)/25)*DG86+(1-EXP(-LN(2)/25))/(LN(2)/25)*Calculateur!DB87*Calculateur!DD87*VLOOKUP('Données projet'!$B$13,Paramètres!$A$1:$I$89,3,0)*0.475*44/12</f>
        <v>4.3324647430839276</v>
      </c>
      <c r="DH87" s="21">
        <f>EXP(-LN(2)/2)*DH86+(1-EXP(-LN(2)/2))/(LN(2)/2)*DB87*DE87*VLOOKUP('Données projet'!$B$13,Paramètres!$A$1:$I$89,3,0)*0.475*44/12</f>
        <v>2.1841331730158748E-7</v>
      </c>
      <c r="DI87" s="22">
        <f t="shared" si="69"/>
        <v>6.8408521855484352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1.1368683772161603E-13</v>
      </c>
      <c r="DP87" s="17">
        <f>DO87*VLOOKUP('Données projet'!$B$14,Paramètres!$A$1:$I$89,3,0)*VLOOKUP('Données projet'!$B$14,Paramètres!$A$1:$I$89,5,0)</f>
        <v>6.5028871176764376E-14</v>
      </c>
      <c r="DQ87" s="13">
        <f t="shared" si="97"/>
        <v>1.0270999702906072E-12</v>
      </c>
      <c r="DR87" s="20">
        <f t="shared" si="70"/>
        <v>1.9021243988890057E-12</v>
      </c>
      <c r="DS87" s="59">
        <f t="shared" si="71"/>
        <v>293.33333333333519</v>
      </c>
      <c r="DT87" s="59">
        <f ca="1">AVERAGE(OFFSET($DS$3,0,0,'Données projet'!$E$14+1,1))-AVERAGE(OFFSET($H$3,0,0,'Données projet'!$E$14+1,1))</f>
        <v>227.99747790451215</v>
      </c>
      <c r="DU87" s="59">
        <f t="shared" si="98"/>
        <v>209.49597700966933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0.98439614897357752</v>
      </c>
      <c r="EB87" s="21">
        <f>EXP(-LN(2)/25)*EB86+(1-EXP(-LN(2)/25))/(LN(2)/25)*Calculateur!DW87*Calculateur!DY87*VLOOKUP('Données projet'!$B$14,Paramètres!$A$1:$I$89,3,0)*0.475*44/12</f>
        <v>3.3957473331166175</v>
      </c>
      <c r="EC87" s="21">
        <f>EXP(-LN(2)/2)*EC86+(1-EXP(-LN(2)/2))/(LN(2)/2)*DW87*DZ87*VLOOKUP('Données projet'!$B$14,Paramètres!$A$1:$I$89,3,0)*0.475*44/12</f>
        <v>1.8375234093563858E-7</v>
      </c>
      <c r="ED87" s="22">
        <f t="shared" si="72"/>
        <v>4.3801436658425361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3.4106051316484809E-13</v>
      </c>
      <c r="EK87" s="17">
        <f>EJ87*VLOOKUP('Données projet'!$B$15,Paramètres!$A$1:$I$89,3,0)*VLOOKUP('Données projet'!$B$15,Paramètres!$A$1:$I$89,5,0)</f>
        <v>1.5074874681886286E-13</v>
      </c>
      <c r="EL87" s="13">
        <f t="shared" si="99"/>
        <v>2.1590218794584103E-12</v>
      </c>
      <c r="EM87" s="20">
        <f t="shared" si="73"/>
        <v>4.0228505074329168E-12</v>
      </c>
      <c r="EN87" s="59">
        <f t="shared" si="74"/>
        <v>293.33333333333735</v>
      </c>
      <c r="EO87" s="59">
        <f ca="1">AVERAGE(OFFSET($EN$3,0,0,'Données projet'!$E$15+1,1))-AVERAGE(OFFSET($H$3,0,0,'Données projet'!$E$15+1,1))</f>
        <v>335.27356627949155</v>
      </c>
      <c r="EP87" s="59">
        <f t="shared" si="100"/>
        <v>322.66829503077247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6.2568101707241475</v>
      </c>
      <c r="EX87" s="21">
        <f>EXP(-LN(2)/2)*EX86+(1-EXP(-LN(2)/2))/(LN(2)/2)*ER87*EU87*VLOOKUP('Données projet'!$B$15,Paramètres!$A$1:$I$89,3,0)*0.475*44/12</f>
        <v>2.6362496505815166E-7</v>
      </c>
      <c r="EY87" s="22">
        <f t="shared" si="75"/>
        <v>6.2568104343491129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324.99999999999989</v>
      </c>
      <c r="O88" s="13">
        <f>N88*VLOOKUP('Données projet'!$B$9,Paramètres!$A$1:$I$89,3,0)*VLOOKUP('Données projet'!$B$9,Paramètres!$A$1:$I$89,5,0)</f>
        <v>294.05999999999989</v>
      </c>
      <c r="P88" s="13">
        <f t="shared" si="87"/>
        <v>69.929765653573313</v>
      </c>
      <c r="Q88" s="20">
        <f t="shared" si="54"/>
        <v>633.94884184663999</v>
      </c>
      <c r="R88" s="59">
        <f t="shared" si="55"/>
        <v>927.28217517997336</v>
      </c>
      <c r="S88" s="59">
        <f ca="1">AVERAGE(OFFSET($R$3,0,0,'Données projet'!$E$9+1,1))-AVERAGE(OFFSET($H$3,0,0,'Données projet'!$E$9+1,1))</f>
        <v>319.18811755575183</v>
      </c>
      <c r="T88" s="59">
        <f t="shared" si="88"/>
        <v>234.87694492493506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0.81041794472758799</v>
      </c>
      <c r="AA88" s="21">
        <f>EXP(-LN(2)/25)*AA87+(1-EXP(-LN(2)/25))/(LN(2)/25)*Calculateur!V88*Calculateur!X88*VLOOKUP('Données projet'!$B$9,Paramètres!$A$1:$I$89,3,0)*0.475*44/12</f>
        <v>2.4555659785329103</v>
      </c>
      <c r="AB88" s="21">
        <f>EXP(-LN(2)/2)*AB87+(1-EXP(-LN(2)/2))/(LN(2)/2)*V88*Y88*VLOOKUP('Données projet'!$B$9,Paramètres!$A$1:$I$89,3,0)*0.475*44/12</f>
        <v>1.1355065249031941E-7</v>
      </c>
      <c r="AC88" s="22">
        <f t="shared" si="57"/>
        <v>3.2659840368111506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-1.8089849618263545E-13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314.94704727988847</v>
      </c>
      <c r="AO88" s="59">
        <f t="shared" si="90"/>
        <v>366.49199094166454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1.3174978175212537</v>
      </c>
      <c r="AV88" s="21">
        <f>EXP(-LN(2)/25)*AV87+(1-EXP(-LN(2)/25))/(LN(2)/25)*Calculateur!AQ88*Calculateur!AS88*VLOOKUP('Données projet'!$B$10,Paramètres!$A$1:$I$89,3,0)*0.475*44/12</f>
        <v>5.5294962271298171</v>
      </c>
      <c r="AW88" s="21">
        <f>EXP(-LN(2)/2)*AW87+(1-EXP(-LN(2)/2))/(LN(2)/2)*AQ88*AT88*VLOOKUP('Données projet'!$B$10,Paramètres!$A$1:$I$89,3,0)*0.475*44/12</f>
        <v>1.5209341759928083E-7</v>
      </c>
      <c r="AX88" s="21">
        <f t="shared" si="60"/>
        <v>6.8469941967444887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-1.4897523215040565E-13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246.64951465060813</v>
      </c>
      <c r="BJ88" s="59">
        <f t="shared" si="92"/>
        <v>292.64550285216865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0.8802815606523805</v>
      </c>
      <c r="BQ88" s="21">
        <f>EXP(-LN(2)/25)*BQ87+(1-EXP(-LN(2)/25))/(LN(2)/25)*Calculateur!BL88*Calculateur!BN88*VLOOKUP('Données projet'!$B$11,Paramètres!$A$1:$I$89,3,0)*0.475*44/12</f>
        <v>3.6945135723997207</v>
      </c>
      <c r="BR88" s="21">
        <f>EXP(-LN(2)/2)*BR87+(1-EXP(-LN(2)/2))/(LN(2)/2)*BL88*BO88*VLOOKUP('Données projet'!$B$11,Paramètres!$A$1:$I$89,3,0)*0.475*44/12</f>
        <v>1.2525340272881951E-7</v>
      </c>
      <c r="BS88" s="22">
        <f t="shared" si="63"/>
        <v>4.5747952583055032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-2.2737367544323206E-13</v>
      </c>
      <c r="BZ88" s="13">
        <f>BY88*VLOOKUP('Données projet'!$B$12,Paramètres!$A$1:$I$89,3,0)*VLOOKUP('Données projet'!$B$12,Paramètres!$A$1:$I$89,5,0)</f>
        <v>-1.5252226148732008E-13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254.25222107710192</v>
      </c>
      <c r="CE88" s="59">
        <f t="shared" si="94"/>
        <v>300.86609173447573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1.1108314932041938</v>
      </c>
      <c r="CL88" s="21">
        <f>EXP(-LN(2)/25)*CL87+(1-EXP(-LN(2)/25))/(LN(2)/25)*Calculateur!CG88*Calculateur!CI88*VLOOKUP('Données projet'!$B$12,Paramètres!$A$1:$I$89,3,0)*0.475*44/12</f>
        <v>4.6621242699329821</v>
      </c>
      <c r="CM88" s="21">
        <f>EXP(-LN(2)/2)*CM87+(1-EXP(-LN(2)/2))/(LN(2)/2)*CG88*CJ88*VLOOKUP('Données projet'!$B$12,Paramètres!$A$1:$I$89,3,0)*0.475*44/12</f>
        <v>1.2823562660331529E-7</v>
      </c>
      <c r="CN88" s="22">
        <f t="shared" si="66"/>
        <v>5.7729558913728027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243.38048563215585</v>
      </c>
      <c r="CZ88" s="59">
        <f t="shared" si="96"/>
        <v>372.1604147006675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2.4591992805526814</v>
      </c>
      <c r="DG88" s="21">
        <f>EXP(-LN(2)/25)*DG87+(1-EXP(-LN(2)/25))/(LN(2)/25)*Calculateur!DB88*Calculateur!DD88*VLOOKUP('Données projet'!$B$13,Paramètres!$A$1:$I$89,3,0)*0.475*44/12</f>
        <v>4.2139932668498785</v>
      </c>
      <c r="DH88" s="21">
        <f>EXP(-LN(2)/2)*DH87+(1-EXP(-LN(2)/2))/(LN(2)/2)*DB88*DE88*VLOOKUP('Données projet'!$B$13,Paramètres!$A$1:$I$89,3,0)*0.475*44/12</f>
        <v>1.5444153776540159E-7</v>
      </c>
      <c r="DI88" s="22">
        <f t="shared" si="69"/>
        <v>6.6731927018440977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1.1368683772161603E-13</v>
      </c>
      <c r="DP88" s="17">
        <f>DO88*VLOOKUP('Données projet'!$B$14,Paramètres!$A$1:$I$89,3,0)*VLOOKUP('Données projet'!$B$14,Paramètres!$A$1:$I$89,5,0)</f>
        <v>6.5028871176764376E-14</v>
      </c>
      <c r="DQ88" s="13">
        <f t="shared" si="97"/>
        <v>1.0270999702906072E-12</v>
      </c>
      <c r="DR88" s="20">
        <f t="shared" si="70"/>
        <v>1.9021243988890057E-12</v>
      </c>
      <c r="DS88" s="59">
        <f t="shared" si="71"/>
        <v>293.33333333333519</v>
      </c>
      <c r="DT88" s="59">
        <f ca="1">AVERAGE(OFFSET($DS$3,0,0,'Données projet'!$E$14+1,1))-AVERAGE(OFFSET($H$3,0,0,'Données projet'!$E$14+1,1))</f>
        <v>227.99747790451215</v>
      </c>
      <c r="DU88" s="59">
        <f t="shared" si="98"/>
        <v>209.49597700966933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0.96509274091456976</v>
      </c>
      <c r="EB88" s="21">
        <f>EXP(-LN(2)/25)*EB87+(1-EXP(-LN(2)/25))/(LN(2)/25)*Calculateur!DW88*Calculateur!DY88*VLOOKUP('Données projet'!$B$14,Paramètres!$A$1:$I$89,3,0)*0.475*44/12</f>
        <v>3.3028904437179523</v>
      </c>
      <c r="EC88" s="21">
        <f>EXP(-LN(2)/2)*EC87+(1-EXP(-LN(2)/2))/(LN(2)/2)*DW88*DZ88*VLOOKUP('Données projet'!$B$14,Paramètres!$A$1:$I$89,3,0)*0.475*44/12</f>
        <v>1.2993252633449247E-7</v>
      </c>
      <c r="ED88" s="22">
        <f t="shared" si="72"/>
        <v>4.2679833145650479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3.4106051316484809E-13</v>
      </c>
      <c r="EK88" s="17">
        <f>EJ88*VLOOKUP('Données projet'!$B$15,Paramètres!$A$1:$I$89,3,0)*VLOOKUP('Données projet'!$B$15,Paramètres!$A$1:$I$89,5,0)</f>
        <v>1.5074874681886286E-13</v>
      </c>
      <c r="EL88" s="13">
        <f t="shared" si="99"/>
        <v>2.1590218794584103E-12</v>
      </c>
      <c r="EM88" s="20">
        <f t="shared" si="73"/>
        <v>4.0228505074329168E-12</v>
      </c>
      <c r="EN88" s="59">
        <f t="shared" si="74"/>
        <v>293.33333333333735</v>
      </c>
      <c r="EO88" s="59">
        <f ca="1">AVERAGE(OFFSET($EN$3,0,0,'Données projet'!$E$15+1,1))-AVERAGE(OFFSET($H$3,0,0,'Données projet'!$E$15+1,1))</f>
        <v>335.27356627949155</v>
      </c>
      <c r="EP88" s="59">
        <f t="shared" si="100"/>
        <v>322.66829503077247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6.0857173675743486</v>
      </c>
      <c r="EX88" s="21">
        <f>EXP(-LN(2)/2)*EX87+(1-EXP(-LN(2)/2))/(LN(2)/2)*ER88*EU88*VLOOKUP('Données projet'!$B$15,Paramètres!$A$1:$I$89,3,0)*0.475*44/12</f>
        <v>1.8641100048268568E-7</v>
      </c>
      <c r="EY88" s="22">
        <f t="shared" si="75"/>
        <v>6.085717553985349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331.59999999999991</v>
      </c>
      <c r="O89" s="13">
        <f>N89*VLOOKUP('Données projet'!$B$9,Paramètres!$A$1:$I$89,3,0)*VLOOKUP('Données projet'!$B$9,Paramètres!$A$1:$I$89,5,0)</f>
        <v>300.03167999999994</v>
      </c>
      <c r="P89" s="13">
        <f t="shared" si="87"/>
        <v>71.183104779714938</v>
      </c>
      <c r="Q89" s="20">
        <f t="shared" si="54"/>
        <v>646.53241682467001</v>
      </c>
      <c r="R89" s="59">
        <f t="shared" si="55"/>
        <v>939.86575015800327</v>
      </c>
      <c r="S89" s="59">
        <f ca="1">AVERAGE(OFFSET($R$3,0,0,'Données projet'!$E$9+1,1))-AVERAGE(OFFSET($H$3,0,0,'Données projet'!$E$9+1,1))</f>
        <v>319.18811755575183</v>
      </c>
      <c r="T89" s="59">
        <f t="shared" si="88"/>
        <v>234.87694492493506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0.7945261431376176</v>
      </c>
      <c r="AA89" s="21">
        <f>EXP(-LN(2)/25)*AA88+(1-EXP(-LN(2)/25))/(LN(2)/25)*Calculateur!V89*Calculateur!X89*VLOOKUP('Données projet'!$B$9,Paramètres!$A$1:$I$89,3,0)*0.475*44/12</f>
        <v>2.3884183977173254</v>
      </c>
      <c r="AB89" s="21">
        <f>EXP(-LN(2)/2)*AB88+(1-EXP(-LN(2)/2))/(LN(2)/2)*V89*Y89*VLOOKUP('Données projet'!$B$9,Paramètres!$A$1:$I$89,3,0)*0.475*44/12</f>
        <v>8.0292436384061992E-8</v>
      </c>
      <c r="AC89" s="22">
        <f t="shared" si="57"/>
        <v>3.1829446211473793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-1.8089849618263545E-13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314.94704727988847</v>
      </c>
      <c r="AO89" s="59">
        <f t="shared" si="90"/>
        <v>366.49199094166454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1.2916624889139823</v>
      </c>
      <c r="AV89" s="21">
        <f>EXP(-LN(2)/25)*AV88+(1-EXP(-LN(2)/25))/(LN(2)/25)*Calculateur!AQ89*Calculateur!AS89*VLOOKUP('Données projet'!$B$10,Paramètres!$A$1:$I$89,3,0)*0.475*44/12</f>
        <v>5.3782918620153835</v>
      </c>
      <c r="AW89" s="21">
        <f>EXP(-LN(2)/2)*AW88+(1-EXP(-LN(2)/2))/(LN(2)/2)*AQ89*AT89*VLOOKUP('Données projet'!$B$10,Paramètres!$A$1:$I$89,3,0)*0.475*44/12</f>
        <v>1.0754628695828887E-7</v>
      </c>
      <c r="AX89" s="21">
        <f t="shared" si="60"/>
        <v>6.6699544584756527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-1.4897523215040565E-13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246.64951465060813</v>
      </c>
      <c r="BJ89" s="59">
        <f t="shared" si="92"/>
        <v>292.64550285216865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0.86301977616672298</v>
      </c>
      <c r="BQ89" s="21">
        <f>EXP(-LN(2)/25)*BQ88+(1-EXP(-LN(2)/25))/(LN(2)/25)*Calculateur!BL89*Calculateur!BN89*VLOOKUP('Données projet'!$B$11,Paramètres!$A$1:$I$89,3,0)*0.475*44/12</f>
        <v>3.5934869044764253</v>
      </c>
      <c r="BR89" s="21">
        <f>EXP(-LN(2)/2)*BR88+(1-EXP(-LN(2)/2))/(LN(2)/2)*BL89*BO89*VLOOKUP('Données projet'!$B$11,Paramètres!$A$1:$I$89,3,0)*0.475*44/12</f>
        <v>8.8567530436237894E-8</v>
      </c>
      <c r="BS89" s="22">
        <f t="shared" si="63"/>
        <v>4.4565067692106783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-2.2737367544323206E-13</v>
      </c>
      <c r="BZ89" s="13">
        <f>BY89*VLOOKUP('Données projet'!$B$12,Paramètres!$A$1:$I$89,3,0)*VLOOKUP('Données projet'!$B$12,Paramètres!$A$1:$I$89,5,0)</f>
        <v>-1.5252226148732008E-13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254.25222107710192</v>
      </c>
      <c r="CE89" s="59">
        <f t="shared" si="94"/>
        <v>300.86609173447573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1.0890487651627689</v>
      </c>
      <c r="CL89" s="21">
        <f>EXP(-LN(2)/25)*CL88+(1-EXP(-LN(2)/25))/(LN(2)/25)*Calculateur!CG89*Calculateur!CI89*VLOOKUP('Données projet'!$B$12,Paramètres!$A$1:$I$89,3,0)*0.475*44/12</f>
        <v>4.5346382366012046</v>
      </c>
      <c r="CM89" s="21">
        <f>EXP(-LN(2)/2)*CM88+(1-EXP(-LN(2)/2))/(LN(2)/2)*CG89*CJ89*VLOOKUP('Données projet'!$B$12,Paramètres!$A$1:$I$89,3,0)*0.475*44/12</f>
        <v>9.0676281160910278E-8</v>
      </c>
      <c r="CN89" s="22">
        <f t="shared" si="66"/>
        <v>5.6236870924402549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243.38048563215585</v>
      </c>
      <c r="CZ89" s="59">
        <f t="shared" si="96"/>
        <v>372.1604147006675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2.4109758826244954</v>
      </c>
      <c r="DG89" s="21">
        <f>EXP(-LN(2)/25)*DG88+(1-EXP(-LN(2)/25))/(LN(2)/25)*Calculateur!DB89*Calculateur!DD89*VLOOKUP('Données projet'!$B$13,Paramètres!$A$1:$I$89,3,0)*0.475*44/12</f>
        <v>4.0987613993635943</v>
      </c>
      <c r="DH89" s="21">
        <f>EXP(-LN(2)/2)*DH88+(1-EXP(-LN(2)/2))/(LN(2)/2)*DB89*DE89*VLOOKUP('Données projet'!$B$13,Paramètres!$A$1:$I$89,3,0)*0.475*44/12</f>
        <v>1.0920665865079374E-7</v>
      </c>
      <c r="DI89" s="22">
        <f t="shared" si="69"/>
        <v>6.509737391194748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1.1368683772161603E-13</v>
      </c>
      <c r="DP89" s="17">
        <f>DO89*VLOOKUP('Données projet'!$B$14,Paramètres!$A$1:$I$89,3,0)*VLOOKUP('Données projet'!$B$14,Paramètres!$A$1:$I$89,5,0)</f>
        <v>6.5028871176764376E-14</v>
      </c>
      <c r="DQ89" s="13">
        <f t="shared" si="97"/>
        <v>1.0270999702906072E-12</v>
      </c>
      <c r="DR89" s="20">
        <f t="shared" si="70"/>
        <v>1.9021243988890057E-12</v>
      </c>
      <c r="DS89" s="59">
        <f t="shared" si="71"/>
        <v>293.33333333333519</v>
      </c>
      <c r="DT89" s="59">
        <f ca="1">AVERAGE(OFFSET($DS$3,0,0,'Données projet'!$E$14+1,1))-AVERAGE(OFFSET($H$3,0,0,'Données projet'!$E$14+1,1))</f>
        <v>227.99747790451215</v>
      </c>
      <c r="DU89" s="59">
        <f t="shared" si="98"/>
        <v>209.49597700966933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0.94616786091368277</v>
      </c>
      <c r="EB89" s="21">
        <f>EXP(-LN(2)/25)*EB88+(1-EXP(-LN(2)/25))/(LN(2)/25)*Calculateur!DW89*Calculateur!DY89*VLOOKUP('Données projet'!$B$14,Paramètres!$A$1:$I$89,3,0)*0.475*44/12</f>
        <v>3.2125727308430254</v>
      </c>
      <c r="EC89" s="21">
        <f>EXP(-LN(2)/2)*EC88+(1-EXP(-LN(2)/2))/(LN(2)/2)*DW89*DZ89*VLOOKUP('Données projet'!$B$14,Paramètres!$A$1:$I$89,3,0)*0.475*44/12</f>
        <v>9.1876170467819291E-8</v>
      </c>
      <c r="ED89" s="22">
        <f t="shared" si="72"/>
        <v>4.1587406836328791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3.4106051316484809E-13</v>
      </c>
      <c r="EK89" s="17">
        <f>EJ89*VLOOKUP('Données projet'!$B$15,Paramètres!$A$1:$I$89,3,0)*VLOOKUP('Données projet'!$B$15,Paramètres!$A$1:$I$89,5,0)</f>
        <v>1.5074874681886286E-13</v>
      </c>
      <c r="EL89" s="13">
        <f t="shared" si="99"/>
        <v>2.1590218794584103E-12</v>
      </c>
      <c r="EM89" s="20">
        <f t="shared" si="73"/>
        <v>4.0228505074329168E-12</v>
      </c>
      <c r="EN89" s="59">
        <f t="shared" si="74"/>
        <v>293.33333333333735</v>
      </c>
      <c r="EO89" s="59">
        <f ca="1">AVERAGE(OFFSET($EN$3,0,0,'Données projet'!$E$15+1,1))-AVERAGE(OFFSET($H$3,0,0,'Données projet'!$E$15+1,1))</f>
        <v>335.27356627949155</v>
      </c>
      <c r="EP89" s="59">
        <f t="shared" si="100"/>
        <v>322.66829503077247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5.9193031061240609</v>
      </c>
      <c r="EX89" s="21">
        <f>EXP(-LN(2)/2)*EX88+(1-EXP(-LN(2)/2))/(LN(2)/2)*ER89*EU89*VLOOKUP('Données projet'!$B$15,Paramètres!$A$1:$I$89,3,0)*0.475*44/12</f>
        <v>1.3181248252907583E-7</v>
      </c>
      <c r="EY89" s="22">
        <f t="shared" si="75"/>
        <v>5.9193032379365436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338.19999999999993</v>
      </c>
      <c r="O90" s="13">
        <f>N90*VLOOKUP('Données projet'!$B$9,Paramètres!$A$1:$I$89,3,0)*VLOOKUP('Données projet'!$B$9,Paramètres!$A$1:$I$89,5,0)</f>
        <v>306.00335999999993</v>
      </c>
      <c r="P90" s="13">
        <f t="shared" si="87"/>
        <v>72.433543369450447</v>
      </c>
      <c r="Q90" s="20">
        <f t="shared" si="54"/>
        <v>659.11094003512596</v>
      </c>
      <c r="R90" s="59">
        <f t="shared" si="55"/>
        <v>952.44427336845933</v>
      </c>
      <c r="S90" s="59">
        <f ca="1">AVERAGE(OFFSET($R$3,0,0,'Données projet'!$E$9+1,1))-AVERAGE(OFFSET($H$3,0,0,'Données projet'!$E$9+1,1))</f>
        <v>319.18811755575183</v>
      </c>
      <c r="T90" s="59">
        <f t="shared" si="88"/>
        <v>234.87694492493506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0.77894597008378463</v>
      </c>
      <c r="AA90" s="21">
        <f>EXP(-LN(2)/25)*AA89+(1-EXP(-LN(2)/25))/(LN(2)/25)*Calculateur!V90*Calculateur!X90*VLOOKUP('Données projet'!$B$9,Paramètres!$A$1:$I$89,3,0)*0.475*44/12</f>
        <v>2.3231069710302803</v>
      </c>
      <c r="AB90" s="21">
        <f>EXP(-LN(2)/2)*AB89+(1-EXP(-LN(2)/2))/(LN(2)/2)*V90*Y90*VLOOKUP('Données projet'!$B$9,Paramètres!$A$1:$I$89,3,0)*0.475*44/12</f>
        <v>5.6775326245159712E-8</v>
      </c>
      <c r="AC90" s="22">
        <f t="shared" si="57"/>
        <v>3.1020529978893912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-1.8089849618263545E-13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314.94704727988847</v>
      </c>
      <c r="AO90" s="59">
        <f t="shared" si="90"/>
        <v>366.49199094166454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1.2663337753427049</v>
      </c>
      <c r="AV90" s="21">
        <f>EXP(-LN(2)/25)*AV89+(1-EXP(-LN(2)/25))/(LN(2)/25)*Calculateur!AQ90*Calculateur!AS90*VLOOKUP('Données projet'!$B$10,Paramètres!$A$1:$I$89,3,0)*0.475*44/12</f>
        <v>5.2312221882164964</v>
      </c>
      <c r="AW90" s="21">
        <f>EXP(-LN(2)/2)*AW89+(1-EXP(-LN(2)/2))/(LN(2)/2)*AQ90*AT90*VLOOKUP('Données projet'!$B$10,Paramètres!$A$1:$I$89,3,0)*0.475*44/12</f>
        <v>7.6046708799640414E-8</v>
      </c>
      <c r="AX90" s="21">
        <f t="shared" si="60"/>
        <v>6.49755603960591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-1.4897523215040565E-13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246.64951465060813</v>
      </c>
      <c r="BJ90" s="59">
        <f t="shared" si="92"/>
        <v>292.64550285216865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0.84609648474618027</v>
      </c>
      <c r="BQ90" s="21">
        <f>EXP(-LN(2)/25)*BQ89+(1-EXP(-LN(2)/25))/(LN(2)/25)*Calculateur!BL90*Calculateur!BN90*VLOOKUP('Données projet'!$B$11,Paramètres!$A$1:$I$89,3,0)*0.475*44/12</f>
        <v>3.4952228161002541</v>
      </c>
      <c r="BR90" s="21">
        <f>EXP(-LN(2)/2)*BR89+(1-EXP(-LN(2)/2))/(LN(2)/2)*BL90*BO90*VLOOKUP('Données projet'!$B$11,Paramètres!$A$1:$I$89,3,0)*0.475*44/12</f>
        <v>6.2626701364409756E-8</v>
      </c>
      <c r="BS90" s="22">
        <f t="shared" si="63"/>
        <v>4.3413193634731355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-2.2737367544323206E-13</v>
      </c>
      <c r="BZ90" s="13">
        <f>BY90*VLOOKUP('Données projet'!$B$12,Paramètres!$A$1:$I$89,3,0)*VLOOKUP('Données projet'!$B$12,Paramètres!$A$1:$I$89,5,0)</f>
        <v>-1.5252226148732008E-13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254.25222107710192</v>
      </c>
      <c r="CE90" s="59">
        <f t="shared" si="94"/>
        <v>300.86609173447573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1.0676931831320842</v>
      </c>
      <c r="CL90" s="21">
        <f>EXP(-LN(2)/25)*CL89+(1-EXP(-LN(2)/25))/(LN(2)/25)*Calculateur!CG90*Calculateur!CI90*VLOOKUP('Données projet'!$B$12,Paramètres!$A$1:$I$89,3,0)*0.475*44/12</f>
        <v>4.4106383155550839</v>
      </c>
      <c r="CM90" s="21">
        <f>EXP(-LN(2)/2)*CM89+(1-EXP(-LN(2)/2))/(LN(2)/2)*CG90*CJ90*VLOOKUP('Données projet'!$B$12,Paramètres!$A$1:$I$89,3,0)*0.475*44/12</f>
        <v>6.4117813301657644E-8</v>
      </c>
      <c r="CN90" s="22">
        <f t="shared" si="66"/>
        <v>5.4783315628049811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243.38048563215585</v>
      </c>
      <c r="CZ90" s="59">
        <f t="shared" si="96"/>
        <v>372.1604147006675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2.3636981161163129</v>
      </c>
      <c r="DG90" s="21">
        <f>EXP(-LN(2)/25)*DG89+(1-EXP(-LN(2)/25))/(LN(2)/25)*Calculateur!DB90*Calculateur!DD90*VLOOKUP('Données projet'!$B$13,Paramètres!$A$1:$I$89,3,0)*0.475*44/12</f>
        <v>3.9866805533535028</v>
      </c>
      <c r="DH90" s="21">
        <f>EXP(-LN(2)/2)*DH89+(1-EXP(-LN(2)/2))/(LN(2)/2)*DB90*DE90*VLOOKUP('Données projet'!$B$13,Paramètres!$A$1:$I$89,3,0)*0.475*44/12</f>
        <v>7.7220768882700796E-8</v>
      </c>
      <c r="DI90" s="22">
        <f t="shared" si="69"/>
        <v>6.3503787466905841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1.1368683772161603E-13</v>
      </c>
      <c r="DP90" s="17">
        <f>DO90*VLOOKUP('Données projet'!$B$14,Paramètres!$A$1:$I$89,3,0)*VLOOKUP('Données projet'!$B$14,Paramètres!$A$1:$I$89,5,0)</f>
        <v>6.5028871176764376E-14</v>
      </c>
      <c r="DQ90" s="13">
        <f t="shared" si="97"/>
        <v>1.0270999702906072E-12</v>
      </c>
      <c r="DR90" s="20">
        <f t="shared" si="70"/>
        <v>1.9021243988890057E-12</v>
      </c>
      <c r="DS90" s="59">
        <f t="shared" si="71"/>
        <v>293.33333333333519</v>
      </c>
      <c r="DT90" s="59">
        <f ca="1">AVERAGE(OFFSET($DS$3,0,0,'Données projet'!$E$14+1,1))-AVERAGE(OFFSET($H$3,0,0,'Données projet'!$E$14+1,1))</f>
        <v>227.99747790451215</v>
      </c>
      <c r="DU90" s="59">
        <f t="shared" si="98"/>
        <v>209.49597700966933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0.92761408626657615</v>
      </c>
      <c r="EB90" s="21">
        <f>EXP(-LN(2)/25)*EB89+(1-EXP(-LN(2)/25))/(LN(2)/25)*Calculateur!DW90*Calculateur!DY90*VLOOKUP('Données projet'!$B$14,Paramètres!$A$1:$I$89,3,0)*0.475*44/12</f>
        <v>3.1247247605762656</v>
      </c>
      <c r="EC90" s="21">
        <f>EXP(-LN(2)/2)*EC89+(1-EXP(-LN(2)/2))/(LN(2)/2)*DW90*DZ90*VLOOKUP('Données projet'!$B$14,Paramètres!$A$1:$I$89,3,0)*0.475*44/12</f>
        <v>6.4966263167246234E-8</v>
      </c>
      <c r="ED90" s="22">
        <f t="shared" si="72"/>
        <v>4.0523389118091053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3.4106051316484809E-13</v>
      </c>
      <c r="EK90" s="17">
        <f>EJ90*VLOOKUP('Données projet'!$B$15,Paramètres!$A$1:$I$89,3,0)*VLOOKUP('Données projet'!$B$15,Paramètres!$A$1:$I$89,5,0)</f>
        <v>1.5074874681886286E-13</v>
      </c>
      <c r="EL90" s="13">
        <f t="shared" si="99"/>
        <v>2.1590218794584103E-12</v>
      </c>
      <c r="EM90" s="20">
        <f t="shared" si="73"/>
        <v>4.0228505074329168E-12</v>
      </c>
      <c r="EN90" s="59">
        <f t="shared" si="74"/>
        <v>293.33333333333735</v>
      </c>
      <c r="EO90" s="59">
        <f ca="1">AVERAGE(OFFSET($EN$3,0,0,'Données projet'!$E$15+1,1))-AVERAGE(OFFSET($H$3,0,0,'Données projet'!$E$15+1,1))</f>
        <v>335.27356627949155</v>
      </c>
      <c r="EP90" s="59">
        <f t="shared" si="100"/>
        <v>322.66829503077247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5.7574394514044771</v>
      </c>
      <c r="EX90" s="21">
        <f>EXP(-LN(2)/2)*EX89+(1-EXP(-LN(2)/2))/(LN(2)/2)*ER90*EU90*VLOOKUP('Données projet'!$B$15,Paramètres!$A$1:$I$89,3,0)*0.475*44/12</f>
        <v>9.3205500241342841E-8</v>
      </c>
      <c r="EY90" s="22">
        <f t="shared" si="75"/>
        <v>5.7574395446099773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344.79999999999995</v>
      </c>
      <c r="O91" s="13">
        <f>N91*VLOOKUP('Données projet'!$B$9,Paramètres!$A$1:$I$89,3,0)*VLOOKUP('Données projet'!$B$9,Paramètres!$A$1:$I$89,5,0)</f>
        <v>311.97503999999992</v>
      </c>
      <c r="P91" s="13">
        <f t="shared" si="87"/>
        <v>73.681144552074599</v>
      </c>
      <c r="Q91" s="20">
        <f t="shared" si="54"/>
        <v>671.68452142819649</v>
      </c>
      <c r="R91" s="59">
        <f t="shared" si="55"/>
        <v>965.01785476152986</v>
      </c>
      <c r="S91" s="59">
        <f ca="1">AVERAGE(OFFSET($R$3,0,0,'Données projet'!$E$9+1,1))-AVERAGE(OFFSET($H$3,0,0,'Données projet'!$E$9+1,1))</f>
        <v>319.18811755575183</v>
      </c>
      <c r="T91" s="59">
        <f t="shared" si="88"/>
        <v>234.87694492493506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0.76367131472057015</v>
      </c>
      <c r="AA91" s="21">
        <f>EXP(-LN(2)/25)*AA90+(1-EXP(-LN(2)/25))/(LN(2)/25)*Calculateur!V91*Calculateur!X91*VLOOKUP('Données projet'!$B$9,Paramètres!$A$1:$I$89,3,0)*0.475*44/12</f>
        <v>2.2595814887405714</v>
      </c>
      <c r="AB91" s="21">
        <f>EXP(-LN(2)/2)*AB90+(1-EXP(-LN(2)/2))/(LN(2)/2)*V91*Y91*VLOOKUP('Données projet'!$B$9,Paramètres!$A$1:$I$89,3,0)*0.475*44/12</f>
        <v>4.0146218192031003E-8</v>
      </c>
      <c r="AC91" s="22">
        <f t="shared" si="57"/>
        <v>3.0232528436073598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-1.8089849618263545E-13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314.94704727988847</v>
      </c>
      <c r="AO91" s="59">
        <f t="shared" si="90"/>
        <v>366.49199094166454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1.2415017423955705</v>
      </c>
      <c r="AV91" s="21">
        <f>EXP(-LN(2)/25)*AV90+(1-EXP(-LN(2)/25))/(LN(2)/25)*Calculateur!AQ91*Calculateur!AS91*VLOOKUP('Données projet'!$B$10,Paramètres!$A$1:$I$89,3,0)*0.475*44/12</f>
        <v>5.088174142381698</v>
      </c>
      <c r="AW91" s="21">
        <f>EXP(-LN(2)/2)*AW90+(1-EXP(-LN(2)/2))/(LN(2)/2)*AQ91*AT91*VLOOKUP('Données projet'!$B$10,Paramètres!$A$1:$I$89,3,0)*0.475*44/12</f>
        <v>5.3773143479144433E-8</v>
      </c>
      <c r="AX91" s="21">
        <f t="shared" si="60"/>
        <v>6.3296759385504116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-1.4897523215040565E-13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246.64951465060813</v>
      </c>
      <c r="BJ91" s="59">
        <f t="shared" si="92"/>
        <v>292.64550285216865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0.82950504874820585</v>
      </c>
      <c r="BQ91" s="21">
        <f>EXP(-LN(2)/25)*BQ90+(1-EXP(-LN(2)/25))/(LN(2)/25)*Calculateur!BL91*Calculateur!BN91*VLOOKUP('Données projet'!$B$11,Paramètres!$A$1:$I$89,3,0)*0.475*44/12</f>
        <v>3.3996457643882132</v>
      </c>
      <c r="BR91" s="21">
        <f>EXP(-LN(2)/2)*BR90+(1-EXP(-LN(2)/2))/(LN(2)/2)*BL91*BO91*VLOOKUP('Données projet'!$B$11,Paramètres!$A$1:$I$89,3,0)*0.475*44/12</f>
        <v>4.4283765218118947E-8</v>
      </c>
      <c r="BS91" s="22">
        <f t="shared" si="63"/>
        <v>4.2291508574201844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-2.2737367544323206E-13</v>
      </c>
      <c r="BZ91" s="13">
        <f>BY91*VLOOKUP('Données projet'!$B$12,Paramètres!$A$1:$I$89,3,0)*VLOOKUP('Données projet'!$B$12,Paramètres!$A$1:$I$89,5,0)</f>
        <v>-1.5252226148732008E-13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254.25222107710192</v>
      </c>
      <c r="CE91" s="59">
        <f t="shared" si="94"/>
        <v>300.86609173447573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1.0467563710394023</v>
      </c>
      <c r="CL91" s="21">
        <f>EXP(-LN(2)/25)*CL90+(1-EXP(-LN(2)/25))/(LN(2)/25)*Calculateur!CG91*Calculateur!CI91*VLOOKUP('Données projet'!$B$12,Paramètres!$A$1:$I$89,3,0)*0.475*44/12</f>
        <v>4.2900291788708413</v>
      </c>
      <c r="CM91" s="21">
        <f>EXP(-LN(2)/2)*CM90+(1-EXP(-LN(2)/2))/(LN(2)/2)*CG91*CJ91*VLOOKUP('Données projet'!$B$12,Paramètres!$A$1:$I$89,3,0)*0.475*44/12</f>
        <v>4.5338140580455139E-8</v>
      </c>
      <c r="CN91" s="22">
        <f t="shared" si="66"/>
        <v>5.3367855952483838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243.38048563215585</v>
      </c>
      <c r="CZ91" s="59">
        <f t="shared" si="96"/>
        <v>372.1604147006675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2.3173474377727654</v>
      </c>
      <c r="DG91" s="21">
        <f>EXP(-LN(2)/25)*DG90+(1-EXP(-LN(2)/25))/(LN(2)/25)*Calculateur!DB91*Calculateur!DD91*VLOOKUP('Données projet'!$B$13,Paramètres!$A$1:$I$89,3,0)*0.475*44/12</f>
        <v>3.8776645639716327</v>
      </c>
      <c r="DH91" s="21">
        <f>EXP(-LN(2)/2)*DH90+(1-EXP(-LN(2)/2))/(LN(2)/2)*DB91*DE91*VLOOKUP('Données projet'!$B$13,Paramètres!$A$1:$I$89,3,0)*0.475*44/12</f>
        <v>5.460332932539687E-8</v>
      </c>
      <c r="DI91" s="22">
        <f t="shared" si="69"/>
        <v>6.1950120563477276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1.1368683772161603E-13</v>
      </c>
      <c r="DP91" s="17">
        <f>DO91*VLOOKUP('Données projet'!$B$14,Paramètres!$A$1:$I$89,3,0)*VLOOKUP('Données projet'!$B$14,Paramètres!$A$1:$I$89,5,0)</f>
        <v>6.5028871176764376E-14</v>
      </c>
      <c r="DQ91" s="13">
        <f t="shared" si="97"/>
        <v>1.0270999702906072E-12</v>
      </c>
      <c r="DR91" s="20">
        <f t="shared" si="70"/>
        <v>1.9021243988890057E-12</v>
      </c>
      <c r="DS91" s="59">
        <f t="shared" si="71"/>
        <v>293.33333333333519</v>
      </c>
      <c r="DT91" s="59">
        <f ca="1">AVERAGE(OFFSET($DS$3,0,0,'Données projet'!$E$14+1,1))-AVERAGE(OFFSET($H$3,0,0,'Données projet'!$E$14+1,1))</f>
        <v>227.99747790451215</v>
      </c>
      <c r="DU91" s="59">
        <f t="shared" si="98"/>
        <v>209.49597700966933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0.90942413982361425</v>
      </c>
      <c r="EB91" s="21">
        <f>EXP(-LN(2)/25)*EB90+(1-EXP(-LN(2)/25))/(LN(2)/25)*Calculateur!DW91*Calculateur!DY91*VLOOKUP('Données projet'!$B$14,Paramètres!$A$1:$I$89,3,0)*0.475*44/12</f>
        <v>3.039278997676174</v>
      </c>
      <c r="EC91" s="21">
        <f>EXP(-LN(2)/2)*EC90+(1-EXP(-LN(2)/2))/(LN(2)/2)*DW91*DZ91*VLOOKUP('Données projet'!$B$14,Paramètres!$A$1:$I$89,3,0)*0.475*44/12</f>
        <v>4.5938085233909645E-8</v>
      </c>
      <c r="ED91" s="22">
        <f t="shared" si="72"/>
        <v>3.9487031834378739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3.4106051316484809E-13</v>
      </c>
      <c r="EK91" s="17">
        <f>EJ91*VLOOKUP('Données projet'!$B$15,Paramètres!$A$1:$I$89,3,0)*VLOOKUP('Données projet'!$B$15,Paramètres!$A$1:$I$89,5,0)</f>
        <v>1.5074874681886286E-13</v>
      </c>
      <c r="EL91" s="13">
        <f t="shared" si="99"/>
        <v>2.1590218794584103E-12</v>
      </c>
      <c r="EM91" s="20">
        <f t="shared" si="73"/>
        <v>4.0228505074329168E-12</v>
      </c>
      <c r="EN91" s="59">
        <f t="shared" si="74"/>
        <v>293.33333333333735</v>
      </c>
      <c r="EO91" s="59">
        <f ca="1">AVERAGE(OFFSET($EN$3,0,0,'Données projet'!$E$15+1,1))-AVERAGE(OFFSET($H$3,0,0,'Données projet'!$E$15+1,1))</f>
        <v>335.27356627949155</v>
      </c>
      <c r="EP91" s="59">
        <f t="shared" si="100"/>
        <v>322.66829503077247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5.6000019668352401</v>
      </c>
      <c r="EX91" s="21">
        <f>EXP(-LN(2)/2)*EX90+(1-EXP(-LN(2)/2))/(LN(2)/2)*ER91*EU91*VLOOKUP('Données projet'!$B$15,Paramètres!$A$1:$I$89,3,0)*0.475*44/12</f>
        <v>6.5906241264537914E-8</v>
      </c>
      <c r="EY91" s="22">
        <f t="shared" si="75"/>
        <v>5.6000020327414815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</v>
      </c>
      <c r="O92" s="13">
        <f>N92*VLOOKUP('Données projet'!$B$9,Paramètres!$A$1:$I$89,3,0)*VLOOKUP('Données projet'!$B$9,Paramètres!$A$1:$I$89,5,0)</f>
        <v>317.94671999999997</v>
      </c>
      <c r="P92" s="13">
        <f t="shared" si="87"/>
        <v>74.925968901822259</v>
      </c>
      <c r="Q92" s="20">
        <f t="shared" si="54"/>
        <v>684.253266504007</v>
      </c>
      <c r="R92" s="59">
        <f t="shared" si="55"/>
        <v>977.58659983734037</v>
      </c>
      <c r="S92" s="59">
        <f ca="1">AVERAGE(OFFSET($R$3,0,0,'Données projet'!$E$9+1,1))-AVERAGE(OFFSET($H$3,0,0,'Données projet'!$E$9+1,1))</f>
        <v>319.18811755575183</v>
      </c>
      <c r="T92" s="59">
        <f t="shared" si="88"/>
        <v>234.87694492493506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0.74869618603240851</v>
      </c>
      <c r="AA92" s="21">
        <f>EXP(-LN(2)/25)*AA91+(1-EXP(-LN(2)/25))/(LN(2)/25)*Calculateur!V92*Calculateur!X92*VLOOKUP('Données projet'!$B$9,Paramètres!$A$1:$I$89,3,0)*0.475*44/12</f>
        <v>2.1977931141047344</v>
      </c>
      <c r="AB92" s="21">
        <f>EXP(-LN(2)/2)*AB91+(1-EXP(-LN(2)/2))/(LN(2)/2)*V92*Y92*VLOOKUP('Données projet'!$B$9,Paramètres!$A$1:$I$89,3,0)*0.475*44/12</f>
        <v>2.8387663122579863E-8</v>
      </c>
      <c r="AC92" s="22">
        <f t="shared" si="57"/>
        <v>2.9464893285248062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-1.8089849618263545E-13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314.94704727988847</v>
      </c>
      <c r="AO92" s="59">
        <f t="shared" si="90"/>
        <v>366.49199094166454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1.217156650468485</v>
      </c>
      <c r="AV92" s="21">
        <f>EXP(-LN(2)/25)*AV91+(1-EXP(-LN(2)/25))/(LN(2)/25)*Calculateur!AQ92*Calculateur!AS92*VLOOKUP('Données projet'!$B$10,Paramètres!$A$1:$I$89,3,0)*0.475*44/12</f>
        <v>4.9490377528828216</v>
      </c>
      <c r="AW92" s="21">
        <f>EXP(-LN(2)/2)*AW91+(1-EXP(-LN(2)/2))/(LN(2)/2)*AQ92*AT92*VLOOKUP('Données projet'!$B$10,Paramètres!$A$1:$I$89,3,0)*0.475*44/12</f>
        <v>3.8023354399820207E-8</v>
      </c>
      <c r="AX92" s="21">
        <f t="shared" si="60"/>
        <v>6.1661944413746612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-1.4897523215040565E-13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246.64951465060813</v>
      </c>
      <c r="BJ92" s="59">
        <f t="shared" si="92"/>
        <v>292.64550285216865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0.81323896069037505</v>
      </c>
      <c r="BQ92" s="21">
        <f>EXP(-LN(2)/25)*BQ91+(1-EXP(-LN(2)/25))/(LN(2)/25)*Calculateur!BL92*Calculateur!BN92*VLOOKUP('Données projet'!$B$11,Paramètres!$A$1:$I$89,3,0)*0.475*44/12</f>
        <v>3.3066822721814169</v>
      </c>
      <c r="BR92" s="21">
        <f>EXP(-LN(2)/2)*BR91+(1-EXP(-LN(2)/2))/(LN(2)/2)*BL92*BO92*VLOOKUP('Données projet'!$B$11,Paramètres!$A$1:$I$89,3,0)*0.475*44/12</f>
        <v>3.1313350682204878E-8</v>
      </c>
      <c r="BS92" s="22">
        <f t="shared" si="63"/>
        <v>4.1199212641851428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-2.2737367544323206E-13</v>
      </c>
      <c r="BZ92" s="13">
        <f>BY92*VLOOKUP('Données projet'!$B$12,Paramètres!$A$1:$I$89,3,0)*VLOOKUP('Données projet'!$B$12,Paramètres!$A$1:$I$89,5,0)</f>
        <v>-1.5252226148732008E-13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254.25222107710192</v>
      </c>
      <c r="CE92" s="59">
        <f t="shared" si="94"/>
        <v>300.86609173447573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1.0262301170616634</v>
      </c>
      <c r="CL92" s="21">
        <f>EXP(-LN(2)/25)*CL91+(1-EXP(-LN(2)/25))/(LN(2)/25)*Calculateur!CG92*Calculateur!CI92*VLOOKUP('Données projet'!$B$12,Paramètres!$A$1:$I$89,3,0)*0.475*44/12</f>
        <v>4.1727181053717883</v>
      </c>
      <c r="CM92" s="21">
        <f>EXP(-LN(2)/2)*CM91+(1-EXP(-LN(2)/2))/(LN(2)/2)*CG92*CJ92*VLOOKUP('Données projet'!$B$12,Paramètres!$A$1:$I$89,3,0)*0.475*44/12</f>
        <v>3.2058906650828822E-8</v>
      </c>
      <c r="CN92" s="22">
        <f t="shared" si="66"/>
        <v>5.1989482544923584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243.38048563215585</v>
      </c>
      <c r="CZ92" s="59">
        <f t="shared" si="96"/>
        <v>372.1604147006675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2.2719056679604126</v>
      </c>
      <c r="DG92" s="21">
        <f>EXP(-LN(2)/25)*DG91+(1-EXP(-LN(2)/25))/(LN(2)/25)*Calculateur!DB92*Calculateur!DD92*VLOOKUP('Données projet'!$B$13,Paramètres!$A$1:$I$89,3,0)*0.475*44/12</f>
        <v>3.7716296225523114</v>
      </c>
      <c r="DH92" s="21">
        <f>EXP(-LN(2)/2)*DH91+(1-EXP(-LN(2)/2))/(LN(2)/2)*DB92*DE92*VLOOKUP('Données projet'!$B$13,Paramètres!$A$1:$I$89,3,0)*0.475*44/12</f>
        <v>3.8610384441350398E-8</v>
      </c>
      <c r="DI92" s="22">
        <f t="shared" si="69"/>
        <v>6.0435353291231078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1.1368683772161603E-13</v>
      </c>
      <c r="DP92" s="17">
        <f>DO92*VLOOKUP('Données projet'!$B$14,Paramètres!$A$1:$I$89,3,0)*VLOOKUP('Données projet'!$B$14,Paramètres!$A$1:$I$89,5,0)</f>
        <v>6.5028871176764376E-14</v>
      </c>
      <c r="DQ92" s="13">
        <f t="shared" si="97"/>
        <v>1.0270999702906072E-12</v>
      </c>
      <c r="DR92" s="20">
        <f t="shared" si="70"/>
        <v>1.9021243988890057E-12</v>
      </c>
      <c r="DS92" s="59">
        <f t="shared" si="71"/>
        <v>293.33333333333519</v>
      </c>
      <c r="DT92" s="59">
        <f ca="1">AVERAGE(OFFSET($DS$3,0,0,'Données projet'!$E$14+1,1))-AVERAGE(OFFSET($H$3,0,0,'Données projet'!$E$14+1,1))</f>
        <v>227.99747790451215</v>
      </c>
      <c r="DU92" s="59">
        <f t="shared" si="98"/>
        <v>209.49597700966933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0.89159088713562695</v>
      </c>
      <c r="EB92" s="21">
        <f>EXP(-LN(2)/25)*EB91+(1-EXP(-LN(2)/25))/(LN(2)/25)*Calculateur!DW92*Calculateur!DY92*VLOOKUP('Données projet'!$B$14,Paramètres!$A$1:$I$89,3,0)*0.475*44/12</f>
        <v>2.956169753655983</v>
      </c>
      <c r="EC92" s="21">
        <f>EXP(-LN(2)/2)*EC91+(1-EXP(-LN(2)/2))/(LN(2)/2)*DW92*DZ92*VLOOKUP('Données projet'!$B$14,Paramètres!$A$1:$I$89,3,0)*0.475*44/12</f>
        <v>3.2483131583623117E-8</v>
      </c>
      <c r="ED92" s="22">
        <f t="shared" si="72"/>
        <v>3.8477606732747418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3.4106051316484809E-13</v>
      </c>
      <c r="EK92" s="17">
        <f>EJ92*VLOOKUP('Données projet'!$B$15,Paramètres!$A$1:$I$89,3,0)*VLOOKUP('Données projet'!$B$15,Paramètres!$A$1:$I$89,5,0)</f>
        <v>1.5074874681886286E-13</v>
      </c>
      <c r="EL92" s="13">
        <f t="shared" si="99"/>
        <v>2.1590218794584103E-12</v>
      </c>
      <c r="EM92" s="20">
        <f t="shared" si="73"/>
        <v>4.0228505074329168E-12</v>
      </c>
      <c r="EN92" s="59">
        <f t="shared" si="74"/>
        <v>293.33333333333735</v>
      </c>
      <c r="EO92" s="59">
        <f ca="1">AVERAGE(OFFSET($EN$3,0,0,'Données projet'!$E$15+1,1))-AVERAGE(OFFSET($H$3,0,0,'Données projet'!$E$15+1,1))</f>
        <v>335.27356627949155</v>
      </c>
      <c r="EP92" s="59">
        <f t="shared" si="100"/>
        <v>322.66829503077247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5.4468696185608261</v>
      </c>
      <c r="EX92" s="21">
        <f>EXP(-LN(2)/2)*EX91+(1-EXP(-LN(2)/2))/(LN(2)/2)*ER92*EU92*VLOOKUP('Données projet'!$B$15,Paramètres!$A$1:$I$89,3,0)*0.475*44/12</f>
        <v>4.6602750120671421E-8</v>
      </c>
      <c r="EY92" s="22">
        <f t="shared" si="75"/>
        <v>5.4468696651635762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</v>
      </c>
      <c r="O93" s="13">
        <f>N93*VLOOKUP('Données projet'!$B$9,Paramètres!$A$1:$I$89,3,0)*VLOOKUP('Données projet'!$B$9,Paramètres!$A$1:$I$89,5,0)</f>
        <v>323.91839999999996</v>
      </c>
      <c r="P93" s="13">
        <f t="shared" si="87"/>
        <v>76.168074587293091</v>
      </c>
      <c r="Q93" s="20">
        <f t="shared" si="54"/>
        <v>696.81727657286876</v>
      </c>
      <c r="R93" s="59">
        <f t="shared" si="55"/>
        <v>990.15060990620213</v>
      </c>
      <c r="S93" s="59">
        <f ca="1">AVERAGE(OFFSET($R$3,0,0,'Données projet'!$E$9+1,1))-AVERAGE(OFFSET($H$3,0,0,'Données projet'!$E$9+1,1))</f>
        <v>319.18811755575183</v>
      </c>
      <c r="T93" s="59">
        <f t="shared" si="88"/>
        <v>234.87694492493506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0.73401471048389511</v>
      </c>
      <c r="AA93" s="21">
        <f>EXP(-LN(2)/25)*AA92+(1-EXP(-LN(2)/25))/(LN(2)/25)*Calculateur!V93*Calculateur!X93*VLOOKUP('Données projet'!$B$9,Paramètres!$A$1:$I$89,3,0)*0.475*44/12</f>
        <v>2.1376943458226236</v>
      </c>
      <c r="AB93" s="21">
        <f>EXP(-LN(2)/2)*AB92+(1-EXP(-LN(2)/2))/(LN(2)/2)*V93*Y93*VLOOKUP('Données projet'!$B$9,Paramètres!$A$1:$I$89,3,0)*0.475*44/12</f>
        <v>2.0073109096015505E-8</v>
      </c>
      <c r="AC93" s="22">
        <f t="shared" si="57"/>
        <v>2.8717090763796276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-1.8089849618263545E-13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314.94704727988847</v>
      </c>
      <c r="AO93" s="59">
        <f t="shared" si="90"/>
        <v>366.49199094166454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1.1932889509450497</v>
      </c>
      <c r="AV93" s="21">
        <f>EXP(-LN(2)/25)*AV92+(1-EXP(-LN(2)/25))/(LN(2)/25)*Calculateur!AQ93*Calculateur!AS93*VLOOKUP('Données projet'!$B$10,Paramètres!$A$1:$I$89,3,0)*0.475*44/12</f>
        <v>4.8137060552716564</v>
      </c>
      <c r="AW93" s="21">
        <f>EXP(-LN(2)/2)*AW92+(1-EXP(-LN(2)/2))/(LN(2)/2)*AQ93*AT93*VLOOKUP('Données projet'!$B$10,Paramètres!$A$1:$I$89,3,0)*0.475*44/12</f>
        <v>2.6886571739572217E-8</v>
      </c>
      <c r="AX93" s="21">
        <f t="shared" si="60"/>
        <v>6.0069950331032782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-1.4897523215040565E-13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246.64951465060813</v>
      </c>
      <c r="BJ93" s="59">
        <f t="shared" si="92"/>
        <v>292.64550285216865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0.79729184069802428</v>
      </c>
      <c r="BQ93" s="21">
        <f>EXP(-LN(2)/25)*BQ92+(1-EXP(-LN(2)/25))/(LN(2)/25)*Calculateur!BL93*Calculateur!BN93*VLOOKUP('Données projet'!$B$11,Paramètres!$A$1:$I$89,3,0)*0.475*44/12</f>
        <v>3.2162608715577528</v>
      </c>
      <c r="BR93" s="21">
        <f>EXP(-LN(2)/2)*BR92+(1-EXP(-LN(2)/2))/(LN(2)/2)*BL93*BO93*VLOOKUP('Données projet'!$B$11,Paramètres!$A$1:$I$89,3,0)*0.475*44/12</f>
        <v>2.2141882609059474E-8</v>
      </c>
      <c r="BS93" s="22">
        <f t="shared" si="63"/>
        <v>4.0135527343976598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-2.2737367544323206E-13</v>
      </c>
      <c r="BZ93" s="13">
        <f>BY93*VLOOKUP('Données projet'!$B$12,Paramètres!$A$1:$I$89,3,0)*VLOOKUP('Données projet'!$B$12,Paramètres!$A$1:$I$89,5,0)</f>
        <v>-1.5252226148732008E-13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254.25222107710192</v>
      </c>
      <c r="CE93" s="59">
        <f t="shared" si="94"/>
        <v>300.86609173447573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1.0061063704046493</v>
      </c>
      <c r="CL93" s="21">
        <f>EXP(-LN(2)/25)*CL92+(1-EXP(-LN(2)/25))/(LN(2)/25)*Calculateur!CG93*Calculateur!CI93*VLOOKUP('Données projet'!$B$12,Paramètres!$A$1:$I$89,3,0)*0.475*44/12</f>
        <v>4.0586149093466881</v>
      </c>
      <c r="CM93" s="21">
        <f>EXP(-LN(2)/2)*CM92+(1-EXP(-LN(2)/2))/(LN(2)/2)*CG93*CJ93*VLOOKUP('Données projet'!$B$12,Paramètres!$A$1:$I$89,3,0)*0.475*44/12</f>
        <v>2.2669070290227569E-8</v>
      </c>
      <c r="CN93" s="22">
        <f t="shared" si="66"/>
        <v>5.0647213024204074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243.38048563215585</v>
      </c>
      <c r="CZ93" s="59">
        <f t="shared" si="96"/>
        <v>372.1604147006675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2.2273549835373374</v>
      </c>
      <c r="DG93" s="21">
        <f>EXP(-LN(2)/25)*DG92+(1-EXP(-LN(2)/25))/(LN(2)/25)*Calculateur!DB93*Calculateur!DD93*VLOOKUP('Données projet'!$B$13,Paramètres!$A$1:$I$89,3,0)*0.475*44/12</f>
        <v>3.6684942121822366</v>
      </c>
      <c r="DH93" s="21">
        <f>EXP(-LN(2)/2)*DH92+(1-EXP(-LN(2)/2))/(LN(2)/2)*DB93*DE93*VLOOKUP('Données projet'!$B$13,Paramètres!$A$1:$I$89,3,0)*0.475*44/12</f>
        <v>2.7301664662698435E-8</v>
      </c>
      <c r="DI93" s="22">
        <f t="shared" si="69"/>
        <v>5.8958492230212389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1.1368683772161603E-13</v>
      </c>
      <c r="DP93" s="17">
        <f>DO93*VLOOKUP('Données projet'!$B$14,Paramètres!$A$1:$I$89,3,0)*VLOOKUP('Données projet'!$B$14,Paramètres!$A$1:$I$89,5,0)</f>
        <v>6.5028871176764376E-14</v>
      </c>
      <c r="DQ93" s="13">
        <f t="shared" si="97"/>
        <v>1.0270999702906072E-12</v>
      </c>
      <c r="DR93" s="20">
        <f t="shared" si="70"/>
        <v>1.9021243988890057E-12</v>
      </c>
      <c r="DS93" s="59">
        <f t="shared" si="71"/>
        <v>293.33333333333519</v>
      </c>
      <c r="DT93" s="59">
        <f ca="1">AVERAGE(OFFSET($DS$3,0,0,'Données projet'!$E$14+1,1))-AVERAGE(OFFSET($H$3,0,0,'Données projet'!$E$14+1,1))</f>
        <v>227.99747790451215</v>
      </c>
      <c r="DU93" s="59">
        <f t="shared" si="98"/>
        <v>209.49597700966933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0.87410733365564097</v>
      </c>
      <c r="EB93" s="21">
        <f>EXP(-LN(2)/25)*EB92+(1-EXP(-LN(2)/25))/(LN(2)/25)*Calculateur!DW93*Calculateur!DY93*VLOOKUP('Données projet'!$B$14,Paramètres!$A$1:$I$89,3,0)*0.475*44/12</f>
        <v>2.8753331362840493</v>
      </c>
      <c r="EC93" s="21">
        <f>EXP(-LN(2)/2)*EC92+(1-EXP(-LN(2)/2))/(LN(2)/2)*DW93*DZ93*VLOOKUP('Données projet'!$B$14,Paramètres!$A$1:$I$89,3,0)*0.475*44/12</f>
        <v>2.2969042616954823E-8</v>
      </c>
      <c r="ED93" s="22">
        <f t="shared" si="72"/>
        <v>3.7494404929087328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3.4106051316484809E-13</v>
      </c>
      <c r="EK93" s="17">
        <f>EJ93*VLOOKUP('Données projet'!$B$15,Paramètres!$A$1:$I$89,3,0)*VLOOKUP('Données projet'!$B$15,Paramètres!$A$1:$I$89,5,0)</f>
        <v>1.5074874681886286E-13</v>
      </c>
      <c r="EL93" s="13">
        <f t="shared" si="99"/>
        <v>2.1590218794584103E-12</v>
      </c>
      <c r="EM93" s="20">
        <f t="shared" si="73"/>
        <v>4.0228505074329168E-12</v>
      </c>
      <c r="EN93" s="59">
        <f t="shared" si="74"/>
        <v>293.33333333333735</v>
      </c>
      <c r="EO93" s="59">
        <f ca="1">AVERAGE(OFFSET($EN$3,0,0,'Données projet'!$E$15+1,1))-AVERAGE(OFFSET($H$3,0,0,'Données projet'!$E$15+1,1))</f>
        <v>335.27356627949155</v>
      </c>
      <c r="EP93" s="59">
        <f t="shared" si="100"/>
        <v>322.66829503077247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5.2979246824028561</v>
      </c>
      <c r="EX93" s="21">
        <f>EXP(-LN(2)/2)*EX92+(1-EXP(-LN(2)/2))/(LN(2)/2)*ER93*EU93*VLOOKUP('Données projet'!$B$15,Paramètres!$A$1:$I$89,3,0)*0.475*44/12</f>
        <v>3.2953120632268957E-8</v>
      </c>
      <c r="EY93" s="22">
        <f t="shared" si="75"/>
        <v>5.2979247153559763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5.9</v>
      </c>
      <c r="N94" s="13">
        <f>IF('Données projet'!$A$36&gt;35,N93+M94-V93,IF(A94&lt;'Données projet'!$A$36,$K$205^A94,IF(A94='Données projet'!$A$36,'Données projet'!$B$36,N93+M94-V93)))</f>
        <v>307.89999999999998</v>
      </c>
      <c r="O94" s="13">
        <f>N94*VLOOKUP('Données projet'!$B$9,Paramètres!$A$1:$I$89,3,0)*VLOOKUP('Données projet'!$B$9,Paramètres!$A$1:$I$89,5,0)</f>
        <v>278.58791999999994</v>
      </c>
      <c r="P94" s="13">
        <f t="shared" si="87"/>
        <v>66.668508032294213</v>
      </c>
      <c r="Q94" s="20">
        <f t="shared" si="54"/>
        <v>601.32161215624558</v>
      </c>
      <c r="R94" s="59">
        <f t="shared" si="55"/>
        <v>894.65494548957895</v>
      </c>
      <c r="S94" s="59">
        <f ca="1">AVERAGE(OFFSET($R$3,0,0,'Données projet'!$E$9+1,1))-AVERAGE(OFFSET($H$3,0,0,'Données projet'!$E$9+1,1))</f>
        <v>319.18811755575183</v>
      </c>
      <c r="T94" s="59">
        <f t="shared" si="88"/>
        <v>234.87694492493506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0.71962112971607217</v>
      </c>
      <c r="AA94" s="21">
        <f>EXP(-LN(2)/25)*AA93+(1-EXP(-LN(2)/25))/(LN(2)/25)*Calculateur!V94*Calculateur!X94*VLOOKUP('Données projet'!$B$9,Paramètres!$A$1:$I$89,3,0)*0.475*44/12</f>
        <v>2.0792389815196439</v>
      </c>
      <c r="AB94" s="21">
        <f>EXP(-LN(2)/2)*AB93+(1-EXP(-LN(2)/2))/(LN(2)/2)*V94*Y94*VLOOKUP('Données projet'!$B$9,Paramètres!$A$1:$I$89,3,0)*0.475*44/12</f>
        <v>1.4193831561289933E-8</v>
      </c>
      <c r="AC94" s="22">
        <f t="shared" si="57"/>
        <v>2.7988601254295475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-1.8089849618263545E-13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314.94704727988847</v>
      </c>
      <c r="AO94" s="59">
        <f t="shared" si="90"/>
        <v>366.49199094166454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1.1698892824514098</v>
      </c>
      <c r="AV94" s="21">
        <f>EXP(-LN(2)/25)*AV93+(1-EXP(-LN(2)/25))/(LN(2)/25)*Calculateur!AQ94*Calculateur!AS94*VLOOKUP('Données projet'!$B$10,Paramètres!$A$1:$I$89,3,0)*0.475*44/12</f>
        <v>4.6820750100484529</v>
      </c>
      <c r="AW94" s="21">
        <f>EXP(-LN(2)/2)*AW93+(1-EXP(-LN(2)/2))/(LN(2)/2)*AQ94*AT94*VLOOKUP('Données projet'!$B$10,Paramètres!$A$1:$I$89,3,0)*0.475*44/12</f>
        <v>1.9011677199910103E-8</v>
      </c>
      <c r="AX94" s="21">
        <f t="shared" si="60"/>
        <v>5.8519643115115407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-1.4897523215040565E-13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246.64951465060813</v>
      </c>
      <c r="BJ94" s="59">
        <f t="shared" si="92"/>
        <v>292.64550285216865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0.78165743400194077</v>
      </c>
      <c r="BQ94" s="21">
        <f>EXP(-LN(2)/25)*BQ93+(1-EXP(-LN(2)/25))/(LN(2)/25)*Calculateur!BL94*Calculateur!BN94*VLOOKUP('Données projet'!$B$11,Paramètres!$A$1:$I$89,3,0)*0.475*44/12</f>
        <v>3.1283120488891978</v>
      </c>
      <c r="BR94" s="21">
        <f>EXP(-LN(2)/2)*BR93+(1-EXP(-LN(2)/2))/(LN(2)/2)*BL94*BO94*VLOOKUP('Données projet'!$B$11,Paramètres!$A$1:$I$89,3,0)*0.475*44/12</f>
        <v>1.5656675341102439E-8</v>
      </c>
      <c r="BS94" s="22">
        <f t="shared" si="63"/>
        <v>3.9099694985478139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-2.2737367544323206E-13</v>
      </c>
      <c r="BZ94" s="13">
        <f>BY94*VLOOKUP('Données projet'!$B$12,Paramètres!$A$1:$I$89,3,0)*VLOOKUP('Données projet'!$B$12,Paramètres!$A$1:$I$89,5,0)</f>
        <v>-1.5252226148732008E-13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254.25222107710192</v>
      </c>
      <c r="CE94" s="59">
        <f t="shared" si="94"/>
        <v>300.86609173447573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0.98637723814530576</v>
      </c>
      <c r="CL94" s="21">
        <f>EXP(-LN(2)/25)*CL93+(1-EXP(-LN(2)/25))/(LN(2)/25)*Calculateur!CG94*Calculateur!CI94*VLOOKUP('Données projet'!$B$12,Paramètres!$A$1:$I$89,3,0)*0.475*44/12</f>
        <v>3.9476318712173208</v>
      </c>
      <c r="CM94" s="21">
        <f>EXP(-LN(2)/2)*CM93+(1-EXP(-LN(2)/2))/(LN(2)/2)*CG94*CJ94*VLOOKUP('Données projet'!$B$12,Paramètres!$A$1:$I$89,3,0)*0.475*44/12</f>
        <v>1.6029453325414411E-8</v>
      </c>
      <c r="CN94" s="22">
        <f t="shared" si="66"/>
        <v>4.9340091253920804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243.38048563215585</v>
      </c>
      <c r="CZ94" s="59">
        <f t="shared" si="96"/>
        <v>372.1604147006675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2.1836779108625644</v>
      </c>
      <c r="DG94" s="21">
        <f>EXP(-LN(2)/25)*DG93+(1-EXP(-LN(2)/25))/(LN(2)/25)*Calculateur!DB94*Calculateur!DD94*VLOOKUP('Données projet'!$B$13,Paramètres!$A$1:$I$89,3,0)*0.475*44/12</f>
        <v>3.5681790450323874</v>
      </c>
      <c r="DH94" s="21">
        <f>EXP(-LN(2)/2)*DH93+(1-EXP(-LN(2)/2))/(LN(2)/2)*DB94*DE94*VLOOKUP('Données projet'!$B$13,Paramètres!$A$1:$I$89,3,0)*0.475*44/12</f>
        <v>1.9305192220675199E-8</v>
      </c>
      <c r="DI94" s="22">
        <f t="shared" si="69"/>
        <v>5.7518569752001438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1.1368683772161603E-13</v>
      </c>
      <c r="DP94" s="17">
        <f>DO94*VLOOKUP('Données projet'!$B$14,Paramètres!$A$1:$I$89,3,0)*VLOOKUP('Données projet'!$B$14,Paramètres!$A$1:$I$89,5,0)</f>
        <v>6.5028871176764376E-14</v>
      </c>
      <c r="DQ94" s="13">
        <f t="shared" si="97"/>
        <v>1.0270999702906072E-12</v>
      </c>
      <c r="DR94" s="20">
        <f t="shared" si="70"/>
        <v>1.9021243988890057E-12</v>
      </c>
      <c r="DS94" s="59">
        <f t="shared" si="71"/>
        <v>293.33333333333519</v>
      </c>
      <c r="DT94" s="59">
        <f ca="1">AVERAGE(OFFSET($DS$3,0,0,'Données projet'!$E$14+1,1))-AVERAGE(OFFSET($H$3,0,0,'Données projet'!$E$14+1,1))</f>
        <v>227.99747790451215</v>
      </c>
      <c r="DU94" s="59">
        <f t="shared" si="98"/>
        <v>209.49597700966933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0.8569666219954829</v>
      </c>
      <c r="EB94" s="21">
        <f>EXP(-LN(2)/25)*EB93+(1-EXP(-LN(2)/25))/(LN(2)/25)*Calculateur!DW94*Calculateur!DY94*VLOOKUP('Données projet'!$B$14,Paramètres!$A$1:$I$89,3,0)*0.475*44/12</f>
        <v>2.796707000465164</v>
      </c>
      <c r="EC94" s="21">
        <f>EXP(-LN(2)/2)*EC93+(1-EXP(-LN(2)/2))/(LN(2)/2)*DW94*DZ94*VLOOKUP('Données projet'!$B$14,Paramètres!$A$1:$I$89,3,0)*0.475*44/12</f>
        <v>1.6241565791811558E-8</v>
      </c>
      <c r="ED94" s="22">
        <f t="shared" si="72"/>
        <v>3.6536736387022128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3.4106051316484809E-13</v>
      </c>
      <c r="EK94" s="17">
        <f>EJ94*VLOOKUP('Données projet'!$B$15,Paramètres!$A$1:$I$89,3,0)*VLOOKUP('Données projet'!$B$15,Paramètres!$A$1:$I$89,5,0)</f>
        <v>1.5074874681886286E-13</v>
      </c>
      <c r="EL94" s="13">
        <f t="shared" si="99"/>
        <v>2.1590218794584103E-12</v>
      </c>
      <c r="EM94" s="20">
        <f t="shared" si="73"/>
        <v>4.0228505074329168E-12</v>
      </c>
      <c r="EN94" s="59">
        <f t="shared" si="74"/>
        <v>293.33333333333735</v>
      </c>
      <c r="EO94" s="59">
        <f ca="1">AVERAGE(OFFSET($EN$3,0,0,'Données projet'!$E$15+1,1))-AVERAGE(OFFSET($H$3,0,0,'Données projet'!$E$15+1,1))</f>
        <v>335.27356627949155</v>
      </c>
      <c r="EP94" s="59">
        <f t="shared" si="100"/>
        <v>322.66829503077247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5.1530526533567995</v>
      </c>
      <c r="EX94" s="21">
        <f>EXP(-LN(2)/2)*EX93+(1-EXP(-LN(2)/2))/(LN(2)/2)*ER94*EU94*VLOOKUP('Données projet'!$B$15,Paramètres!$A$1:$I$89,3,0)*0.475*44/12</f>
        <v>2.330137506033571E-8</v>
      </c>
      <c r="EY94" s="22">
        <f t="shared" si="75"/>
        <v>5.1530526766581746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5.9</v>
      </c>
      <c r="N95" s="13">
        <f>IF('Données projet'!$A$36&gt;35,N94+M95-V94,IF(A95&lt;'Données projet'!$A$36,$K$205^A95,IF(A95='Données projet'!$A$36,'Données projet'!$B$36,N94+M95-V94)))</f>
        <v>313.79999999999995</v>
      </c>
      <c r="O95" s="13">
        <f>N95*VLOOKUP('Données projet'!$B$9,Paramètres!$A$1:$I$89,3,0)*VLOOKUP('Données projet'!$B$9,Paramètres!$A$1:$I$89,5,0)</f>
        <v>283.92623999999995</v>
      </c>
      <c r="P95" s="13">
        <f t="shared" si="87"/>
        <v>67.796062628528304</v>
      </c>
      <c r="Q95" s="20">
        <f t="shared" si="54"/>
        <v>612.58301041135337</v>
      </c>
      <c r="R95" s="59">
        <f t="shared" si="55"/>
        <v>905.91634374468663</v>
      </c>
      <c r="S95" s="59">
        <f ca="1">AVERAGE(OFFSET($R$3,0,0,'Données projet'!$E$9+1,1))-AVERAGE(OFFSET($H$3,0,0,'Données projet'!$E$9+1,1))</f>
        <v>319.18811755575183</v>
      </c>
      <c r="T95" s="59">
        <f t="shared" si="88"/>
        <v>234.87694492493506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0.70550979828788885</v>
      </c>
      <c r="AA95" s="21">
        <f>EXP(-LN(2)/25)*AA94+(1-EXP(-LN(2)/25))/(LN(2)/25)*Calculateur!V95*Calculateur!X95*VLOOKUP('Données projet'!$B$9,Paramètres!$A$1:$I$89,3,0)*0.475*44/12</f>
        <v>2.0223820822275633</v>
      </c>
      <c r="AB95" s="21">
        <f>EXP(-LN(2)/2)*AB94+(1-EXP(-LN(2)/2))/(LN(2)/2)*V95*Y95*VLOOKUP('Données projet'!$B$9,Paramètres!$A$1:$I$89,3,0)*0.475*44/12</f>
        <v>1.0036554548007754E-8</v>
      </c>
      <c r="AC95" s="22">
        <f t="shared" si="57"/>
        <v>2.7278918905520069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-1.8089849618263545E-13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314.94704727988847</v>
      </c>
      <c r="AO95" s="59">
        <f t="shared" si="90"/>
        <v>366.49199094166454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1.1469484671845416</v>
      </c>
      <c r="AV95" s="21">
        <f>EXP(-LN(2)/25)*AV94+(1-EXP(-LN(2)/25))/(LN(2)/25)*Calculateur!AQ95*Calculateur!AS95*VLOOKUP('Données projet'!$B$10,Paramètres!$A$1:$I$89,3,0)*0.475*44/12</f>
        <v>4.5540434226790545</v>
      </c>
      <c r="AW95" s="21">
        <f>EXP(-LN(2)/2)*AW94+(1-EXP(-LN(2)/2))/(LN(2)/2)*AQ95*AT95*VLOOKUP('Données projet'!$B$10,Paramètres!$A$1:$I$89,3,0)*0.475*44/12</f>
        <v>1.3443285869786108E-8</v>
      </c>
      <c r="AX95" s="21">
        <f t="shared" si="60"/>
        <v>5.7009919033068819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-1.4897523215040565E-13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246.64951465060813</v>
      </c>
      <c r="BJ95" s="59">
        <f t="shared" si="92"/>
        <v>292.64550285216865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0.76632960848512088</v>
      </c>
      <c r="BQ95" s="21">
        <f>EXP(-LN(2)/25)*BQ94+(1-EXP(-LN(2)/25))/(LN(2)/25)*Calculateur!BL95*Calculateur!BN95*VLOOKUP('Données projet'!$B$11,Paramètres!$A$1:$I$89,3,0)*0.475*44/12</f>
        <v>3.0427681914015419</v>
      </c>
      <c r="BR95" s="21">
        <f>EXP(-LN(2)/2)*BR94+(1-EXP(-LN(2)/2))/(LN(2)/2)*BL95*BO95*VLOOKUP('Données projet'!$B$11,Paramètres!$A$1:$I$89,3,0)*0.475*44/12</f>
        <v>1.1070941304529737E-8</v>
      </c>
      <c r="BS95" s="22">
        <f t="shared" si="63"/>
        <v>3.8090978109576041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-2.2737367544323206E-13</v>
      </c>
      <c r="BZ95" s="13">
        <f>BY95*VLOOKUP('Données projet'!$B$12,Paramètres!$A$1:$I$89,3,0)*VLOOKUP('Données projet'!$B$12,Paramètres!$A$1:$I$89,5,0)</f>
        <v>-1.5252226148732008E-13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254.25222107710192</v>
      </c>
      <c r="CE95" s="59">
        <f t="shared" si="94"/>
        <v>300.86609173447573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0.96703498213598549</v>
      </c>
      <c r="CL95" s="21">
        <f>EXP(-LN(2)/25)*CL94+(1-EXP(-LN(2)/25))/(LN(2)/25)*Calculateur!CG95*Calculateur!CI95*VLOOKUP('Données projet'!$B$12,Paramètres!$A$1:$I$89,3,0)*0.475*44/12</f>
        <v>3.8396836701019454</v>
      </c>
      <c r="CM95" s="21">
        <f>EXP(-LN(2)/2)*CM94+(1-EXP(-LN(2)/2))/(LN(2)/2)*CG95*CJ95*VLOOKUP('Données projet'!$B$12,Paramètres!$A$1:$I$89,3,0)*0.475*44/12</f>
        <v>1.1334535145113785E-8</v>
      </c>
      <c r="CN95" s="22">
        <f t="shared" si="66"/>
        <v>4.8067186635724664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243.38048563215585</v>
      </c>
      <c r="CZ95" s="59">
        <f t="shared" si="96"/>
        <v>372.1604147006675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2.1408573189425595</v>
      </c>
      <c r="DG95" s="21">
        <f>EXP(-LN(2)/25)*DG94+(1-EXP(-LN(2)/25))/(LN(2)/25)*Calculateur!DB95*Calculateur!DD95*VLOOKUP('Données projet'!$B$13,Paramètres!$A$1:$I$89,3,0)*0.475*44/12</f>
        <v>3.4706070014035961</v>
      </c>
      <c r="DH95" s="21">
        <f>EXP(-LN(2)/2)*DH94+(1-EXP(-LN(2)/2))/(LN(2)/2)*DB95*DE95*VLOOKUP('Données projet'!$B$13,Paramètres!$A$1:$I$89,3,0)*0.475*44/12</f>
        <v>1.3650832331349218E-8</v>
      </c>
      <c r="DI95" s="22">
        <f t="shared" si="69"/>
        <v>5.6114643339969881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1.1368683772161603E-13</v>
      </c>
      <c r="DP95" s="17">
        <f>DO95*VLOOKUP('Données projet'!$B$14,Paramètres!$A$1:$I$89,3,0)*VLOOKUP('Données projet'!$B$14,Paramètres!$A$1:$I$89,5,0)</f>
        <v>6.5028871176764376E-14</v>
      </c>
      <c r="DQ95" s="13">
        <f t="shared" si="97"/>
        <v>1.0270999702906072E-12</v>
      </c>
      <c r="DR95" s="20">
        <f t="shared" si="70"/>
        <v>1.9021243988890057E-12</v>
      </c>
      <c r="DS95" s="59">
        <f t="shared" si="71"/>
        <v>293.33333333333519</v>
      </c>
      <c r="DT95" s="59">
        <f ca="1">AVERAGE(OFFSET($DS$3,0,0,'Données projet'!$E$14+1,1))-AVERAGE(OFFSET($H$3,0,0,'Données projet'!$E$14+1,1))</f>
        <v>227.99747790451215</v>
      </c>
      <c r="DU95" s="59">
        <f t="shared" si="98"/>
        <v>209.49597700966933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0.84016202923617878</v>
      </c>
      <c r="EB95" s="21">
        <f>EXP(-LN(2)/25)*EB94+(1-EXP(-LN(2)/25))/(LN(2)/25)*Calculateur!DW95*Calculateur!DY95*VLOOKUP('Données projet'!$B$14,Paramètres!$A$1:$I$89,3,0)*0.475*44/12</f>
        <v>2.7202309004650149</v>
      </c>
      <c r="EC95" s="21">
        <f>EXP(-LN(2)/2)*EC94+(1-EXP(-LN(2)/2))/(LN(2)/2)*DW95*DZ95*VLOOKUP('Données projet'!$B$14,Paramètres!$A$1:$I$89,3,0)*0.475*44/12</f>
        <v>1.1484521308477411E-8</v>
      </c>
      <c r="ED95" s="22">
        <f t="shared" si="72"/>
        <v>3.5603929411857149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3.4106051316484809E-13</v>
      </c>
      <c r="EK95" s="17">
        <f>EJ95*VLOOKUP('Données projet'!$B$15,Paramètres!$A$1:$I$89,3,0)*VLOOKUP('Données projet'!$B$15,Paramètres!$A$1:$I$89,5,0)</f>
        <v>1.5074874681886286E-13</v>
      </c>
      <c r="EL95" s="13">
        <f t="shared" si="99"/>
        <v>2.1590218794584103E-12</v>
      </c>
      <c r="EM95" s="20">
        <f t="shared" si="73"/>
        <v>4.0228505074329168E-12</v>
      </c>
      <c r="EN95" s="59">
        <f t="shared" si="74"/>
        <v>293.33333333333735</v>
      </c>
      <c r="EO95" s="59">
        <f ca="1">AVERAGE(OFFSET($EN$3,0,0,'Données projet'!$E$15+1,1))-AVERAGE(OFFSET($H$3,0,0,'Données projet'!$E$15+1,1))</f>
        <v>335.27356627949155</v>
      </c>
      <c r="EP95" s="59">
        <f t="shared" si="100"/>
        <v>322.66829503077247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5.0121421575634963</v>
      </c>
      <c r="EX95" s="21">
        <f>EXP(-LN(2)/2)*EX94+(1-EXP(-LN(2)/2))/(LN(2)/2)*ER95*EU95*VLOOKUP('Données projet'!$B$15,Paramètres!$A$1:$I$89,3,0)*0.475*44/12</f>
        <v>1.6476560316134478E-8</v>
      </c>
      <c r="EY95" s="22">
        <f t="shared" si="75"/>
        <v>5.0121421740400569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5.9</v>
      </c>
      <c r="N96" s="13">
        <f>IF('Données projet'!$A$36&gt;35,N95+M96-V95,IF(A96&lt;'Données projet'!$A$36,$K$205^A96,IF(A96='Données projet'!$A$36,'Données projet'!$B$36,N95+M96-V95)))</f>
        <v>319.69999999999993</v>
      </c>
      <c r="O96" s="13">
        <f>N96*VLOOKUP('Données projet'!$B$9,Paramètres!$A$1:$I$89,3,0)*VLOOKUP('Données projet'!$B$9,Paramètres!$A$1:$I$89,5,0)</f>
        <v>289.26455999999996</v>
      </c>
      <c r="P96" s="13">
        <f t="shared" si="87"/>
        <v>68.921152085057912</v>
      </c>
      <c r="Q96" s="20">
        <f t="shared" si="54"/>
        <v>623.84011521480909</v>
      </c>
      <c r="R96" s="59">
        <f t="shared" si="55"/>
        <v>917.17344854814246</v>
      </c>
      <c r="S96" s="59">
        <f ca="1">AVERAGE(OFFSET($R$3,0,0,'Données projet'!$E$9+1,1))-AVERAGE(OFFSET($H$3,0,0,'Données projet'!$E$9+1,1))</f>
        <v>319.18811755575183</v>
      </c>
      <c r="T96" s="59">
        <f t="shared" si="88"/>
        <v>234.87694492493506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0.69167518146194984</v>
      </c>
      <c r="AA96" s="21">
        <f>EXP(-LN(2)/25)*AA95+(1-EXP(-LN(2)/25))/(LN(2)/25)*Calculateur!V96*Calculateur!X96*VLOOKUP('Données projet'!$B$9,Paramètres!$A$1:$I$89,3,0)*0.475*44/12</f>
        <v>1.9670799378365991</v>
      </c>
      <c r="AB96" s="21">
        <f>EXP(-LN(2)/2)*AB95+(1-EXP(-LN(2)/2))/(LN(2)/2)*V96*Y96*VLOOKUP('Données projet'!$B$9,Paramètres!$A$1:$I$89,3,0)*0.475*44/12</f>
        <v>7.0969157806449674E-9</v>
      </c>
      <c r="AC96" s="22">
        <f t="shared" si="57"/>
        <v>2.658755126395465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-1.8089849618263545E-13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314.94704727988847</v>
      </c>
      <c r="AO96" s="59">
        <f t="shared" si="90"/>
        <v>366.49199094166454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1.1244575073125409</v>
      </c>
      <c r="AV96" s="21">
        <f>EXP(-LN(2)/25)*AV95+(1-EXP(-LN(2)/25))/(LN(2)/25)*Calculateur!AQ96*Calculateur!AS96*VLOOKUP('Données projet'!$B$10,Paramètres!$A$1:$I$89,3,0)*0.475*44/12</f>
        <v>4.4295128657991603</v>
      </c>
      <c r="AW96" s="21">
        <f>EXP(-LN(2)/2)*AW95+(1-EXP(-LN(2)/2))/(LN(2)/2)*AQ96*AT96*VLOOKUP('Données projet'!$B$10,Paramètres!$A$1:$I$89,3,0)*0.475*44/12</f>
        <v>9.5058385999550517E-9</v>
      </c>
      <c r="AX96" s="21">
        <f t="shared" si="60"/>
        <v>5.5539703826175399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-1.4897523215040565E-13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246.64951465060813</v>
      </c>
      <c r="BJ96" s="59">
        <f t="shared" si="92"/>
        <v>292.64550285216865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0.75130235227763542</v>
      </c>
      <c r="BQ96" s="21">
        <f>EXP(-LN(2)/25)*BQ95+(1-EXP(-LN(2)/25))/(LN(2)/25)*Calculateur!BL96*Calculateur!BN96*VLOOKUP('Données projet'!$B$11,Paramètres!$A$1:$I$89,3,0)*0.475*44/12</f>
        <v>2.9595635351954419</v>
      </c>
      <c r="BR96" s="21">
        <f>EXP(-LN(2)/2)*BR95+(1-EXP(-LN(2)/2))/(LN(2)/2)*BL96*BO96*VLOOKUP('Données projet'!$B$11,Paramètres!$A$1:$I$89,3,0)*0.475*44/12</f>
        <v>7.8283376705512196E-9</v>
      </c>
      <c r="BS96" s="22">
        <f t="shared" si="63"/>
        <v>3.7108658953014149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-2.2737367544323206E-13</v>
      </c>
      <c r="BZ96" s="13">
        <f>BY96*VLOOKUP('Données projet'!$B$12,Paramètres!$A$1:$I$89,3,0)*VLOOKUP('Données projet'!$B$12,Paramètres!$A$1:$I$89,5,0)</f>
        <v>-1.5252226148732008E-13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254.25222107710192</v>
      </c>
      <c r="CE96" s="59">
        <f t="shared" si="94"/>
        <v>300.86609173447573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0.94807201596939672</v>
      </c>
      <c r="CL96" s="21">
        <f>EXP(-LN(2)/25)*CL95+(1-EXP(-LN(2)/25))/(LN(2)/25)*Calculateur!CG96*Calculateur!CI96*VLOOKUP('Données projet'!$B$12,Paramètres!$A$1:$I$89,3,0)*0.475*44/12</f>
        <v>3.7346873182228193</v>
      </c>
      <c r="CM96" s="21">
        <f>EXP(-LN(2)/2)*CM95+(1-EXP(-LN(2)/2))/(LN(2)/2)*CG96*CJ96*VLOOKUP('Données projet'!$B$12,Paramètres!$A$1:$I$89,3,0)*0.475*44/12</f>
        <v>8.0147266627072055E-9</v>
      </c>
      <c r="CN96" s="22">
        <f t="shared" si="66"/>
        <v>4.6827593422069427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243.38048563215585</v>
      </c>
      <c r="CZ96" s="59">
        <f t="shared" si="96"/>
        <v>372.1604147006675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2.0988764127121242</v>
      </c>
      <c r="DG96" s="21">
        <f>EXP(-LN(2)/25)*DG95+(1-EXP(-LN(2)/25))/(LN(2)/25)*Calculateur!DB96*Calculateur!DD96*VLOOKUP('Données projet'!$B$13,Paramètres!$A$1:$I$89,3,0)*0.475*44/12</f>
        <v>3.3757030704389246</v>
      </c>
      <c r="DH96" s="21">
        <f>EXP(-LN(2)/2)*DH95+(1-EXP(-LN(2)/2))/(LN(2)/2)*DB96*DE96*VLOOKUP('Données projet'!$B$13,Paramètres!$A$1:$I$89,3,0)*0.475*44/12</f>
        <v>9.6525961103375995E-9</v>
      </c>
      <c r="DI96" s="22">
        <f t="shared" si="69"/>
        <v>5.4745794928036444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1.1368683772161603E-13</v>
      </c>
      <c r="DP96" s="17">
        <f>DO96*VLOOKUP('Données projet'!$B$14,Paramètres!$A$1:$I$89,3,0)*VLOOKUP('Données projet'!$B$14,Paramètres!$A$1:$I$89,5,0)</f>
        <v>6.5028871176764376E-14</v>
      </c>
      <c r="DQ96" s="13">
        <f t="shared" si="97"/>
        <v>1.0270999702906072E-12</v>
      </c>
      <c r="DR96" s="20">
        <f t="shared" si="70"/>
        <v>1.9021243988890057E-12</v>
      </c>
      <c r="DS96" s="59">
        <f t="shared" si="71"/>
        <v>293.33333333333519</v>
      </c>
      <c r="DT96" s="59">
        <f ca="1">AVERAGE(OFFSET($DS$3,0,0,'Données projet'!$E$14+1,1))-AVERAGE(OFFSET($H$3,0,0,'Données projet'!$E$14+1,1))</f>
        <v>227.99747790451215</v>
      </c>
      <c r="DU96" s="59">
        <f t="shared" si="98"/>
        <v>209.49597700966933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0.82368696429109511</v>
      </c>
      <c r="EB96" s="21">
        <f>EXP(-LN(2)/25)*EB95+(1-EXP(-LN(2)/25))/(LN(2)/25)*Calculateur!DW96*Calculateur!DY96*VLOOKUP('Données projet'!$B$14,Paramètres!$A$1:$I$89,3,0)*0.475*44/12</f>
        <v>2.6458460434410731</v>
      </c>
      <c r="EC96" s="21">
        <f>EXP(-LN(2)/2)*EC95+(1-EXP(-LN(2)/2))/(LN(2)/2)*DW96*DZ96*VLOOKUP('Données projet'!$B$14,Paramètres!$A$1:$I$89,3,0)*0.475*44/12</f>
        <v>8.1207828959057792E-9</v>
      </c>
      <c r="ED96" s="22">
        <f t="shared" si="72"/>
        <v>3.4695330158529507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3.4106051316484809E-13</v>
      </c>
      <c r="EK96" s="17">
        <f>EJ96*VLOOKUP('Données projet'!$B$15,Paramètres!$A$1:$I$89,3,0)*VLOOKUP('Données projet'!$B$15,Paramètres!$A$1:$I$89,5,0)</f>
        <v>1.5074874681886286E-13</v>
      </c>
      <c r="EL96" s="13">
        <f t="shared" si="99"/>
        <v>2.1590218794584103E-12</v>
      </c>
      <c r="EM96" s="20">
        <f t="shared" si="73"/>
        <v>4.0228505074329168E-12</v>
      </c>
      <c r="EN96" s="59">
        <f t="shared" si="74"/>
        <v>293.33333333333735</v>
      </c>
      <c r="EO96" s="59">
        <f ca="1">AVERAGE(OFFSET($EN$3,0,0,'Données projet'!$E$15+1,1))-AVERAGE(OFFSET($H$3,0,0,'Données projet'!$E$15+1,1))</f>
        <v>335.27356627949155</v>
      </c>
      <c r="EP96" s="59">
        <f t="shared" si="100"/>
        <v>322.66829503077247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4.8750848666878221</v>
      </c>
      <c r="EX96" s="21">
        <f>EXP(-LN(2)/2)*EX95+(1-EXP(-LN(2)/2))/(LN(2)/2)*ER96*EU96*VLOOKUP('Données projet'!$B$15,Paramètres!$A$1:$I$89,3,0)*0.475*44/12</f>
        <v>1.1650687530167855E-8</v>
      </c>
      <c r="EY96" s="22">
        <f t="shared" si="75"/>
        <v>4.8750848783385097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5.9</v>
      </c>
      <c r="N97" s="13">
        <f>IF('Données projet'!$A$36&gt;35,N96+M97-V96,IF(A97&lt;'Données projet'!$A$36,$K$205^A97,IF(A97='Données projet'!$A$36,'Données projet'!$B$36,N96+M97-V96)))</f>
        <v>325.59999999999991</v>
      </c>
      <c r="O97" s="13">
        <f>N97*VLOOKUP('Données projet'!$B$9,Paramètres!$A$1:$I$89,3,0)*VLOOKUP('Données projet'!$B$9,Paramètres!$A$1:$I$89,5,0)</f>
        <v>294.60287999999991</v>
      </c>
      <c r="P97" s="13">
        <f t="shared" si="87"/>
        <v>70.043827142305673</v>
      </c>
      <c r="Q97" s="20">
        <f t="shared" si="54"/>
        <v>635.09301493951546</v>
      </c>
      <c r="R97" s="59">
        <f t="shared" si="55"/>
        <v>928.42634827284883</v>
      </c>
      <c r="S97" s="59">
        <f ca="1">AVERAGE(OFFSET($R$3,0,0,'Données projet'!$E$9+1,1))-AVERAGE(OFFSET($H$3,0,0,'Données projet'!$E$9+1,1))</f>
        <v>319.18811755575183</v>
      </c>
      <c r="T97" s="59">
        <f t="shared" si="88"/>
        <v>234.87694492493506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0.67811185303368449</v>
      </c>
      <c r="AA97" s="21">
        <f>EXP(-LN(2)/25)*AA96+(1-EXP(-LN(2)/25))/(LN(2)/25)*Calculateur!V97*Calculateur!X97*VLOOKUP('Données projet'!$B$9,Paramètres!$A$1:$I$89,3,0)*0.475*44/12</f>
        <v>1.9132900334922192</v>
      </c>
      <c r="AB97" s="21">
        <f>EXP(-LN(2)/2)*AB96+(1-EXP(-LN(2)/2))/(LN(2)/2)*V97*Y97*VLOOKUP('Données projet'!$B$9,Paramètres!$A$1:$I$89,3,0)*0.475*44/12</f>
        <v>5.018277274003877E-9</v>
      </c>
      <c r="AC97" s="22">
        <f t="shared" si="57"/>
        <v>2.591401891544181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-1.8089849618263545E-13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314.94704727988847</v>
      </c>
      <c r="AO97" s="59">
        <f t="shared" si="90"/>
        <v>366.49199094166454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1.1024075814454992</v>
      </c>
      <c r="AV97" s="21">
        <f>EXP(-LN(2)/25)*AV96+(1-EXP(-LN(2)/25))/(LN(2)/25)*Calculateur!AQ97*Calculateur!AS97*VLOOKUP('Données projet'!$B$10,Paramètres!$A$1:$I$89,3,0)*0.475*44/12</f>
        <v>4.3083876035459241</v>
      </c>
      <c r="AW97" s="21">
        <f>EXP(-LN(2)/2)*AW96+(1-EXP(-LN(2)/2))/(LN(2)/2)*AQ97*AT97*VLOOKUP('Données projet'!$B$10,Paramètres!$A$1:$I$89,3,0)*0.475*44/12</f>
        <v>6.7216429348930541E-9</v>
      </c>
      <c r="AX97" s="21">
        <f t="shared" si="60"/>
        <v>5.4107951917130661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-1.4897523215040565E-13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246.64951465060813</v>
      </c>
      <c r="BJ97" s="59">
        <f t="shared" si="92"/>
        <v>292.64550285216865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0.73656977139865754</v>
      </c>
      <c r="BQ97" s="21">
        <f>EXP(-LN(2)/25)*BQ96+(1-EXP(-LN(2)/25))/(LN(2)/25)*Calculateur!BL97*Calculateur!BN97*VLOOKUP('Données projet'!$B$11,Paramètres!$A$1:$I$89,3,0)*0.475*44/12</f>
        <v>2.8786341146888406</v>
      </c>
      <c r="BR97" s="21">
        <f>EXP(-LN(2)/2)*BR96+(1-EXP(-LN(2)/2))/(LN(2)/2)*BL97*BO97*VLOOKUP('Données projet'!$B$11,Paramètres!$A$1:$I$89,3,0)*0.475*44/12</f>
        <v>5.5354706522648684E-9</v>
      </c>
      <c r="BS97" s="22">
        <f t="shared" si="63"/>
        <v>3.615203891622969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-2.2737367544323206E-13</v>
      </c>
      <c r="BZ97" s="13">
        <f>BY97*VLOOKUP('Données projet'!$B$12,Paramètres!$A$1:$I$89,3,0)*VLOOKUP('Données projet'!$B$12,Paramètres!$A$1:$I$89,5,0)</f>
        <v>-1.5252226148732008E-13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254.25222107710192</v>
      </c>
      <c r="CE97" s="59">
        <f t="shared" si="94"/>
        <v>300.86609173447573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0.92948090200306743</v>
      </c>
      <c r="CL97" s="21">
        <f>EXP(-LN(2)/25)*CL96+(1-EXP(-LN(2)/25))/(LN(2)/25)*Calculateur!CG97*Calculateur!CI97*VLOOKUP('Données projet'!$B$12,Paramètres!$A$1:$I$89,3,0)*0.475*44/12</f>
        <v>3.6325620971073458</v>
      </c>
      <c r="CM97" s="21">
        <f>EXP(-LN(2)/2)*CM96+(1-EXP(-LN(2)/2))/(LN(2)/2)*CG97*CJ97*VLOOKUP('Données projet'!$B$12,Paramètres!$A$1:$I$89,3,0)*0.475*44/12</f>
        <v>5.6672675725568924E-9</v>
      </c>
      <c r="CN97" s="22">
        <f t="shared" si="66"/>
        <v>4.5620430047776805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243.38048563215585</v>
      </c>
      <c r="CZ97" s="59">
        <f t="shared" si="96"/>
        <v>372.1604147006675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2.0577187264470433</v>
      </c>
      <c r="DG97" s="21">
        <f>EXP(-LN(2)/25)*DG96+(1-EXP(-LN(2)/25))/(LN(2)/25)*Calculateur!DB97*Calculateur!DD97*VLOOKUP('Données projet'!$B$13,Paramètres!$A$1:$I$89,3,0)*0.475*44/12</f>
        <v>3.2833942924572632</v>
      </c>
      <c r="DH97" s="21">
        <f>EXP(-LN(2)/2)*DH96+(1-EXP(-LN(2)/2))/(LN(2)/2)*DB97*DE97*VLOOKUP('Données projet'!$B$13,Paramètres!$A$1:$I$89,3,0)*0.475*44/12</f>
        <v>6.8254161656746088E-9</v>
      </c>
      <c r="DI97" s="22">
        <f t="shared" si="69"/>
        <v>5.3411130257297224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1.1368683772161603E-13</v>
      </c>
      <c r="DP97" s="17">
        <f>DO97*VLOOKUP('Données projet'!$B$14,Paramètres!$A$1:$I$89,3,0)*VLOOKUP('Données projet'!$B$14,Paramètres!$A$1:$I$89,5,0)</f>
        <v>6.5028871176764376E-14</v>
      </c>
      <c r="DQ97" s="13">
        <f t="shared" si="97"/>
        <v>1.0270999702906072E-12</v>
      </c>
      <c r="DR97" s="20">
        <f t="shared" si="70"/>
        <v>1.9021243988890057E-12</v>
      </c>
      <c r="DS97" s="59">
        <f t="shared" si="71"/>
        <v>293.33333333333519</v>
      </c>
      <c r="DT97" s="59">
        <f ca="1">AVERAGE(OFFSET($DS$3,0,0,'Données projet'!$E$14+1,1))-AVERAGE(OFFSET($H$3,0,0,'Données projet'!$E$14+1,1))</f>
        <v>227.99747790451215</v>
      </c>
      <c r="DU97" s="59">
        <f t="shared" si="98"/>
        <v>209.49597700966933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0.80753496532078717</v>
      </c>
      <c r="EB97" s="21">
        <f>EXP(-LN(2)/25)*EB96+(1-EXP(-LN(2)/25))/(LN(2)/25)*Calculateur!DW97*Calculateur!DY97*VLOOKUP('Données projet'!$B$14,Paramètres!$A$1:$I$89,3,0)*0.475*44/12</f>
        <v>2.5734952442441807</v>
      </c>
      <c r="EC97" s="21">
        <f>EXP(-LN(2)/2)*EC96+(1-EXP(-LN(2)/2))/(LN(2)/2)*DW97*DZ97*VLOOKUP('Données projet'!$B$14,Paramètres!$A$1:$I$89,3,0)*0.475*44/12</f>
        <v>5.7422606542387057E-9</v>
      </c>
      <c r="ED97" s="22">
        <f t="shared" si="72"/>
        <v>3.3810302153072285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3.4106051316484809E-13</v>
      </c>
      <c r="EK97" s="17">
        <f>EJ97*VLOOKUP('Données projet'!$B$15,Paramètres!$A$1:$I$89,3,0)*VLOOKUP('Données projet'!$B$15,Paramètres!$A$1:$I$89,5,0)</f>
        <v>1.5074874681886286E-13</v>
      </c>
      <c r="EL97" s="13">
        <f t="shared" si="99"/>
        <v>2.1590218794584103E-12</v>
      </c>
      <c r="EM97" s="20">
        <f t="shared" si="73"/>
        <v>4.0228505074329168E-12</v>
      </c>
      <c r="EN97" s="59">
        <f t="shared" si="74"/>
        <v>293.33333333333735</v>
      </c>
      <c r="EO97" s="59">
        <f ca="1">AVERAGE(OFFSET($EN$3,0,0,'Données projet'!$E$15+1,1))-AVERAGE(OFFSET($H$3,0,0,'Données projet'!$E$15+1,1))</f>
        <v>335.27356627949155</v>
      </c>
      <c r="EP97" s="59">
        <f t="shared" si="100"/>
        <v>322.66829503077247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4.7417754146386724</v>
      </c>
      <c r="EX97" s="21">
        <f>EXP(-LN(2)/2)*EX96+(1-EXP(-LN(2)/2))/(LN(2)/2)*ER97*EU97*VLOOKUP('Données projet'!$B$15,Paramètres!$A$1:$I$89,3,0)*0.475*44/12</f>
        <v>8.2382801580672392E-9</v>
      </c>
      <c r="EY97" s="22">
        <f t="shared" si="75"/>
        <v>4.7417754228769526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5.9</v>
      </c>
      <c r="N98" s="13">
        <f>IF('Données projet'!$A$36&gt;35,N97+M98-V97,IF(A98&lt;'Données projet'!$A$36,$K$205^A98,IF(A98='Données projet'!$A$36,'Données projet'!$B$36,N97+M98-V97)))</f>
        <v>331.49999999999989</v>
      </c>
      <c r="O98" s="13">
        <f>N98*VLOOKUP('Données projet'!$B$9,Paramètres!$A$1:$I$89,3,0)*VLOOKUP('Données projet'!$B$9,Paramètres!$A$1:$I$89,5,0)</f>
        <v>299.94119999999987</v>
      </c>
      <c r="P98" s="13">
        <f t="shared" si="87"/>
        <v>71.164136596531506</v>
      </c>
      <c r="Q98" s="20">
        <f t="shared" si="54"/>
        <v>646.3417945722922</v>
      </c>
      <c r="R98" s="59">
        <f t="shared" si="55"/>
        <v>939.67512790562546</v>
      </c>
      <c r="S98" s="59">
        <f ca="1">AVERAGE(OFFSET($R$3,0,0,'Données projet'!$E$9+1,1))-AVERAGE(OFFSET($H$3,0,0,'Données projet'!$E$9+1,1))</f>
        <v>319.18811755575183</v>
      </c>
      <c r="T98" s="59">
        <f t="shared" si="88"/>
        <v>234.87694492493506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0.66481449320308394</v>
      </c>
      <c r="AA98" s="21">
        <f>EXP(-LN(2)/25)*AA97+(1-EXP(-LN(2)/25))/(LN(2)/25)*Calculateur!V98*Calculateur!X98*VLOOKUP('Données projet'!$B$9,Paramètres!$A$1:$I$89,3,0)*0.475*44/12</f>
        <v>1.8609710169108244</v>
      </c>
      <c r="AB98" s="21">
        <f>EXP(-LN(2)/2)*AB97+(1-EXP(-LN(2)/2))/(LN(2)/2)*V98*Y98*VLOOKUP('Données projet'!$B$9,Paramètres!$A$1:$I$89,3,0)*0.475*44/12</f>
        <v>3.5484578903224837E-9</v>
      </c>
      <c r="AC98" s="22">
        <f t="shared" si="57"/>
        <v>2.5257855136623664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-1.8089849618263545E-13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314.94704727988847</v>
      </c>
      <c r="AO98" s="59">
        <f t="shared" si="90"/>
        <v>366.49199094166454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1.0807900411755835</v>
      </c>
      <c r="AV98" s="21">
        <f>EXP(-LN(2)/25)*AV97+(1-EXP(-LN(2)/25))/(LN(2)/25)*Calculateur!AQ98*Calculateur!AS98*VLOOKUP('Données projet'!$B$10,Paramètres!$A$1:$I$89,3,0)*0.475*44/12</f>
        <v>4.1905745179587033</v>
      </c>
      <c r="AW98" s="21">
        <f>EXP(-LN(2)/2)*AW97+(1-EXP(-LN(2)/2))/(LN(2)/2)*AQ98*AT98*VLOOKUP('Données projet'!$B$10,Paramètres!$A$1:$I$89,3,0)*0.475*44/12</f>
        <v>4.7529192999775259E-9</v>
      </c>
      <c r="AX98" s="21">
        <f t="shared" si="60"/>
        <v>5.2713645638872055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-1.4897523215040565E-13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246.64951465060813</v>
      </c>
      <c r="BJ98" s="59">
        <f t="shared" si="92"/>
        <v>292.64550285216865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0.72212608744472939</v>
      </c>
      <c r="BQ98" s="21">
        <f>EXP(-LN(2)/25)*BQ97+(1-EXP(-LN(2)/25))/(LN(2)/25)*Calculateur!BL98*Calculateur!BN98*VLOOKUP('Données projet'!$B$11,Paramètres!$A$1:$I$89,3,0)*0.475*44/12</f>
        <v>2.7999177134418853</v>
      </c>
      <c r="BR98" s="21">
        <f>EXP(-LN(2)/2)*BR97+(1-EXP(-LN(2)/2))/(LN(2)/2)*BL98*BO98*VLOOKUP('Données projet'!$B$11,Paramètres!$A$1:$I$89,3,0)*0.475*44/12</f>
        <v>3.9141688352756098E-9</v>
      </c>
      <c r="BS98" s="22">
        <f t="shared" si="63"/>
        <v>3.5220438048007838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-2.2737367544323206E-13</v>
      </c>
      <c r="BZ98" s="13">
        <f>BY98*VLOOKUP('Données projet'!$B$12,Paramètres!$A$1:$I$89,3,0)*VLOOKUP('Données projet'!$B$12,Paramètres!$A$1:$I$89,5,0)</f>
        <v>-1.5252226148732008E-13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254.25222107710192</v>
      </c>
      <c r="CE98" s="59">
        <f t="shared" si="94"/>
        <v>300.86609173447573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0.91125434844215802</v>
      </c>
      <c r="CL98" s="21">
        <f>EXP(-LN(2)/25)*CL97+(1-EXP(-LN(2)/25))/(LN(2)/25)*Calculateur!CG98*Calculateur!CI98*VLOOKUP('Données projet'!$B$12,Paramètres!$A$1:$I$89,3,0)*0.475*44/12</f>
        <v>3.5332294955338073</v>
      </c>
      <c r="CM98" s="21">
        <f>EXP(-LN(2)/2)*CM97+(1-EXP(-LN(2)/2))/(LN(2)/2)*CG98*CJ98*VLOOKUP('Données projet'!$B$12,Paramètres!$A$1:$I$89,3,0)*0.475*44/12</f>
        <v>4.0073633313536027E-9</v>
      </c>
      <c r="CN98" s="22">
        <f t="shared" si="66"/>
        <v>4.4444838479833289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243.38048563215585</v>
      </c>
      <c r="CZ98" s="59">
        <f t="shared" si="96"/>
        <v>372.1604147006675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2.0173681173059106</v>
      </c>
      <c r="DG98" s="21">
        <f>EXP(-LN(2)/25)*DG97+(1-EXP(-LN(2)/25))/(LN(2)/25)*Calculateur!DB98*Calculateur!DD98*VLOOKUP('Données projet'!$B$13,Paramètres!$A$1:$I$89,3,0)*0.475*44/12</f>
        <v>3.1936097028638177</v>
      </c>
      <c r="DH98" s="21">
        <f>EXP(-LN(2)/2)*DH97+(1-EXP(-LN(2)/2))/(LN(2)/2)*DB98*DE98*VLOOKUP('Données projet'!$B$13,Paramètres!$A$1:$I$89,3,0)*0.475*44/12</f>
        <v>4.8262980551687997E-9</v>
      </c>
      <c r="DI98" s="22">
        <f t="shared" si="69"/>
        <v>5.2109778249960268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1.1368683772161603E-13</v>
      </c>
      <c r="DP98" s="17">
        <f>DO98*VLOOKUP('Données projet'!$B$14,Paramètres!$A$1:$I$89,3,0)*VLOOKUP('Données projet'!$B$14,Paramètres!$A$1:$I$89,5,0)</f>
        <v>6.5028871176764376E-14</v>
      </c>
      <c r="DQ98" s="13">
        <f t="shared" si="97"/>
        <v>1.0270999702906072E-12</v>
      </c>
      <c r="DR98" s="20">
        <f t="shared" si="70"/>
        <v>1.9021243988890057E-12</v>
      </c>
      <c r="DS98" s="59">
        <f t="shared" si="71"/>
        <v>293.33333333333519</v>
      </c>
      <c r="DT98" s="59">
        <f ca="1">AVERAGE(OFFSET($DS$3,0,0,'Données projet'!$E$14+1,1))-AVERAGE(OFFSET($H$3,0,0,'Données projet'!$E$14+1,1))</f>
        <v>227.99747790451215</v>
      </c>
      <c r="DU98" s="59">
        <f t="shared" si="98"/>
        <v>209.49597700966933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0.79169969719854039</v>
      </c>
      <c r="EB98" s="21">
        <f>EXP(-LN(2)/25)*EB97+(1-EXP(-LN(2)/25))/(LN(2)/25)*Calculateur!DW98*Calculateur!DY98*VLOOKUP('Données projet'!$B$14,Paramètres!$A$1:$I$89,3,0)*0.475*44/12</f>
        <v>2.5031228814560906</v>
      </c>
      <c r="EC98" s="21">
        <f>EXP(-LN(2)/2)*EC97+(1-EXP(-LN(2)/2))/(LN(2)/2)*DW98*DZ98*VLOOKUP('Données projet'!$B$14,Paramètres!$A$1:$I$89,3,0)*0.475*44/12</f>
        <v>4.0603914479528896E-9</v>
      </c>
      <c r="ED98" s="22">
        <f t="shared" si="72"/>
        <v>3.2948225827150224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3.4106051316484809E-13</v>
      </c>
      <c r="EK98" s="17">
        <f>EJ98*VLOOKUP('Données projet'!$B$15,Paramètres!$A$1:$I$89,3,0)*VLOOKUP('Données projet'!$B$15,Paramètres!$A$1:$I$89,5,0)</f>
        <v>1.5074874681886286E-13</v>
      </c>
      <c r="EL98" s="13">
        <f t="shared" si="99"/>
        <v>2.1590218794584103E-12</v>
      </c>
      <c r="EM98" s="20">
        <f t="shared" si="73"/>
        <v>4.0228505074329168E-12</v>
      </c>
      <c r="EN98" s="59">
        <f t="shared" si="74"/>
        <v>293.33333333333735</v>
      </c>
      <c r="EO98" s="59">
        <f ca="1">AVERAGE(OFFSET($EN$3,0,0,'Données projet'!$E$15+1,1))-AVERAGE(OFFSET($H$3,0,0,'Données projet'!$E$15+1,1))</f>
        <v>335.27356627949155</v>
      </c>
      <c r="EP98" s="59">
        <f t="shared" si="100"/>
        <v>322.66829503077247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4.6121113165662466</v>
      </c>
      <c r="EX98" s="21">
        <f>EXP(-LN(2)/2)*EX97+(1-EXP(-LN(2)/2))/(LN(2)/2)*ER98*EU98*VLOOKUP('Données projet'!$B$15,Paramètres!$A$1:$I$89,3,0)*0.475*44/12</f>
        <v>5.8253437650839276E-9</v>
      </c>
      <c r="EY98" s="22">
        <f t="shared" si="75"/>
        <v>4.6121113223915904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5.9</v>
      </c>
      <c r="N99" s="13">
        <f>IF('Données projet'!$A$36&gt;35,N98+M99-V98,IF(A99&lt;'Données projet'!$A$36,$K$205^A99,IF(A99='Données projet'!$A$36,'Données projet'!$B$36,N98+M99-V98)))</f>
        <v>337.39999999999986</v>
      </c>
      <c r="O99" s="13">
        <f>N99*VLOOKUP('Données projet'!$B$9,Paramètres!$A$1:$I$89,3,0)*VLOOKUP('Données projet'!$B$9,Paramètres!$A$1:$I$89,5,0)</f>
        <v>305.27951999999982</v>
      </c>
      <c r="P99" s="13">
        <f t="shared" si="87"/>
        <v>72.282127407576809</v>
      </c>
      <c r="Q99" s="20">
        <f t="shared" ref="Q99:Q130" si="107">(O99+P99)*0.475*44/12</f>
        <v>657.58653590152937</v>
      </c>
      <c r="R99" s="59">
        <f t="shared" si="55"/>
        <v>950.91986923486274</v>
      </c>
      <c r="S99" s="59">
        <f ca="1">AVERAGE(OFFSET($R$3,0,0,'Données projet'!$E$9+1,1))-AVERAGE(OFFSET($H$3,0,0,'Données projet'!$E$9+1,1))</f>
        <v>319.18811755575183</v>
      </c>
      <c r="T99" s="59">
        <f t="shared" si="88"/>
        <v>234.87694492493506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0.65177788648817281</v>
      </c>
      <c r="AA99" s="21">
        <f>EXP(-LN(2)/25)*AA98+(1-EXP(-LN(2)/25))/(LN(2)/25)*Calculateur!V99*Calculateur!X99*VLOOKUP('Données projet'!$B$9,Paramètres!$A$1:$I$89,3,0)*0.475*44/12</f>
        <v>1.8100826665891854</v>
      </c>
      <c r="AB99" s="21">
        <f>EXP(-LN(2)/2)*AB98+(1-EXP(-LN(2)/2))/(LN(2)/2)*V99*Y99*VLOOKUP('Données projet'!$B$9,Paramètres!$A$1:$I$89,3,0)*0.475*44/12</f>
        <v>2.5091386370019385E-9</v>
      </c>
      <c r="AC99" s="22">
        <f t="shared" si="57"/>
        <v>2.461860555586497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-1.8089849618263545E-13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314.94704727988847</v>
      </c>
      <c r="AO99" s="59">
        <f t="shared" si="90"/>
        <v>366.49199094166454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1.0595964076849631</v>
      </c>
      <c r="AV99" s="21">
        <f>EXP(-LN(2)/25)*AV98+(1-EXP(-LN(2)/25))/(LN(2)/25)*Calculateur!AQ99*Calculateur!AS99*VLOOKUP('Données projet'!$B$10,Paramètres!$A$1:$I$89,3,0)*0.475*44/12</f>
        <v>4.075983037392386</v>
      </c>
      <c r="AW99" s="21">
        <f>EXP(-LN(2)/2)*AW98+(1-EXP(-LN(2)/2))/(LN(2)/2)*AQ99*AT99*VLOOKUP('Données projet'!$B$10,Paramètres!$A$1:$I$89,3,0)*0.475*44/12</f>
        <v>3.3608214674465271E-9</v>
      </c>
      <c r="AX99" s="21">
        <f t="shared" si="60"/>
        <v>5.1355794484381709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-1.4897523215040565E-13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246.64951465060813</v>
      </c>
      <c r="BJ99" s="59">
        <f t="shared" si="92"/>
        <v>292.64550285216865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0.70796563532336043</v>
      </c>
      <c r="BQ99" s="21">
        <f>EXP(-LN(2)/25)*BQ98+(1-EXP(-LN(2)/25))/(LN(2)/25)*Calculateur!BL99*Calculateur!BN99*VLOOKUP('Données projet'!$B$11,Paramètres!$A$1:$I$89,3,0)*0.475*44/12</f>
        <v>2.7233538163265436</v>
      </c>
      <c r="BR99" s="21">
        <f>EXP(-LN(2)/2)*BR98+(1-EXP(-LN(2)/2))/(LN(2)/2)*BL99*BO99*VLOOKUP('Données projet'!$B$11,Paramètres!$A$1:$I$89,3,0)*0.475*44/12</f>
        <v>2.7677353261324342E-9</v>
      </c>
      <c r="BS99" s="22">
        <f t="shared" si="63"/>
        <v>3.4313194544176393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-2.2737367544323206E-13</v>
      </c>
      <c r="BZ99" s="13">
        <f>BY99*VLOOKUP('Données projet'!$B$12,Paramètres!$A$1:$I$89,3,0)*VLOOKUP('Données projet'!$B$12,Paramètres!$A$1:$I$89,5,0)</f>
        <v>-1.5252226148732008E-13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254.25222107710192</v>
      </c>
      <c r="CE99" s="59">
        <f t="shared" si="94"/>
        <v>300.86609173447573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0.89338520647947817</v>
      </c>
      <c r="CL99" s="21">
        <f>EXP(-LN(2)/25)*CL98+(1-EXP(-LN(2)/25))/(LN(2)/25)*Calculateur!CG99*Calculateur!CI99*VLOOKUP('Données projet'!$B$12,Paramètres!$A$1:$I$89,3,0)*0.475*44/12</f>
        <v>3.4366131491739713</v>
      </c>
      <c r="CM99" s="21">
        <f>EXP(-LN(2)/2)*CM98+(1-EXP(-LN(2)/2))/(LN(2)/2)*CG99*CJ99*VLOOKUP('Données projet'!$B$12,Paramètres!$A$1:$I$89,3,0)*0.475*44/12</f>
        <v>2.8336337862784462E-9</v>
      </c>
      <c r="CN99" s="22">
        <f t="shared" si="66"/>
        <v>4.3299983584870834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243.38048563215585</v>
      </c>
      <c r="CZ99" s="59">
        <f t="shared" si="96"/>
        <v>372.1604147006675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1.9778087589985942</v>
      </c>
      <c r="DG99" s="21">
        <f>EXP(-LN(2)/25)*DG98+(1-EXP(-LN(2)/25))/(LN(2)/25)*Calculateur!DB99*Calculateur!DD99*VLOOKUP('Données projet'!$B$13,Paramètres!$A$1:$I$89,3,0)*0.475*44/12</f>
        <v>3.1062802775943714</v>
      </c>
      <c r="DH99" s="21">
        <f>EXP(-LN(2)/2)*DH98+(1-EXP(-LN(2)/2))/(LN(2)/2)*DB99*DE99*VLOOKUP('Données projet'!$B$13,Paramètres!$A$1:$I$89,3,0)*0.475*44/12</f>
        <v>3.4127080828373044E-9</v>
      </c>
      <c r="DI99" s="22">
        <f t="shared" si="69"/>
        <v>5.084089040005674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1.1368683772161603E-13</v>
      </c>
      <c r="DP99" s="17">
        <f>DO99*VLOOKUP('Données projet'!$B$14,Paramètres!$A$1:$I$89,3,0)*VLOOKUP('Données projet'!$B$14,Paramètres!$A$1:$I$89,5,0)</f>
        <v>6.5028871176764376E-14</v>
      </c>
      <c r="DQ99" s="13">
        <f t="shared" si="97"/>
        <v>1.0270999702906072E-12</v>
      </c>
      <c r="DR99" s="20">
        <f t="shared" si="70"/>
        <v>1.9021243988890057E-12</v>
      </c>
      <c r="DS99" s="59">
        <f t="shared" si="71"/>
        <v>293.33333333333519</v>
      </c>
      <c r="DT99" s="59">
        <f ca="1">AVERAGE(OFFSET($DS$3,0,0,'Données projet'!$E$14+1,1))-AVERAGE(OFFSET($H$3,0,0,'Données projet'!$E$14+1,1))</f>
        <v>227.99747790451215</v>
      </c>
      <c r="DU99" s="59">
        <f t="shared" si="98"/>
        <v>209.49597700966933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0.77617494902561091</v>
      </c>
      <c r="EB99" s="21">
        <f>EXP(-LN(2)/25)*EB98+(1-EXP(-LN(2)/25))/(LN(2)/25)*Calculateur!DW99*Calculateur!DY99*VLOOKUP('Données projet'!$B$14,Paramètres!$A$1:$I$89,3,0)*0.475*44/12</f>
        <v>2.4346748546291623</v>
      </c>
      <c r="EC99" s="21">
        <f>EXP(-LN(2)/2)*EC98+(1-EXP(-LN(2)/2))/(LN(2)/2)*DW99*DZ99*VLOOKUP('Données projet'!$B$14,Paramètres!$A$1:$I$89,3,0)*0.475*44/12</f>
        <v>2.8711303271193528E-9</v>
      </c>
      <c r="ED99" s="22">
        <f t="shared" si="72"/>
        <v>3.2108498065259039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3.4106051316484809E-13</v>
      </c>
      <c r="EK99" s="17">
        <f>EJ99*VLOOKUP('Données projet'!$B$15,Paramètres!$A$1:$I$89,3,0)*VLOOKUP('Données projet'!$B$15,Paramètres!$A$1:$I$89,5,0)</f>
        <v>1.5074874681886286E-13</v>
      </c>
      <c r="EL99" s="13">
        <f t="shared" si="99"/>
        <v>2.1590218794584103E-12</v>
      </c>
      <c r="EM99" s="20">
        <f t="shared" si="73"/>
        <v>4.0228505074329168E-12</v>
      </c>
      <c r="EN99" s="59">
        <f t="shared" si="74"/>
        <v>293.33333333333735</v>
      </c>
      <c r="EO99" s="59">
        <f ca="1">AVERAGE(OFFSET($EN$3,0,0,'Données projet'!$E$15+1,1))-AVERAGE(OFFSET($H$3,0,0,'Données projet'!$E$15+1,1))</f>
        <v>335.27356627949155</v>
      </c>
      <c r="EP99" s="59">
        <f t="shared" si="100"/>
        <v>322.66829503077247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4.4859928900743498</v>
      </c>
      <c r="EX99" s="21">
        <f>EXP(-LN(2)/2)*EX98+(1-EXP(-LN(2)/2))/(LN(2)/2)*ER99*EU99*VLOOKUP('Données projet'!$B$15,Paramètres!$A$1:$I$89,3,0)*0.475*44/12</f>
        <v>4.1191400790336196E-9</v>
      </c>
      <c r="EY99" s="22">
        <f t="shared" si="75"/>
        <v>4.4859928941934895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5.9</v>
      </c>
      <c r="N100" s="13">
        <f>IF('Données projet'!$A$36&gt;35,N99+M100-V99,IF(A100&lt;'Données projet'!$A$36,$K$205^A100,IF(A100='Données projet'!$A$36,'Données projet'!$B$36,N99+M100-V99)))</f>
        <v>343.29999999999984</v>
      </c>
      <c r="O100" s="13">
        <f>N100*VLOOKUP('Données projet'!$B$9,Paramètres!$A$1:$I$89,3,0)*VLOOKUP('Données projet'!$B$9,Paramètres!$A$1:$I$89,5,0)</f>
        <v>310.61783999999983</v>
      </c>
      <c r="P100" s="13">
        <f t="shared" si="87"/>
        <v>73.397844798859666</v>
      </c>
      <c r="Q100" s="20">
        <f t="shared" si="107"/>
        <v>668.82731769134693</v>
      </c>
      <c r="R100" s="59">
        <f t="shared" si="55"/>
        <v>962.16065102468019</v>
      </c>
      <c r="S100" s="59">
        <f ca="1">AVERAGE(OFFSET($R$3,0,0,'Données projet'!$E$9+1,1))-AVERAGE(OFFSET($H$3,0,0,'Données projet'!$E$9+1,1))</f>
        <v>319.18811755575183</v>
      </c>
      <c r="T100" s="59">
        <f t="shared" si="88"/>
        <v>234.87694492493506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0.6389969196793962</v>
      </c>
      <c r="AA100" s="21">
        <f>EXP(-LN(2)/25)*AA99+(1-EXP(-LN(2)/25))/(LN(2)/25)*Calculateur!V100*Calculateur!X100*VLOOKUP('Données projet'!$B$9,Paramètres!$A$1:$I$89,3,0)*0.475*44/12</f>
        <v>1.7605858608831937</v>
      </c>
      <c r="AB100" s="21">
        <f>EXP(-LN(2)/2)*AB99+(1-EXP(-LN(2)/2))/(LN(2)/2)*V100*Y100*VLOOKUP('Données projet'!$B$9,Paramètres!$A$1:$I$89,3,0)*0.475*44/12</f>
        <v>1.7742289451612418E-9</v>
      </c>
      <c r="AC100" s="22">
        <f t="shared" si="57"/>
        <v>2.3995827823368185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-1.8089849618263545E-13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314.94704727988847</v>
      </c>
      <c r="AO100" s="59">
        <f t="shared" si="90"/>
        <v>366.49199094166454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1.0388183684202539</v>
      </c>
      <c r="AV100" s="21">
        <f>EXP(-LN(2)/25)*AV99+(1-EXP(-LN(2)/25))/(LN(2)/25)*Calculateur!AQ100*Calculateur!AS100*VLOOKUP('Données projet'!$B$10,Paramètres!$A$1:$I$89,3,0)*0.475*44/12</f>
        <v>3.964525066888259</v>
      </c>
      <c r="AW100" s="21">
        <f>EXP(-LN(2)/2)*AW99+(1-EXP(-LN(2)/2))/(LN(2)/2)*AQ100*AT100*VLOOKUP('Données projet'!$B$10,Paramètres!$A$1:$I$89,3,0)*0.475*44/12</f>
        <v>2.3764596499887629E-9</v>
      </c>
      <c r="AX100" s="21">
        <f t="shared" si="60"/>
        <v>5.0033434376849728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-1.4897523215040565E-13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246.64951465060813</v>
      </c>
      <c r="BJ100" s="59">
        <f t="shared" si="92"/>
        <v>292.64550285216865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0.69408286103106853</v>
      </c>
      <c r="BQ100" s="21">
        <f>EXP(-LN(2)/25)*BQ99+(1-EXP(-LN(2)/25))/(LN(2)/25)*Calculateur!BL100*Calculateur!BN100*VLOOKUP('Données projet'!$B$11,Paramètres!$A$1:$I$89,3,0)*0.475*44/12</f>
        <v>2.6488835630041412</v>
      </c>
      <c r="BR100" s="21">
        <f>EXP(-LN(2)/2)*BR99+(1-EXP(-LN(2)/2))/(LN(2)/2)*BL100*BO100*VLOOKUP('Données projet'!$B$11,Paramètres!$A$1:$I$89,3,0)*0.475*44/12</f>
        <v>1.9570844176378049E-9</v>
      </c>
      <c r="BS100" s="22">
        <f t="shared" si="63"/>
        <v>3.342966425992294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-2.2737367544323206E-13</v>
      </c>
      <c r="BZ100" s="13">
        <f>BY100*VLOOKUP('Données projet'!$B$12,Paramètres!$A$1:$I$89,3,0)*VLOOKUP('Données projet'!$B$12,Paramètres!$A$1:$I$89,5,0)</f>
        <v>-1.5252226148732008E-13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254.25222107710192</v>
      </c>
      <c r="CE100" s="59">
        <f t="shared" si="94"/>
        <v>300.86609173447573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0.87586646749158603</v>
      </c>
      <c r="CL100" s="21">
        <f>EXP(-LN(2)/25)*CL99+(1-EXP(-LN(2)/25))/(LN(2)/25)*Calculateur!CG100*Calculateur!CI100*VLOOKUP('Données projet'!$B$12,Paramètres!$A$1:$I$89,3,0)*0.475*44/12</f>
        <v>3.342638781886178</v>
      </c>
      <c r="CM100" s="21">
        <f>EXP(-LN(2)/2)*CM99+(1-EXP(-LN(2)/2))/(LN(2)/2)*CG100*CJ100*VLOOKUP('Données projet'!$B$12,Paramètres!$A$1:$I$89,3,0)*0.475*44/12</f>
        <v>2.0036816656768014E-9</v>
      </c>
      <c r="CN100" s="22">
        <f t="shared" si="66"/>
        <v>4.2185052513814458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243.38048563215585</v>
      </c>
      <c r="CZ100" s="59">
        <f t="shared" si="96"/>
        <v>372.1604147006675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1.9390251355788581</v>
      </c>
      <c r="DG100" s="21">
        <f>EXP(-LN(2)/25)*DG99+(1-EXP(-LN(2)/25))/(LN(2)/25)*Calculateur!DB100*Calculateur!DD100*VLOOKUP('Données projet'!$B$13,Paramètres!$A$1:$I$89,3,0)*0.475*44/12</f>
        <v>3.0213388800513732</v>
      </c>
      <c r="DH100" s="21">
        <f>EXP(-LN(2)/2)*DH99+(1-EXP(-LN(2)/2))/(LN(2)/2)*DB100*DE100*VLOOKUP('Données projet'!$B$13,Paramètres!$A$1:$I$89,3,0)*0.475*44/12</f>
        <v>2.4131490275843999E-9</v>
      </c>
      <c r="DI100" s="22">
        <f t="shared" si="69"/>
        <v>4.9603640180433803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1.1368683772161603E-13</v>
      </c>
      <c r="DP100" s="17">
        <f>DO100*VLOOKUP('Données projet'!$B$14,Paramètres!$A$1:$I$89,3,0)*VLOOKUP('Données projet'!$B$14,Paramètres!$A$1:$I$89,5,0)</f>
        <v>6.5028871176764376E-14</v>
      </c>
      <c r="DQ100" s="13">
        <f t="shared" si="97"/>
        <v>1.0270999702906072E-12</v>
      </c>
      <c r="DR100" s="20">
        <f t="shared" si="70"/>
        <v>1.9021243988890057E-12</v>
      </c>
      <c r="DS100" s="59">
        <f t="shared" si="71"/>
        <v>293.33333333333519</v>
      </c>
      <c r="DT100" s="59">
        <f ca="1">AVERAGE(OFFSET($DS$3,0,0,'Données projet'!$E$14+1,1))-AVERAGE(OFFSET($H$3,0,0,'Données projet'!$E$14+1,1))</f>
        <v>227.99747790451215</v>
      </c>
      <c r="DU100" s="59">
        <f t="shared" si="98"/>
        <v>209.49597700966933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0.76095463169519129</v>
      </c>
      <c r="EB100" s="21">
        <f>EXP(-LN(2)/25)*EB99+(1-EXP(-LN(2)/25))/(LN(2)/25)*Calculateur!DW100*Calculateur!DY100*VLOOKUP('Données projet'!$B$14,Paramètres!$A$1:$I$89,3,0)*0.475*44/12</f>
        <v>2.3680985426953418</v>
      </c>
      <c r="EC100" s="21">
        <f>EXP(-LN(2)/2)*EC99+(1-EXP(-LN(2)/2))/(LN(2)/2)*DW100*DZ100*VLOOKUP('Données projet'!$B$14,Paramètres!$A$1:$I$89,3,0)*0.475*44/12</f>
        <v>2.0301957239764448E-9</v>
      </c>
      <c r="ED100" s="22">
        <f t="shared" si="72"/>
        <v>3.1290531764207286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3.4106051316484809E-13</v>
      </c>
      <c r="EK100" s="17">
        <f>EJ100*VLOOKUP('Données projet'!$B$15,Paramètres!$A$1:$I$89,3,0)*VLOOKUP('Données projet'!$B$15,Paramètres!$A$1:$I$89,5,0)</f>
        <v>1.5074874681886286E-13</v>
      </c>
      <c r="EL100" s="13">
        <f t="shared" si="99"/>
        <v>2.1590218794584103E-12</v>
      </c>
      <c r="EM100" s="20">
        <f t="shared" si="73"/>
        <v>4.0228505074329168E-12</v>
      </c>
      <c r="EN100" s="59">
        <f t="shared" si="74"/>
        <v>293.33333333333735</v>
      </c>
      <c r="EO100" s="59">
        <f ca="1">AVERAGE(OFFSET($EN$3,0,0,'Données projet'!$E$15+1,1))-AVERAGE(OFFSET($H$3,0,0,'Données projet'!$E$15+1,1))</f>
        <v>335.27356627949155</v>
      </c>
      <c r="EP100" s="59">
        <f t="shared" si="100"/>
        <v>322.66829503077247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4.3633231785871534</v>
      </c>
      <c r="EX100" s="21">
        <f>EXP(-LN(2)/2)*EX99+(1-EXP(-LN(2)/2))/(LN(2)/2)*ER100*EU100*VLOOKUP('Données projet'!$B$15,Paramètres!$A$1:$I$89,3,0)*0.475*44/12</f>
        <v>2.9126718825419638E-9</v>
      </c>
      <c r="EY100" s="22">
        <f t="shared" si="75"/>
        <v>4.3633231814998252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5.9</v>
      </c>
      <c r="N101" s="13">
        <f>IF('Données projet'!$A$36&gt;35,N100+M101-V100,IF(A101&lt;'Données projet'!$A$36,$K$205^A101,IF(A101='Données projet'!$A$36,'Données projet'!$B$36,N100+M101-V100)))</f>
        <v>349.19999999999982</v>
      </c>
      <c r="O101" s="13">
        <f>N101*VLOOKUP('Données projet'!$B$9,Paramètres!$A$1:$I$89,3,0)*VLOOKUP('Données projet'!$B$9,Paramètres!$A$1:$I$89,5,0)</f>
        <v>315.95615999999984</v>
      </c>
      <c r="P101" s="13">
        <f t="shared" si="87"/>
        <v>74.511332350300975</v>
      </c>
      <c r="Q101" s="20">
        <f t="shared" si="107"/>
        <v>680.06421584344059</v>
      </c>
      <c r="R101" s="59">
        <f t="shared" si="55"/>
        <v>973.39754917677396</v>
      </c>
      <c r="S101" s="59">
        <f ca="1">AVERAGE(OFFSET($R$3,0,0,'Données projet'!$E$9+1,1))-AVERAGE(OFFSET($H$3,0,0,'Données projet'!$E$9+1,1))</f>
        <v>319.18811755575183</v>
      </c>
      <c r="T101" s="59">
        <f t="shared" si="88"/>
        <v>234.87694492493506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0.62646657983411969</v>
      </c>
      <c r="AA101" s="21">
        <f>EXP(-LN(2)/25)*AA100+(1-EXP(-LN(2)/25))/(LN(2)/25)*Calculateur!V101*Calculateur!X101*VLOOKUP('Données projet'!$B$9,Paramètres!$A$1:$I$89,3,0)*0.475*44/12</f>
        <v>1.7124425479321561</v>
      </c>
      <c r="AB101" s="21">
        <f>EXP(-LN(2)/2)*AB100+(1-EXP(-LN(2)/2))/(LN(2)/2)*V101*Y101*VLOOKUP('Données projet'!$B$9,Paramètres!$A$1:$I$89,3,0)*0.475*44/12</f>
        <v>1.2545693185009692E-9</v>
      </c>
      <c r="AC101" s="22">
        <f t="shared" si="57"/>
        <v>2.3389091290208452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-1.8089849618263545E-13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314.94704727988847</v>
      </c>
      <c r="AO101" s="59">
        <f t="shared" si="90"/>
        <v>366.49199094166454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1.0184477738321729</v>
      </c>
      <c r="AV101" s="21">
        <f>EXP(-LN(2)/25)*AV100+(1-EXP(-LN(2)/25))/(LN(2)/25)*Calculateur!AQ101*Calculateur!AS101*VLOOKUP('Données projet'!$B$10,Paramètres!$A$1:$I$89,3,0)*0.475*44/12</f>
        <v>3.8561149204488872</v>
      </c>
      <c r="AW101" s="21">
        <f>EXP(-LN(2)/2)*AW100+(1-EXP(-LN(2)/2))/(LN(2)/2)*AQ101*AT101*VLOOKUP('Données projet'!$B$10,Paramètres!$A$1:$I$89,3,0)*0.475*44/12</f>
        <v>1.6804107337232635E-9</v>
      </c>
      <c r="AX101" s="21">
        <f t="shared" si="60"/>
        <v>4.8745626959614707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-1.4897523215040565E-13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246.64951465060813</v>
      </c>
      <c r="BJ101" s="59">
        <f t="shared" si="92"/>
        <v>292.64550285216865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0.68047231947499232</v>
      </c>
      <c r="BQ101" s="21">
        <f>EXP(-LN(2)/25)*BQ100+(1-EXP(-LN(2)/25))/(LN(2)/25)*Calculateur!BL101*Calculateur!BN101*VLOOKUP('Données projet'!$B$11,Paramètres!$A$1:$I$89,3,0)*0.475*44/12</f>
        <v>2.5764497026750606</v>
      </c>
      <c r="BR101" s="21">
        <f>EXP(-LN(2)/2)*BR100+(1-EXP(-LN(2)/2))/(LN(2)/2)*BL101*BO101*VLOOKUP('Données projet'!$B$11,Paramètres!$A$1:$I$89,3,0)*0.475*44/12</f>
        <v>1.3838676630662171E-9</v>
      </c>
      <c r="BS101" s="22">
        <f t="shared" si="63"/>
        <v>3.2569220235339205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-2.2737367544323206E-13</v>
      </c>
      <c r="BZ101" s="13">
        <f>BY101*VLOOKUP('Données projet'!$B$12,Paramètres!$A$1:$I$89,3,0)*VLOOKUP('Données projet'!$B$12,Paramètres!$A$1:$I$89,5,0)</f>
        <v>-1.5252226148732008E-13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254.25222107710192</v>
      </c>
      <c r="CE101" s="59">
        <f t="shared" si="94"/>
        <v>300.86609173447573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0.85869126028987075</v>
      </c>
      <c r="CL101" s="21">
        <f>EXP(-LN(2)/25)*CL100+(1-EXP(-LN(2)/25))/(LN(2)/25)*Calculateur!CG101*Calculateur!CI101*VLOOKUP('Données projet'!$B$12,Paramètres!$A$1:$I$89,3,0)*0.475*44/12</f>
        <v>3.2512341486137668</v>
      </c>
      <c r="CM101" s="21">
        <f>EXP(-LN(2)/2)*CM100+(1-EXP(-LN(2)/2))/(LN(2)/2)*CG101*CJ101*VLOOKUP('Données projet'!$B$12,Paramètres!$A$1:$I$89,3,0)*0.475*44/12</f>
        <v>1.4168168931392231E-9</v>
      </c>
      <c r="CN101" s="22">
        <f t="shared" si="66"/>
        <v>4.1099254103204546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243.38048563215585</v>
      </c>
      <c r="CZ101" s="59">
        <f t="shared" si="96"/>
        <v>372.1604147006675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1.9010020353587087</v>
      </c>
      <c r="DG101" s="21">
        <f>EXP(-LN(2)/25)*DG100+(1-EXP(-LN(2)/25))/(LN(2)/25)*Calculateur!DB101*Calculateur!DD101*VLOOKUP('Données projet'!$B$13,Paramètres!$A$1:$I$89,3,0)*0.475*44/12</f>
        <v>2.9387202094910618</v>
      </c>
      <c r="DH101" s="21">
        <f>EXP(-LN(2)/2)*DH100+(1-EXP(-LN(2)/2))/(LN(2)/2)*DB101*DE101*VLOOKUP('Données projet'!$B$13,Paramètres!$A$1:$I$89,3,0)*0.475*44/12</f>
        <v>1.7063540414186522E-9</v>
      </c>
      <c r="DI101" s="22">
        <f t="shared" si="69"/>
        <v>4.8397222465561249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1.1368683772161603E-13</v>
      </c>
      <c r="DP101" s="17">
        <f>DO101*VLOOKUP('Données projet'!$B$14,Paramètres!$A$1:$I$89,3,0)*VLOOKUP('Données projet'!$B$14,Paramètres!$A$1:$I$89,5,0)</f>
        <v>6.5028871176764376E-14</v>
      </c>
      <c r="DQ101" s="13">
        <f t="shared" si="97"/>
        <v>1.0270999702906072E-12</v>
      </c>
      <c r="DR101" s="20">
        <f t="shared" si="70"/>
        <v>1.9021243988890057E-12</v>
      </c>
      <c r="DS101" s="59">
        <f t="shared" si="71"/>
        <v>293.33333333333519</v>
      </c>
      <c r="DT101" s="59">
        <f ca="1">AVERAGE(OFFSET($DS$3,0,0,'Données projet'!$E$14+1,1))-AVERAGE(OFFSET($H$3,0,0,'Données projet'!$E$14+1,1))</f>
        <v>227.99747790451215</v>
      </c>
      <c r="DU101" s="59">
        <f t="shared" si="98"/>
        <v>209.49597700966933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0.74603277550414426</v>
      </c>
      <c r="EB101" s="21">
        <f>EXP(-LN(2)/25)*EB100+(1-EXP(-LN(2)/25))/(LN(2)/25)*Calculateur!DW101*Calculateur!DY101*VLOOKUP('Données projet'!$B$14,Paramètres!$A$1:$I$89,3,0)*0.475*44/12</f>
        <v>2.3033427635124477</v>
      </c>
      <c r="EC101" s="21">
        <f>EXP(-LN(2)/2)*EC100+(1-EXP(-LN(2)/2))/(LN(2)/2)*DW101*DZ101*VLOOKUP('Données projet'!$B$14,Paramètres!$A$1:$I$89,3,0)*0.475*44/12</f>
        <v>1.4355651635596764E-9</v>
      </c>
      <c r="ED101" s="22">
        <f t="shared" si="72"/>
        <v>3.0493755404521568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3.4106051316484809E-13</v>
      </c>
      <c r="EK101" s="17">
        <f>EJ101*VLOOKUP('Données projet'!$B$15,Paramètres!$A$1:$I$89,3,0)*VLOOKUP('Données projet'!$B$15,Paramètres!$A$1:$I$89,5,0)</f>
        <v>1.5074874681886286E-13</v>
      </c>
      <c r="EL101" s="13">
        <f t="shared" si="99"/>
        <v>2.1590218794584103E-12</v>
      </c>
      <c r="EM101" s="20">
        <f t="shared" si="73"/>
        <v>4.0228505074329168E-12</v>
      </c>
      <c r="EN101" s="59">
        <f t="shared" si="74"/>
        <v>293.33333333333735</v>
      </c>
      <c r="EO101" s="59">
        <f ca="1">AVERAGE(OFFSET($EN$3,0,0,'Données projet'!$E$15+1,1))-AVERAGE(OFFSET($H$3,0,0,'Données projet'!$E$15+1,1))</f>
        <v>335.27356627949155</v>
      </c>
      <c r="EP101" s="59">
        <f t="shared" si="100"/>
        <v>322.66829503077247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4.2440078768114944</v>
      </c>
      <c r="EX101" s="21">
        <f>EXP(-LN(2)/2)*EX100+(1-EXP(-LN(2)/2))/(LN(2)/2)*ER101*EU101*VLOOKUP('Données projet'!$B$15,Paramètres!$A$1:$I$89,3,0)*0.475*44/12</f>
        <v>2.0595700395168098E-9</v>
      </c>
      <c r="EY101" s="22">
        <f t="shared" si="75"/>
        <v>4.2440078788710647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5.9</v>
      </c>
      <c r="N102" s="13">
        <f>IF('Données projet'!$A$36&gt;35,N101+M102-V101,IF(A102&lt;'Données projet'!$A$36,$K$205^A102,IF(A102='Données projet'!$A$36,'Données projet'!$B$36,N101+M102-V101)))</f>
        <v>355.0999999999998</v>
      </c>
      <c r="O102" s="13">
        <f>N102*VLOOKUP('Données projet'!$B$9,Paramètres!$A$1:$I$89,3,0)*VLOOKUP('Données projet'!$B$9,Paramètres!$A$1:$I$89,5,0)</f>
        <v>321.29447999999979</v>
      </c>
      <c r="P102" s="13">
        <f t="shared" si="87"/>
        <v>75.6226320847924</v>
      </c>
      <c r="Q102" s="20">
        <f t="shared" si="107"/>
        <v>691.29730354767969</v>
      </c>
      <c r="R102" s="59">
        <f t="shared" si="55"/>
        <v>984.63063688101306</v>
      </c>
      <c r="S102" s="59">
        <f ca="1">AVERAGE(OFFSET($R$3,0,0,'Données projet'!$E$9+1,1))-AVERAGE(OFFSET($H$3,0,0,'Données projet'!$E$9+1,1))</f>
        <v>319.18811755575183</v>
      </c>
      <c r="T102" s="59">
        <f t="shared" si="88"/>
        <v>234.87694492493506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0.61418195231045636</v>
      </c>
      <c r="AA102" s="21">
        <f>EXP(-LN(2)/25)*AA101+(1-EXP(-LN(2)/25))/(LN(2)/25)*Calculateur!V102*Calculateur!X102*VLOOKUP('Données projet'!$B$9,Paramètres!$A$1:$I$89,3,0)*0.475*44/12</f>
        <v>1.6656157164055116</v>
      </c>
      <c r="AB102" s="21">
        <f>EXP(-LN(2)/2)*AB101+(1-EXP(-LN(2)/2))/(LN(2)/2)*V102*Y102*VLOOKUP('Données projet'!$B$9,Paramètres!$A$1:$I$89,3,0)*0.475*44/12</f>
        <v>8.8711447258062092E-10</v>
      </c>
      <c r="AC102" s="22">
        <f t="shared" si="57"/>
        <v>2.2797976696030826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-1.8089849618263545E-13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314.94704727988847</v>
      </c>
      <c r="AO102" s="59">
        <f t="shared" si="90"/>
        <v>366.49199094166454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0.99847663417912846</v>
      </c>
      <c r="AV102" s="21">
        <f>EXP(-LN(2)/25)*AV101+(1-EXP(-LN(2)/25))/(LN(2)/25)*Calculateur!AQ102*Calculateur!AS102*VLOOKUP('Données projet'!$B$10,Paramètres!$A$1:$I$89,3,0)*0.475*44/12</f>
        <v>3.7506692551649419</v>
      </c>
      <c r="AW102" s="21">
        <f>EXP(-LN(2)/2)*AW101+(1-EXP(-LN(2)/2))/(LN(2)/2)*AQ102*AT102*VLOOKUP('Données projet'!$B$10,Paramètres!$A$1:$I$89,3,0)*0.475*44/12</f>
        <v>1.1882298249943815E-9</v>
      </c>
      <c r="AX102" s="21">
        <f t="shared" si="60"/>
        <v>4.7491458905323007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-1.4897523215040565E-13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246.64951465060813</v>
      </c>
      <c r="BJ102" s="59">
        <f t="shared" si="92"/>
        <v>292.64550285216865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0.66712867233722006</v>
      </c>
      <c r="BQ102" s="21">
        <f>EXP(-LN(2)/25)*BQ101+(1-EXP(-LN(2)/25))/(LN(2)/25)*Calculateur!BL102*Calculateur!BN102*VLOOKUP('Données projet'!$B$11,Paramètres!$A$1:$I$89,3,0)*0.475*44/12</f>
        <v>2.5059965500658099</v>
      </c>
      <c r="BR102" s="21">
        <f>EXP(-LN(2)/2)*BR101+(1-EXP(-LN(2)/2))/(LN(2)/2)*BL102*BO102*VLOOKUP('Données projet'!$B$11,Paramètres!$A$1:$I$89,3,0)*0.475*44/12</f>
        <v>9.7854220881890244E-10</v>
      </c>
      <c r="BS102" s="22">
        <f t="shared" si="63"/>
        <v>3.1731252233815721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-2.2737367544323206E-13</v>
      </c>
      <c r="BZ102" s="13">
        <f>BY102*VLOOKUP('Données projet'!$B$12,Paramètres!$A$1:$I$89,3,0)*VLOOKUP('Données projet'!$B$12,Paramètres!$A$1:$I$89,5,0)</f>
        <v>-1.5252226148732008E-13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254.25222107710192</v>
      </c>
      <c r="CE102" s="59">
        <f t="shared" si="94"/>
        <v>300.86609173447573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0.8418528484255392</v>
      </c>
      <c r="CL102" s="21">
        <f>EXP(-LN(2)/25)*CL101+(1-EXP(-LN(2)/25))/(LN(2)/25)*Calculateur!CG102*Calculateur!CI102*VLOOKUP('Données projet'!$B$12,Paramètres!$A$1:$I$89,3,0)*0.475*44/12</f>
        <v>3.1623289798449501</v>
      </c>
      <c r="CM102" s="21">
        <f>EXP(-LN(2)/2)*CM101+(1-EXP(-LN(2)/2))/(LN(2)/2)*CG102*CJ102*VLOOKUP('Données projet'!$B$12,Paramètres!$A$1:$I$89,3,0)*0.475*44/12</f>
        <v>1.0018408328384007E-9</v>
      </c>
      <c r="CN102" s="22">
        <f t="shared" si="66"/>
        <v>4.0041818292723308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243.38048563215585</v>
      </c>
      <c r="CZ102" s="59">
        <f t="shared" si="96"/>
        <v>372.1604147006675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1.8637245449420752</v>
      </c>
      <c r="DG102" s="21">
        <f>EXP(-LN(2)/25)*DG101+(1-EXP(-LN(2)/25))/(LN(2)/25)*Calculateur!DB102*Calculateur!DD102*VLOOKUP('Données projet'!$B$13,Paramètres!$A$1:$I$89,3,0)*0.475*44/12</f>
        <v>2.8583607508219493</v>
      </c>
      <c r="DH102" s="21">
        <f>EXP(-LN(2)/2)*DH101+(1-EXP(-LN(2)/2))/(LN(2)/2)*DB102*DE102*VLOOKUP('Données projet'!$B$13,Paramètres!$A$1:$I$89,3,0)*0.475*44/12</f>
        <v>1.2065745137921999E-9</v>
      </c>
      <c r="DI102" s="22">
        <f t="shared" si="69"/>
        <v>4.7220852969705991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1.1368683772161603E-13</v>
      </c>
      <c r="DP102" s="17">
        <f>DO102*VLOOKUP('Données projet'!$B$14,Paramètres!$A$1:$I$89,3,0)*VLOOKUP('Données projet'!$B$14,Paramètres!$A$1:$I$89,5,0)</f>
        <v>6.5028871176764376E-14</v>
      </c>
      <c r="DQ102" s="13">
        <f t="shared" si="97"/>
        <v>1.0270999702906072E-12</v>
      </c>
      <c r="DR102" s="20">
        <f t="shared" si="70"/>
        <v>1.9021243988890057E-12</v>
      </c>
      <c r="DS102" s="59">
        <f t="shared" si="71"/>
        <v>293.33333333333519</v>
      </c>
      <c r="DT102" s="59">
        <f ca="1">AVERAGE(OFFSET($DS$3,0,0,'Données projet'!$E$14+1,1))-AVERAGE(OFFSET($H$3,0,0,'Données projet'!$E$14+1,1))</f>
        <v>227.99747790451215</v>
      </c>
      <c r="DU102" s="59">
        <f t="shared" si="98"/>
        <v>209.49597700966933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0.73140352781157003</v>
      </c>
      <c r="EB102" s="21">
        <f>EXP(-LN(2)/25)*EB101+(1-EXP(-LN(2)/25))/(LN(2)/25)*Calculateur!DW102*Calculateur!DY102*VLOOKUP('Données projet'!$B$14,Paramètres!$A$1:$I$89,3,0)*0.475*44/12</f>
        <v>2.2403577345166683</v>
      </c>
      <c r="EC102" s="21">
        <f>EXP(-LN(2)/2)*EC101+(1-EXP(-LN(2)/2))/(LN(2)/2)*DW102*DZ102*VLOOKUP('Données projet'!$B$14,Paramètres!$A$1:$I$89,3,0)*0.475*44/12</f>
        <v>1.0150978619882224E-9</v>
      </c>
      <c r="ED102" s="22">
        <f t="shared" si="72"/>
        <v>2.9717612633433359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3.4106051316484809E-13</v>
      </c>
      <c r="EK102" s="17">
        <f>EJ102*VLOOKUP('Données projet'!$B$15,Paramètres!$A$1:$I$89,3,0)*VLOOKUP('Données projet'!$B$15,Paramètres!$A$1:$I$89,5,0)</f>
        <v>1.5074874681886286E-13</v>
      </c>
      <c r="EL102" s="13">
        <f t="shared" si="99"/>
        <v>2.1590218794584103E-12</v>
      </c>
      <c r="EM102" s="20">
        <f t="shared" si="73"/>
        <v>4.0228505074329168E-12</v>
      </c>
      <c r="EN102" s="59">
        <f t="shared" si="74"/>
        <v>293.33333333333735</v>
      </c>
      <c r="EO102" s="59">
        <f ca="1">AVERAGE(OFFSET($EN$3,0,0,'Données projet'!$E$15+1,1))-AVERAGE(OFFSET($H$3,0,0,'Données projet'!$E$15+1,1))</f>
        <v>335.27356627949155</v>
      </c>
      <c r="EP102" s="59">
        <f t="shared" si="100"/>
        <v>322.66829503077247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4.1279552582374093</v>
      </c>
      <c r="EX102" s="21">
        <f>EXP(-LN(2)/2)*EX101+(1-EXP(-LN(2)/2))/(LN(2)/2)*ER102*EU102*VLOOKUP('Données projet'!$B$15,Paramètres!$A$1:$I$89,3,0)*0.475*44/12</f>
        <v>1.4563359412709819E-9</v>
      </c>
      <c r="EY102" s="22">
        <f t="shared" si="75"/>
        <v>4.1279552596937457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361</v>
      </c>
      <c r="L103" s="12">
        <f>VLOOKUP(A103,'Données projet'!$A$35:$I$55,9,0)</f>
        <v>5.9</v>
      </c>
      <c r="M103" s="12">
        <f t="array" ref="M103">INDEX(L:L,MIN(IF(ISNUMBER(L103:L299),ROW(L103:L299),"")))</f>
        <v>5.9</v>
      </c>
      <c r="N103" s="13">
        <f>IF('Données projet'!$A$36&gt;35,N102+M103-V102,IF(A103&lt;'Données projet'!$A$36,$K$205^A103,IF(A103='Données projet'!$A$36,'Données projet'!$B$36,N102+M103-V102)))</f>
        <v>360.99999999999977</v>
      </c>
      <c r="O103" s="13">
        <f>N103*VLOOKUP('Données projet'!$B$9,Paramètres!$A$1:$I$89,3,0)*VLOOKUP('Données projet'!$B$9,Paramètres!$A$1:$I$89,5,0)</f>
        <v>326.6327999999998</v>
      </c>
      <c r="P103" s="13">
        <f t="shared" si="87"/>
        <v>76.731784548754774</v>
      </c>
      <c r="Q103" s="20">
        <f t="shared" si="107"/>
        <v>702.52665142241415</v>
      </c>
      <c r="R103" s="59">
        <f t="shared" si="55"/>
        <v>995.85998475574752</v>
      </c>
      <c r="S103" s="59">
        <f ca="1">AVERAGE(OFFSET($R$3,0,0,'Données projet'!$E$9+1,1))-AVERAGE(OFFSET($H$3,0,0,'Données projet'!$E$9+1,1))</f>
        <v>319.18811755575183</v>
      </c>
      <c r="T103" s="59">
        <f t="shared" si="88"/>
        <v>234.87694492493506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55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0.60213821883964913</v>
      </c>
      <c r="AA103" s="21">
        <f>EXP(-LN(2)/25)*AA102+(1-EXP(-LN(2)/25))/(LN(2)/25)*Calculateur!V103*Calculateur!X103*VLOOKUP('Données projet'!$B$9,Paramètres!$A$1:$I$89,3,0)*0.475*44/12</f>
        <v>1.6200693670494792</v>
      </c>
      <c r="AB103" s="21">
        <f>EXP(-LN(2)/2)*AB102+(1-EXP(-LN(2)/2))/(LN(2)/2)*V103*Y103*VLOOKUP('Données projet'!$B$9,Paramètres!$A$1:$I$89,3,0)*0.475*44/12</f>
        <v>6.2728465925048462E-10</v>
      </c>
      <c r="AC103" s="22">
        <f t="shared" si="57"/>
        <v>2.2222075865164128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-1.8089849618263545E-13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314.94704727988847</v>
      </c>
      <c r="AO103" s="59">
        <f t="shared" si="90"/>
        <v>366.49199094166454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0.97889711639348775</v>
      </c>
      <c r="AV103" s="21">
        <f>EXP(-LN(2)/25)*AV102+(1-EXP(-LN(2)/25))/(LN(2)/25)*Calculateur!AQ103*Calculateur!AS103*VLOOKUP('Données projet'!$B$10,Paramètres!$A$1:$I$89,3,0)*0.475*44/12</f>
        <v>3.6481070071433326</v>
      </c>
      <c r="AW103" s="21">
        <f>EXP(-LN(2)/2)*AW102+(1-EXP(-LN(2)/2))/(LN(2)/2)*AQ103*AT103*VLOOKUP('Données projet'!$B$10,Paramètres!$A$1:$I$89,3,0)*0.475*44/12</f>
        <v>8.4020536686163177E-10</v>
      </c>
      <c r="AX103" s="21">
        <f t="shared" si="60"/>
        <v>4.6270041243770255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-1.4897523215040565E-13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246.64951465060813</v>
      </c>
      <c r="BJ103" s="59">
        <f t="shared" si="92"/>
        <v>292.64550285216865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0.65404668598099847</v>
      </c>
      <c r="BQ103" s="21">
        <f>EXP(-LN(2)/25)*BQ102+(1-EXP(-LN(2)/25))/(LN(2)/25)*Calculateur!BL103*Calculateur!BN103*VLOOKUP('Données projet'!$B$11,Paramètres!$A$1:$I$89,3,0)*0.475*44/12</f>
        <v>2.4374699426196291</v>
      </c>
      <c r="BR103" s="21">
        <f>EXP(-LN(2)/2)*BR102+(1-EXP(-LN(2)/2))/(LN(2)/2)*BL103*BO103*VLOOKUP('Données projet'!$B$11,Paramètres!$A$1:$I$89,3,0)*0.475*44/12</f>
        <v>6.9193383153310855E-10</v>
      </c>
      <c r="BS103" s="22">
        <f t="shared" si="63"/>
        <v>3.0915166292925611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-2.2737367544323206E-13</v>
      </c>
      <c r="BZ103" s="13">
        <f>BY103*VLOOKUP('Données projet'!$B$12,Paramètres!$A$1:$I$89,3,0)*VLOOKUP('Données projet'!$B$12,Paramètres!$A$1:$I$89,5,0)</f>
        <v>-1.5252226148732008E-13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254.25222107710192</v>
      </c>
      <c r="CE103" s="59">
        <f t="shared" si="94"/>
        <v>300.86609173447573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0.82534462754744997</v>
      </c>
      <c r="CL103" s="21">
        <f>EXP(-LN(2)/25)*CL102+(1-EXP(-LN(2)/25))/(LN(2)/25)*Calculateur!CG103*Calculateur!CI103*VLOOKUP('Données projet'!$B$12,Paramètres!$A$1:$I$89,3,0)*0.475*44/12</f>
        <v>3.0758549275914366</v>
      </c>
      <c r="CM103" s="21">
        <f>EXP(-LN(2)/2)*CM102+(1-EXP(-LN(2)/2))/(LN(2)/2)*CG103*CJ103*VLOOKUP('Données projet'!$B$12,Paramètres!$A$1:$I$89,3,0)*0.475*44/12</f>
        <v>7.0840844656961154E-10</v>
      </c>
      <c r="CN103" s="22">
        <f t="shared" si="66"/>
        <v>3.9011995558472949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243.38048563215585</v>
      </c>
      <c r="CZ103" s="59">
        <f t="shared" si="96"/>
        <v>372.1604147006675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1.8271780433754878</v>
      </c>
      <c r="DG103" s="21">
        <f>EXP(-LN(2)/25)*DG102+(1-EXP(-LN(2)/25))/(LN(2)/25)*Calculateur!DB103*Calculateur!DD103*VLOOKUP('Données projet'!$B$13,Paramètres!$A$1:$I$89,3,0)*0.475*44/12</f>
        <v>2.7801987257760641</v>
      </c>
      <c r="DH103" s="21">
        <f>EXP(-LN(2)/2)*DH102+(1-EXP(-LN(2)/2))/(LN(2)/2)*DB103*DE103*VLOOKUP('Données projet'!$B$13,Paramètres!$A$1:$I$89,3,0)*0.475*44/12</f>
        <v>8.531770207093261E-10</v>
      </c>
      <c r="DI103" s="22">
        <f t="shared" si="69"/>
        <v>4.6073767700047288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1.1368683772161603E-13</v>
      </c>
      <c r="DP103" s="17">
        <f>DO103*VLOOKUP('Données projet'!$B$14,Paramètres!$A$1:$I$89,3,0)*VLOOKUP('Données projet'!$B$14,Paramètres!$A$1:$I$89,5,0)</f>
        <v>6.5028871176764376E-14</v>
      </c>
      <c r="DQ103" s="13">
        <f t="shared" si="97"/>
        <v>1.0270999702906072E-12</v>
      </c>
      <c r="DR103" s="20">
        <f t="shared" si="70"/>
        <v>1.9021243988890057E-12</v>
      </c>
      <c r="DS103" s="59">
        <f t="shared" si="71"/>
        <v>293.33333333333519</v>
      </c>
      <c r="DT103" s="59">
        <f ca="1">AVERAGE(OFFSET($DS$3,0,0,'Données projet'!$E$14+1,1))-AVERAGE(OFFSET($H$3,0,0,'Données projet'!$E$14+1,1))</f>
        <v>227.99747790451215</v>
      </c>
      <c r="DU103" s="59">
        <f t="shared" si="98"/>
        <v>209.49597700966933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0.71706115074328725</v>
      </c>
      <c r="EB103" s="21">
        <f>EXP(-LN(2)/25)*EB102+(1-EXP(-LN(2)/25))/(LN(2)/25)*Calculateur!DW103*Calculateur!DY103*VLOOKUP('Données projet'!$B$14,Paramètres!$A$1:$I$89,3,0)*0.475*44/12</f>
        <v>2.1790950344510174</v>
      </c>
      <c r="EC103" s="21">
        <f>EXP(-LN(2)/2)*EC102+(1-EXP(-LN(2)/2))/(LN(2)/2)*DW103*DZ103*VLOOKUP('Données projet'!$B$14,Paramètres!$A$1:$I$89,3,0)*0.475*44/12</f>
        <v>7.1778258177983821E-10</v>
      </c>
      <c r="ED103" s="22">
        <f t="shared" si="72"/>
        <v>2.8961561859120875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3.4106051316484809E-13</v>
      </c>
      <c r="EK103" s="17">
        <f>EJ103*VLOOKUP('Données projet'!$B$15,Paramètres!$A$1:$I$89,3,0)*VLOOKUP('Données projet'!$B$15,Paramètres!$A$1:$I$89,5,0)</f>
        <v>1.5074874681886286E-13</v>
      </c>
      <c r="EL103" s="13">
        <f t="shared" si="99"/>
        <v>2.1590218794584103E-12</v>
      </c>
      <c r="EM103" s="20">
        <f t="shared" si="73"/>
        <v>4.0228505074329168E-12</v>
      </c>
      <c r="EN103" s="59">
        <f t="shared" si="74"/>
        <v>293.33333333333735</v>
      </c>
      <c r="EO103" s="59">
        <f ca="1">AVERAGE(OFFSET($EN$3,0,0,'Données projet'!$E$15+1,1))-AVERAGE(OFFSET($H$3,0,0,'Données projet'!$E$15+1,1))</f>
        <v>335.27356627949155</v>
      </c>
      <c r="EP103" s="59">
        <f t="shared" si="100"/>
        <v>322.66829503077247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4.0150761046211745</v>
      </c>
      <c r="EX103" s="21">
        <f>EXP(-LN(2)/2)*EX102+(1-EXP(-LN(2)/2))/(LN(2)/2)*ER103*EU103*VLOOKUP('Données projet'!$B$15,Paramètres!$A$1:$I$89,3,0)*0.475*44/12</f>
        <v>1.0297850197584049E-9</v>
      </c>
      <c r="EY103" s="22">
        <f t="shared" si="75"/>
        <v>4.0150761056509596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311.19999999999976</v>
      </c>
      <c r="O104" s="13">
        <f>N104*VLOOKUP('Données projet'!$B$9,Paramètres!$A$1:$I$89,3,0)*VLOOKUP('Données projet'!$B$9,Paramètres!$A$1:$I$89,5,0)</f>
        <v>281.57375999999977</v>
      </c>
      <c r="P104" s="13">
        <f t="shared" si="87"/>
        <v>67.299481043334993</v>
      </c>
      <c r="Q104" s="20">
        <f t="shared" si="107"/>
        <v>607.62089481714133</v>
      </c>
      <c r="R104" s="59">
        <f t="shared" si="55"/>
        <v>900.95422815047459</v>
      </c>
      <c r="S104" s="59">
        <f ca="1">AVERAGE(OFFSET($R$3,0,0,'Données projet'!$E$9+1,1))-AVERAGE(OFFSET($H$3,0,0,'Données projet'!$E$9+1,1))</f>
        <v>319.18811755575183</v>
      </c>
      <c r="T104" s="59">
        <f t="shared" si="88"/>
        <v>234.87694492493506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0.59033065563625242</v>
      </c>
      <c r="AA104" s="21">
        <f>EXP(-LN(2)/25)*AA103+(1-EXP(-LN(2)/25))/(LN(2)/25)*Calculateur!V104*Calculateur!X104*VLOOKUP('Données projet'!$B$9,Paramètres!$A$1:$I$89,3,0)*0.475*44/12</f>
        <v>1.5757684850117659</v>
      </c>
      <c r="AB104" s="21">
        <f>EXP(-LN(2)/2)*AB103+(1-EXP(-LN(2)/2))/(LN(2)/2)*V104*Y104*VLOOKUP('Données projet'!$B$9,Paramètres!$A$1:$I$89,3,0)*0.475*44/12</f>
        <v>4.4355723629031046E-10</v>
      </c>
      <c r="AC104" s="22">
        <f t="shared" si="57"/>
        <v>2.1660991410915758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-1.8089849618263545E-13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314.94704727988847</v>
      </c>
      <c r="AO104" s="59">
        <f t="shared" si="90"/>
        <v>366.49199094166454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0.95970154100929683</v>
      </c>
      <c r="AV104" s="21">
        <f>EXP(-LN(2)/25)*AV103+(1-EXP(-LN(2)/25))/(LN(2)/25)*Calculateur!AQ104*Calculateur!AS104*VLOOKUP('Données projet'!$B$10,Paramètres!$A$1:$I$89,3,0)*0.475*44/12</f>
        <v>3.5483493291873884</v>
      </c>
      <c r="AW104" s="21">
        <f>EXP(-LN(2)/2)*AW103+(1-EXP(-LN(2)/2))/(LN(2)/2)*AQ104*AT104*VLOOKUP('Données projet'!$B$10,Paramètres!$A$1:$I$89,3,0)*0.475*44/12</f>
        <v>5.9411491249719073E-10</v>
      </c>
      <c r="AX104" s="21">
        <f t="shared" si="60"/>
        <v>4.5080508707908002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-1.4897523215040565E-13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246.64951465060813</v>
      </c>
      <c r="BJ104" s="59">
        <f t="shared" si="92"/>
        <v>292.64550285216865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0.64122122939799853</v>
      </c>
      <c r="BQ104" s="21">
        <f>EXP(-LN(2)/25)*BQ103+(1-EXP(-LN(2)/25))/(LN(2)/25)*Calculateur!BL104*Calculateur!BN104*VLOOKUP('Données projet'!$B$11,Paramètres!$A$1:$I$89,3,0)*0.475*44/12</f>
        <v>2.370817198857722</v>
      </c>
      <c r="BR104" s="21">
        <f>EXP(-LN(2)/2)*BR103+(1-EXP(-LN(2)/2))/(LN(2)/2)*BL104*BO104*VLOOKUP('Données projet'!$B$11,Paramètres!$A$1:$I$89,3,0)*0.475*44/12</f>
        <v>4.8927110440945122E-10</v>
      </c>
      <c r="BS104" s="22">
        <f t="shared" si="63"/>
        <v>3.0120384287449919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-2.2737367544323206E-13</v>
      </c>
      <c r="BZ104" s="13">
        <f>BY104*VLOOKUP('Données projet'!$B$12,Paramètres!$A$1:$I$89,3,0)*VLOOKUP('Données projet'!$B$12,Paramètres!$A$1:$I$89,5,0)</f>
        <v>-1.5252226148732008E-13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254.25222107710192</v>
      </c>
      <c r="CE104" s="59">
        <f t="shared" si="94"/>
        <v>300.86609173447573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0.80916012281175964</v>
      </c>
      <c r="CL104" s="21">
        <f>EXP(-LN(2)/25)*CL103+(1-EXP(-LN(2)/25))/(LN(2)/25)*Calculateur!CG104*Calculateur!CI104*VLOOKUP('Données projet'!$B$12,Paramètres!$A$1:$I$89,3,0)*0.475*44/12</f>
        <v>2.9917455128442683</v>
      </c>
      <c r="CM104" s="21">
        <f>EXP(-LN(2)/2)*CM103+(1-EXP(-LN(2)/2))/(LN(2)/2)*CG104*CJ104*VLOOKUP('Données projet'!$B$12,Paramètres!$A$1:$I$89,3,0)*0.475*44/12</f>
        <v>5.0092041641920034E-10</v>
      </c>
      <c r="CN104" s="22">
        <f t="shared" si="66"/>
        <v>3.8009056361569487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243.38048563215585</v>
      </c>
      <c r="CZ104" s="59">
        <f t="shared" si="96"/>
        <v>372.1604147006675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1.7913481964134563</v>
      </c>
      <c r="DG104" s="21">
        <f>EXP(-LN(2)/25)*DG103+(1-EXP(-LN(2)/25))/(LN(2)/25)*Calculateur!DB104*Calculateur!DD104*VLOOKUP('Données projet'!$B$13,Paramètres!$A$1:$I$89,3,0)*0.475*44/12</f>
        <v>2.7041740454154208</v>
      </c>
      <c r="DH104" s="21">
        <f>EXP(-LN(2)/2)*DH103+(1-EXP(-LN(2)/2))/(LN(2)/2)*DB104*DE104*VLOOKUP('Données projet'!$B$13,Paramètres!$A$1:$I$89,3,0)*0.475*44/12</f>
        <v>6.0328725689609997E-10</v>
      </c>
      <c r="DI104" s="22">
        <f t="shared" si="69"/>
        <v>4.4955222424321644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1.1368683772161603E-13</v>
      </c>
      <c r="DP104" s="17">
        <f>DO104*VLOOKUP('Données projet'!$B$14,Paramètres!$A$1:$I$89,3,0)*VLOOKUP('Données projet'!$B$14,Paramètres!$A$1:$I$89,5,0)</f>
        <v>6.5028871176764376E-14</v>
      </c>
      <c r="DQ104" s="13">
        <f t="shared" si="97"/>
        <v>1.0270999702906072E-12</v>
      </c>
      <c r="DR104" s="20">
        <f t="shared" si="70"/>
        <v>1.9021243988890057E-12</v>
      </c>
      <c r="DS104" s="59">
        <f t="shared" si="71"/>
        <v>293.33333333333519</v>
      </c>
      <c r="DT104" s="59">
        <f ca="1">AVERAGE(OFFSET($DS$3,0,0,'Données projet'!$E$14+1,1))-AVERAGE(OFFSET($H$3,0,0,'Données projet'!$E$14+1,1))</f>
        <v>227.99747790451215</v>
      </c>
      <c r="DU104" s="59">
        <f t="shared" si="98"/>
        <v>209.49597700966933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0.70300001894132724</v>
      </c>
      <c r="EB104" s="21">
        <f>EXP(-LN(2)/25)*EB103+(1-EXP(-LN(2)/25))/(LN(2)/25)*Calculateur!DW104*Calculateur!DY104*VLOOKUP('Données projet'!$B$14,Paramètres!$A$1:$I$89,3,0)*0.475*44/12</f>
        <v>2.1195075661403266</v>
      </c>
      <c r="EC104" s="21">
        <f>EXP(-LN(2)/2)*EC103+(1-EXP(-LN(2)/2))/(LN(2)/2)*DW104*DZ104*VLOOKUP('Données projet'!$B$14,Paramètres!$A$1:$I$89,3,0)*0.475*44/12</f>
        <v>5.075489309941112E-10</v>
      </c>
      <c r="ED104" s="22">
        <f t="shared" si="72"/>
        <v>2.8225075855892032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3.4106051316484809E-13</v>
      </c>
      <c r="EK104" s="17">
        <f>EJ104*VLOOKUP('Données projet'!$B$15,Paramètres!$A$1:$I$89,3,0)*VLOOKUP('Données projet'!$B$15,Paramètres!$A$1:$I$89,5,0)</f>
        <v>1.5074874681886286E-13</v>
      </c>
      <c r="EL104" s="13">
        <f t="shared" si="99"/>
        <v>2.1590218794584103E-12</v>
      </c>
      <c r="EM104" s="20">
        <f t="shared" si="73"/>
        <v>4.0228505074329168E-12</v>
      </c>
      <c r="EN104" s="59">
        <f t="shared" si="74"/>
        <v>293.33333333333735</v>
      </c>
      <c r="EO104" s="59">
        <f ca="1">AVERAGE(OFFSET($EN$3,0,0,'Données projet'!$E$15+1,1))-AVERAGE(OFFSET($H$3,0,0,'Données projet'!$E$15+1,1))</f>
        <v>335.27356627949155</v>
      </c>
      <c r="EP104" s="59">
        <f t="shared" si="100"/>
        <v>322.66829503077247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3.9052836373966326</v>
      </c>
      <c r="EX104" s="21">
        <f>EXP(-LN(2)/2)*EX103+(1-EXP(-LN(2)/2))/(LN(2)/2)*ER104*EU104*VLOOKUP('Données projet'!$B$15,Paramètres!$A$1:$I$89,3,0)*0.475*44/12</f>
        <v>7.2816797063549095E-10</v>
      </c>
      <c r="EY104" s="22">
        <f t="shared" si="75"/>
        <v>3.9052836381248008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316.39999999999975</v>
      </c>
      <c r="O105" s="13">
        <f>N105*VLOOKUP('Données projet'!$B$9,Paramètres!$A$1:$I$89,3,0)*VLOOKUP('Données projet'!$B$9,Paramètres!$A$1:$I$89,5,0)</f>
        <v>286.27871999999974</v>
      </c>
      <c r="P105" s="13">
        <f t="shared" si="87"/>
        <v>68.292165517667542</v>
      </c>
      <c r="Q105" s="20">
        <f t="shared" si="107"/>
        <v>617.54429227660387</v>
      </c>
      <c r="R105" s="59">
        <f t="shared" si="55"/>
        <v>910.87762560993724</v>
      </c>
      <c r="S105" s="59">
        <f ca="1">AVERAGE(OFFSET($R$3,0,0,'Données projet'!$E$9+1,1))-AVERAGE(OFFSET($H$3,0,0,'Données projet'!$E$9+1,1))</f>
        <v>319.18811755575183</v>
      </c>
      <c r="T105" s="59">
        <f t="shared" si="88"/>
        <v>234.87694492493506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0.57875463154537188</v>
      </c>
      <c r="AA105" s="21">
        <f>EXP(-LN(2)/25)*AA104+(1-EXP(-LN(2)/25))/(LN(2)/25)*Calculateur!V105*Calculateur!X105*VLOOKUP('Données projet'!$B$9,Paramètres!$A$1:$I$89,3,0)*0.475*44/12</f>
        <v>1.5326790129230561</v>
      </c>
      <c r="AB105" s="21">
        <f>EXP(-LN(2)/2)*AB104+(1-EXP(-LN(2)/2))/(LN(2)/2)*V105*Y105*VLOOKUP('Données projet'!$B$9,Paramètres!$A$1:$I$89,3,0)*0.475*44/12</f>
        <v>3.1364232962524231E-10</v>
      </c>
      <c r="AC105" s="22">
        <f t="shared" si="57"/>
        <v>2.1114336447820703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-1.8089849618263545E-13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314.94704727988847</v>
      </c>
      <c r="AO105" s="59">
        <f t="shared" si="90"/>
        <v>366.49199094166454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0.94088237915024497</v>
      </c>
      <c r="AV105" s="21">
        <f>EXP(-LN(2)/25)*AV104+(1-EXP(-LN(2)/25))/(LN(2)/25)*Calculateur!AQ105*Calculateur!AS105*VLOOKUP('Données projet'!$B$10,Paramètres!$A$1:$I$89,3,0)*0.475*44/12</f>
        <v>3.4513195301811779</v>
      </c>
      <c r="AW105" s="21">
        <f>EXP(-LN(2)/2)*AW104+(1-EXP(-LN(2)/2))/(LN(2)/2)*AQ105*AT105*VLOOKUP('Données projet'!$B$10,Paramètres!$A$1:$I$89,3,0)*0.475*44/12</f>
        <v>4.2010268343081588E-10</v>
      </c>
      <c r="AX105" s="21">
        <f t="shared" si="60"/>
        <v>4.3922019097515257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-1.4897523215040565E-13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246.64951465060813</v>
      </c>
      <c r="BJ105" s="59">
        <f t="shared" si="92"/>
        <v>292.64550285216865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0.62864727219583516</v>
      </c>
      <c r="BQ105" s="21">
        <f>EXP(-LN(2)/25)*BQ104+(1-EXP(-LN(2)/25))/(LN(2)/25)*Calculateur!BL105*Calculateur!BN105*VLOOKUP('Données projet'!$B$11,Paramètres!$A$1:$I$89,3,0)*0.475*44/12</f>
        <v>2.3059870778790996</v>
      </c>
      <c r="BR105" s="21">
        <f>EXP(-LN(2)/2)*BR104+(1-EXP(-LN(2)/2))/(LN(2)/2)*BL105*BO105*VLOOKUP('Données projet'!$B$11,Paramètres!$A$1:$I$89,3,0)*0.475*44/12</f>
        <v>3.4596691576655428E-10</v>
      </c>
      <c r="BS105" s="22">
        <f t="shared" si="63"/>
        <v>2.9346343504209016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-2.2737367544323206E-13</v>
      </c>
      <c r="BZ105" s="13">
        <f>BY105*VLOOKUP('Données projet'!$B$12,Paramètres!$A$1:$I$89,3,0)*VLOOKUP('Données projet'!$B$12,Paramètres!$A$1:$I$89,5,0)</f>
        <v>-1.5252226148732008E-13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254.25222107710192</v>
      </c>
      <c r="CE105" s="59">
        <f t="shared" si="94"/>
        <v>300.86609173447573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0.793292986342363</v>
      </c>
      <c r="CL105" s="21">
        <f>EXP(-LN(2)/25)*CL104+(1-EXP(-LN(2)/25))/(LN(2)/25)*Calculateur!CG105*Calculateur!CI105*VLOOKUP('Données projet'!$B$12,Paramètres!$A$1:$I$89,3,0)*0.475*44/12</f>
        <v>2.9099360744664828</v>
      </c>
      <c r="CM105" s="21">
        <f>EXP(-LN(2)/2)*CM104+(1-EXP(-LN(2)/2))/(LN(2)/2)*CG105*CJ105*VLOOKUP('Données projet'!$B$12,Paramètres!$A$1:$I$89,3,0)*0.475*44/12</f>
        <v>3.5420422328480577E-10</v>
      </c>
      <c r="CN105" s="22">
        <f t="shared" si="66"/>
        <v>3.7032290611630501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243.38048563215585</v>
      </c>
      <c r="CZ105" s="59">
        <f t="shared" si="96"/>
        <v>372.1604147006675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1.7562209508963016</v>
      </c>
      <c r="DG105" s="21">
        <f>EXP(-LN(2)/25)*DG104+(1-EXP(-LN(2)/25))/(LN(2)/25)*Calculateur!DB105*Calculateur!DD105*VLOOKUP('Données projet'!$B$13,Paramètres!$A$1:$I$89,3,0)*0.475*44/12</f>
        <v>2.6302282639372034</v>
      </c>
      <c r="DH105" s="21">
        <f>EXP(-LN(2)/2)*DH104+(1-EXP(-LN(2)/2))/(LN(2)/2)*DB105*DE105*VLOOKUP('Données projet'!$B$13,Paramètres!$A$1:$I$89,3,0)*0.475*44/12</f>
        <v>4.2658851035466305E-10</v>
      </c>
      <c r="DI105" s="22">
        <f t="shared" si="69"/>
        <v>4.3864492152600931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1.1368683772161603E-13</v>
      </c>
      <c r="DP105" s="17">
        <f>DO105*VLOOKUP('Données projet'!$B$14,Paramètres!$A$1:$I$89,3,0)*VLOOKUP('Données projet'!$B$14,Paramètres!$A$1:$I$89,5,0)</f>
        <v>6.5028871176764376E-14</v>
      </c>
      <c r="DQ105" s="13">
        <f t="shared" si="97"/>
        <v>1.0270999702906072E-12</v>
      </c>
      <c r="DR105" s="20">
        <f t="shared" si="70"/>
        <v>1.9021243988890057E-12</v>
      </c>
      <c r="DS105" s="59">
        <f t="shared" si="71"/>
        <v>293.33333333333519</v>
      </c>
      <c r="DT105" s="59">
        <f ca="1">AVERAGE(OFFSET($DS$3,0,0,'Données projet'!$E$14+1,1))-AVERAGE(OFFSET($H$3,0,0,'Données projet'!$E$14+1,1))</f>
        <v>227.99747790451215</v>
      </c>
      <c r="DU105" s="59">
        <f t="shared" si="98"/>
        <v>209.49597700966933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0.68921461735756007</v>
      </c>
      <c r="EB105" s="21">
        <f>EXP(-LN(2)/25)*EB104+(1-EXP(-LN(2)/25))/(LN(2)/25)*Calculateur!DW105*Calculateur!DY105*VLOOKUP('Données projet'!$B$14,Paramètres!$A$1:$I$89,3,0)*0.475*44/12</f>
        <v>2.0615495202841605</v>
      </c>
      <c r="EC105" s="21">
        <f>EXP(-LN(2)/2)*EC104+(1-EXP(-LN(2)/2))/(LN(2)/2)*DW105*DZ105*VLOOKUP('Données projet'!$B$14,Paramètres!$A$1:$I$89,3,0)*0.475*44/12</f>
        <v>3.588912908899191E-10</v>
      </c>
      <c r="ED105" s="22">
        <f t="shared" si="72"/>
        <v>2.7507641380006116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3.4106051316484809E-13</v>
      </c>
      <c r="EK105" s="17">
        <f>EJ105*VLOOKUP('Données projet'!$B$15,Paramètres!$A$1:$I$89,3,0)*VLOOKUP('Données projet'!$B$15,Paramètres!$A$1:$I$89,5,0)</f>
        <v>1.5074874681886286E-13</v>
      </c>
      <c r="EL105" s="13">
        <f t="shared" si="99"/>
        <v>2.1590218794584103E-12</v>
      </c>
      <c r="EM105" s="20">
        <f t="shared" si="73"/>
        <v>4.0228505074329168E-12</v>
      </c>
      <c r="EN105" s="59">
        <f t="shared" si="74"/>
        <v>293.33333333333735</v>
      </c>
      <c r="EO105" s="59">
        <f ca="1">AVERAGE(OFFSET($EN$3,0,0,'Données projet'!$E$15+1,1))-AVERAGE(OFFSET($H$3,0,0,'Données projet'!$E$15+1,1))</f>
        <v>335.27356627949155</v>
      </c>
      <c r="EP105" s="59">
        <f t="shared" si="100"/>
        <v>322.66829503077247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3.7984934509620807</v>
      </c>
      <c r="EX105" s="21">
        <f>EXP(-LN(2)/2)*EX104+(1-EXP(-LN(2)/2))/(LN(2)/2)*ER105*EU105*VLOOKUP('Données projet'!$B$15,Paramètres!$A$1:$I$89,3,0)*0.475*44/12</f>
        <v>5.1489250987920245E-10</v>
      </c>
      <c r="EY105" s="22">
        <f t="shared" si="75"/>
        <v>3.7984934514769733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321.59999999999974</v>
      </c>
      <c r="O106" s="13">
        <f>N106*VLOOKUP('Données projet'!$B$9,Paramètres!$A$1:$I$89,3,0)*VLOOKUP('Données projet'!$B$9,Paramètres!$A$1:$I$89,5,0)</f>
        <v>290.98367999999977</v>
      </c>
      <c r="P106" s="13">
        <f t="shared" si="87"/>
        <v>69.282952690245352</v>
      </c>
      <c r="Q106" s="20">
        <f t="shared" si="107"/>
        <v>627.46438526884356</v>
      </c>
      <c r="R106" s="59">
        <f t="shared" si="55"/>
        <v>920.79771860217693</v>
      </c>
      <c r="S106" s="59">
        <f ca="1">AVERAGE(OFFSET($R$3,0,0,'Données projet'!$E$9+1,1))-AVERAGE(OFFSET($H$3,0,0,'Données projet'!$E$9+1,1))</f>
        <v>319.18811755575183</v>
      </c>
      <c r="T106" s="59">
        <f t="shared" si="88"/>
        <v>234.87694492493506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0.56740560622623604</v>
      </c>
      <c r="AA106" s="21">
        <f>EXP(-LN(2)/25)*AA105+(1-EXP(-LN(2)/25))/(LN(2)/25)*Calculateur!V106*Calculateur!X106*VLOOKUP('Données projet'!$B$9,Paramètres!$A$1:$I$89,3,0)*0.475*44/12</f>
        <v>1.4907678247145888</v>
      </c>
      <c r="AB106" s="21">
        <f>EXP(-LN(2)/2)*AB105+(1-EXP(-LN(2)/2))/(LN(2)/2)*V106*Y106*VLOOKUP('Données projet'!$B$9,Paramètres!$A$1:$I$89,3,0)*0.475*44/12</f>
        <v>2.2177861814515523E-10</v>
      </c>
      <c r="AC106" s="22">
        <f t="shared" si="57"/>
        <v>2.0581734311626034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-1.8089849618263545E-13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314.94704727988847</v>
      </c>
      <c r="AO106" s="59">
        <f t="shared" si="90"/>
        <v>366.49199094166454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0.9224322495766939</v>
      </c>
      <c r="AV106" s="21">
        <f>EXP(-LN(2)/25)*AV105+(1-EXP(-LN(2)/25))/(LN(2)/25)*Calculateur!AQ106*Calculateur!AS106*VLOOKUP('Données projet'!$B$10,Paramètres!$A$1:$I$89,3,0)*0.475*44/12</f>
        <v>3.3569430161313676</v>
      </c>
      <c r="AW106" s="21">
        <f>EXP(-LN(2)/2)*AW105+(1-EXP(-LN(2)/2))/(LN(2)/2)*AQ106*AT106*VLOOKUP('Données projet'!$B$10,Paramètres!$A$1:$I$89,3,0)*0.475*44/12</f>
        <v>2.9705745624859537E-10</v>
      </c>
      <c r="AX106" s="21">
        <f t="shared" si="60"/>
        <v>4.2793752660051192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-1.4897523215040565E-13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246.64951465060813</v>
      </c>
      <c r="BJ106" s="59">
        <f t="shared" si="92"/>
        <v>292.64550285216865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0.61631988262504966</v>
      </c>
      <c r="BQ106" s="21">
        <f>EXP(-LN(2)/25)*BQ105+(1-EXP(-LN(2)/25))/(LN(2)/25)*Calculateur!BL106*Calculateur!BN106*VLOOKUP('Données projet'!$B$11,Paramètres!$A$1:$I$89,3,0)*0.475*44/12</f>
        <v>2.2429297399679058</v>
      </c>
      <c r="BR106" s="21">
        <f>EXP(-LN(2)/2)*BR105+(1-EXP(-LN(2)/2))/(LN(2)/2)*BL106*BO106*VLOOKUP('Données projet'!$B$11,Paramètres!$A$1:$I$89,3,0)*0.475*44/12</f>
        <v>2.4463555220472561E-10</v>
      </c>
      <c r="BS106" s="22">
        <f t="shared" si="63"/>
        <v>2.859249622837591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-2.2737367544323206E-13</v>
      </c>
      <c r="BZ106" s="13">
        <f>BY106*VLOOKUP('Données projet'!$B$12,Paramètres!$A$1:$I$89,3,0)*VLOOKUP('Données projet'!$B$12,Paramètres!$A$1:$I$89,5,0)</f>
        <v>-1.5252226148732008E-13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254.25222107710192</v>
      </c>
      <c r="CE106" s="59">
        <f t="shared" si="94"/>
        <v>300.86609173447573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0.77773699474113367</v>
      </c>
      <c r="CL106" s="21">
        <f>EXP(-LN(2)/25)*CL105+(1-EXP(-LN(2)/25))/(LN(2)/25)*Calculateur!CG106*Calculateur!CI106*VLOOKUP('Données projet'!$B$12,Paramètres!$A$1:$I$89,3,0)*0.475*44/12</f>
        <v>2.8303637194833096</v>
      </c>
      <c r="CM106" s="21">
        <f>EXP(-LN(2)/2)*CM105+(1-EXP(-LN(2)/2))/(LN(2)/2)*CG106*CJ106*VLOOKUP('Données projet'!$B$12,Paramètres!$A$1:$I$89,3,0)*0.475*44/12</f>
        <v>2.5046020820960017E-10</v>
      </c>
      <c r="CN106" s="22">
        <f t="shared" si="66"/>
        <v>3.6081007144749035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243.38048563215585</v>
      </c>
      <c r="CZ106" s="59">
        <f t="shared" si="96"/>
        <v>372.1604147006675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1.721782529238234</v>
      </c>
      <c r="DG106" s="21">
        <f>EXP(-LN(2)/25)*DG105+(1-EXP(-LN(2)/25))/(LN(2)/25)*Calculateur!DB106*Calculateur!DD106*VLOOKUP('Données projet'!$B$13,Paramètres!$A$1:$I$89,3,0)*0.475*44/12</f>
        <v>2.5583045337421475</v>
      </c>
      <c r="DH106" s="21">
        <f>EXP(-LN(2)/2)*DH105+(1-EXP(-LN(2)/2))/(LN(2)/2)*DB106*DE106*VLOOKUP('Données projet'!$B$13,Paramètres!$A$1:$I$89,3,0)*0.475*44/12</f>
        <v>3.0164362844804998E-10</v>
      </c>
      <c r="DI106" s="22">
        <f t="shared" si="69"/>
        <v>4.2800870632820258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1.1368683772161603E-13</v>
      </c>
      <c r="DP106" s="17">
        <f>DO106*VLOOKUP('Données projet'!$B$14,Paramètres!$A$1:$I$89,3,0)*VLOOKUP('Données projet'!$B$14,Paramètres!$A$1:$I$89,5,0)</f>
        <v>6.5028871176764376E-14</v>
      </c>
      <c r="DQ106" s="13">
        <f t="shared" si="97"/>
        <v>1.0270999702906072E-12</v>
      </c>
      <c r="DR106" s="20">
        <f t="shared" si="70"/>
        <v>1.9021243988890057E-12</v>
      </c>
      <c r="DS106" s="59">
        <f t="shared" si="71"/>
        <v>293.33333333333519</v>
      </c>
      <c r="DT106" s="59">
        <f ca="1">AVERAGE(OFFSET($DS$3,0,0,'Données projet'!$E$14+1,1))-AVERAGE(OFFSET($H$3,0,0,'Données projet'!$E$14+1,1))</f>
        <v>227.99747790451215</v>
      </c>
      <c r="DU106" s="59">
        <f t="shared" si="98"/>
        <v>209.49597700966933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0.67569953909058589</v>
      </c>
      <c r="EB106" s="21">
        <f>EXP(-LN(2)/25)*EB105+(1-EXP(-LN(2)/25))/(LN(2)/25)*Calculateur!DW106*Calculateur!DY106*VLOOKUP('Données projet'!$B$14,Paramètres!$A$1:$I$89,3,0)*0.475*44/12</f>
        <v>2.0051763402398124</v>
      </c>
      <c r="EC106" s="21">
        <f>EXP(-LN(2)/2)*EC105+(1-EXP(-LN(2)/2))/(LN(2)/2)*DW106*DZ106*VLOOKUP('Données projet'!$B$14,Paramètres!$A$1:$I$89,3,0)*0.475*44/12</f>
        <v>2.537744654970556E-10</v>
      </c>
      <c r="ED106" s="22">
        <f t="shared" si="72"/>
        <v>2.6808758795841725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3.4106051316484809E-13</v>
      </c>
      <c r="EK106" s="17">
        <f>EJ106*VLOOKUP('Données projet'!$B$15,Paramètres!$A$1:$I$89,3,0)*VLOOKUP('Données projet'!$B$15,Paramètres!$A$1:$I$89,5,0)</f>
        <v>1.5074874681886286E-13</v>
      </c>
      <c r="EL106" s="13">
        <f t="shared" si="99"/>
        <v>2.1590218794584103E-12</v>
      </c>
      <c r="EM106" s="20">
        <f t="shared" si="73"/>
        <v>4.0228505074329168E-12</v>
      </c>
      <c r="EN106" s="59">
        <f t="shared" si="74"/>
        <v>293.33333333333735</v>
      </c>
      <c r="EO106" s="59">
        <f ca="1">AVERAGE(OFFSET($EN$3,0,0,'Données projet'!$E$15+1,1))-AVERAGE(OFFSET($H$3,0,0,'Données projet'!$E$15+1,1))</f>
        <v>335.27356627949155</v>
      </c>
      <c r="EP106" s="59">
        <f t="shared" si="100"/>
        <v>322.66829503077247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3.6946234477914337</v>
      </c>
      <c r="EX106" s="21">
        <f>EXP(-LN(2)/2)*EX105+(1-EXP(-LN(2)/2))/(LN(2)/2)*ER106*EU106*VLOOKUP('Données projet'!$B$15,Paramètres!$A$1:$I$89,3,0)*0.475*44/12</f>
        <v>3.6408398531774547E-10</v>
      </c>
      <c r="EY106" s="22">
        <f t="shared" si="75"/>
        <v>3.6946234481555176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326.79999999999973</v>
      </c>
      <c r="O107" s="13">
        <f>N107*VLOOKUP('Données projet'!$B$9,Paramètres!$A$1:$I$89,3,0)*VLOOKUP('Données projet'!$B$9,Paramètres!$A$1:$I$89,5,0)</f>
        <v>295.68863999999974</v>
      </c>
      <c r="P107" s="13">
        <f t="shared" si="87"/>
        <v>70.271876780519676</v>
      </c>
      <c r="Q107" s="20">
        <f t="shared" si="107"/>
        <v>637.38123339273795</v>
      </c>
      <c r="R107" s="59">
        <f t="shared" si="55"/>
        <v>930.71456672607133</v>
      </c>
      <c r="S107" s="59">
        <f ca="1">AVERAGE(OFFSET($R$3,0,0,'Données projet'!$E$9+1,1))-AVERAGE(OFFSET($H$3,0,0,'Données projet'!$E$9+1,1))</f>
        <v>319.18811755575183</v>
      </c>
      <c r="T107" s="59">
        <f t="shared" si="88"/>
        <v>234.87694492493506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0.55627912837138649</v>
      </c>
      <c r="AA107" s="21">
        <f>EXP(-LN(2)/25)*AA106+(1-EXP(-LN(2)/25))/(LN(2)/25)*Calculateur!V107*Calculateur!X107*VLOOKUP('Données projet'!$B$9,Paramètres!$A$1:$I$89,3,0)*0.475*44/12</f>
        <v>1.4500027001516957</v>
      </c>
      <c r="AB107" s="21">
        <f>EXP(-LN(2)/2)*AB106+(1-EXP(-LN(2)/2))/(LN(2)/2)*V107*Y107*VLOOKUP('Données projet'!$B$9,Paramètres!$A$1:$I$89,3,0)*0.475*44/12</f>
        <v>1.5682116481262116E-10</v>
      </c>
      <c r="AC107" s="22">
        <f t="shared" si="57"/>
        <v>2.0062818286799033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-1.8089849618263545E-13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314.94704727988847</v>
      </c>
      <c r="AO107" s="59">
        <f t="shared" si="90"/>
        <v>366.49199094166454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0.90434391579061224</v>
      </c>
      <c r="AV107" s="21">
        <f>EXP(-LN(2)/25)*AV106+(1-EXP(-LN(2)/25))/(LN(2)/25)*Calculateur!AQ107*Calculateur!AS107*VLOOKUP('Données projet'!$B$10,Paramètres!$A$1:$I$89,3,0)*0.475*44/12</f>
        <v>3.2651472328212945</v>
      </c>
      <c r="AW107" s="21">
        <f>EXP(-LN(2)/2)*AW106+(1-EXP(-LN(2)/2))/(LN(2)/2)*AQ107*AT107*VLOOKUP('Données projet'!$B$10,Paramètres!$A$1:$I$89,3,0)*0.475*44/12</f>
        <v>2.1005134171540794E-10</v>
      </c>
      <c r="AX107" s="21">
        <f t="shared" si="60"/>
        <v>4.1694911488219581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-1.4897523215040565E-13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246.64951465060813</v>
      </c>
      <c r="BJ107" s="59">
        <f t="shared" si="92"/>
        <v>292.64550285216865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0.60423422564478202</v>
      </c>
      <c r="BQ107" s="21">
        <f>EXP(-LN(2)/25)*BQ106+(1-EXP(-LN(2)/25))/(LN(2)/25)*Calculateur!BL107*Calculateur!BN107*VLOOKUP('Données projet'!$B$11,Paramètres!$A$1:$I$89,3,0)*0.475*44/12</f>
        <v>2.1815967082779348</v>
      </c>
      <c r="BR107" s="21">
        <f>EXP(-LN(2)/2)*BR106+(1-EXP(-LN(2)/2))/(LN(2)/2)*BL107*BO107*VLOOKUP('Données projet'!$B$11,Paramètres!$A$1:$I$89,3,0)*0.475*44/12</f>
        <v>1.7298345788327714E-10</v>
      </c>
      <c r="BS107" s="22">
        <f t="shared" si="63"/>
        <v>2.7858309340957002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-2.2737367544323206E-13</v>
      </c>
      <c r="BZ107" s="13">
        <f>BY107*VLOOKUP('Données projet'!$B$12,Paramètres!$A$1:$I$89,3,0)*VLOOKUP('Données projet'!$B$12,Paramètres!$A$1:$I$89,5,0)</f>
        <v>-1.5252226148732008E-13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254.25222107710192</v>
      </c>
      <c r="CE107" s="59">
        <f t="shared" si="94"/>
        <v>300.86609173447573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0.76248604664698638</v>
      </c>
      <c r="CL107" s="21">
        <f>EXP(-LN(2)/25)*CL106+(1-EXP(-LN(2)/25))/(LN(2)/25)*Calculateur!CG107*Calculateur!CI107*VLOOKUP('Données projet'!$B$12,Paramètres!$A$1:$I$89,3,0)*0.475*44/12</f>
        <v>2.7529672747316791</v>
      </c>
      <c r="CM107" s="21">
        <f>EXP(-LN(2)/2)*CM106+(1-EXP(-LN(2)/2))/(LN(2)/2)*CG107*CJ107*VLOOKUP('Données projet'!$B$12,Paramètres!$A$1:$I$89,3,0)*0.475*44/12</f>
        <v>1.7710211164240289E-10</v>
      </c>
      <c r="CN107" s="22">
        <f t="shared" si="66"/>
        <v>3.5154533215557677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243.38048563215585</v>
      </c>
      <c r="CZ107" s="59">
        <f t="shared" si="96"/>
        <v>372.1604147006675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1.688019424023518</v>
      </c>
      <c r="DG107" s="21">
        <f>EXP(-LN(2)/25)*DG106+(1-EXP(-LN(2)/25))/(LN(2)/25)*Calculateur!DB107*Calculateur!DD107*VLOOKUP('Données projet'!$B$13,Paramètres!$A$1:$I$89,3,0)*0.475*44/12</f>
        <v>2.48834756173158</v>
      </c>
      <c r="DH107" s="21">
        <f>EXP(-LN(2)/2)*DH106+(1-EXP(-LN(2)/2))/(LN(2)/2)*DB107*DE107*VLOOKUP('Données projet'!$B$13,Paramètres!$A$1:$I$89,3,0)*0.475*44/12</f>
        <v>2.1329425517733152E-10</v>
      </c>
      <c r="DI107" s="22">
        <f t="shared" si="69"/>
        <v>4.1763669859683921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1.1368683772161603E-13</v>
      </c>
      <c r="DP107" s="17">
        <f>DO107*VLOOKUP('Données projet'!$B$14,Paramètres!$A$1:$I$89,3,0)*VLOOKUP('Données projet'!$B$14,Paramètres!$A$1:$I$89,5,0)</f>
        <v>6.5028871176764376E-14</v>
      </c>
      <c r="DQ107" s="13">
        <f t="shared" si="97"/>
        <v>1.0270999702906072E-12</v>
      </c>
      <c r="DR107" s="20">
        <f t="shared" si="70"/>
        <v>1.9021243988890057E-12</v>
      </c>
      <c r="DS107" s="59">
        <f t="shared" si="71"/>
        <v>293.33333333333519</v>
      </c>
      <c r="DT107" s="59">
        <f ca="1">AVERAGE(OFFSET($DS$3,0,0,'Données projet'!$E$14+1,1))-AVERAGE(OFFSET($H$3,0,0,'Données projet'!$E$14+1,1))</f>
        <v>227.99747790451215</v>
      </c>
      <c r="DU107" s="59">
        <f t="shared" si="98"/>
        <v>209.49597700966933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0.66244948326504327</v>
      </c>
      <c r="EB107" s="21">
        <f>EXP(-LN(2)/25)*EB106+(1-EXP(-LN(2)/25))/(LN(2)/25)*Calculateur!DW107*Calculateur!DY107*VLOOKUP('Données projet'!$B$14,Paramètres!$A$1:$I$89,3,0)*0.475*44/12</f>
        <v>1.9503446877683139</v>
      </c>
      <c r="EC107" s="21">
        <f>EXP(-LN(2)/2)*EC106+(1-EXP(-LN(2)/2))/(LN(2)/2)*DW107*DZ107*VLOOKUP('Données projet'!$B$14,Paramètres!$A$1:$I$89,3,0)*0.475*44/12</f>
        <v>1.7944564544495955E-10</v>
      </c>
      <c r="ED107" s="22">
        <f t="shared" si="72"/>
        <v>2.6127941712128031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3.4106051316484809E-13</v>
      </c>
      <c r="EK107" s="17">
        <f>EJ107*VLOOKUP('Données projet'!$B$15,Paramètres!$A$1:$I$89,3,0)*VLOOKUP('Données projet'!$B$15,Paramètres!$A$1:$I$89,5,0)</f>
        <v>1.5074874681886286E-13</v>
      </c>
      <c r="EL107" s="13">
        <f t="shared" si="99"/>
        <v>2.1590218794584103E-12</v>
      </c>
      <c r="EM107" s="20">
        <f t="shared" si="73"/>
        <v>4.0228505074329168E-12</v>
      </c>
      <c r="EN107" s="59">
        <f t="shared" si="74"/>
        <v>293.33333333333735</v>
      </c>
      <c r="EO107" s="59">
        <f ca="1">AVERAGE(OFFSET($EN$3,0,0,'Données projet'!$E$15+1,1))-AVERAGE(OFFSET($H$3,0,0,'Données projet'!$E$15+1,1))</f>
        <v>335.27356627949155</v>
      </c>
      <c r="EP107" s="59">
        <f t="shared" si="100"/>
        <v>322.66829503077247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3.593593775319774</v>
      </c>
      <c r="EX107" s="21">
        <f>EXP(-LN(2)/2)*EX106+(1-EXP(-LN(2)/2))/(LN(2)/2)*ER107*EU107*VLOOKUP('Données projet'!$B$15,Paramètres!$A$1:$I$89,3,0)*0.475*44/12</f>
        <v>2.5744625493960123E-10</v>
      </c>
      <c r="EY107" s="22">
        <f t="shared" si="75"/>
        <v>3.59359377557722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331.99999999999972</v>
      </c>
      <c r="O108" s="13">
        <f>N108*VLOOKUP('Données projet'!$B$9,Paramètres!$A$1:$I$89,3,0)*VLOOKUP('Données projet'!$B$9,Paramètres!$A$1:$I$89,5,0)</f>
        <v>300.39359999999976</v>
      </c>
      <c r="P108" s="13">
        <f t="shared" si="87"/>
        <v>71.258970856492667</v>
      </c>
      <c r="Q108" s="20">
        <f t="shared" si="107"/>
        <v>647.29489424172436</v>
      </c>
      <c r="R108" s="59">
        <f t="shared" si="55"/>
        <v>940.62822757505774</v>
      </c>
      <c r="S108" s="59">
        <f ca="1">AVERAGE(OFFSET($R$3,0,0,'Données projet'!$E$9+1,1))-AVERAGE(OFFSET($H$3,0,0,'Données projet'!$E$9+1,1))</f>
        <v>319.18811755575183</v>
      </c>
      <c r="T108" s="59">
        <f t="shared" si="88"/>
        <v>234.87694492493506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0.54537083396078911</v>
      </c>
      <c r="AA108" s="21">
        <f>EXP(-LN(2)/25)*AA107+(1-EXP(-LN(2)/25))/(LN(2)/25)*Calculateur!V108*Calculateur!X108*VLOOKUP('Données projet'!$B$9,Paramètres!$A$1:$I$89,3,0)*0.475*44/12</f>
        <v>1.4103523000637197</v>
      </c>
      <c r="AB108" s="21">
        <f>EXP(-LN(2)/2)*AB107+(1-EXP(-LN(2)/2))/(LN(2)/2)*V108*Y108*VLOOKUP('Données projet'!$B$9,Paramètres!$A$1:$I$89,3,0)*0.475*44/12</f>
        <v>1.1088930907257761E-10</v>
      </c>
      <c r="AC108" s="22">
        <f t="shared" si="57"/>
        <v>1.955723134135398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-1.8089849618263545E-13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314.94704727988847</v>
      </c>
      <c r="AO108" s="59">
        <f t="shared" si="90"/>
        <v>366.49199094166454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0.88661028319728141</v>
      </c>
      <c r="AV108" s="21">
        <f>EXP(-LN(2)/25)*AV107+(1-EXP(-LN(2)/25))/(LN(2)/25)*Calculateur!AQ108*Calculateur!AS108*VLOOKUP('Données projet'!$B$10,Paramètres!$A$1:$I$89,3,0)*0.475*44/12</f>
        <v>3.175861610033166</v>
      </c>
      <c r="AW108" s="21">
        <f>EXP(-LN(2)/2)*AW107+(1-EXP(-LN(2)/2))/(LN(2)/2)*AQ108*AT108*VLOOKUP('Données projet'!$B$10,Paramètres!$A$1:$I$89,3,0)*0.475*44/12</f>
        <v>1.4852872812429768E-10</v>
      </c>
      <c r="AX108" s="21">
        <f t="shared" si="60"/>
        <v>4.0624718933789756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-1.4897523215040565E-13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246.64951465060813</v>
      </c>
      <c r="BJ108" s="59">
        <f t="shared" si="92"/>
        <v>292.64550285216865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0.59238556102637452</v>
      </c>
      <c r="BQ108" s="21">
        <f>EXP(-LN(2)/25)*BQ107+(1-EXP(-LN(2)/25))/(LN(2)/25)*Calculateur!BL108*Calculateur!BN108*VLOOKUP('Données projet'!$B$11,Paramètres!$A$1:$I$89,3,0)*0.475*44/12</f>
        <v>2.1219408315648898</v>
      </c>
      <c r="BR108" s="21">
        <f>EXP(-LN(2)/2)*BR107+(1-EXP(-LN(2)/2))/(LN(2)/2)*BL108*BO108*VLOOKUP('Données projet'!$B$11,Paramètres!$A$1:$I$89,3,0)*0.475*44/12</f>
        <v>1.2231777610236281E-10</v>
      </c>
      <c r="BS108" s="22">
        <f t="shared" si="63"/>
        <v>2.7143263927135819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-2.2737367544323206E-13</v>
      </c>
      <c r="BZ108" s="13">
        <f>BY108*VLOOKUP('Données projet'!$B$12,Paramètres!$A$1:$I$89,3,0)*VLOOKUP('Données projet'!$B$12,Paramètres!$A$1:$I$89,5,0)</f>
        <v>-1.5252226148732008E-13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254.25222107710192</v>
      </c>
      <c r="CE108" s="59">
        <f t="shared" si="94"/>
        <v>300.86609173447573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0.74753416034280551</v>
      </c>
      <c r="CL108" s="21">
        <f>EXP(-LN(2)/25)*CL107+(1-EXP(-LN(2)/25))/(LN(2)/25)*Calculateur!CG108*Calculateur!CI108*VLOOKUP('Données projet'!$B$12,Paramètres!$A$1:$I$89,3,0)*0.475*44/12</f>
        <v>2.6776872398318843</v>
      </c>
      <c r="CM108" s="21">
        <f>EXP(-LN(2)/2)*CM107+(1-EXP(-LN(2)/2))/(LN(2)/2)*CG108*CJ108*VLOOKUP('Données projet'!$B$12,Paramètres!$A$1:$I$89,3,0)*0.475*44/12</f>
        <v>1.2523010410480009E-10</v>
      </c>
      <c r="CN108" s="22">
        <f t="shared" si="66"/>
        <v>3.4252214002999199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243.38048563215585</v>
      </c>
      <c r="CZ108" s="59">
        <f t="shared" si="96"/>
        <v>372.1604147006675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1.654918392708602</v>
      </c>
      <c r="DG108" s="21">
        <f>EXP(-LN(2)/25)*DG107+(1-EXP(-LN(2)/25))/(LN(2)/25)*Calculateur!DB108*Calculateur!DD108*VLOOKUP('Données projet'!$B$13,Paramètres!$A$1:$I$89,3,0)*0.475*44/12</f>
        <v>2.420303566799519</v>
      </c>
      <c r="DH108" s="21">
        <f>EXP(-LN(2)/2)*DH107+(1-EXP(-LN(2)/2))/(LN(2)/2)*DB108*DE108*VLOOKUP('Données projet'!$B$13,Paramètres!$A$1:$I$89,3,0)*0.475*44/12</f>
        <v>1.5082181422402499E-10</v>
      </c>
      <c r="DI108" s="22">
        <f t="shared" si="69"/>
        <v>4.0752219596589425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1.1368683772161603E-13</v>
      </c>
      <c r="DP108" s="17">
        <f>DO108*VLOOKUP('Données projet'!$B$14,Paramètres!$A$1:$I$89,3,0)*VLOOKUP('Données projet'!$B$14,Paramètres!$A$1:$I$89,5,0)</f>
        <v>6.5028871176764376E-14</v>
      </c>
      <c r="DQ108" s="13">
        <f t="shared" si="97"/>
        <v>1.0270999702906072E-12</v>
      </c>
      <c r="DR108" s="20">
        <f t="shared" si="70"/>
        <v>1.9021243988890057E-12</v>
      </c>
      <c r="DS108" s="59">
        <f t="shared" si="71"/>
        <v>293.33333333333519</v>
      </c>
      <c r="DT108" s="59">
        <f ca="1">AVERAGE(OFFSET($DS$3,0,0,'Données projet'!$E$14+1,1))-AVERAGE(OFFSET($H$3,0,0,'Données projet'!$E$14+1,1))</f>
        <v>227.99747790451215</v>
      </c>
      <c r="DU108" s="59">
        <f t="shared" si="98"/>
        <v>209.49597700966933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0.64945925295250351</v>
      </c>
      <c r="EB108" s="21">
        <f>EXP(-LN(2)/25)*EB107+(1-EXP(-LN(2)/25))/(LN(2)/25)*Calculateur!DW108*Calculateur!DY108*VLOOKUP('Données projet'!$B$14,Paramètres!$A$1:$I$89,3,0)*0.475*44/12</f>
        <v>1.8970124097171199</v>
      </c>
      <c r="EC108" s="21">
        <f>EXP(-LN(2)/2)*EC107+(1-EXP(-LN(2)/2))/(LN(2)/2)*DW108*DZ108*VLOOKUP('Données projet'!$B$14,Paramètres!$A$1:$I$89,3,0)*0.475*44/12</f>
        <v>1.268872327485278E-10</v>
      </c>
      <c r="ED108" s="22">
        <f t="shared" si="72"/>
        <v>2.5464716627965109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3.4106051316484809E-13</v>
      </c>
      <c r="EK108" s="17">
        <f>EJ108*VLOOKUP('Données projet'!$B$15,Paramètres!$A$1:$I$89,3,0)*VLOOKUP('Données projet'!$B$15,Paramètres!$A$1:$I$89,5,0)</f>
        <v>1.5074874681886286E-13</v>
      </c>
      <c r="EL108" s="13">
        <f t="shared" si="99"/>
        <v>2.1590218794584103E-12</v>
      </c>
      <c r="EM108" s="20">
        <f t="shared" si="73"/>
        <v>4.0228505074329168E-12</v>
      </c>
      <c r="EN108" s="59">
        <f t="shared" si="74"/>
        <v>293.33333333333735</v>
      </c>
      <c r="EO108" s="59">
        <f ca="1">AVERAGE(OFFSET($EN$3,0,0,'Données projet'!$E$15+1,1))-AVERAGE(OFFSET($H$3,0,0,'Données projet'!$E$15+1,1))</f>
        <v>335.27356627949155</v>
      </c>
      <c r="EP108" s="59">
        <f t="shared" si="100"/>
        <v>322.66829503077247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3.4953267645547714</v>
      </c>
      <c r="EX108" s="21">
        <f>EXP(-LN(2)/2)*EX107+(1-EXP(-LN(2)/2))/(LN(2)/2)*ER108*EU108*VLOOKUP('Données projet'!$B$15,Paramètres!$A$1:$I$89,3,0)*0.475*44/12</f>
        <v>1.8204199265887274E-10</v>
      </c>
      <c r="EY108" s="22">
        <f t="shared" si="75"/>
        <v>3.4953267647368134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337.1999999999997</v>
      </c>
      <c r="O109" s="13">
        <f>N109*VLOOKUP('Données projet'!$B$9,Paramètres!$A$1:$I$89,3,0)*VLOOKUP('Données projet'!$B$9,Paramètres!$A$1:$I$89,5,0)</f>
        <v>305.09855999999974</v>
      </c>
      <c r="P109" s="13">
        <f t="shared" si="87"/>
        <v>72.244266890878734</v>
      </c>
      <c r="Q109" s="20">
        <f t="shared" si="107"/>
        <v>657.20542350161338</v>
      </c>
      <c r="R109" s="59">
        <f t="shared" si="55"/>
        <v>950.53875683494675</v>
      </c>
      <c r="S109" s="59">
        <f ca="1">AVERAGE(OFFSET($R$3,0,0,'Données projet'!$E$9+1,1))-AVERAGE(OFFSET($H$3,0,0,'Données projet'!$E$9+1,1))</f>
        <v>319.18811755575183</v>
      </c>
      <c r="T109" s="59">
        <f t="shared" si="88"/>
        <v>234.87694492493506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0.53467644455018093</v>
      </c>
      <c r="AA109" s="21">
        <f>EXP(-LN(2)/25)*AA108+(1-EXP(-LN(2)/25))/(LN(2)/25)*Calculateur!V109*Calculateur!X109*VLOOKUP('Données projet'!$B$9,Paramètres!$A$1:$I$89,3,0)*0.475*44/12</f>
        <v>1.3717861422512732</v>
      </c>
      <c r="AB109" s="21">
        <f>EXP(-LN(2)/2)*AB108+(1-EXP(-LN(2)/2))/(LN(2)/2)*V109*Y109*VLOOKUP('Données projet'!$B$9,Paramètres!$A$1:$I$89,3,0)*0.475*44/12</f>
        <v>7.8410582406310578E-11</v>
      </c>
      <c r="AC109" s="22">
        <f t="shared" si="57"/>
        <v>1.9064625868798646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-1.8089849618263545E-13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314.94704727988847</v>
      </c>
      <c r="AO109" s="59">
        <f t="shared" si="90"/>
        <v>366.49199094166454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0.86922439632265802</v>
      </c>
      <c r="AV109" s="21">
        <f>EXP(-LN(2)/25)*AV108+(1-EXP(-LN(2)/25))/(LN(2)/25)*Calculateur!AQ109*Calculateur!AS109*VLOOKUP('Données projet'!$B$10,Paramètres!$A$1:$I$89,3,0)*0.475*44/12</f>
        <v>3.0890175072955057</v>
      </c>
      <c r="AW109" s="21">
        <f>EXP(-LN(2)/2)*AW108+(1-EXP(-LN(2)/2))/(LN(2)/2)*AQ109*AT109*VLOOKUP('Données projet'!$B$10,Paramètres!$A$1:$I$89,3,0)*0.475*44/12</f>
        <v>1.0502567085770397E-10</v>
      </c>
      <c r="AX109" s="21">
        <f t="shared" si="60"/>
        <v>3.9582419037231893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-1.4897523215040565E-13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246.64951465060813</v>
      </c>
      <c r="BJ109" s="59">
        <f t="shared" si="92"/>
        <v>292.64550285216865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0.5807692414941622</v>
      </c>
      <c r="BQ109" s="21">
        <f>EXP(-LN(2)/25)*BQ108+(1-EXP(-LN(2)/25))/(LN(2)/25)*Calculateur!BL109*Calculateur!BN109*VLOOKUP('Données projet'!$B$11,Paramètres!$A$1:$I$89,3,0)*0.475*44/12</f>
        <v>2.0639162479377293</v>
      </c>
      <c r="BR109" s="21">
        <f>EXP(-LN(2)/2)*BR108+(1-EXP(-LN(2)/2))/(LN(2)/2)*BL109*BO109*VLOOKUP('Données projet'!$B$11,Paramètres!$A$1:$I$89,3,0)*0.475*44/12</f>
        <v>8.6491728941638569E-11</v>
      </c>
      <c r="BS109" s="22">
        <f t="shared" si="63"/>
        <v>2.6446854895183831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-2.2737367544323206E-13</v>
      </c>
      <c r="BZ109" s="13">
        <f>BY109*VLOOKUP('Données projet'!$B$12,Paramètres!$A$1:$I$89,3,0)*VLOOKUP('Données projet'!$B$12,Paramètres!$A$1:$I$89,5,0)</f>
        <v>-1.5252226148732008E-13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254.25222107710192</v>
      </c>
      <c r="CE109" s="59">
        <f t="shared" si="94"/>
        <v>300.86609173447573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0.73287547140929954</v>
      </c>
      <c r="CL109" s="21">
        <f>EXP(-LN(2)/25)*CL108+(1-EXP(-LN(2)/25))/(LN(2)/25)*Calculateur!CG109*Calculateur!CI109*VLOOKUP('Données projet'!$B$12,Paramètres!$A$1:$I$89,3,0)*0.475*44/12</f>
        <v>2.6044657414452295</v>
      </c>
      <c r="CM109" s="21">
        <f>EXP(-LN(2)/2)*CM108+(1-EXP(-LN(2)/2))/(LN(2)/2)*CG109*CJ109*VLOOKUP('Données projet'!$B$12,Paramètres!$A$1:$I$89,3,0)*0.475*44/12</f>
        <v>8.8551055821201443E-11</v>
      </c>
      <c r="CN109" s="22">
        <f t="shared" si="66"/>
        <v>3.3373412129430799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243.38048563215585</v>
      </c>
      <c r="CZ109" s="59">
        <f t="shared" si="96"/>
        <v>372.1604147006675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1.6224664524281358</v>
      </c>
      <c r="DG109" s="21">
        <f>EXP(-LN(2)/25)*DG108+(1-EXP(-LN(2)/25))/(LN(2)/25)*Calculateur!DB109*Calculateur!DD109*VLOOKUP('Données projet'!$B$13,Paramètres!$A$1:$I$89,3,0)*0.475*44/12</f>
        <v>2.3541202384871531</v>
      </c>
      <c r="DH109" s="21">
        <f>EXP(-LN(2)/2)*DH108+(1-EXP(-LN(2)/2))/(LN(2)/2)*DB109*DE109*VLOOKUP('Données projet'!$B$13,Paramètres!$A$1:$I$89,3,0)*0.475*44/12</f>
        <v>1.0664712758866576E-10</v>
      </c>
      <c r="DI109" s="22">
        <f t="shared" si="69"/>
        <v>3.9765866910219358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1.1368683772161603E-13</v>
      </c>
      <c r="DP109" s="17">
        <f>DO109*VLOOKUP('Données projet'!$B$14,Paramètres!$A$1:$I$89,3,0)*VLOOKUP('Données projet'!$B$14,Paramètres!$A$1:$I$89,5,0)</f>
        <v>6.5028871176764376E-14</v>
      </c>
      <c r="DQ109" s="13">
        <f t="shared" si="97"/>
        <v>1.0270999702906072E-12</v>
      </c>
      <c r="DR109" s="20">
        <f t="shared" si="70"/>
        <v>1.9021243988890057E-12</v>
      </c>
      <c r="DS109" s="59">
        <f t="shared" si="71"/>
        <v>293.33333333333519</v>
      </c>
      <c r="DT109" s="59">
        <f ca="1">AVERAGE(OFFSET($DS$3,0,0,'Données projet'!$E$14+1,1))-AVERAGE(OFFSET($H$3,0,0,'Données projet'!$E$14+1,1))</f>
        <v>227.99747790451215</v>
      </c>
      <c r="DU109" s="59">
        <f t="shared" si="98"/>
        <v>209.49597700966933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0.63672375313313456</v>
      </c>
      <c r="EB109" s="21">
        <f>EXP(-LN(2)/25)*EB108+(1-EXP(-LN(2)/25))/(LN(2)/25)*Calculateur!DW109*Calculateur!DY109*VLOOKUP('Données projet'!$B$14,Paramètres!$A$1:$I$89,3,0)*0.475*44/12</f>
        <v>1.8451385056138583</v>
      </c>
      <c r="EC109" s="21">
        <f>EXP(-LN(2)/2)*EC108+(1-EXP(-LN(2)/2))/(LN(2)/2)*DW109*DZ109*VLOOKUP('Données projet'!$B$14,Paramètres!$A$1:$I$89,3,0)*0.475*44/12</f>
        <v>8.9722822722479776E-11</v>
      </c>
      <c r="ED109" s="22">
        <f t="shared" si="72"/>
        <v>2.4818622588367156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3.4106051316484809E-13</v>
      </c>
      <c r="EK109" s="17">
        <f>EJ109*VLOOKUP('Données projet'!$B$15,Paramètres!$A$1:$I$89,3,0)*VLOOKUP('Données projet'!$B$15,Paramètres!$A$1:$I$89,5,0)</f>
        <v>1.5074874681886286E-13</v>
      </c>
      <c r="EL109" s="13">
        <f t="shared" si="99"/>
        <v>2.1590218794584103E-12</v>
      </c>
      <c r="EM109" s="20">
        <f t="shared" si="73"/>
        <v>4.0228505074329168E-12</v>
      </c>
      <c r="EN109" s="59">
        <f t="shared" si="74"/>
        <v>293.33333333333735</v>
      </c>
      <c r="EO109" s="59">
        <f ca="1">AVERAGE(OFFSET($EN$3,0,0,'Données projet'!$E$15+1,1))-AVERAGE(OFFSET($H$3,0,0,'Données projet'!$E$15+1,1))</f>
        <v>335.27356627949155</v>
      </c>
      <c r="EP109" s="59">
        <f t="shared" si="100"/>
        <v>322.66829503077247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3.3997468703667755</v>
      </c>
      <c r="EX109" s="21">
        <f>EXP(-LN(2)/2)*EX108+(1-EXP(-LN(2)/2))/(LN(2)/2)*ER109*EU109*VLOOKUP('Données projet'!$B$15,Paramètres!$A$1:$I$89,3,0)*0.475*44/12</f>
        <v>1.2872312746980061E-10</v>
      </c>
      <c r="EY109" s="22">
        <f t="shared" si="75"/>
        <v>3.3997468704954987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342.39999999999969</v>
      </c>
      <c r="O110" s="13">
        <f>N110*VLOOKUP('Données projet'!$B$9,Paramètres!$A$1:$I$89,3,0)*VLOOKUP('Données projet'!$B$9,Paramètres!$A$1:$I$89,5,0)</f>
        <v>309.80351999999971</v>
      </c>
      <c r="P110" s="13">
        <f t="shared" si="87"/>
        <v>73.227795813703693</v>
      </c>
      <c r="Q110" s="20">
        <f t="shared" si="107"/>
        <v>667.11287504220002</v>
      </c>
      <c r="R110" s="59">
        <f t="shared" si="55"/>
        <v>960.44620837553339</v>
      </c>
      <c r="S110" s="59">
        <f ca="1">AVERAGE(OFFSET($R$3,0,0,'Données projet'!$E$9+1,1))-AVERAGE(OFFSET($H$3,0,0,'Données projet'!$E$9+1,1))</f>
        <v>319.18811755575183</v>
      </c>
      <c r="T110" s="59">
        <f t="shared" si="88"/>
        <v>234.87694492493506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0.52419176559298131</v>
      </c>
      <c r="AA110" s="21">
        <f>EXP(-LN(2)/25)*AA109+(1-EXP(-LN(2)/25))/(LN(2)/25)*Calculateur!V110*Calculateur!X110*VLOOKUP('Données projet'!$B$9,Paramètres!$A$1:$I$89,3,0)*0.475*44/12</f>
        <v>1.3342745780523142</v>
      </c>
      <c r="AB110" s="21">
        <f>EXP(-LN(2)/2)*AB109+(1-EXP(-LN(2)/2))/(LN(2)/2)*V110*Y110*VLOOKUP('Données projet'!$B$9,Paramètres!$A$1:$I$89,3,0)*0.475*44/12</f>
        <v>5.5444654536288807E-11</v>
      </c>
      <c r="AC110" s="22">
        <f t="shared" si="57"/>
        <v>1.8584663437007403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-1.8089849618263545E-13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314.94704727988847</v>
      </c>
      <c r="AO110" s="59">
        <f t="shared" si="90"/>
        <v>366.49199094166454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0.85217943608530211</v>
      </c>
      <c r="AV110" s="21">
        <f>EXP(-LN(2)/25)*AV109+(1-EXP(-LN(2)/25))/(LN(2)/25)*Calculateur!AQ110*Calculateur!AS110*VLOOKUP('Données projet'!$B$10,Paramètres!$A$1:$I$89,3,0)*0.475*44/12</f>
        <v>3.0045481611141396</v>
      </c>
      <c r="AW110" s="21">
        <f>EXP(-LN(2)/2)*AW109+(1-EXP(-LN(2)/2))/(LN(2)/2)*AQ110*AT110*VLOOKUP('Données projet'!$B$10,Paramètres!$A$1:$I$89,3,0)*0.475*44/12</f>
        <v>7.4264364062148842E-11</v>
      </c>
      <c r="AX110" s="21">
        <f t="shared" si="60"/>
        <v>3.8567275972737058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-1.4897523215040565E-13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246.64951465060813</v>
      </c>
      <c r="BJ110" s="59">
        <f t="shared" si="92"/>
        <v>292.64550285216865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0.56938071090272124</v>
      </c>
      <c r="BQ110" s="21">
        <f>EXP(-LN(2)/25)*BQ109+(1-EXP(-LN(2)/25))/(LN(2)/25)*Calculateur!BL110*Calculateur!BN110*VLOOKUP('Données projet'!$B$11,Paramètres!$A$1:$I$89,3,0)*0.475*44/12</f>
        <v>2.0074783496012336</v>
      </c>
      <c r="BR110" s="21">
        <f>EXP(-LN(2)/2)*BR109+(1-EXP(-LN(2)/2))/(LN(2)/2)*BL110*BO110*VLOOKUP('Données projet'!$B$11,Paramètres!$A$1:$I$89,3,0)*0.475*44/12</f>
        <v>6.1158888051181403E-11</v>
      </c>
      <c r="BS110" s="22">
        <f t="shared" si="63"/>
        <v>2.576859060565114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-2.2737367544323206E-13</v>
      </c>
      <c r="BZ110" s="13">
        <f>BY110*VLOOKUP('Données projet'!$B$12,Paramètres!$A$1:$I$89,3,0)*VLOOKUP('Données projet'!$B$12,Paramètres!$A$1:$I$89,5,0)</f>
        <v>-1.5252226148732008E-13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254.25222107710192</v>
      </c>
      <c r="CE110" s="59">
        <f t="shared" si="94"/>
        <v>300.86609173447573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0.71850423042486222</v>
      </c>
      <c r="CL110" s="21">
        <f>EXP(-LN(2)/25)*CL109+(1-EXP(-LN(2)/25))/(LN(2)/25)*Calculateur!CG110*Calculateur!CI110*VLOOKUP('Données projet'!$B$12,Paramètres!$A$1:$I$89,3,0)*0.475*44/12</f>
        <v>2.5332464887825088</v>
      </c>
      <c r="CM110" s="21">
        <f>EXP(-LN(2)/2)*CM109+(1-EXP(-LN(2)/2))/(LN(2)/2)*CG110*CJ110*VLOOKUP('Données projet'!$B$12,Paramètres!$A$1:$I$89,3,0)*0.475*44/12</f>
        <v>6.2615052052400043E-11</v>
      </c>
      <c r="CN110" s="22">
        <f t="shared" si="66"/>
        <v>3.2517507192699862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243.38048563215585</v>
      </c>
      <c r="CZ110" s="59">
        <f t="shared" si="96"/>
        <v>372.1604147006675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1.5906508749028405</v>
      </c>
      <c r="DG110" s="21">
        <f>EXP(-LN(2)/25)*DG109+(1-EXP(-LN(2)/25))/(LN(2)/25)*Calculateur!DB110*Calculateur!DD110*VLOOKUP('Données projet'!$B$13,Paramètres!$A$1:$I$89,3,0)*0.475*44/12</f>
        <v>2.289746696767919</v>
      </c>
      <c r="DH110" s="21">
        <f>EXP(-LN(2)/2)*DH109+(1-EXP(-LN(2)/2))/(LN(2)/2)*DB110*DE110*VLOOKUP('Données projet'!$B$13,Paramètres!$A$1:$I$89,3,0)*0.475*44/12</f>
        <v>7.5410907112012496E-11</v>
      </c>
      <c r="DI110" s="22">
        <f t="shared" si="69"/>
        <v>3.8803975717461703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1.1368683772161603E-13</v>
      </c>
      <c r="DP110" s="17">
        <f>DO110*VLOOKUP('Données projet'!$B$14,Paramètres!$A$1:$I$89,3,0)*VLOOKUP('Données projet'!$B$14,Paramètres!$A$1:$I$89,5,0)</f>
        <v>6.5028871176764376E-14</v>
      </c>
      <c r="DQ110" s="13">
        <f t="shared" si="97"/>
        <v>1.0270999702906072E-12</v>
      </c>
      <c r="DR110" s="20">
        <f t="shared" si="70"/>
        <v>1.9021243988890057E-12</v>
      </c>
      <c r="DS110" s="59">
        <f t="shared" si="71"/>
        <v>293.33333333333519</v>
      </c>
      <c r="DT110" s="59">
        <f ca="1">AVERAGE(OFFSET($DS$3,0,0,'Données projet'!$E$14+1,1))-AVERAGE(OFFSET($H$3,0,0,'Données projet'!$E$14+1,1))</f>
        <v>227.99747790451215</v>
      </c>
      <c r="DU110" s="59">
        <f t="shared" si="98"/>
        <v>209.49597700966933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0.62423798869733549</v>
      </c>
      <c r="EB110" s="21">
        <f>EXP(-LN(2)/25)*EB109+(1-EXP(-LN(2)/25))/(LN(2)/25)*Calculateur!DW110*Calculateur!DY110*VLOOKUP('Données projet'!$B$14,Paramètres!$A$1:$I$89,3,0)*0.475*44/12</f>
        <v>1.7946830961462303</v>
      </c>
      <c r="EC110" s="21">
        <f>EXP(-LN(2)/2)*EC109+(1-EXP(-LN(2)/2))/(LN(2)/2)*DW110*DZ110*VLOOKUP('Données projet'!$B$14,Paramètres!$A$1:$I$89,3,0)*0.475*44/12</f>
        <v>6.34436163742639E-11</v>
      </c>
      <c r="ED110" s="22">
        <f t="shared" si="72"/>
        <v>2.4189210849070095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3.4106051316484809E-13</v>
      </c>
      <c r="EK110" s="17">
        <f>EJ110*VLOOKUP('Données projet'!$B$15,Paramètres!$A$1:$I$89,3,0)*VLOOKUP('Données projet'!$B$15,Paramètres!$A$1:$I$89,5,0)</f>
        <v>1.5074874681886286E-13</v>
      </c>
      <c r="EL110" s="13">
        <f t="shared" si="99"/>
        <v>2.1590218794584103E-12</v>
      </c>
      <c r="EM110" s="20">
        <f t="shared" si="73"/>
        <v>4.0228505074329168E-12</v>
      </c>
      <c r="EN110" s="59">
        <f t="shared" si="74"/>
        <v>293.33333333333735</v>
      </c>
      <c r="EO110" s="59">
        <f ca="1">AVERAGE(OFFSET($EN$3,0,0,'Données projet'!$E$15+1,1))-AVERAGE(OFFSET($H$3,0,0,'Données projet'!$E$15+1,1))</f>
        <v>335.27356627949155</v>
      </c>
      <c r="EP110" s="59">
        <f t="shared" si="100"/>
        <v>322.66829503077247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3.3067806134116782</v>
      </c>
      <c r="EX110" s="21">
        <f>EXP(-LN(2)/2)*EX109+(1-EXP(-LN(2)/2))/(LN(2)/2)*ER110*EU110*VLOOKUP('Données projet'!$B$15,Paramètres!$A$1:$I$89,3,0)*0.475*44/12</f>
        <v>9.1020996329436369E-11</v>
      </c>
      <c r="EY110" s="22">
        <f t="shared" si="75"/>
        <v>3.3067806135026991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347.59999999999968</v>
      </c>
      <c r="O111" s="13">
        <f>N111*VLOOKUP('Données projet'!$B$9,Paramètres!$A$1:$I$89,3,0)*VLOOKUP('Données projet'!$B$9,Paramètres!$A$1:$I$89,5,0)</f>
        <v>314.50847999999968</v>
      </c>
      <c r="P111" s="13">
        <f t="shared" si="87"/>
        <v>74.209587561617383</v>
      </c>
      <c r="Q111" s="20">
        <f t="shared" si="107"/>
        <v>677.01730100314978</v>
      </c>
      <c r="R111" s="59">
        <f t="shared" si="55"/>
        <v>970.35063433648315</v>
      </c>
      <c r="S111" s="59">
        <f ca="1">AVERAGE(OFFSET($R$3,0,0,'Données projet'!$E$9+1,1))-AVERAGE(OFFSET($H$3,0,0,'Données projet'!$E$9+1,1))</f>
        <v>319.18811755575183</v>
      </c>
      <c r="T111" s="59">
        <f t="shared" si="88"/>
        <v>234.87694492493506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0.51391268479510965</v>
      </c>
      <c r="AA111" s="21">
        <f>EXP(-LN(2)/25)*AA110+(1-EXP(-LN(2)/25))/(LN(2)/25)*Calculateur!V111*Calculateur!X111*VLOOKUP('Données projet'!$B$9,Paramètres!$A$1:$I$89,3,0)*0.475*44/12</f>
        <v>1.2977887695490231</v>
      </c>
      <c r="AB111" s="21">
        <f>EXP(-LN(2)/2)*AB110+(1-EXP(-LN(2)/2))/(LN(2)/2)*V111*Y111*VLOOKUP('Données projet'!$B$9,Paramètres!$A$1:$I$89,3,0)*0.475*44/12</f>
        <v>3.9205291203155289E-11</v>
      </c>
      <c r="AC111" s="22">
        <f t="shared" si="57"/>
        <v>1.8117014543833381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-1.8089849618263545E-13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314.94704727988847</v>
      </c>
      <c r="AO111" s="59">
        <f t="shared" si="90"/>
        <v>366.49199094166454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0.83546871712180149</v>
      </c>
      <c r="AV111" s="21">
        <f>EXP(-LN(2)/25)*AV110+(1-EXP(-LN(2)/25))/(LN(2)/25)*Calculateur!AQ111*Calculateur!AS111*VLOOKUP('Données projet'!$B$10,Paramètres!$A$1:$I$89,3,0)*0.475*44/12</f>
        <v>2.9223886336461526</v>
      </c>
      <c r="AW111" s="21">
        <f>EXP(-LN(2)/2)*AW110+(1-EXP(-LN(2)/2))/(LN(2)/2)*AQ111*AT111*VLOOKUP('Données projet'!$B$10,Paramètres!$A$1:$I$89,3,0)*0.475*44/12</f>
        <v>5.2512835428851985E-11</v>
      </c>
      <c r="AX111" s="21">
        <f t="shared" si="60"/>
        <v>3.7578573508204669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-1.4897523215040565E-13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246.64951465060813</v>
      </c>
      <c r="BJ111" s="59">
        <f t="shared" si="92"/>
        <v>292.64550285216865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0.55821550244986073</v>
      </c>
      <c r="BQ111" s="21">
        <f>EXP(-LN(2)/25)*BQ110+(1-EXP(-LN(2)/25))/(LN(2)/25)*Calculateur!BL111*Calculateur!BN111*VLOOKUP('Données projet'!$B$11,Paramètres!$A$1:$I$89,3,0)*0.475*44/12</f>
        <v>1.9525837485626896</v>
      </c>
      <c r="BR111" s="21">
        <f>EXP(-LN(2)/2)*BR110+(1-EXP(-LN(2)/2))/(LN(2)/2)*BL111*BO111*VLOOKUP('Données projet'!$B$11,Paramètres!$A$1:$I$89,3,0)*0.475*44/12</f>
        <v>4.3245864470819284E-11</v>
      </c>
      <c r="BS111" s="22">
        <f t="shared" si="63"/>
        <v>2.5107992510557962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-2.2737367544323206E-13</v>
      </c>
      <c r="BZ111" s="13">
        <f>BY111*VLOOKUP('Données projet'!$B$12,Paramètres!$A$1:$I$89,3,0)*VLOOKUP('Données projet'!$B$12,Paramètres!$A$1:$I$89,5,0)</f>
        <v>-1.5252226148732008E-13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254.25222107710192</v>
      </c>
      <c r="CE111" s="59">
        <f t="shared" si="94"/>
        <v>300.86609173447573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0.70441480071053819</v>
      </c>
      <c r="CL111" s="21">
        <f>EXP(-LN(2)/25)*CL110+(1-EXP(-LN(2)/25))/(LN(2)/25)*Calculateur!CG111*Calculateur!CI111*VLOOKUP('Données projet'!$B$12,Paramètres!$A$1:$I$89,3,0)*0.475*44/12</f>
        <v>2.4639747303291082</v>
      </c>
      <c r="CM111" s="21">
        <f>EXP(-LN(2)/2)*CM110+(1-EXP(-LN(2)/2))/(LN(2)/2)*CG111*CJ111*VLOOKUP('Données projet'!$B$12,Paramètres!$A$1:$I$89,3,0)*0.475*44/12</f>
        <v>4.4275527910600721E-11</v>
      </c>
      <c r="CN111" s="22">
        <f t="shared" si="66"/>
        <v>3.1683895310839221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243.38048563215585</v>
      </c>
      <c r="CZ111" s="59">
        <f t="shared" si="96"/>
        <v>372.1604147006675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1.5594591814472301</v>
      </c>
      <c r="DG111" s="21">
        <f>EXP(-LN(2)/25)*DG110+(1-EXP(-LN(2)/25))/(LN(2)/25)*Calculateur!DB111*Calculateur!DD111*VLOOKUP('Données projet'!$B$13,Paramètres!$A$1:$I$89,3,0)*0.475*44/12</f>
        <v>2.2271334529322546</v>
      </c>
      <c r="DH111" s="21">
        <f>EXP(-LN(2)/2)*DH110+(1-EXP(-LN(2)/2))/(LN(2)/2)*DB111*DE111*VLOOKUP('Données projet'!$B$13,Paramètres!$A$1:$I$89,3,0)*0.475*44/12</f>
        <v>5.3323563794332881E-11</v>
      </c>
      <c r="DI111" s="22">
        <f t="shared" si="69"/>
        <v>3.7865926344328082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1.1368683772161603E-13</v>
      </c>
      <c r="DP111" s="17">
        <f>DO111*VLOOKUP('Données projet'!$B$14,Paramètres!$A$1:$I$89,3,0)*VLOOKUP('Données projet'!$B$14,Paramètres!$A$1:$I$89,5,0)</f>
        <v>6.5028871176764376E-14</v>
      </c>
      <c r="DQ111" s="13">
        <f t="shared" si="97"/>
        <v>1.0270999702906072E-12</v>
      </c>
      <c r="DR111" s="20">
        <f t="shared" si="70"/>
        <v>1.9021243988890057E-12</v>
      </c>
      <c r="DS111" s="59">
        <f t="shared" si="71"/>
        <v>293.33333333333519</v>
      </c>
      <c r="DT111" s="59">
        <f ca="1">AVERAGE(OFFSET($DS$3,0,0,'Données projet'!$E$14+1,1))-AVERAGE(OFFSET($H$3,0,0,'Données projet'!$E$14+1,1))</f>
        <v>227.99747790451215</v>
      </c>
      <c r="DU111" s="59">
        <f t="shared" si="98"/>
        <v>209.49597700966933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0.61199706248655816</v>
      </c>
      <c r="EB111" s="21">
        <f>EXP(-LN(2)/25)*EB110+(1-EXP(-LN(2)/25))/(LN(2)/25)*Calculateur!DW111*Calculateur!DY111*VLOOKUP('Données projet'!$B$14,Paramètres!$A$1:$I$89,3,0)*0.475*44/12</f>
        <v>1.7456073925038293</v>
      </c>
      <c r="EC111" s="21">
        <f>EXP(-LN(2)/2)*EC110+(1-EXP(-LN(2)/2))/(LN(2)/2)*DW111*DZ111*VLOOKUP('Données projet'!$B$14,Paramètres!$A$1:$I$89,3,0)*0.475*44/12</f>
        <v>4.4861411361239888E-11</v>
      </c>
      <c r="ED111" s="22">
        <f t="shared" si="72"/>
        <v>2.3576044550352488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3.4106051316484809E-13</v>
      </c>
      <c r="EK111" s="17">
        <f>EJ111*VLOOKUP('Données projet'!$B$15,Paramètres!$A$1:$I$89,3,0)*VLOOKUP('Données projet'!$B$15,Paramètres!$A$1:$I$89,5,0)</f>
        <v>1.5074874681886286E-13</v>
      </c>
      <c r="EL111" s="13">
        <f t="shared" si="99"/>
        <v>2.1590218794584103E-12</v>
      </c>
      <c r="EM111" s="20">
        <f t="shared" si="73"/>
        <v>4.0228505074329168E-12</v>
      </c>
      <c r="EN111" s="59">
        <f t="shared" si="74"/>
        <v>293.33333333333735</v>
      </c>
      <c r="EO111" s="59">
        <f ca="1">AVERAGE(OFFSET($EN$3,0,0,'Données projet'!$E$15+1,1))-AVERAGE(OFFSET($H$3,0,0,'Données projet'!$E$15+1,1))</f>
        <v>335.27356627949155</v>
      </c>
      <c r="EP111" s="59">
        <f t="shared" si="100"/>
        <v>322.66829503077247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3.2163565236419012</v>
      </c>
      <c r="EX111" s="21">
        <f>EXP(-LN(2)/2)*EX110+(1-EXP(-LN(2)/2))/(LN(2)/2)*ER111*EU111*VLOOKUP('Données projet'!$B$15,Paramètres!$A$1:$I$89,3,0)*0.475*44/12</f>
        <v>6.4361563734900307E-11</v>
      </c>
      <c r="EY111" s="22">
        <f t="shared" si="75"/>
        <v>3.2163565237062626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352.79999999999967</v>
      </c>
      <c r="O112" s="13">
        <f>N112*VLOOKUP('Données projet'!$B$9,Paramètres!$A$1:$I$89,3,0)*VLOOKUP('Données projet'!$B$9,Paramètres!$A$1:$I$89,5,0)</f>
        <v>319.21343999999971</v>
      </c>
      <c r="P112" s="13">
        <f t="shared" si="87"/>
        <v>75.189671124171639</v>
      </c>
      <c r="Q112" s="20">
        <f t="shared" si="107"/>
        <v>686.91875187459846</v>
      </c>
      <c r="R112" s="59">
        <f t="shared" si="55"/>
        <v>980.25208520793171</v>
      </c>
      <c r="S112" s="59">
        <f ca="1">AVERAGE(OFFSET($R$3,0,0,'Données projet'!$E$9+1,1))-AVERAGE(OFFSET($H$3,0,0,'Données projet'!$E$9+1,1))</f>
        <v>319.18811755575183</v>
      </c>
      <c r="T112" s="59">
        <f t="shared" si="88"/>
        <v>234.87694492493506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0.50383517050206406</v>
      </c>
      <c r="AA112" s="21">
        <f>EXP(-LN(2)/25)*AA111+(1-EXP(-LN(2)/25))/(LN(2)/25)*Calculateur!V112*Calculateur!X112*VLOOKUP('Données projet'!$B$9,Paramètres!$A$1:$I$89,3,0)*0.475*44/12</f>
        <v>1.2623006673979598</v>
      </c>
      <c r="AB112" s="21">
        <f>EXP(-LN(2)/2)*AB111+(1-EXP(-LN(2)/2))/(LN(2)/2)*V112*Y112*VLOOKUP('Données projet'!$B$9,Paramètres!$A$1:$I$89,3,0)*0.475*44/12</f>
        <v>2.7722327268144404E-11</v>
      </c>
      <c r="AC112" s="22">
        <f t="shared" si="57"/>
        <v>1.7661358379277461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-1.8089849618263545E-13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314.94704727988847</v>
      </c>
      <c r="AO112" s="59">
        <f t="shared" si="90"/>
        <v>366.49199094166454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0.81908568516464297</v>
      </c>
      <c r="AV112" s="21">
        <f>EXP(-LN(2)/25)*AV111+(1-EXP(-LN(2)/25))/(LN(2)/25)*Calculateur!AQ112*Calculateur!AS112*VLOOKUP('Données projet'!$B$10,Paramètres!$A$1:$I$89,3,0)*0.475*44/12</f>
        <v>2.8424757627773594</v>
      </c>
      <c r="AW112" s="21">
        <f>EXP(-LN(2)/2)*AW111+(1-EXP(-LN(2)/2))/(LN(2)/2)*AQ112*AT112*VLOOKUP('Données projet'!$B$10,Paramètres!$A$1:$I$89,3,0)*0.475*44/12</f>
        <v>3.7132182031074421E-11</v>
      </c>
      <c r="AX112" s="21">
        <f t="shared" si="60"/>
        <v>3.6615614479791345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-1.4897523215040565E-13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246.64951465060813</v>
      </c>
      <c r="BJ112" s="59">
        <f t="shared" si="92"/>
        <v>292.64550285216865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0.54726923692465601</v>
      </c>
      <c r="BQ112" s="21">
        <f>EXP(-LN(2)/25)*BQ111+(1-EXP(-LN(2)/25))/(LN(2)/25)*Calculateur!BL112*Calculateur!BN112*VLOOKUP('Données projet'!$B$11,Paramètres!$A$1:$I$89,3,0)*0.475*44/12</f>
        <v>1.8991902432763261</v>
      </c>
      <c r="BR112" s="21">
        <f>EXP(-LN(2)/2)*BR111+(1-EXP(-LN(2)/2))/(LN(2)/2)*BL112*BO112*VLOOKUP('Données projet'!$B$11,Paramètres!$A$1:$I$89,3,0)*0.475*44/12</f>
        <v>3.0579444025590701E-11</v>
      </c>
      <c r="BS112" s="22">
        <f t="shared" si="63"/>
        <v>2.4464594802315616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-2.2737367544323206E-13</v>
      </c>
      <c r="BZ112" s="13">
        <f>BY112*VLOOKUP('Données projet'!$B$12,Paramètres!$A$1:$I$89,3,0)*VLOOKUP('Données projet'!$B$12,Paramètres!$A$1:$I$89,5,0)</f>
        <v>-1.5252226148732008E-13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254.25222107710192</v>
      </c>
      <c r="CE112" s="59">
        <f t="shared" si="94"/>
        <v>300.86609173447573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0.69060165611920854</v>
      </c>
      <c r="CL112" s="21">
        <f>EXP(-LN(2)/25)*CL111+(1-EXP(-LN(2)/25))/(LN(2)/25)*Calculateur!CG112*Calculateur!CI112*VLOOKUP('Données projet'!$B$12,Paramètres!$A$1:$I$89,3,0)*0.475*44/12</f>
        <v>2.3965972117534591</v>
      </c>
      <c r="CM112" s="21">
        <f>EXP(-LN(2)/2)*CM111+(1-EXP(-LN(2)/2))/(LN(2)/2)*CG112*CJ112*VLOOKUP('Données projet'!$B$12,Paramètres!$A$1:$I$89,3,0)*0.475*44/12</f>
        <v>3.1307526026200021E-11</v>
      </c>
      <c r="CN112" s="22">
        <f t="shared" si="66"/>
        <v>3.0871988679039752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243.38048563215585</v>
      </c>
      <c r="CZ112" s="59">
        <f t="shared" si="96"/>
        <v>372.1604147006675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1.5288791380752298</v>
      </c>
      <c r="DG112" s="21">
        <f>EXP(-LN(2)/25)*DG111+(1-EXP(-LN(2)/25))/(LN(2)/25)*Calculateur!DB112*Calculateur!DD112*VLOOKUP('Données projet'!$B$13,Paramètres!$A$1:$I$89,3,0)*0.475*44/12</f>
        <v>2.1662323715419638</v>
      </c>
      <c r="DH112" s="21">
        <f>EXP(-LN(2)/2)*DH111+(1-EXP(-LN(2)/2))/(LN(2)/2)*DB112*DE112*VLOOKUP('Données projet'!$B$13,Paramètres!$A$1:$I$89,3,0)*0.475*44/12</f>
        <v>3.7705453556006248E-11</v>
      </c>
      <c r="DI112" s="22">
        <f t="shared" si="69"/>
        <v>3.695111509654899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1.1368683772161603E-13</v>
      </c>
      <c r="DP112" s="17">
        <f>DO112*VLOOKUP('Données projet'!$B$14,Paramètres!$A$1:$I$89,3,0)*VLOOKUP('Données projet'!$B$14,Paramètres!$A$1:$I$89,5,0)</f>
        <v>6.5028871176764376E-14</v>
      </c>
      <c r="DQ112" s="13">
        <f t="shared" si="97"/>
        <v>1.0270999702906072E-12</v>
      </c>
      <c r="DR112" s="20">
        <f t="shared" si="70"/>
        <v>1.9021243988890057E-12</v>
      </c>
      <c r="DS112" s="59">
        <f t="shared" si="71"/>
        <v>293.33333333333519</v>
      </c>
      <c r="DT112" s="59">
        <f ca="1">AVERAGE(OFFSET($DS$3,0,0,'Données projet'!$E$14+1,1))-AVERAGE(OFFSET($H$3,0,0,'Données projet'!$E$14+1,1))</f>
        <v>227.99747790451215</v>
      </c>
      <c r="DU112" s="59">
        <f t="shared" si="98"/>
        <v>209.49597700966933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0.5999961733725464</v>
      </c>
      <c r="EB112" s="21">
        <f>EXP(-LN(2)/25)*EB111+(1-EXP(-LN(2)/25))/(LN(2)/25)*Calculateur!DW112*Calculateur!DY112*VLOOKUP('Données projet'!$B$14,Paramètres!$A$1:$I$89,3,0)*0.475*44/12</f>
        <v>1.697873666558309</v>
      </c>
      <c r="EC112" s="21">
        <f>EXP(-LN(2)/2)*EC111+(1-EXP(-LN(2)/2))/(LN(2)/2)*DW112*DZ112*VLOOKUP('Données projet'!$B$14,Paramètres!$A$1:$I$89,3,0)*0.475*44/12</f>
        <v>3.172180818713195E-11</v>
      </c>
      <c r="ED112" s="22">
        <f t="shared" si="72"/>
        <v>2.2978698399625772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3.4106051316484809E-13</v>
      </c>
      <c r="EK112" s="17">
        <f>EJ112*VLOOKUP('Données projet'!$B$15,Paramètres!$A$1:$I$89,3,0)*VLOOKUP('Données projet'!$B$15,Paramètres!$A$1:$I$89,5,0)</f>
        <v>1.5074874681886286E-13</v>
      </c>
      <c r="EL112" s="13">
        <f t="shared" si="99"/>
        <v>2.1590218794584103E-12</v>
      </c>
      <c r="EM112" s="20">
        <f t="shared" si="73"/>
        <v>4.0228505074329168E-12</v>
      </c>
      <c r="EN112" s="59">
        <f t="shared" si="74"/>
        <v>293.33333333333735</v>
      </c>
      <c r="EO112" s="59">
        <f ca="1">AVERAGE(OFFSET($EN$3,0,0,'Données projet'!$E$15+1,1))-AVERAGE(OFFSET($H$3,0,0,'Données projet'!$E$15+1,1))</f>
        <v>335.27356627949155</v>
      </c>
      <c r="EP112" s="59">
        <f t="shared" si="100"/>
        <v>322.66829503077247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3.1284050853620751</v>
      </c>
      <c r="EX112" s="21">
        <f>EXP(-LN(2)/2)*EX111+(1-EXP(-LN(2)/2))/(LN(2)/2)*ER112*EU112*VLOOKUP('Données projet'!$B$15,Paramètres!$A$1:$I$89,3,0)*0.475*44/12</f>
        <v>4.5510498164718184E-11</v>
      </c>
      <c r="EY112" s="22">
        <f t="shared" si="75"/>
        <v>3.1284050854075858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357.99999999999966</v>
      </c>
      <c r="O113" s="13">
        <f>N113*VLOOKUP('Données projet'!$B$9,Paramètres!$A$1:$I$89,3,0)*VLOOKUP('Données projet'!$B$9,Paramètres!$A$1:$I$89,5,0)</f>
        <v>323.91839999999968</v>
      </c>
      <c r="P113" s="13">
        <f t="shared" si="87"/>
        <v>76.168074587293034</v>
      </c>
      <c r="Q113" s="20">
        <f t="shared" si="107"/>
        <v>696.8172765728682</v>
      </c>
      <c r="R113" s="59">
        <f t="shared" si="55"/>
        <v>990.15060990620145</v>
      </c>
      <c r="S113" s="59">
        <f ca="1">AVERAGE(OFFSET($R$3,0,0,'Données projet'!$E$9+1,1))-AVERAGE(OFFSET($H$3,0,0,'Données projet'!$E$9+1,1))</f>
        <v>319.18811755575183</v>
      </c>
      <c r="T113" s="59">
        <f t="shared" si="88"/>
        <v>234.87694492493506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0.49395527011762835</v>
      </c>
      <c r="AA113" s="21">
        <f>EXP(-LN(2)/25)*AA112+(1-EXP(-LN(2)/25))/(LN(2)/25)*Calculateur!V113*Calculateur!X113*VLOOKUP('Données projet'!$B$9,Paramètres!$A$1:$I$89,3,0)*0.475*44/12</f>
        <v>1.2277829892664556</v>
      </c>
      <c r="AB113" s="21">
        <f>EXP(-LN(2)/2)*AB112+(1-EXP(-LN(2)/2))/(LN(2)/2)*V113*Y113*VLOOKUP('Données projet'!$B$9,Paramètres!$A$1:$I$89,3,0)*0.475*44/12</f>
        <v>1.9602645601577644E-11</v>
      </c>
      <c r="AC113" s="22">
        <f t="shared" si="57"/>
        <v>1.7217382594036865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-1.8089849618263545E-13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314.94704727988847</v>
      </c>
      <c r="AO113" s="59">
        <f t="shared" si="90"/>
        <v>366.49199094166454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0.80302391447150157</v>
      </c>
      <c r="AV113" s="21">
        <f>EXP(-LN(2)/25)*AV112+(1-EXP(-LN(2)/25))/(LN(2)/25)*Calculateur!AQ113*Calculateur!AS113*VLOOKUP('Données projet'!$B$10,Paramètres!$A$1:$I$89,3,0)*0.475*44/12</f>
        <v>2.7647481135649086</v>
      </c>
      <c r="AW113" s="21">
        <f>EXP(-LN(2)/2)*AW112+(1-EXP(-LN(2)/2))/(LN(2)/2)*AQ113*AT113*VLOOKUP('Données projet'!$B$10,Paramètres!$A$1:$I$89,3,0)*0.475*44/12</f>
        <v>2.6256417714425993E-11</v>
      </c>
      <c r="AX113" s="21">
        <f t="shared" si="60"/>
        <v>3.5677720280626666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-1.4897523215040565E-13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246.64951465060813</v>
      </c>
      <c r="BJ113" s="59">
        <f t="shared" si="92"/>
        <v>292.64550285216865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0.53653762098983793</v>
      </c>
      <c r="BQ113" s="21">
        <f>EXP(-LN(2)/25)*BQ112+(1-EXP(-LN(2)/25))/(LN(2)/25)*Calculateur!BL113*Calculateur!BN113*VLOOKUP('Données projet'!$B$11,Paramètres!$A$1:$I$89,3,0)*0.475*44/12</f>
        <v>1.8472567861998608</v>
      </c>
      <c r="BR113" s="21">
        <f>EXP(-LN(2)/2)*BR112+(1-EXP(-LN(2)/2))/(LN(2)/2)*BL113*BO113*VLOOKUP('Données projet'!$B$11,Paramètres!$A$1:$I$89,3,0)*0.475*44/12</f>
        <v>2.1622932235409642E-11</v>
      </c>
      <c r="BS113" s="22">
        <f t="shared" si="63"/>
        <v>2.383794407211322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-2.2737367544323206E-13</v>
      </c>
      <c r="BZ113" s="13">
        <f>BY113*VLOOKUP('Données projet'!$B$12,Paramètres!$A$1:$I$89,3,0)*VLOOKUP('Données projet'!$B$12,Paramètres!$A$1:$I$89,5,0)</f>
        <v>-1.5252226148732008E-13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254.25222107710192</v>
      </c>
      <c r="CE113" s="59">
        <f t="shared" si="94"/>
        <v>300.86609173447573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0.6770593788681285</v>
      </c>
      <c r="CL113" s="21">
        <f>EXP(-LN(2)/25)*CL112+(1-EXP(-LN(2)/25))/(LN(2)/25)*Calculateur!CG113*Calculateur!CI113*VLOOKUP('Données projet'!$B$12,Paramètres!$A$1:$I$89,3,0)*0.475*44/12</f>
        <v>2.3310621349664911</v>
      </c>
      <c r="CM113" s="21">
        <f>EXP(-LN(2)/2)*CM112+(1-EXP(-LN(2)/2))/(LN(2)/2)*CG113*CJ113*VLOOKUP('Données projet'!$B$12,Paramètres!$A$1:$I$89,3,0)*0.475*44/12</f>
        <v>2.2137763955300361E-11</v>
      </c>
      <c r="CN113" s="22">
        <f t="shared" si="66"/>
        <v>3.0081215138567572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243.38048563215585</v>
      </c>
      <c r="CZ113" s="59">
        <f t="shared" si="96"/>
        <v>372.1604147006675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1.4988987507017697</v>
      </c>
      <c r="DG113" s="21">
        <f>EXP(-LN(2)/25)*DG112+(1-EXP(-LN(2)/25))/(LN(2)/25)*Calculateur!DB113*Calculateur!DD113*VLOOKUP('Données projet'!$B$13,Paramètres!$A$1:$I$89,3,0)*0.475*44/12</f>
        <v>2.1069966334249393</v>
      </c>
      <c r="DH113" s="21">
        <f>EXP(-LN(2)/2)*DH112+(1-EXP(-LN(2)/2))/(LN(2)/2)*DB113*DE113*VLOOKUP('Données projet'!$B$13,Paramètres!$A$1:$I$89,3,0)*0.475*44/12</f>
        <v>2.6661781897166441E-11</v>
      </c>
      <c r="DI113" s="22">
        <f t="shared" si="69"/>
        <v>3.6058953841533707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1.1368683772161603E-13</v>
      </c>
      <c r="DP113" s="17">
        <f>DO113*VLOOKUP('Données projet'!$B$14,Paramètres!$A$1:$I$89,3,0)*VLOOKUP('Données projet'!$B$14,Paramètres!$A$1:$I$89,5,0)</f>
        <v>6.5028871176764376E-14</v>
      </c>
      <c r="DQ113" s="13">
        <f t="shared" si="97"/>
        <v>1.0270999702906072E-12</v>
      </c>
      <c r="DR113" s="20">
        <f t="shared" si="70"/>
        <v>1.9021243988890057E-12</v>
      </c>
      <c r="DS113" s="59">
        <f t="shared" si="71"/>
        <v>293.33333333333519</v>
      </c>
      <c r="DT113" s="59">
        <f ca="1">AVERAGE(OFFSET($DS$3,0,0,'Données projet'!$E$14+1,1))-AVERAGE(OFFSET($H$3,0,0,'Données projet'!$E$14+1,1))</f>
        <v>227.99747790451215</v>
      </c>
      <c r="DU113" s="59">
        <f t="shared" si="98"/>
        <v>209.49597700966933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0.58823061437424085</v>
      </c>
      <c r="EB113" s="21">
        <f>EXP(-LN(2)/25)*EB112+(1-EXP(-LN(2)/25))/(LN(2)/25)*Calculateur!DW113*Calculateur!DY113*VLOOKUP('Données projet'!$B$14,Paramètres!$A$1:$I$89,3,0)*0.475*44/12</f>
        <v>1.6514452218589764</v>
      </c>
      <c r="EC113" s="21">
        <f>EXP(-LN(2)/2)*EC112+(1-EXP(-LN(2)/2))/(LN(2)/2)*DW113*DZ113*VLOOKUP('Données projet'!$B$14,Paramètres!$A$1:$I$89,3,0)*0.475*44/12</f>
        <v>2.2430705680619944E-11</v>
      </c>
      <c r="ED113" s="22">
        <f t="shared" si="72"/>
        <v>2.2396758362556475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3.4106051316484809E-13</v>
      </c>
      <c r="EK113" s="17">
        <f>EJ113*VLOOKUP('Données projet'!$B$15,Paramètres!$A$1:$I$89,3,0)*VLOOKUP('Données projet'!$B$15,Paramètres!$A$1:$I$89,5,0)</f>
        <v>1.5074874681886286E-13</v>
      </c>
      <c r="EL113" s="13">
        <f t="shared" si="99"/>
        <v>2.1590218794584103E-12</v>
      </c>
      <c r="EM113" s="20">
        <f t="shared" si="73"/>
        <v>4.0228505074329168E-12</v>
      </c>
      <c r="EN113" s="59">
        <f t="shared" si="74"/>
        <v>293.33333333333735</v>
      </c>
      <c r="EO113" s="59">
        <f ca="1">AVERAGE(OFFSET($EN$3,0,0,'Données projet'!$E$15+1,1))-AVERAGE(OFFSET($H$3,0,0,'Données projet'!$E$15+1,1))</f>
        <v>335.27356627949155</v>
      </c>
      <c r="EP113" s="59">
        <f t="shared" si="100"/>
        <v>322.66829503077247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3.0428586837871756</v>
      </c>
      <c r="EX113" s="21">
        <f>EXP(-LN(2)/2)*EX112+(1-EXP(-LN(2)/2))/(LN(2)/2)*ER113*EU113*VLOOKUP('Données projet'!$B$15,Paramètres!$A$1:$I$89,3,0)*0.475*44/12</f>
        <v>3.2180781867450153E-11</v>
      </c>
      <c r="EY113" s="22">
        <f t="shared" si="75"/>
        <v>3.0428586838193565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5.4</v>
      </c>
      <c r="N114" s="13">
        <f>IF('Données projet'!$A$36&gt;35,N113+M114-V113,IF(A114&lt;'Données projet'!$A$36,$K$205^A114,IF(A114='Données projet'!$A$36,'Données projet'!$B$36,N113+M114-V113)))</f>
        <v>312.39999999999964</v>
      </c>
      <c r="O114" s="13">
        <f>N114*VLOOKUP('Données projet'!$B$9,Paramètres!$A$1:$I$89,3,0)*VLOOKUP('Données projet'!$B$9,Paramètres!$A$1:$I$89,5,0)</f>
        <v>282.65951999999965</v>
      </c>
      <c r="P114" s="13">
        <f t="shared" si="87"/>
        <v>67.528732309967268</v>
      </c>
      <c r="Q114" s="20">
        <f t="shared" si="107"/>
        <v>609.91120610652558</v>
      </c>
      <c r="R114" s="59">
        <f t="shared" si="55"/>
        <v>903.24453943985895</v>
      </c>
      <c r="S114" s="59">
        <f ca="1">AVERAGE(OFFSET($R$3,0,0,'Données projet'!$E$9+1,1))-AVERAGE(OFFSET($H$3,0,0,'Données projet'!$E$9+1,1))</f>
        <v>319.18811755575183</v>
      </c>
      <c r="T114" s="59">
        <f t="shared" si="88"/>
        <v>234.87694492493506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0.48426910855358724</v>
      </c>
      <c r="AA114" s="21">
        <f>EXP(-LN(2)/25)*AA113+(1-EXP(-LN(2)/25))/(LN(2)/25)*Calculateur!V114*Calculateur!X114*VLOOKUP('Données projet'!$B$9,Paramètres!$A$1:$I$89,3,0)*0.475*44/12</f>
        <v>1.1942091988586632</v>
      </c>
      <c r="AB114" s="21">
        <f>EXP(-LN(2)/2)*AB113+(1-EXP(-LN(2)/2))/(LN(2)/2)*V114*Y114*VLOOKUP('Données projet'!$B$9,Paramètres!$A$1:$I$89,3,0)*0.475*44/12</f>
        <v>1.3861163634072202E-11</v>
      </c>
      <c r="AC114" s="22">
        <f t="shared" si="57"/>
        <v>1.6784783074261116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-1.8089849618263545E-13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314.94704727988847</v>
      </c>
      <c r="AO114" s="59">
        <f t="shared" si="90"/>
        <v>366.49199094166454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0.78727710530493988</v>
      </c>
      <c r="AV114" s="21">
        <f>EXP(-LN(2)/25)*AV113+(1-EXP(-LN(2)/25))/(LN(2)/25)*Calculateur!AQ114*Calculateur!AS114*VLOOKUP('Données projet'!$B$10,Paramètres!$A$1:$I$89,3,0)*0.475*44/12</f>
        <v>2.6891459310076917</v>
      </c>
      <c r="AW114" s="21">
        <f>EXP(-LN(2)/2)*AW113+(1-EXP(-LN(2)/2))/(LN(2)/2)*AQ114*AT114*VLOOKUP('Données projet'!$B$10,Paramètres!$A$1:$I$89,3,0)*0.475*44/12</f>
        <v>1.856609101553721E-11</v>
      </c>
      <c r="AX114" s="21">
        <f t="shared" si="60"/>
        <v>3.4764230363311976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-1.4897523215040565E-13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246.64951465060813</v>
      </c>
      <c r="BJ114" s="59">
        <f t="shared" si="92"/>
        <v>292.64550285216865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0.5260164454978622</v>
      </c>
      <c r="BQ114" s="21">
        <f>EXP(-LN(2)/25)*BQ113+(1-EXP(-LN(2)/25))/(LN(2)/25)*Calculateur!BL114*Calculateur!BN114*VLOOKUP('Données projet'!$B$11,Paramètres!$A$1:$I$89,3,0)*0.475*44/12</f>
        <v>1.7967434522382131</v>
      </c>
      <c r="BR114" s="21">
        <f>EXP(-LN(2)/2)*BR113+(1-EXP(-LN(2)/2))/(LN(2)/2)*BL114*BO114*VLOOKUP('Données projet'!$B$11,Paramètres!$A$1:$I$89,3,0)*0.475*44/12</f>
        <v>1.5289722012795351E-11</v>
      </c>
      <c r="BS114" s="22">
        <f t="shared" si="63"/>
        <v>2.3227598977513648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-1.5252226148732008E-13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254.25222107710192</v>
      </c>
      <c r="CE114" s="59">
        <f t="shared" si="94"/>
        <v>300.86609173447573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0.66378265741396869</v>
      </c>
      <c r="CL114" s="21">
        <f>EXP(-LN(2)/25)*CL113+(1-EXP(-LN(2)/25))/(LN(2)/25)*Calculateur!CG114*Calculateur!CI114*VLOOKUP('Données projet'!$B$12,Paramètres!$A$1:$I$89,3,0)*0.475*44/12</f>
        <v>2.2673191183006023</v>
      </c>
      <c r="CM114" s="21">
        <f>EXP(-LN(2)/2)*CM113+(1-EXP(-LN(2)/2))/(LN(2)/2)*CG114*CJ114*VLOOKUP('Données projet'!$B$12,Paramètres!$A$1:$I$89,3,0)*0.475*44/12</f>
        <v>1.5653763013100011E-11</v>
      </c>
      <c r="CN114" s="22">
        <f t="shared" si="66"/>
        <v>2.9311017757302245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243.38048563215585</v>
      </c>
      <c r="CZ114" s="59">
        <f t="shared" si="96"/>
        <v>372.1604147006675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1.4695062604384723</v>
      </c>
      <c r="DG114" s="21">
        <f>EXP(-LN(2)/25)*DG113+(1-EXP(-LN(2)/25))/(LN(2)/25)*Calculateur!DB114*Calculateur!DD114*VLOOKUP('Données projet'!$B$13,Paramètres!$A$1:$I$89,3,0)*0.475*44/12</f>
        <v>2.0493806996817971</v>
      </c>
      <c r="DH114" s="21">
        <f>EXP(-LN(2)/2)*DH113+(1-EXP(-LN(2)/2))/(LN(2)/2)*DB114*DE114*VLOOKUP('Données projet'!$B$13,Paramètres!$A$1:$I$89,3,0)*0.475*44/12</f>
        <v>1.8852726778003124E-11</v>
      </c>
      <c r="DI114" s="22">
        <f t="shared" si="69"/>
        <v>3.5188869601391226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1.1368683772161603E-13</v>
      </c>
      <c r="DP114" s="17">
        <f>DO114*VLOOKUP('Données projet'!$B$14,Paramètres!$A$1:$I$89,3,0)*VLOOKUP('Données projet'!$B$14,Paramètres!$A$1:$I$89,5,0)</f>
        <v>6.5028871176764376E-14</v>
      </c>
      <c r="DQ114" s="13">
        <f t="shared" si="97"/>
        <v>1.0270999702906072E-12</v>
      </c>
      <c r="DR114" s="20">
        <f t="shared" si="70"/>
        <v>1.9021243988890057E-12</v>
      </c>
      <c r="DS114" s="59">
        <f t="shared" si="71"/>
        <v>293.33333333333519</v>
      </c>
      <c r="DT114" s="59">
        <f ca="1">AVERAGE(OFFSET($DS$3,0,0,'Données projet'!$E$14+1,1))-AVERAGE(OFFSET($H$3,0,0,'Données projet'!$E$14+1,1))</f>
        <v>227.99747790451215</v>
      </c>
      <c r="DU114" s="59">
        <f t="shared" si="98"/>
        <v>209.49597700966933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0.57669577081160961</v>
      </c>
      <c r="EB114" s="21">
        <f>EXP(-LN(2)/25)*EB113+(1-EXP(-LN(2)/25))/(LN(2)/25)*Calculateur!DW114*Calculateur!DY114*VLOOKUP('Données projet'!$B$14,Paramètres!$A$1:$I$89,3,0)*0.475*44/12</f>
        <v>1.6062863654215129</v>
      </c>
      <c r="EC114" s="21">
        <f>EXP(-LN(2)/2)*EC113+(1-EXP(-LN(2)/2))/(LN(2)/2)*DW114*DZ114*VLOOKUP('Données projet'!$B$14,Paramètres!$A$1:$I$89,3,0)*0.475*44/12</f>
        <v>1.5860904093565975E-11</v>
      </c>
      <c r="ED114" s="22">
        <f t="shared" si="72"/>
        <v>2.1829821362489836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3.4106051316484809E-13</v>
      </c>
      <c r="EK114" s="17">
        <f>EJ114*VLOOKUP('Données projet'!$B$15,Paramètres!$A$1:$I$89,3,0)*VLOOKUP('Données projet'!$B$15,Paramètres!$A$1:$I$89,5,0)</f>
        <v>1.5074874681886286E-13</v>
      </c>
      <c r="EL114" s="13">
        <f t="shared" si="99"/>
        <v>2.1590218794584103E-12</v>
      </c>
      <c r="EM114" s="20">
        <f t="shared" si="73"/>
        <v>4.0228505074329168E-12</v>
      </c>
      <c r="EN114" s="59">
        <f t="shared" si="74"/>
        <v>293.33333333333735</v>
      </c>
      <c r="EO114" s="59">
        <f ca="1">AVERAGE(OFFSET($EN$3,0,0,'Données projet'!$E$15+1,1))-AVERAGE(OFFSET($H$3,0,0,'Données projet'!$E$15+1,1))</f>
        <v>335.27356627949155</v>
      </c>
      <c r="EP114" s="59">
        <f t="shared" si="100"/>
        <v>322.66829503077247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2.9596515530620318</v>
      </c>
      <c r="EX114" s="21">
        <f>EXP(-LN(2)/2)*EX113+(1-EXP(-LN(2)/2))/(LN(2)/2)*ER114*EU114*VLOOKUP('Données projet'!$B$15,Paramètres!$A$1:$I$89,3,0)*0.475*44/12</f>
        <v>2.2755249082359092E-11</v>
      </c>
      <c r="EY114" s="22">
        <f t="shared" si="75"/>
        <v>2.9596515530847869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5.4</v>
      </c>
      <c r="N115" s="13">
        <f>IF('Données projet'!$A$36&gt;35,N114+M115-V114,IF(A115&lt;'Données projet'!$A$36,$K$205^A115,IF(A115='Données projet'!$A$36,'Données projet'!$B$36,N114+M115-V114)))</f>
        <v>317.79999999999961</v>
      </c>
      <c r="O115" s="13">
        <f>N115*VLOOKUP('Données projet'!$B$9,Paramètres!$A$1:$I$89,3,0)*VLOOKUP('Données projet'!$B$9,Paramètres!$A$1:$I$89,5,0)</f>
        <v>287.54543999999964</v>
      </c>
      <c r="P115" s="13">
        <f t="shared" si="87"/>
        <v>68.559101107635655</v>
      </c>
      <c r="Q115" s="20">
        <f t="shared" si="107"/>
        <v>620.21540909579812</v>
      </c>
      <c r="R115" s="59">
        <f t="shared" si="55"/>
        <v>913.54874242913138</v>
      </c>
      <c r="S115" s="59">
        <f ca="1">AVERAGE(OFFSET($R$3,0,0,'Données projet'!$E$9+1,1))-AVERAGE(OFFSET($H$3,0,0,'Données projet'!$E$9+1,1))</f>
        <v>319.18811755575183</v>
      </c>
      <c r="T115" s="59">
        <f t="shared" si="88"/>
        <v>234.87694492493506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0.47477288670984175</v>
      </c>
      <c r="AA115" s="21">
        <f>EXP(-LN(2)/25)*AA114+(1-EXP(-LN(2)/25))/(LN(2)/25)*Calculateur!V115*Calculateur!X115*VLOOKUP('Données projet'!$B$9,Paramètres!$A$1:$I$89,3,0)*0.475*44/12</f>
        <v>1.1615534855151406</v>
      </c>
      <c r="AB115" s="21">
        <f>EXP(-LN(2)/2)*AB114+(1-EXP(-LN(2)/2))/(LN(2)/2)*V115*Y115*VLOOKUP('Données projet'!$B$9,Paramètres!$A$1:$I$89,3,0)*0.475*44/12</f>
        <v>9.8013228007888222E-12</v>
      </c>
      <c r="AC115" s="22">
        <f t="shared" si="57"/>
        <v>1.6363263722347836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-1.8089849618263545E-13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314.94704727988847</v>
      </c>
      <c r="AO115" s="59">
        <f t="shared" si="90"/>
        <v>366.49199094166454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0.77183908146152924</v>
      </c>
      <c r="AV115" s="21">
        <f>EXP(-LN(2)/25)*AV114+(1-EXP(-LN(2)/25))/(LN(2)/25)*Calculateur!AQ115*Calculateur!AS115*VLOOKUP('Données projet'!$B$10,Paramètres!$A$1:$I$89,3,0)*0.475*44/12</f>
        <v>2.6156110941082482</v>
      </c>
      <c r="AW115" s="21">
        <f>EXP(-LN(2)/2)*AW114+(1-EXP(-LN(2)/2))/(LN(2)/2)*AQ115*AT115*VLOOKUP('Données projet'!$B$10,Paramètres!$A$1:$I$89,3,0)*0.475*44/12</f>
        <v>1.3128208857212996E-11</v>
      </c>
      <c r="AX115" s="21">
        <f t="shared" si="60"/>
        <v>3.3874501755829058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-1.4897523215040565E-13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246.64951465060813</v>
      </c>
      <c r="BJ115" s="59">
        <f t="shared" si="92"/>
        <v>292.64550285216865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0.51570158384000075</v>
      </c>
      <c r="BQ115" s="21">
        <f>EXP(-LN(2)/25)*BQ114+(1-EXP(-LN(2)/25))/(LN(2)/25)*Calculateur!BL115*Calculateur!BN115*VLOOKUP('Données projet'!$B$11,Paramètres!$A$1:$I$89,3,0)*0.475*44/12</f>
        <v>1.7476114080501275</v>
      </c>
      <c r="BR115" s="21">
        <f>EXP(-LN(2)/2)*BR114+(1-EXP(-LN(2)/2))/(LN(2)/2)*BL115*BO115*VLOOKUP('Données projet'!$B$11,Paramètres!$A$1:$I$89,3,0)*0.475*44/12</f>
        <v>1.0811466117704821E-11</v>
      </c>
      <c r="BS115" s="22">
        <f t="shared" si="63"/>
        <v>2.2633129919009396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-1.5252226148732008E-13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254.25222107710192</v>
      </c>
      <c r="CE115" s="59">
        <f t="shared" si="94"/>
        <v>300.86609173447573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0.65076628436952444</v>
      </c>
      <c r="CL115" s="21">
        <f>EXP(-LN(2)/25)*CL114+(1-EXP(-LN(2)/25))/(LN(2)/25)*Calculateur!CG115*Calculateur!CI115*VLOOKUP('Données projet'!$B$12,Paramètres!$A$1:$I$89,3,0)*0.475*44/12</f>
        <v>2.2053191577775419</v>
      </c>
      <c r="CM115" s="21">
        <f>EXP(-LN(2)/2)*CM114+(1-EXP(-LN(2)/2))/(LN(2)/2)*CG115*CJ115*VLOOKUP('Données projet'!$B$12,Paramètres!$A$1:$I$89,3,0)*0.475*44/12</f>
        <v>1.106888197765018E-11</v>
      </c>
      <c r="CN115" s="22">
        <f t="shared" si="66"/>
        <v>2.8560854421581352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243.38048563215585</v>
      </c>
      <c r="CZ115" s="59">
        <f t="shared" si="96"/>
        <v>372.1604147006675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1.4406901389815894</v>
      </c>
      <c r="DG115" s="21">
        <f>EXP(-LN(2)/25)*DG114+(1-EXP(-LN(2)/25))/(LN(2)/25)*Calculateur!DB115*Calculateur!DD115*VLOOKUP('Données projet'!$B$13,Paramètres!$A$1:$I$89,3,0)*0.475*44/12</f>
        <v>1.9933402766767514</v>
      </c>
      <c r="DH115" s="21">
        <f>EXP(-LN(2)/2)*DH114+(1-EXP(-LN(2)/2))/(LN(2)/2)*DB115*DE115*VLOOKUP('Données projet'!$B$13,Paramètres!$A$1:$I$89,3,0)*0.475*44/12</f>
        <v>1.333089094858322E-11</v>
      </c>
      <c r="DI115" s="22">
        <f t="shared" si="69"/>
        <v>3.4340304156716712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1.1368683772161603E-13</v>
      </c>
      <c r="DP115" s="17">
        <f>DO115*VLOOKUP('Données projet'!$B$14,Paramètres!$A$1:$I$89,3,0)*VLOOKUP('Données projet'!$B$14,Paramètres!$A$1:$I$89,5,0)</f>
        <v>6.5028871176764376E-14</v>
      </c>
      <c r="DQ115" s="13">
        <f t="shared" si="97"/>
        <v>1.0270999702906072E-12</v>
      </c>
      <c r="DR115" s="20">
        <f t="shared" si="70"/>
        <v>1.9021243988890057E-12</v>
      </c>
      <c r="DS115" s="59">
        <f t="shared" si="71"/>
        <v>293.33333333333519</v>
      </c>
      <c r="DT115" s="59">
        <f ca="1">AVERAGE(OFFSET($DS$3,0,0,'Données projet'!$E$14+1,1))-AVERAGE(OFFSET($H$3,0,0,'Données projet'!$E$14+1,1))</f>
        <v>227.99747790451215</v>
      </c>
      <c r="DU115" s="59">
        <f t="shared" si="98"/>
        <v>209.49597700966933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0.5653871184956818</v>
      </c>
      <c r="EB115" s="21">
        <f>EXP(-LN(2)/25)*EB114+(1-EXP(-LN(2)/25))/(LN(2)/25)*Calculateur!DW115*Calculateur!DY115*VLOOKUP('Données projet'!$B$14,Paramètres!$A$1:$I$89,3,0)*0.475*44/12</f>
        <v>1.562362380288133</v>
      </c>
      <c r="EC115" s="21">
        <f>EXP(-LN(2)/2)*EC114+(1-EXP(-LN(2)/2))/(LN(2)/2)*DW115*DZ115*VLOOKUP('Données projet'!$B$14,Paramètres!$A$1:$I$89,3,0)*0.475*44/12</f>
        <v>1.1215352840309972E-11</v>
      </c>
      <c r="ED115" s="22">
        <f t="shared" si="72"/>
        <v>2.1277494987950303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3.4106051316484809E-13</v>
      </c>
      <c r="EK115" s="17">
        <f>EJ115*VLOOKUP('Données projet'!$B$15,Paramètres!$A$1:$I$89,3,0)*VLOOKUP('Données projet'!$B$15,Paramètres!$A$1:$I$89,5,0)</f>
        <v>1.5074874681886286E-13</v>
      </c>
      <c r="EL115" s="13">
        <f t="shared" si="99"/>
        <v>2.1590218794584103E-12</v>
      </c>
      <c r="EM115" s="20">
        <f t="shared" si="73"/>
        <v>4.0228505074329168E-12</v>
      </c>
      <c r="EN115" s="59">
        <f t="shared" si="74"/>
        <v>293.33333333333735</v>
      </c>
      <c r="EO115" s="59">
        <f ca="1">AVERAGE(OFFSET($EN$3,0,0,'Données projet'!$E$15+1,1))-AVERAGE(OFFSET($H$3,0,0,'Données projet'!$E$15+1,1))</f>
        <v>335.27356627949155</v>
      </c>
      <c r="EP115" s="59">
        <f t="shared" si="100"/>
        <v>322.66829503077247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2.8787197257022399</v>
      </c>
      <c r="EX115" s="21">
        <f>EXP(-LN(2)/2)*EX114+(1-EXP(-LN(2)/2))/(LN(2)/2)*ER115*EU115*VLOOKUP('Données projet'!$B$15,Paramètres!$A$1:$I$89,3,0)*0.475*44/12</f>
        <v>1.6090390933725077E-11</v>
      </c>
      <c r="EY115" s="22">
        <f t="shared" si="75"/>
        <v>2.8787197257183301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5.4</v>
      </c>
      <c r="N116" s="13">
        <f>IF('Données projet'!$A$36&gt;35,N115+M116-V115,IF(A116&lt;'Données projet'!$A$36,$K$205^A116,IF(A116='Données projet'!$A$36,'Données projet'!$B$36,N115+M116-V115)))</f>
        <v>323.19999999999959</v>
      </c>
      <c r="O116" s="13">
        <f>N116*VLOOKUP('Données projet'!$B$9,Paramètres!$A$1:$I$89,3,0)*VLOOKUP('Données projet'!$B$9,Paramètres!$A$1:$I$89,5,0)</f>
        <v>292.43135999999964</v>
      </c>
      <c r="P116" s="13">
        <f t="shared" si="87"/>
        <v>69.587433903176873</v>
      </c>
      <c r="Q116" s="20">
        <f t="shared" si="107"/>
        <v>630.51606604803237</v>
      </c>
      <c r="R116" s="59">
        <f t="shared" si="55"/>
        <v>923.84939938136563</v>
      </c>
      <c r="S116" s="59">
        <f ca="1">AVERAGE(OFFSET($R$3,0,0,'Données projet'!$E$9+1,1))-AVERAGE(OFFSET($H$3,0,0,'Données projet'!$E$9+1,1))</f>
        <v>319.18811755575183</v>
      </c>
      <c r="T116" s="59">
        <f t="shared" si="88"/>
        <v>234.87694492493506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0.46546287998432873</v>
      </c>
      <c r="AA116" s="21">
        <f>EXP(-LN(2)/25)*AA115+(1-EXP(-LN(2)/25))/(LN(2)/25)*Calculateur!V116*Calculateur!X116*VLOOKUP('Données projet'!$B$9,Paramètres!$A$1:$I$89,3,0)*0.475*44/12</f>
        <v>1.1297907443702859</v>
      </c>
      <c r="AB116" s="21">
        <f>EXP(-LN(2)/2)*AB115+(1-EXP(-LN(2)/2))/(LN(2)/2)*V116*Y116*VLOOKUP('Données projet'!$B$9,Paramètres!$A$1:$I$89,3,0)*0.475*44/12</f>
        <v>6.9305818170361009E-12</v>
      </c>
      <c r="AC116" s="22">
        <f t="shared" si="57"/>
        <v>1.5952536243615454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-1.8089849618263545E-13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314.94704727988847</v>
      </c>
      <c r="AO116" s="59">
        <f t="shared" si="90"/>
        <v>366.49199094166454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0.75670378784942316</v>
      </c>
      <c r="AV116" s="21">
        <f>EXP(-LN(2)/25)*AV115+(1-EXP(-LN(2)/25))/(LN(2)/25)*Calculateur!AQ116*Calculateur!AS116*VLOOKUP('Données projet'!$B$10,Paramètres!$A$1:$I$89,3,0)*0.475*44/12</f>
        <v>2.544087071190849</v>
      </c>
      <c r="AW116" s="21">
        <f>EXP(-LN(2)/2)*AW115+(1-EXP(-LN(2)/2))/(LN(2)/2)*AQ116*AT116*VLOOKUP('Données projet'!$B$10,Paramètres!$A$1:$I$89,3,0)*0.475*44/12</f>
        <v>9.2830455077686052E-12</v>
      </c>
      <c r="AX116" s="21">
        <f t="shared" si="60"/>
        <v>3.3007908590495552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-1.4897523215040565E-13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246.64951465060813</v>
      </c>
      <c r="BJ116" s="59">
        <f t="shared" si="92"/>
        <v>292.64550285216865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0.50558899032780558</v>
      </c>
      <c r="BQ116" s="21">
        <f>EXP(-LN(2)/25)*BQ115+(1-EXP(-LN(2)/25))/(LN(2)/25)*Calculateur!BL116*Calculateur!BN116*VLOOKUP('Données projet'!$B$11,Paramètres!$A$1:$I$89,3,0)*0.475*44/12</f>
        <v>1.699822882194107</v>
      </c>
      <c r="BR116" s="21">
        <f>EXP(-LN(2)/2)*BR115+(1-EXP(-LN(2)/2))/(LN(2)/2)*BL116*BO116*VLOOKUP('Données projet'!$B$11,Paramètres!$A$1:$I$89,3,0)*0.475*44/12</f>
        <v>7.6448610063976753E-12</v>
      </c>
      <c r="BS116" s="22">
        <f t="shared" si="63"/>
        <v>2.2054118725295577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-1.5252226148732008E-13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254.25222107710192</v>
      </c>
      <c r="CE116" s="59">
        <f t="shared" si="94"/>
        <v>300.86609173447573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0.63800515446127815</v>
      </c>
      <c r="CL116" s="21">
        <f>EXP(-LN(2)/25)*CL115+(1-EXP(-LN(2)/25))/(LN(2)/25)*Calculateur!CG116*Calculateur!CI116*VLOOKUP('Données projet'!$B$12,Paramètres!$A$1:$I$89,3,0)*0.475*44/12</f>
        <v>2.1450145894354207</v>
      </c>
      <c r="CM116" s="21">
        <f>EXP(-LN(2)/2)*CM115+(1-EXP(-LN(2)/2))/(LN(2)/2)*CG116*CJ116*VLOOKUP('Données projet'!$B$12,Paramètres!$A$1:$I$89,3,0)*0.475*44/12</f>
        <v>7.8268815065500054E-12</v>
      </c>
      <c r="CN116" s="22">
        <f t="shared" si="66"/>
        <v>2.7830197439045259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243.38048563215585</v>
      </c>
      <c r="CZ116" s="59">
        <f t="shared" si="96"/>
        <v>372.1604147006675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1.4124390840903773</v>
      </c>
      <c r="DG116" s="21">
        <f>EXP(-LN(2)/25)*DG115+(1-EXP(-LN(2)/25))/(LN(2)/25)*Calculateur!DB116*Calculateur!DD116*VLOOKUP('Données projet'!$B$13,Paramètres!$A$1:$I$89,3,0)*0.475*44/12</f>
        <v>1.9388322819858164</v>
      </c>
      <c r="DH116" s="21">
        <f>EXP(-LN(2)/2)*DH115+(1-EXP(-LN(2)/2))/(LN(2)/2)*DB116*DE116*VLOOKUP('Données projet'!$B$13,Paramètres!$A$1:$I$89,3,0)*0.475*44/12</f>
        <v>9.426363389001562E-12</v>
      </c>
      <c r="DI116" s="22">
        <f t="shared" si="69"/>
        <v>3.3512713660856202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1.1368683772161603E-13</v>
      </c>
      <c r="DP116" s="17">
        <f>DO116*VLOOKUP('Données projet'!$B$14,Paramètres!$A$1:$I$89,3,0)*VLOOKUP('Données projet'!$B$14,Paramètres!$A$1:$I$89,5,0)</f>
        <v>6.5028871176764376E-14</v>
      </c>
      <c r="DQ116" s="13">
        <f t="shared" si="97"/>
        <v>1.0270999702906072E-12</v>
      </c>
      <c r="DR116" s="20">
        <f t="shared" si="70"/>
        <v>1.9021243988890057E-12</v>
      </c>
      <c r="DS116" s="59">
        <f t="shared" si="71"/>
        <v>293.33333333333519</v>
      </c>
      <c r="DT116" s="59">
        <f ca="1">AVERAGE(OFFSET($DS$3,0,0,'Données projet'!$E$14+1,1))-AVERAGE(OFFSET($H$3,0,0,'Données projet'!$E$14+1,1))</f>
        <v>227.99747790451215</v>
      </c>
      <c r="DU116" s="59">
        <f t="shared" si="98"/>
        <v>209.49597700966933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0.55430022195407247</v>
      </c>
      <c r="EB116" s="21">
        <f>EXP(-LN(2)/25)*EB115+(1-EXP(-LN(2)/25))/(LN(2)/25)*Calculateur!DW116*Calculateur!DY116*VLOOKUP('Données projet'!$B$14,Paramètres!$A$1:$I$89,3,0)*0.475*44/12</f>
        <v>1.5196394988380872</v>
      </c>
      <c r="EC116" s="21">
        <f>EXP(-LN(2)/2)*EC115+(1-EXP(-LN(2)/2))/(LN(2)/2)*DW116*DZ116*VLOOKUP('Données projet'!$B$14,Paramètres!$A$1:$I$89,3,0)*0.475*44/12</f>
        <v>7.9304520467829875E-12</v>
      </c>
      <c r="ED116" s="22">
        <f t="shared" si="72"/>
        <v>2.07393972080009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3.4106051316484809E-13</v>
      </c>
      <c r="EK116" s="17">
        <f>EJ116*VLOOKUP('Données projet'!$B$15,Paramètres!$A$1:$I$89,3,0)*VLOOKUP('Données projet'!$B$15,Paramètres!$A$1:$I$89,5,0)</f>
        <v>1.5074874681886286E-13</v>
      </c>
      <c r="EL116" s="13">
        <f t="shared" si="99"/>
        <v>2.1590218794584103E-12</v>
      </c>
      <c r="EM116" s="20">
        <f t="shared" si="73"/>
        <v>4.0228505074329168E-12</v>
      </c>
      <c r="EN116" s="59">
        <f t="shared" si="74"/>
        <v>293.33333333333735</v>
      </c>
      <c r="EO116" s="59">
        <f ca="1">AVERAGE(OFFSET($EN$3,0,0,'Données projet'!$E$15+1,1))-AVERAGE(OFFSET($H$3,0,0,'Données projet'!$E$15+1,1))</f>
        <v>335.27356627949155</v>
      </c>
      <c r="EP116" s="59">
        <f t="shared" si="100"/>
        <v>322.66829503077247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2.8000009834176214</v>
      </c>
      <c r="EX116" s="21">
        <f>EXP(-LN(2)/2)*EX115+(1-EXP(-LN(2)/2))/(LN(2)/2)*ER116*EU116*VLOOKUP('Données projet'!$B$15,Paramètres!$A$1:$I$89,3,0)*0.475*44/12</f>
        <v>1.1377624541179546E-11</v>
      </c>
      <c r="EY116" s="22">
        <f t="shared" si="75"/>
        <v>2.8000009834289989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5.4</v>
      </c>
      <c r="N117" s="13">
        <f>IF('Données projet'!$A$36&gt;35,N116+M117-V116,IF(A117&lt;'Données projet'!$A$36,$K$205^A117,IF(A117='Données projet'!$A$36,'Données projet'!$B$36,N116+M117-V116)))</f>
        <v>328.59999999999957</v>
      </c>
      <c r="O117" s="13">
        <f>N117*VLOOKUP('Données projet'!$B$9,Paramètres!$A$1:$I$89,3,0)*VLOOKUP('Données projet'!$B$9,Paramètres!$A$1:$I$89,5,0)</f>
        <v>297.31727999999958</v>
      </c>
      <c r="P117" s="13">
        <f t="shared" si="87"/>
        <v>70.613768640226624</v>
      </c>
      <c r="Q117" s="20">
        <f t="shared" si="107"/>
        <v>640.81324304839393</v>
      </c>
      <c r="R117" s="59">
        <f t="shared" si="55"/>
        <v>934.1465763817273</v>
      </c>
      <c r="S117" s="59">
        <f ca="1">AVERAGE(OFFSET($R$3,0,0,'Données projet'!$E$9+1,1))-AVERAGE(OFFSET($H$3,0,0,'Données projet'!$E$9+1,1))</f>
        <v>319.18811755575183</v>
      </c>
      <c r="T117" s="59">
        <f t="shared" si="88"/>
        <v>234.87694492493506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0.4563354368121596</v>
      </c>
      <c r="AA117" s="21">
        <f>EXP(-LN(2)/25)*AA116+(1-EXP(-LN(2)/25))/(LN(2)/25)*Calculateur!V117*Calculateur!X117*VLOOKUP('Données projet'!$B$9,Paramètres!$A$1:$I$89,3,0)*0.475*44/12</f>
        <v>1.0988965570523674</v>
      </c>
      <c r="AB117" s="21">
        <f>EXP(-LN(2)/2)*AB116+(1-EXP(-LN(2)/2))/(LN(2)/2)*V117*Y117*VLOOKUP('Données projet'!$B$9,Paramètres!$A$1:$I$89,3,0)*0.475*44/12</f>
        <v>4.9006614003944111E-12</v>
      </c>
      <c r="AC117" s="22">
        <f t="shared" si="57"/>
        <v>1.5552319938694279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-1.8089849618263545E-13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314.94704727988847</v>
      </c>
      <c r="AO117" s="59">
        <f t="shared" si="90"/>
        <v>366.49199094166454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0.74186528811343289</v>
      </c>
      <c r="AV117" s="21">
        <f>EXP(-LN(2)/25)*AV116+(1-EXP(-LN(2)/25))/(LN(2)/25)*Calculateur!AQ117*Calculateur!AS117*VLOOKUP('Données projet'!$B$10,Paramètres!$A$1:$I$89,3,0)*0.475*44/12</f>
        <v>2.4745188764414108</v>
      </c>
      <c r="AW117" s="21">
        <f>EXP(-LN(2)/2)*AW116+(1-EXP(-LN(2)/2))/(LN(2)/2)*AQ117*AT117*VLOOKUP('Données projet'!$B$10,Paramètres!$A$1:$I$89,3,0)*0.475*44/12</f>
        <v>6.5641044286064982E-12</v>
      </c>
      <c r="AX117" s="21">
        <f t="shared" si="60"/>
        <v>3.2163841645614077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-1.4897523215040565E-13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246.64951465060813</v>
      </c>
      <c r="BJ117" s="59">
        <f t="shared" si="92"/>
        <v>292.64550285216865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0.49567469860631153</v>
      </c>
      <c r="BQ117" s="21">
        <f>EXP(-LN(2)/25)*BQ116+(1-EXP(-LN(2)/25))/(LN(2)/25)*Calculateur!BL117*Calculateur!BN117*VLOOKUP('Données projet'!$B$11,Paramètres!$A$1:$I$89,3,0)*0.475*44/12</f>
        <v>1.6533411360907089</v>
      </c>
      <c r="BR117" s="21">
        <f>EXP(-LN(2)/2)*BR116+(1-EXP(-LN(2)/2))/(LN(2)/2)*BL117*BO117*VLOOKUP('Données projet'!$B$11,Paramètres!$A$1:$I$89,3,0)*0.475*44/12</f>
        <v>5.4057330588524106E-12</v>
      </c>
      <c r="BS117" s="22">
        <f t="shared" si="63"/>
        <v>2.1490158347024262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-1.5252226148732008E-13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254.25222107710192</v>
      </c>
      <c r="CE117" s="59">
        <f t="shared" si="94"/>
        <v>300.86609173447573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0.6254942625270119</v>
      </c>
      <c r="CL117" s="21">
        <f>EXP(-LN(2)/25)*CL116+(1-EXP(-LN(2)/25))/(LN(2)/25)*Calculateur!CG117*Calculateur!CI117*VLOOKUP('Données projet'!$B$12,Paramètres!$A$1:$I$89,3,0)*0.475*44/12</f>
        <v>2.0863590526858942</v>
      </c>
      <c r="CM117" s="21">
        <f>EXP(-LN(2)/2)*CM116+(1-EXP(-LN(2)/2))/(LN(2)/2)*CG117*CJ117*VLOOKUP('Données projet'!$B$12,Paramètres!$A$1:$I$89,3,0)*0.475*44/12</f>
        <v>5.5344409888250902E-12</v>
      </c>
      <c r="CN117" s="22">
        <f t="shared" si="66"/>
        <v>2.7118533152184403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243.38048563215585</v>
      </c>
      <c r="CZ117" s="59">
        <f t="shared" si="96"/>
        <v>372.1604147006675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1.3847420151541401</v>
      </c>
      <c r="DG117" s="21">
        <f>EXP(-LN(2)/25)*DG116+(1-EXP(-LN(2)/25))/(LN(2)/25)*Calculateur!DB117*Calculateur!DD117*VLOOKUP('Données projet'!$B$13,Paramètres!$A$1:$I$89,3,0)*0.475*44/12</f>
        <v>1.8858148112761557</v>
      </c>
      <c r="DH117" s="21">
        <f>EXP(-LN(2)/2)*DH116+(1-EXP(-LN(2)/2))/(LN(2)/2)*DB117*DE117*VLOOKUP('Données projet'!$B$13,Paramètres!$A$1:$I$89,3,0)*0.475*44/12</f>
        <v>6.6654454742916101E-12</v>
      </c>
      <c r="DI117" s="22">
        <f t="shared" si="69"/>
        <v>3.2705568264369611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1.1368683772161603E-13</v>
      </c>
      <c r="DP117" s="17">
        <f>DO117*VLOOKUP('Données projet'!$B$14,Paramètres!$A$1:$I$89,3,0)*VLOOKUP('Données projet'!$B$14,Paramètres!$A$1:$I$89,5,0)</f>
        <v>6.5028871176764376E-14</v>
      </c>
      <c r="DQ117" s="13">
        <f t="shared" si="97"/>
        <v>1.0270999702906072E-12</v>
      </c>
      <c r="DR117" s="20">
        <f t="shared" si="70"/>
        <v>1.9021243988890057E-12</v>
      </c>
      <c r="DS117" s="59">
        <f t="shared" si="71"/>
        <v>293.33333333333519</v>
      </c>
      <c r="DT117" s="59">
        <f ca="1">AVERAGE(OFFSET($DS$3,0,0,'Données projet'!$E$14+1,1))-AVERAGE(OFFSET($H$3,0,0,'Données projet'!$E$14+1,1))</f>
        <v>227.99747790451215</v>
      </c>
      <c r="DU117" s="59">
        <f t="shared" si="98"/>
        <v>209.49597700966933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0.54343073269130493</v>
      </c>
      <c r="EB117" s="21">
        <f>EXP(-LN(2)/25)*EB116+(1-EXP(-LN(2)/25))/(LN(2)/25)*Calculateur!DW117*Calculateur!DY117*VLOOKUP('Données projet'!$B$14,Paramètres!$A$1:$I$89,3,0)*0.475*44/12</f>
        <v>1.4780848768279917</v>
      </c>
      <c r="EC117" s="21">
        <f>EXP(-LN(2)/2)*EC116+(1-EXP(-LN(2)/2))/(LN(2)/2)*DW117*DZ117*VLOOKUP('Données projet'!$B$14,Paramètres!$A$1:$I$89,3,0)*0.475*44/12</f>
        <v>5.607676420154986E-12</v>
      </c>
      <c r="ED117" s="22">
        <f t="shared" si="72"/>
        <v>2.0215156095249043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3.4106051316484809E-13</v>
      </c>
      <c r="EK117" s="17">
        <f>EJ117*VLOOKUP('Données projet'!$B$15,Paramètres!$A$1:$I$89,3,0)*VLOOKUP('Données projet'!$B$15,Paramètres!$A$1:$I$89,5,0)</f>
        <v>1.5074874681886286E-13</v>
      </c>
      <c r="EL117" s="13">
        <f t="shared" si="99"/>
        <v>2.1590218794584103E-12</v>
      </c>
      <c r="EM117" s="20">
        <f t="shared" si="73"/>
        <v>4.0228505074329168E-12</v>
      </c>
      <c r="EN117" s="59">
        <f t="shared" si="74"/>
        <v>293.33333333333735</v>
      </c>
      <c r="EO117" s="59">
        <f ca="1">AVERAGE(OFFSET($EN$3,0,0,'Données projet'!$E$15+1,1))-AVERAGE(OFFSET($H$3,0,0,'Données projet'!$E$15+1,1))</f>
        <v>335.27356627949155</v>
      </c>
      <c r="EP117" s="59">
        <f t="shared" si="100"/>
        <v>322.66829503077247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2.7234348092804144</v>
      </c>
      <c r="EX117" s="21">
        <f>EXP(-LN(2)/2)*EX116+(1-EXP(-LN(2)/2))/(LN(2)/2)*ER117*EU117*VLOOKUP('Données projet'!$B$15,Paramètres!$A$1:$I$89,3,0)*0.475*44/12</f>
        <v>8.0451954668625383E-12</v>
      </c>
      <c r="EY117" s="22">
        <f t="shared" si="75"/>
        <v>2.7234348092884595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5.4</v>
      </c>
      <c r="N118" s="13">
        <f>IF('Données projet'!$A$36&gt;35,N117+M118-V117,IF(A118&lt;'Données projet'!$A$36,$K$205^A118,IF(A118='Données projet'!$A$36,'Données projet'!$B$36,N117+M118-V117)))</f>
        <v>333.99999999999955</v>
      </c>
      <c r="O118" s="13">
        <f>N118*VLOOKUP('Données projet'!$B$9,Paramètres!$A$1:$I$89,3,0)*VLOOKUP('Données projet'!$B$9,Paramètres!$A$1:$I$89,5,0)</f>
        <v>302.20319999999958</v>
      </c>
      <c r="P118" s="13">
        <f t="shared" si="87"/>
        <v>71.638141943842172</v>
      </c>
      <c r="Q118" s="20">
        <f t="shared" si="107"/>
        <v>651.10700388552448</v>
      </c>
      <c r="R118" s="59">
        <f t="shared" si="55"/>
        <v>944.44033721885785</v>
      </c>
      <c r="S118" s="59">
        <f ca="1">AVERAGE(OFFSET($R$3,0,0,'Données projet'!$E$9+1,1))-AVERAGE(OFFSET($H$3,0,0,'Données projet'!$E$9+1,1))</f>
        <v>319.18811755575183</v>
      </c>
      <c r="T118" s="59">
        <f t="shared" si="88"/>
        <v>234.87694492493506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0.44738697723340609</v>
      </c>
      <c r="AA118" s="21">
        <f>EXP(-LN(2)/25)*AA117+(1-EXP(-LN(2)/25))/(LN(2)/25)*Calculateur!V118*Calculateur!X118*VLOOKUP('Données projet'!$B$9,Paramètres!$A$1:$I$89,3,0)*0.475*44/12</f>
        <v>1.068847172911312</v>
      </c>
      <c r="AB118" s="21">
        <f>EXP(-LN(2)/2)*AB117+(1-EXP(-LN(2)/2))/(LN(2)/2)*V118*Y118*VLOOKUP('Données projet'!$B$9,Paramètres!$A$1:$I$89,3,0)*0.475*44/12</f>
        <v>3.4652909085180505E-12</v>
      </c>
      <c r="AC118" s="22">
        <f t="shared" si="57"/>
        <v>1.5162341501481833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-1.8089849618263545E-13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314.94704727988847</v>
      </c>
      <c r="AO118" s="59">
        <f t="shared" si="90"/>
        <v>366.49199094166454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0.72731776230667422</v>
      </c>
      <c r="AV118" s="21">
        <f>EXP(-LN(2)/25)*AV117+(1-EXP(-LN(2)/25))/(LN(2)/25)*Calculateur!AQ118*Calculateur!AS118*VLOOKUP('Données projet'!$B$10,Paramètres!$A$1:$I$89,3,0)*0.475*44/12</f>
        <v>2.4068530276358282</v>
      </c>
      <c r="AW118" s="21">
        <f>EXP(-LN(2)/2)*AW117+(1-EXP(-LN(2)/2))/(LN(2)/2)*AQ118*AT118*VLOOKUP('Données projet'!$B$10,Paramètres!$A$1:$I$89,3,0)*0.475*44/12</f>
        <v>4.6415227538843026E-12</v>
      </c>
      <c r="AX118" s="21">
        <f t="shared" si="60"/>
        <v>3.1341707899471443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-1.4897523215040565E-13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246.64951465060813</v>
      </c>
      <c r="BJ118" s="59">
        <f t="shared" si="92"/>
        <v>292.64550285216865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0.48595482009835511</v>
      </c>
      <c r="BQ118" s="21">
        <f>EXP(-LN(2)/25)*BQ117+(1-EXP(-LN(2)/25))/(LN(2)/25)*Calculateur!BL118*Calculateur!BN118*VLOOKUP('Données projet'!$B$11,Paramètres!$A$1:$I$89,3,0)*0.475*44/12</f>
        <v>1.6081304357788768</v>
      </c>
      <c r="BR118" s="21">
        <f>EXP(-LN(2)/2)*BR117+(1-EXP(-LN(2)/2))/(LN(2)/2)*BL118*BO118*VLOOKUP('Données projet'!$B$11,Paramètres!$A$1:$I$89,3,0)*0.475*44/12</f>
        <v>3.8224305031988377E-12</v>
      </c>
      <c r="BS118" s="22">
        <f t="shared" si="63"/>
        <v>2.0940852558810543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-1.5252226148732008E-13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254.25222107710192</v>
      </c>
      <c r="CE118" s="59">
        <f t="shared" si="94"/>
        <v>300.86609173447573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0.61322870155268594</v>
      </c>
      <c r="CL118" s="21">
        <f>EXP(-LN(2)/25)*CL117+(1-EXP(-LN(2)/25))/(LN(2)/25)*Calculateur!CG118*Calculateur!CI118*VLOOKUP('Données projet'!$B$12,Paramètres!$A$1:$I$89,3,0)*0.475*44/12</f>
        <v>2.0293074546733441</v>
      </c>
      <c r="CM118" s="21">
        <f>EXP(-LN(2)/2)*CM117+(1-EXP(-LN(2)/2))/(LN(2)/2)*CG118*CJ118*VLOOKUP('Données projet'!$B$12,Paramètres!$A$1:$I$89,3,0)*0.475*44/12</f>
        <v>3.9134407532750027E-12</v>
      </c>
      <c r="CN118" s="22">
        <f t="shared" si="66"/>
        <v>2.6425361562299434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243.38048563215585</v>
      </c>
      <c r="CZ118" s="59">
        <f t="shared" si="96"/>
        <v>372.1604147006675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1.3575880688461983</v>
      </c>
      <c r="DG118" s="21">
        <f>EXP(-LN(2)/25)*DG117+(1-EXP(-LN(2)/25))/(LN(2)/25)*Calculateur!DB118*Calculateur!DD118*VLOOKUP('Données projet'!$B$13,Paramètres!$A$1:$I$89,3,0)*0.475*44/12</f>
        <v>1.8342471060911183</v>
      </c>
      <c r="DH118" s="21">
        <f>EXP(-LN(2)/2)*DH117+(1-EXP(-LN(2)/2))/(LN(2)/2)*DB118*DE118*VLOOKUP('Données projet'!$B$13,Paramètres!$A$1:$I$89,3,0)*0.475*44/12</f>
        <v>4.713181694500781E-12</v>
      </c>
      <c r="DI118" s="22">
        <f t="shared" si="69"/>
        <v>3.1918351749420295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1.1368683772161603E-13</v>
      </c>
      <c r="DP118" s="17">
        <f>DO118*VLOOKUP('Données projet'!$B$14,Paramètres!$A$1:$I$89,3,0)*VLOOKUP('Données projet'!$B$14,Paramètres!$A$1:$I$89,5,0)</f>
        <v>6.5028871176764376E-14</v>
      </c>
      <c r="DQ118" s="13">
        <f t="shared" si="97"/>
        <v>1.0270999702906072E-12</v>
      </c>
      <c r="DR118" s="20">
        <f t="shared" si="70"/>
        <v>1.9021243988890057E-12</v>
      </c>
      <c r="DS118" s="59">
        <f t="shared" si="71"/>
        <v>293.33333333333519</v>
      </c>
      <c r="DT118" s="59">
        <f ca="1">AVERAGE(OFFSET($DS$3,0,0,'Données projet'!$E$14+1,1))-AVERAGE(OFFSET($H$3,0,0,'Données projet'!$E$14+1,1))</f>
        <v>227.99747790451215</v>
      </c>
      <c r="DU118" s="59">
        <f t="shared" si="98"/>
        <v>209.49597700966933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0.53277438748324646</v>
      </c>
      <c r="EB118" s="21">
        <f>EXP(-LN(2)/25)*EB117+(1-EXP(-LN(2)/25))/(LN(2)/25)*Calculateur!DW118*Calculateur!DY118*VLOOKUP('Données projet'!$B$14,Paramètres!$A$1:$I$89,3,0)*0.475*44/12</f>
        <v>1.4376665681420249</v>
      </c>
      <c r="EC118" s="21">
        <f>EXP(-LN(2)/2)*EC117+(1-EXP(-LN(2)/2))/(LN(2)/2)*DW118*DZ118*VLOOKUP('Données projet'!$B$14,Paramètres!$A$1:$I$89,3,0)*0.475*44/12</f>
        <v>3.9652260233914938E-12</v>
      </c>
      <c r="ED118" s="22">
        <f t="shared" si="72"/>
        <v>1.9704409556292366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3.4106051316484809E-13</v>
      </c>
      <c r="EK118" s="17">
        <f>EJ118*VLOOKUP('Données projet'!$B$15,Paramètres!$A$1:$I$89,3,0)*VLOOKUP('Données projet'!$B$15,Paramètres!$A$1:$I$89,5,0)</f>
        <v>1.5074874681886286E-13</v>
      </c>
      <c r="EL118" s="13">
        <f t="shared" si="99"/>
        <v>2.1590218794584103E-12</v>
      </c>
      <c r="EM118" s="20">
        <f t="shared" si="73"/>
        <v>4.0228505074329168E-12</v>
      </c>
      <c r="EN118" s="59">
        <f t="shared" si="74"/>
        <v>293.33333333333735</v>
      </c>
      <c r="EO118" s="59">
        <f ca="1">AVERAGE(OFFSET($EN$3,0,0,'Données projet'!$E$15+1,1))-AVERAGE(OFFSET($H$3,0,0,'Données projet'!$E$15+1,1))</f>
        <v>335.27356627949155</v>
      </c>
      <c r="EP118" s="59">
        <f t="shared" si="100"/>
        <v>322.66829503077247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2.6489623412014294</v>
      </c>
      <c r="EX118" s="21">
        <f>EXP(-LN(2)/2)*EX117+(1-EXP(-LN(2)/2))/(LN(2)/2)*ER118*EU118*VLOOKUP('Données projet'!$B$15,Paramètres!$A$1:$I$89,3,0)*0.475*44/12</f>
        <v>5.688812270589773E-12</v>
      </c>
      <c r="EY118" s="22">
        <f t="shared" si="75"/>
        <v>2.6489623412071182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5.4</v>
      </c>
      <c r="N119" s="13">
        <f>IF('Données projet'!$A$36&gt;35,N118+M119-V118,IF(A119&lt;'Données projet'!$A$36,$K$205^A119,IF(A119='Données projet'!$A$36,'Données projet'!$B$36,N118+M119-V118)))</f>
        <v>339.39999999999952</v>
      </c>
      <c r="O119" s="13">
        <f>N119*VLOOKUP('Données projet'!$B$9,Paramètres!$A$1:$I$89,3,0)*VLOOKUP('Données projet'!$B$9,Paramètres!$A$1:$I$89,5,0)</f>
        <v>307.08911999999958</v>
      </c>
      <c r="P119" s="13">
        <f t="shared" si="87"/>
        <v>72.660589186887549</v>
      </c>
      <c r="Q119" s="20">
        <f t="shared" si="107"/>
        <v>661.39741016716164</v>
      </c>
      <c r="R119" s="59">
        <f t="shared" si="55"/>
        <v>954.73074350049501</v>
      </c>
      <c r="S119" s="59">
        <f ca="1">AVERAGE(OFFSET($R$3,0,0,'Données projet'!$E$9+1,1))-AVERAGE(OFFSET($H$3,0,0,'Données projet'!$E$9+1,1))</f>
        <v>319.18811755575183</v>
      </c>
      <c r="T119" s="59">
        <f t="shared" si="88"/>
        <v>234.87694492493506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0.43861399148897051</v>
      </c>
      <c r="AA119" s="21">
        <f>EXP(-LN(2)/25)*AA118+(1-EXP(-LN(2)/25))/(LN(2)/25)*Calculateur!V119*Calculateur!X119*VLOOKUP('Données projet'!$B$9,Paramètres!$A$1:$I$89,3,0)*0.475*44/12</f>
        <v>1.0396194907598222</v>
      </c>
      <c r="AB119" s="21">
        <f>EXP(-LN(2)/2)*AB118+(1-EXP(-LN(2)/2))/(LN(2)/2)*V119*Y119*VLOOKUP('Données projet'!$B$9,Paramètres!$A$1:$I$89,3,0)*0.475*44/12</f>
        <v>2.4503307001972056E-12</v>
      </c>
      <c r="AC119" s="22">
        <f t="shared" si="57"/>
        <v>1.4782334822512431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-1.8089849618263545E-13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314.94704727988847</v>
      </c>
      <c r="AO119" s="59">
        <f t="shared" si="90"/>
        <v>366.49199094166454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0.71305550460787148</v>
      </c>
      <c r="AV119" s="21">
        <f>EXP(-LN(2)/25)*AV118+(1-EXP(-LN(2)/25))/(LN(2)/25)*Calculateur!AQ119*Calculateur!AS119*VLOOKUP('Données projet'!$B$10,Paramètres!$A$1:$I$89,3,0)*0.475*44/12</f>
        <v>2.3410375050242265</v>
      </c>
      <c r="AW119" s="21">
        <f>EXP(-LN(2)/2)*AW118+(1-EXP(-LN(2)/2))/(LN(2)/2)*AQ119*AT119*VLOOKUP('Données projet'!$B$10,Paramètres!$A$1:$I$89,3,0)*0.475*44/12</f>
        <v>3.2820522143032491E-12</v>
      </c>
      <c r="AX119" s="21">
        <f t="shared" si="60"/>
        <v>3.05409300963538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-1.4897523215040565E-13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246.64951465060813</v>
      </c>
      <c r="BJ119" s="59">
        <f t="shared" si="92"/>
        <v>292.64550285216865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0.47642554247939922</v>
      </c>
      <c r="BQ119" s="21">
        <f>EXP(-LN(2)/25)*BQ118+(1-EXP(-LN(2)/25))/(LN(2)/25)*Calculateur!BL119*Calculateur!BN119*VLOOKUP('Données projet'!$B$11,Paramètres!$A$1:$I$89,3,0)*0.475*44/12</f>
        <v>1.5641560244445993</v>
      </c>
      <c r="BR119" s="21">
        <f>EXP(-LN(2)/2)*BR118+(1-EXP(-LN(2)/2))/(LN(2)/2)*BL119*BO119*VLOOKUP('Données projet'!$B$11,Paramètres!$A$1:$I$89,3,0)*0.475*44/12</f>
        <v>2.7028665294262053E-12</v>
      </c>
      <c r="BS119" s="22">
        <f t="shared" si="63"/>
        <v>2.0405815669267011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-1.5252226148732008E-13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254.25222107710192</v>
      </c>
      <c r="CE119" s="59">
        <f t="shared" si="94"/>
        <v>300.86609173447573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0.60120366074781306</v>
      </c>
      <c r="CL119" s="21">
        <f>EXP(-LN(2)/25)*CL118+(1-EXP(-LN(2)/25))/(LN(2)/25)*Calculateur!CG119*Calculateur!CI119*VLOOKUP('Données projet'!$B$12,Paramètres!$A$1:$I$89,3,0)*0.475*44/12</f>
        <v>1.9738159356086604</v>
      </c>
      <c r="CM119" s="21">
        <f>EXP(-LN(2)/2)*CM118+(1-EXP(-LN(2)/2))/(LN(2)/2)*CG119*CJ119*VLOOKUP('Données projet'!$B$12,Paramètres!$A$1:$I$89,3,0)*0.475*44/12</f>
        <v>2.7672204944125451E-12</v>
      </c>
      <c r="CN119" s="22">
        <f t="shared" si="66"/>
        <v>2.5750195963592408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243.38048563215585</v>
      </c>
      <c r="CZ119" s="59">
        <f t="shared" si="96"/>
        <v>372.1604147006675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1.3309665948630836</v>
      </c>
      <c r="DG119" s="21">
        <f>EXP(-LN(2)/25)*DG118+(1-EXP(-LN(2)/25))/(LN(2)/25)*Calculateur!DB119*Calculateur!DD119*VLOOKUP('Données projet'!$B$13,Paramètres!$A$1:$I$89,3,0)*0.475*44/12</f>
        <v>1.7840895225161937</v>
      </c>
      <c r="DH119" s="21">
        <f>EXP(-LN(2)/2)*DH118+(1-EXP(-LN(2)/2))/(LN(2)/2)*DB119*DE119*VLOOKUP('Données projet'!$B$13,Paramètres!$A$1:$I$89,3,0)*0.475*44/12</f>
        <v>3.3327227371458051E-12</v>
      </c>
      <c r="DI119" s="22">
        <f t="shared" si="69"/>
        <v>3.1150561173826099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1.1368683772161603E-13</v>
      </c>
      <c r="DP119" s="17">
        <f>DO119*VLOOKUP('Données projet'!$B$14,Paramètres!$A$1:$I$89,3,0)*VLOOKUP('Données projet'!$B$14,Paramètres!$A$1:$I$89,5,0)</f>
        <v>6.5028871176764376E-14</v>
      </c>
      <c r="DQ119" s="13">
        <f t="shared" si="97"/>
        <v>1.0270999702906072E-12</v>
      </c>
      <c r="DR119" s="20">
        <f t="shared" si="70"/>
        <v>1.9021243988890057E-12</v>
      </c>
      <c r="DS119" s="59">
        <f t="shared" si="71"/>
        <v>293.33333333333519</v>
      </c>
      <c r="DT119" s="59">
        <f ca="1">AVERAGE(OFFSET($DS$3,0,0,'Données projet'!$E$14+1,1))-AVERAGE(OFFSET($H$3,0,0,'Données projet'!$E$14+1,1))</f>
        <v>227.99747790451215</v>
      </c>
      <c r="DU119" s="59">
        <f t="shared" si="98"/>
        <v>209.49597700966933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0.52232700670498922</v>
      </c>
      <c r="EB119" s="21">
        <f>EXP(-LN(2)/25)*EB118+(1-EXP(-LN(2)/25))/(LN(2)/25)*Calculateur!DW119*Calculateur!DY119*VLOOKUP('Données projet'!$B$14,Paramètres!$A$1:$I$89,3,0)*0.475*44/12</f>
        <v>1.3983535002325822</v>
      </c>
      <c r="EC119" s="21">
        <f>EXP(-LN(2)/2)*EC118+(1-EXP(-LN(2)/2))/(LN(2)/2)*DW119*DZ119*VLOOKUP('Données projet'!$B$14,Paramètres!$A$1:$I$89,3,0)*0.475*44/12</f>
        <v>2.803838210077493E-12</v>
      </c>
      <c r="ED119" s="22">
        <f t="shared" si="72"/>
        <v>1.9206805069403752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3.4106051316484809E-13</v>
      </c>
      <c r="EK119" s="17">
        <f>EJ119*VLOOKUP('Données projet'!$B$15,Paramètres!$A$1:$I$89,3,0)*VLOOKUP('Données projet'!$B$15,Paramètres!$A$1:$I$89,5,0)</f>
        <v>1.5074874681886286E-13</v>
      </c>
      <c r="EL119" s="13">
        <f t="shared" si="99"/>
        <v>2.1590218794584103E-12</v>
      </c>
      <c r="EM119" s="20">
        <f t="shared" si="73"/>
        <v>4.0228505074329168E-12</v>
      </c>
      <c r="EN119" s="59">
        <f t="shared" si="74"/>
        <v>293.33333333333735</v>
      </c>
      <c r="EO119" s="59">
        <f ca="1">AVERAGE(OFFSET($EN$3,0,0,'Données projet'!$E$15+1,1))-AVERAGE(OFFSET($H$3,0,0,'Données projet'!$E$15+1,1))</f>
        <v>335.27356627949155</v>
      </c>
      <c r="EP119" s="59">
        <f t="shared" si="100"/>
        <v>322.66829503077247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2.5765263266784011</v>
      </c>
      <c r="EX119" s="21">
        <f>EXP(-LN(2)/2)*EX118+(1-EXP(-LN(2)/2))/(LN(2)/2)*ER119*EU119*VLOOKUP('Données projet'!$B$15,Paramètres!$A$1:$I$89,3,0)*0.475*44/12</f>
        <v>4.0225977334312692E-12</v>
      </c>
      <c r="EY119" s="22">
        <f t="shared" si="75"/>
        <v>2.5765263266824237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5.4</v>
      </c>
      <c r="N120" s="13">
        <f>IF('Données projet'!$A$36&gt;35,N119+M120-V119,IF(A120&lt;'Données projet'!$A$36,$K$205^A120,IF(A120='Données projet'!$A$36,'Données projet'!$B$36,N119+M120-V119)))</f>
        <v>344.7999999999995</v>
      </c>
      <c r="O120" s="13">
        <f>N120*VLOOKUP('Données projet'!$B$9,Paramètres!$A$1:$I$89,3,0)*VLOOKUP('Données projet'!$B$9,Paramètres!$A$1:$I$89,5,0)</f>
        <v>311.97503999999952</v>
      </c>
      <c r="P120" s="13">
        <f t="shared" si="87"/>
        <v>73.681144552074542</v>
      </c>
      <c r="Q120" s="20">
        <f t="shared" si="107"/>
        <v>671.68452142819569</v>
      </c>
      <c r="R120" s="59">
        <f t="shared" si="55"/>
        <v>965.01785476152895</v>
      </c>
      <c r="S120" s="59">
        <f ca="1">AVERAGE(OFFSET($R$3,0,0,'Données projet'!$E$9+1,1))-AVERAGE(OFFSET($H$3,0,0,'Données projet'!$E$9+1,1))</f>
        <v>319.18811755575183</v>
      </c>
      <c r="T120" s="59">
        <f t="shared" si="88"/>
        <v>234.87694492493506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0.43001303864399038</v>
      </c>
      <c r="AA120" s="21">
        <f>EXP(-LN(2)/25)*AA119+(1-EXP(-LN(2)/25))/(LN(2)/25)*Calculateur!V120*Calculateur!X120*VLOOKUP('Données projet'!$B$9,Paramètres!$A$1:$I$89,3,0)*0.475*44/12</f>
        <v>1.0111910411137819</v>
      </c>
      <c r="AB120" s="21">
        <f>EXP(-LN(2)/2)*AB119+(1-EXP(-LN(2)/2))/(LN(2)/2)*V120*Y120*VLOOKUP('Données projet'!$B$9,Paramètres!$A$1:$I$89,3,0)*0.475*44/12</f>
        <v>1.7326454542590252E-12</v>
      </c>
      <c r="AC120" s="22">
        <f t="shared" si="57"/>
        <v>1.4412040797595049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-1.8089849618263545E-13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314.94704727988847</v>
      </c>
      <c r="AO120" s="59">
        <f t="shared" si="90"/>
        <v>366.49199094166454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0.69907292108342411</v>
      </c>
      <c r="AV120" s="21">
        <f>EXP(-LN(2)/25)*AV119+(1-EXP(-LN(2)/25))/(LN(2)/25)*Calculateur!AQ120*Calculateur!AS120*VLOOKUP('Données projet'!$B$10,Paramètres!$A$1:$I$89,3,0)*0.475*44/12</f>
        <v>2.2770217113395272</v>
      </c>
      <c r="AW120" s="21">
        <f>EXP(-LN(2)/2)*AW119+(1-EXP(-LN(2)/2))/(LN(2)/2)*AQ120*AT120*VLOOKUP('Données projet'!$B$10,Paramètres!$A$1:$I$89,3,0)*0.475*44/12</f>
        <v>2.3207613769421513E-12</v>
      </c>
      <c r="AX120" s="21">
        <f t="shared" si="60"/>
        <v>2.9760946324252719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-1.4897523215040565E-13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246.64951465060813</v>
      </c>
      <c r="BJ120" s="59">
        <f t="shared" si="92"/>
        <v>292.64550285216865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0.46708312818226566</v>
      </c>
      <c r="BQ120" s="21">
        <f>EXP(-LN(2)/25)*BQ119+(1-EXP(-LN(2)/25))/(LN(2)/25)*Calculateur!BL120*Calculateur!BN120*VLOOKUP('Données projet'!$B$11,Paramètres!$A$1:$I$89,3,0)*0.475*44/12</f>
        <v>1.5213840957007714</v>
      </c>
      <c r="BR120" s="21">
        <f>EXP(-LN(2)/2)*BR119+(1-EXP(-LN(2)/2))/(LN(2)/2)*BL120*BO120*VLOOKUP('Données projet'!$B$11,Paramètres!$A$1:$I$89,3,0)*0.475*44/12</f>
        <v>1.9112152515994188E-12</v>
      </c>
      <c r="BS120" s="22">
        <f t="shared" si="63"/>
        <v>1.9884672238849481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-1.5252226148732008E-13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254.25222107710192</v>
      </c>
      <c r="CE120" s="59">
        <f t="shared" si="94"/>
        <v>300.86609173447573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0.58941442365857311</v>
      </c>
      <c r="CL120" s="21">
        <f>EXP(-LN(2)/25)*CL119+(1-EXP(-LN(2)/25))/(LN(2)/25)*Calculateur!CG120*Calculateur!CI120*VLOOKUP('Données projet'!$B$12,Paramètres!$A$1:$I$89,3,0)*0.475*44/12</f>
        <v>1.9198418350509727</v>
      </c>
      <c r="CM120" s="21">
        <f>EXP(-LN(2)/2)*CM119+(1-EXP(-LN(2)/2))/(LN(2)/2)*CG120*CJ120*VLOOKUP('Données projet'!$B$12,Paramètres!$A$1:$I$89,3,0)*0.475*44/12</f>
        <v>1.9567203766375013E-12</v>
      </c>
      <c r="CN120" s="22">
        <f t="shared" si="66"/>
        <v>2.5092562587115026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243.38048563215585</v>
      </c>
      <c r="CZ120" s="59">
        <f t="shared" si="96"/>
        <v>372.1604147006675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1.3048671517472819</v>
      </c>
      <c r="DG120" s="21">
        <f>EXP(-LN(2)/25)*DG119+(1-EXP(-LN(2)/25))/(LN(2)/25)*Calculateur!DB120*Calculateur!DD120*VLOOKUP('Données projet'!$B$13,Paramètres!$A$1:$I$89,3,0)*0.475*44/12</f>
        <v>1.7353035007017981</v>
      </c>
      <c r="DH120" s="21">
        <f>EXP(-LN(2)/2)*DH119+(1-EXP(-LN(2)/2))/(LN(2)/2)*DB120*DE120*VLOOKUP('Données projet'!$B$13,Paramètres!$A$1:$I$89,3,0)*0.475*44/12</f>
        <v>2.3565908472503905E-12</v>
      </c>
      <c r="DI120" s="22">
        <f t="shared" si="69"/>
        <v>3.0401706524514367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1.1368683772161603E-13</v>
      </c>
      <c r="DP120" s="17">
        <f>DO120*VLOOKUP('Données projet'!$B$14,Paramètres!$A$1:$I$89,3,0)*VLOOKUP('Données projet'!$B$14,Paramètres!$A$1:$I$89,5,0)</f>
        <v>6.5028871176764376E-14</v>
      </c>
      <c r="DQ120" s="13">
        <f t="shared" si="97"/>
        <v>1.0270999702906072E-12</v>
      </c>
      <c r="DR120" s="20">
        <f t="shared" si="70"/>
        <v>1.9021243988890057E-12</v>
      </c>
      <c r="DS120" s="59">
        <f t="shared" si="71"/>
        <v>293.33333333333519</v>
      </c>
      <c r="DT120" s="59">
        <f ca="1">AVERAGE(OFFSET($DS$3,0,0,'Données projet'!$E$14+1,1))-AVERAGE(OFFSET($H$3,0,0,'Données projet'!$E$14+1,1))</f>
        <v>227.99747790451215</v>
      </c>
      <c r="DU120" s="59">
        <f t="shared" si="98"/>
        <v>209.49597700966933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0.51208449269152057</v>
      </c>
      <c r="EB120" s="21">
        <f>EXP(-LN(2)/25)*EB119+(1-EXP(-LN(2)/25))/(LN(2)/25)*Calculateur!DW120*Calculateur!DY120*VLOOKUP('Données projet'!$B$14,Paramètres!$A$1:$I$89,3,0)*0.475*44/12</f>
        <v>1.3601154502325077</v>
      </c>
      <c r="EC120" s="21">
        <f>EXP(-LN(2)/2)*EC119+(1-EXP(-LN(2)/2))/(LN(2)/2)*DW120*DZ120*VLOOKUP('Données projet'!$B$14,Paramètres!$A$1:$I$89,3,0)*0.475*44/12</f>
        <v>1.9826130116957469E-12</v>
      </c>
      <c r="ED120" s="22">
        <f t="shared" si="72"/>
        <v>1.872199942926011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3.4106051316484809E-13</v>
      </c>
      <c r="EK120" s="17">
        <f>EJ120*VLOOKUP('Données projet'!$B$15,Paramètres!$A$1:$I$89,3,0)*VLOOKUP('Données projet'!$B$15,Paramètres!$A$1:$I$89,5,0)</f>
        <v>1.5074874681886286E-13</v>
      </c>
      <c r="EL120" s="13">
        <f t="shared" si="99"/>
        <v>2.1590218794584103E-12</v>
      </c>
      <c r="EM120" s="20">
        <f t="shared" si="73"/>
        <v>4.0228505074329168E-12</v>
      </c>
      <c r="EN120" s="59">
        <f t="shared" si="74"/>
        <v>293.33333333333735</v>
      </c>
      <c r="EO120" s="59">
        <f ca="1">AVERAGE(OFFSET($EN$3,0,0,'Données projet'!$E$15+1,1))-AVERAGE(OFFSET($H$3,0,0,'Données projet'!$E$15+1,1))</f>
        <v>335.27356627949155</v>
      </c>
      <c r="EP120" s="59">
        <f t="shared" si="100"/>
        <v>322.66829503077247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2.5060710787817495</v>
      </c>
      <c r="EX120" s="21">
        <f>EXP(-LN(2)/2)*EX119+(1-EXP(-LN(2)/2))/(LN(2)/2)*ER120*EU120*VLOOKUP('Données projet'!$B$15,Paramètres!$A$1:$I$89,3,0)*0.475*44/12</f>
        <v>2.8444061352948865E-12</v>
      </c>
      <c r="EY120" s="22">
        <f t="shared" si="75"/>
        <v>2.5060710787845939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5.4</v>
      </c>
      <c r="N121" s="13">
        <f>IF('Données projet'!$A$36&gt;35,N120+M121-V120,IF(A121&lt;'Données projet'!$A$36,$K$205^A121,IF(A121='Données projet'!$A$36,'Données projet'!$B$36,N120+M121-V120)))</f>
        <v>350.19999999999948</v>
      </c>
      <c r="O121" s="13">
        <f>N121*VLOOKUP('Données projet'!$B$9,Paramètres!$A$1:$I$89,3,0)*VLOOKUP('Données projet'!$B$9,Paramètres!$A$1:$I$89,5,0)</f>
        <v>316.86095999999952</v>
      </c>
      <c r="P121" s="13">
        <f t="shared" si="87"/>
        <v>74.699841090006444</v>
      </c>
      <c r="Q121" s="20">
        <f t="shared" si="107"/>
        <v>681.96839523176038</v>
      </c>
      <c r="R121" s="59">
        <f t="shared" si="55"/>
        <v>975.30172856509375</v>
      </c>
      <c r="S121" s="59">
        <f ca="1">AVERAGE(OFFSET($R$3,0,0,'Données projet'!$E$9+1,1))-AVERAGE(OFFSET($H$3,0,0,'Données projet'!$E$9+1,1))</f>
        <v>319.18811755575183</v>
      </c>
      <c r="T121" s="59">
        <f t="shared" si="88"/>
        <v>234.87694492493506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0.42158074523823708</v>
      </c>
      <c r="AA121" s="21">
        <f>EXP(-LN(2)/25)*AA120+(1-EXP(-LN(2)/25))/(LN(2)/25)*Calculateur!V121*Calculateur!X121*VLOOKUP('Données projet'!$B$9,Paramètres!$A$1:$I$89,3,0)*0.475*44/12</f>
        <v>0.98353996891829976</v>
      </c>
      <c r="AB121" s="21">
        <f>EXP(-LN(2)/2)*AB120+(1-EXP(-LN(2)/2))/(LN(2)/2)*V121*Y121*VLOOKUP('Données projet'!$B$9,Paramètres!$A$1:$I$89,3,0)*0.475*44/12</f>
        <v>1.2251653500986028E-12</v>
      </c>
      <c r="AC121" s="22">
        <f t="shared" si="57"/>
        <v>1.405120714157762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-1.8089849618263545E-13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314.94704727988847</v>
      </c>
      <c r="AO121" s="59">
        <f t="shared" si="90"/>
        <v>366.49199094166454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0.6853645274933573</v>
      </c>
      <c r="AV121" s="21">
        <f>EXP(-LN(2)/25)*AV120+(1-EXP(-LN(2)/25))/(LN(2)/25)*Calculateur!AQ121*Calculateur!AS121*VLOOKUP('Données projet'!$B$10,Paramètres!$A$1:$I$89,3,0)*0.475*44/12</f>
        <v>2.2147564328995801</v>
      </c>
      <c r="AW121" s="21">
        <f>EXP(-LN(2)/2)*AW120+(1-EXP(-LN(2)/2))/(LN(2)/2)*AQ121*AT121*VLOOKUP('Données projet'!$B$10,Paramètres!$A$1:$I$89,3,0)*0.475*44/12</f>
        <v>1.6410261071516245E-12</v>
      </c>
      <c r="AX121" s="21">
        <f t="shared" si="60"/>
        <v>2.9001209603945783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-1.4897523215040565E-13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246.64951465060813</v>
      </c>
      <c r="BJ121" s="59">
        <f t="shared" si="92"/>
        <v>292.64550285216865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0.45792391293118884</v>
      </c>
      <c r="BQ121" s="21">
        <f>EXP(-LN(2)/25)*BQ120+(1-EXP(-LN(2)/25))/(LN(2)/25)*Calculateur!BL121*Calculateur!BN121*VLOOKUP('Données projet'!$B$11,Paramètres!$A$1:$I$89,3,0)*0.475*44/12</f>
        <v>1.4797817675977214</v>
      </c>
      <c r="BR121" s="21">
        <f>EXP(-LN(2)/2)*BR120+(1-EXP(-LN(2)/2))/(LN(2)/2)*BL121*BO121*VLOOKUP('Données projet'!$B$11,Paramètres!$A$1:$I$89,3,0)*0.475*44/12</f>
        <v>1.3514332647131026E-12</v>
      </c>
      <c r="BS121" s="22">
        <f t="shared" si="63"/>
        <v>1.9377056805302617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-1.5252226148732008E-13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254.25222107710192</v>
      </c>
      <c r="CE121" s="59">
        <f t="shared" si="94"/>
        <v>300.86609173447573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0.57785636631792847</v>
      </c>
      <c r="CL121" s="21">
        <f>EXP(-LN(2)/25)*CL120+(1-EXP(-LN(2)/25))/(LN(2)/25)*Calculateur!CG121*Calculateur!CI121*VLOOKUP('Données projet'!$B$12,Paramètres!$A$1:$I$89,3,0)*0.475*44/12</f>
        <v>1.8673436591114096</v>
      </c>
      <c r="CM121" s="21">
        <f>EXP(-LN(2)/2)*CM120+(1-EXP(-LN(2)/2))/(LN(2)/2)*CG121*CJ121*VLOOKUP('Données projet'!$B$12,Paramètres!$A$1:$I$89,3,0)*0.475*44/12</f>
        <v>1.3836102472062725E-12</v>
      </c>
      <c r="CN121" s="22">
        <f t="shared" si="66"/>
        <v>2.4452000254307218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243.38048563215585</v>
      </c>
      <c r="CZ121" s="59">
        <f t="shared" si="96"/>
        <v>372.1604147006675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1.2792795027918926</v>
      </c>
      <c r="DG121" s="21">
        <f>EXP(-LN(2)/25)*DG120+(1-EXP(-LN(2)/25))/(LN(2)/25)*Calculateur!DB121*Calculateur!DD121*VLOOKUP('Données projet'!$B$13,Paramètres!$A$1:$I$89,3,0)*0.475*44/12</f>
        <v>1.6878515352194623</v>
      </c>
      <c r="DH121" s="21">
        <f>EXP(-LN(2)/2)*DH120+(1-EXP(-LN(2)/2))/(LN(2)/2)*DB121*DE121*VLOOKUP('Données projet'!$B$13,Paramètres!$A$1:$I$89,3,0)*0.475*44/12</f>
        <v>1.6663613685729025E-12</v>
      </c>
      <c r="DI121" s="22">
        <f t="shared" si="69"/>
        <v>2.9671310380130214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1.1368683772161603E-13</v>
      </c>
      <c r="DP121" s="17">
        <f>DO121*VLOOKUP('Données projet'!$B$14,Paramètres!$A$1:$I$89,3,0)*VLOOKUP('Données projet'!$B$14,Paramètres!$A$1:$I$89,5,0)</f>
        <v>6.5028871176764376E-14</v>
      </c>
      <c r="DQ121" s="13">
        <f t="shared" si="97"/>
        <v>1.0270999702906072E-12</v>
      </c>
      <c r="DR121" s="20">
        <f t="shared" si="70"/>
        <v>1.9021243988890057E-12</v>
      </c>
      <c r="DS121" s="59">
        <f t="shared" si="71"/>
        <v>293.33333333333519</v>
      </c>
      <c r="DT121" s="59">
        <f ca="1">AVERAGE(OFFSET($DS$3,0,0,'Données projet'!$E$14+1,1))-AVERAGE(OFFSET($H$3,0,0,'Données projet'!$E$14+1,1))</f>
        <v>227.99747790451215</v>
      </c>
      <c r="DU121" s="59">
        <f t="shared" si="98"/>
        <v>209.49597700966933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0.50204282813053935</v>
      </c>
      <c r="EB121" s="21">
        <f>EXP(-LN(2)/25)*EB120+(1-EXP(-LN(2)/25))/(LN(2)/25)*Calculateur!DW121*Calculateur!DY121*VLOOKUP('Données projet'!$B$14,Paramètres!$A$1:$I$89,3,0)*0.475*44/12</f>
        <v>1.3229230217205368</v>
      </c>
      <c r="EC121" s="21">
        <f>EXP(-LN(2)/2)*EC120+(1-EXP(-LN(2)/2))/(LN(2)/2)*DW121*DZ121*VLOOKUP('Données projet'!$B$14,Paramètres!$A$1:$I$89,3,0)*0.475*44/12</f>
        <v>1.4019191050387465E-12</v>
      </c>
      <c r="ED121" s="22">
        <f t="shared" si="72"/>
        <v>1.8249658498524781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3.4106051316484809E-13</v>
      </c>
      <c r="EK121" s="17">
        <f>EJ121*VLOOKUP('Données projet'!$B$15,Paramètres!$A$1:$I$89,3,0)*VLOOKUP('Données projet'!$B$15,Paramètres!$A$1:$I$89,5,0)</f>
        <v>1.5074874681886286E-13</v>
      </c>
      <c r="EL121" s="13">
        <f t="shared" si="99"/>
        <v>2.1590218794584103E-12</v>
      </c>
      <c r="EM121" s="20">
        <f t="shared" si="73"/>
        <v>4.0228505074329168E-12</v>
      </c>
      <c r="EN121" s="59">
        <f t="shared" si="74"/>
        <v>293.33333333333735</v>
      </c>
      <c r="EO121" s="59">
        <f ca="1">AVERAGE(OFFSET($EN$3,0,0,'Données projet'!$E$15+1,1))-AVERAGE(OFFSET($H$3,0,0,'Données projet'!$E$15+1,1))</f>
        <v>335.27356627949155</v>
      </c>
      <c r="EP121" s="59">
        <f t="shared" si="100"/>
        <v>322.66829503077247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2.4375424333439124</v>
      </c>
      <c r="EX121" s="21">
        <f>EXP(-LN(2)/2)*EX120+(1-EXP(-LN(2)/2))/(LN(2)/2)*ER121*EU121*VLOOKUP('Données projet'!$B$15,Paramètres!$A$1:$I$89,3,0)*0.475*44/12</f>
        <v>2.0112988667156346E-12</v>
      </c>
      <c r="EY121" s="22">
        <f t="shared" si="75"/>
        <v>2.4375424333459237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5.4</v>
      </c>
      <c r="N122" s="13">
        <f>IF('Données projet'!$A$36&gt;35,N121+M122-V121,IF(A122&lt;'Données projet'!$A$36,$K$205^A122,IF(A122='Données projet'!$A$36,'Données projet'!$B$36,N121+M122-V121)))</f>
        <v>355.59999999999945</v>
      </c>
      <c r="O122" s="13">
        <f>N122*VLOOKUP('Données projet'!$B$9,Paramètres!$A$1:$I$89,3,0)*VLOOKUP('Données projet'!$B$9,Paramètres!$A$1:$I$89,5,0)</f>
        <v>321.74687999999952</v>
      </c>
      <c r="P122" s="13">
        <f t="shared" si="87"/>
        <v>75.716710773540626</v>
      </c>
      <c r="Q122" s="20">
        <f t="shared" si="107"/>
        <v>692.24908726391561</v>
      </c>
      <c r="R122" s="59">
        <f t="shared" si="55"/>
        <v>985.58242059724898</v>
      </c>
      <c r="S122" s="59">
        <f ca="1">AVERAGE(OFFSET($R$3,0,0,'Données projet'!$E$9+1,1))-AVERAGE(OFFSET($H$3,0,0,'Données projet'!$E$9+1,1))</f>
        <v>319.18811755575183</v>
      </c>
      <c r="T122" s="59">
        <f t="shared" si="88"/>
        <v>234.87694492493506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0.41331380396297951</v>
      </c>
      <c r="AA122" s="21">
        <f>EXP(-LN(2)/25)*AA121+(1-EXP(-LN(2)/25))/(LN(2)/25)*Calculateur!V122*Calculateur!X122*VLOOKUP('Données projet'!$B$9,Paramètres!$A$1:$I$89,3,0)*0.475*44/12</f>
        <v>0.9566450167461098</v>
      </c>
      <c r="AB122" s="21">
        <f>EXP(-LN(2)/2)*AB121+(1-EXP(-LN(2)/2))/(LN(2)/2)*V122*Y122*VLOOKUP('Données projet'!$B$9,Paramètres!$A$1:$I$89,3,0)*0.475*44/12</f>
        <v>8.6632272712951262E-13</v>
      </c>
      <c r="AC122" s="22">
        <f t="shared" si="57"/>
        <v>1.3699588207099558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-1.8089849618263545E-13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314.94704727988847</v>
      </c>
      <c r="AO122" s="59">
        <f t="shared" si="90"/>
        <v>366.49199094166454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0.67192494714029716</v>
      </c>
      <c r="AV122" s="21">
        <f>EXP(-LN(2)/25)*AV121+(1-EXP(-LN(2)/25))/(LN(2)/25)*Calculateur!AQ122*Calculateur!AS122*VLOOKUP('Données projet'!$B$10,Paramètres!$A$1:$I$89,3,0)*0.475*44/12</f>
        <v>2.154193801772962</v>
      </c>
      <c r="AW122" s="21">
        <f>EXP(-LN(2)/2)*AW121+(1-EXP(-LN(2)/2))/(LN(2)/2)*AQ122*AT122*VLOOKUP('Données projet'!$B$10,Paramètres!$A$1:$I$89,3,0)*0.475*44/12</f>
        <v>1.1603806884710756E-12</v>
      </c>
      <c r="AX122" s="21">
        <f t="shared" si="60"/>
        <v>2.8261187489144195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-1.4897523215040565E-13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246.64951465060813</v>
      </c>
      <c r="BJ122" s="59">
        <f t="shared" si="92"/>
        <v>292.64550285216865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0.44894430430461596</v>
      </c>
      <c r="BQ122" s="21">
        <f>EXP(-LN(2)/25)*BQ121+(1-EXP(-LN(2)/25))/(LN(2)/25)*Calculateur!BL122*Calculateur!BN122*VLOOKUP('Données projet'!$B$11,Paramètres!$A$1:$I$89,3,0)*0.475*44/12</f>
        <v>1.4393170573444207</v>
      </c>
      <c r="BR122" s="21">
        <f>EXP(-LN(2)/2)*BR121+(1-EXP(-LN(2)/2))/(LN(2)/2)*BL122*BO122*VLOOKUP('Données projet'!$B$11,Paramètres!$A$1:$I$89,3,0)*0.475*44/12</f>
        <v>9.5560762579970942E-13</v>
      </c>
      <c r="BS122" s="22">
        <f t="shared" si="63"/>
        <v>1.8882613616499924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-1.5252226148732008E-13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254.25222107710192</v>
      </c>
      <c r="CE122" s="59">
        <f t="shared" si="94"/>
        <v>300.86609173447573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0.56652495543201509</v>
      </c>
      <c r="CL122" s="21">
        <f>EXP(-LN(2)/25)*CL121+(1-EXP(-LN(2)/25))/(LN(2)/25)*Calculateur!CG122*Calculateur!CI122*VLOOKUP('Données projet'!$B$12,Paramètres!$A$1:$I$89,3,0)*0.475*44/12</f>
        <v>1.8162810485536729</v>
      </c>
      <c r="CM122" s="21">
        <f>EXP(-LN(2)/2)*CM121+(1-EXP(-LN(2)/2))/(LN(2)/2)*CG122*CJ122*VLOOKUP('Données projet'!$B$12,Paramètres!$A$1:$I$89,3,0)*0.475*44/12</f>
        <v>9.7836018831875067E-13</v>
      </c>
      <c r="CN122" s="22">
        <f t="shared" si="66"/>
        <v>2.3828060039866661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243.38048563215585</v>
      </c>
      <c r="CZ122" s="59">
        <f t="shared" si="96"/>
        <v>372.1604147006675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1.2541936120255937</v>
      </c>
      <c r="DG122" s="21">
        <f>EXP(-LN(2)/25)*DG121+(1-EXP(-LN(2)/25))/(LN(2)/25)*Calculateur!DB122*Calculateur!DD122*VLOOKUP('Données projet'!$B$13,Paramètres!$A$1:$I$89,3,0)*0.475*44/12</f>
        <v>1.6416971462286316</v>
      </c>
      <c r="DH122" s="21">
        <f>EXP(-LN(2)/2)*DH121+(1-EXP(-LN(2)/2))/(LN(2)/2)*DB122*DE122*VLOOKUP('Données projet'!$B$13,Paramètres!$A$1:$I$89,3,0)*0.475*44/12</f>
        <v>1.1782954236251952E-12</v>
      </c>
      <c r="DI122" s="22">
        <f t="shared" si="69"/>
        <v>2.8958907582554034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1.1368683772161603E-13</v>
      </c>
      <c r="DP122" s="17">
        <f>DO122*VLOOKUP('Données projet'!$B$14,Paramètres!$A$1:$I$89,3,0)*VLOOKUP('Données projet'!$B$14,Paramètres!$A$1:$I$89,5,0)</f>
        <v>6.5028871176764376E-14</v>
      </c>
      <c r="DQ122" s="13">
        <f t="shared" si="97"/>
        <v>1.0270999702906072E-12</v>
      </c>
      <c r="DR122" s="20">
        <f t="shared" si="70"/>
        <v>1.9021243988890057E-12</v>
      </c>
      <c r="DS122" s="59">
        <f t="shared" si="71"/>
        <v>293.33333333333519</v>
      </c>
      <c r="DT122" s="59">
        <f ca="1">AVERAGE(OFFSET($DS$3,0,0,'Données projet'!$E$14+1,1))-AVERAGE(OFFSET($H$3,0,0,'Données projet'!$E$14+1,1))</f>
        <v>227.99747790451215</v>
      </c>
      <c r="DU122" s="59">
        <f t="shared" si="98"/>
        <v>209.49597700966933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0.49219807448678832</v>
      </c>
      <c r="EB122" s="21">
        <f>EXP(-LN(2)/25)*EB121+(1-EXP(-LN(2)/25))/(LN(2)/25)*Calculateur!DW122*Calculateur!DY122*VLOOKUP('Données projet'!$B$14,Paramètres!$A$1:$I$89,3,0)*0.475*44/12</f>
        <v>1.2867476221220906</v>
      </c>
      <c r="EC122" s="21">
        <f>EXP(-LN(2)/2)*EC121+(1-EXP(-LN(2)/2))/(LN(2)/2)*DW122*DZ122*VLOOKUP('Données projet'!$B$14,Paramètres!$A$1:$I$89,3,0)*0.475*44/12</f>
        <v>9.9130650584787344E-13</v>
      </c>
      <c r="ED122" s="22">
        <f t="shared" si="72"/>
        <v>1.77894569660987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3.4106051316484809E-13</v>
      </c>
      <c r="EK122" s="17">
        <f>EJ122*VLOOKUP('Données projet'!$B$15,Paramètres!$A$1:$I$89,3,0)*VLOOKUP('Données projet'!$B$15,Paramètres!$A$1:$I$89,5,0)</f>
        <v>1.5074874681886286E-13</v>
      </c>
      <c r="EL122" s="13">
        <f t="shared" si="99"/>
        <v>2.1590218794584103E-12</v>
      </c>
      <c r="EM122" s="20">
        <f t="shared" si="73"/>
        <v>4.0228505074329168E-12</v>
      </c>
      <c r="EN122" s="59">
        <f t="shared" si="74"/>
        <v>293.33333333333735</v>
      </c>
      <c r="EO122" s="59">
        <f ca="1">AVERAGE(OFFSET($EN$3,0,0,'Données projet'!$E$15+1,1))-AVERAGE(OFFSET($H$3,0,0,'Données projet'!$E$15+1,1))</f>
        <v>335.27356627949155</v>
      </c>
      <c r="EP122" s="59">
        <f t="shared" si="100"/>
        <v>322.66829503077247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2.3708877073193375</v>
      </c>
      <c r="EX122" s="21">
        <f>EXP(-LN(2)/2)*EX121+(1-EXP(-LN(2)/2))/(LN(2)/2)*ER122*EU122*VLOOKUP('Données projet'!$B$15,Paramètres!$A$1:$I$89,3,0)*0.475*44/12</f>
        <v>1.4222030676474433E-12</v>
      </c>
      <c r="EY122" s="22">
        <f t="shared" si="75"/>
        <v>2.3708877073207599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361</v>
      </c>
      <c r="L123" s="12">
        <f>VLOOKUP(A123,'Données projet'!$A$35:$I$55,9,0)</f>
        <v>5.4</v>
      </c>
      <c r="M123" s="12">
        <f t="array" ref="M123">INDEX(L:L,MIN(IF(ISNUMBER(L123:L319),ROW(L123:L319),"")))</f>
        <v>5.4</v>
      </c>
      <c r="N123" s="13">
        <f>IF('Données projet'!$A$36&gt;35,N122+M123-V122,IF(A123&lt;'Données projet'!$A$36,$K$205^A123,IF(A123='Données projet'!$A$36,'Données projet'!$B$36,N122+M123-V122)))</f>
        <v>360.99999999999943</v>
      </c>
      <c r="O123" s="13">
        <f>N123*VLOOKUP('Données projet'!$B$9,Paramètres!$A$1:$I$89,3,0)*VLOOKUP('Données projet'!$B$9,Paramètres!$A$1:$I$89,5,0)</f>
        <v>326.63279999999946</v>
      </c>
      <c r="P123" s="13">
        <f t="shared" si="87"/>
        <v>76.731784548754774</v>
      </c>
      <c r="Q123" s="20">
        <f t="shared" si="107"/>
        <v>702.52665142241358</v>
      </c>
      <c r="R123" s="59">
        <f t="shared" si="55"/>
        <v>995.85998475574684</v>
      </c>
      <c r="S123" s="59">
        <f ca="1">AVERAGE(OFFSET($R$3,0,0,'Données projet'!$E$9+1,1))-AVERAGE(OFFSET($H$3,0,0,'Données projet'!$E$9+1,1))</f>
        <v>319.18811755575183</v>
      </c>
      <c r="T123" s="59">
        <f t="shared" si="88"/>
        <v>234.87694492493506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361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0.40520897236379344</v>
      </c>
      <c r="AA123" s="21">
        <f>EXP(-LN(2)/25)*AA122+(1-EXP(-LN(2)/25))/(LN(2)/25)*Calculateur!V123*Calculateur!X123*VLOOKUP('Données projet'!$B$9,Paramètres!$A$1:$I$89,3,0)*0.475*44/12</f>
        <v>0.93048550845541245</v>
      </c>
      <c r="AB123" s="21">
        <f>EXP(-LN(2)/2)*AB122+(1-EXP(-LN(2)/2))/(LN(2)/2)*V123*Y123*VLOOKUP('Données projet'!$B$9,Paramètres!$A$1:$I$89,3,0)*0.475*44/12</f>
        <v>6.1258267504930139E-13</v>
      </c>
      <c r="AC123" s="22">
        <f t="shared" si="57"/>
        <v>1.3356944808198186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-1.8089849618263545E-13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314.94704727988847</v>
      </c>
      <c r="AO123" s="59">
        <f t="shared" si="90"/>
        <v>366.49199094166454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0.65874890876062597</v>
      </c>
      <c r="AV123" s="21">
        <f>EXP(-LN(2)/25)*AV122+(1-EXP(-LN(2)/25))/(LN(2)/25)*Calculateur!AQ123*Calculateur!AS123*VLOOKUP('Données projet'!$B$10,Paramètres!$A$1:$I$89,3,0)*0.475*44/12</f>
        <v>2.0952872589793516</v>
      </c>
      <c r="AW123" s="21">
        <f>EXP(-LN(2)/2)*AW122+(1-EXP(-LN(2)/2))/(LN(2)/2)*AQ123*AT123*VLOOKUP('Données projet'!$B$10,Paramètres!$A$1:$I$89,3,0)*0.475*44/12</f>
        <v>8.2051305357581227E-13</v>
      </c>
      <c r="AX123" s="21">
        <f t="shared" si="60"/>
        <v>2.7540361677407983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-1.4897523215040565E-13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246.64951465060813</v>
      </c>
      <c r="BJ123" s="59">
        <f t="shared" si="92"/>
        <v>292.64550285216865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0.4401407803261897</v>
      </c>
      <c r="BQ123" s="21">
        <f>EXP(-LN(2)/25)*BQ122+(1-EXP(-LN(2)/25))/(LN(2)/25)*Calculateur!BL123*Calculateur!BN123*VLOOKUP('Données projet'!$B$11,Paramètres!$A$1:$I$89,3,0)*0.475*44/12</f>
        <v>1.3999588567209431</v>
      </c>
      <c r="BR123" s="21">
        <f>EXP(-LN(2)/2)*BR122+(1-EXP(-LN(2)/2))/(LN(2)/2)*BL123*BO123*VLOOKUP('Données projet'!$B$11,Paramètres!$A$1:$I$89,3,0)*0.475*44/12</f>
        <v>6.7571663235655132E-13</v>
      </c>
      <c r="BS123" s="22">
        <f t="shared" si="63"/>
        <v>1.8400996370478084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-1.5252226148732008E-13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254.25222107710192</v>
      </c>
      <c r="CE123" s="59">
        <f t="shared" si="94"/>
        <v>300.86609173447573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0.55541574660209625</v>
      </c>
      <c r="CL123" s="21">
        <f>EXP(-LN(2)/25)*CL122+(1-EXP(-LN(2)/25))/(LN(2)/25)*Calculateur!CG123*Calculateur!CI123*VLOOKUP('Données projet'!$B$12,Paramètres!$A$1:$I$89,3,0)*0.475*44/12</f>
        <v>1.7666147477669036</v>
      </c>
      <c r="CM123" s="21">
        <f>EXP(-LN(2)/2)*CM122+(1-EXP(-LN(2)/2))/(LN(2)/2)*CG123*CJ123*VLOOKUP('Données projet'!$B$12,Paramètres!$A$1:$I$89,3,0)*0.475*44/12</f>
        <v>6.9180512360313627E-13</v>
      </c>
      <c r="CN123" s="22">
        <f t="shared" si="66"/>
        <v>2.3220304943696917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243.38048563215585</v>
      </c>
      <c r="CZ123" s="59">
        <f t="shared" si="96"/>
        <v>372.1604147006675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1.2295996402763394</v>
      </c>
      <c r="DG123" s="21">
        <f>EXP(-LN(2)/25)*DG122+(1-EXP(-LN(2)/25))/(LN(2)/25)*Calculateur!DB123*Calculateur!DD123*VLOOKUP('Données projet'!$B$13,Paramètres!$A$1:$I$89,3,0)*0.475*44/12</f>
        <v>1.5968048514319089</v>
      </c>
      <c r="DH123" s="21">
        <f>EXP(-LN(2)/2)*DH122+(1-EXP(-LN(2)/2))/(LN(2)/2)*DB123*DE123*VLOOKUP('Données projet'!$B$13,Paramètres!$A$1:$I$89,3,0)*0.475*44/12</f>
        <v>8.3318068428645127E-13</v>
      </c>
      <c r="DI123" s="22">
        <f t="shared" si="69"/>
        <v>2.8264044917090816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1.1368683772161603E-13</v>
      </c>
      <c r="DP123" s="17">
        <f>DO123*VLOOKUP('Données projet'!$B$14,Paramètres!$A$1:$I$89,3,0)*VLOOKUP('Données projet'!$B$14,Paramètres!$A$1:$I$89,5,0)</f>
        <v>6.5028871176764376E-14</v>
      </c>
      <c r="DQ123" s="13">
        <f t="shared" si="97"/>
        <v>1.0270999702906072E-12</v>
      </c>
      <c r="DR123" s="20">
        <f t="shared" si="70"/>
        <v>1.9021243988890057E-12</v>
      </c>
      <c r="DS123" s="59">
        <f t="shared" si="71"/>
        <v>293.33333333333519</v>
      </c>
      <c r="DT123" s="59">
        <f ca="1">AVERAGE(OFFSET($DS$3,0,0,'Données projet'!$E$14+1,1))-AVERAGE(OFFSET($H$3,0,0,'Données projet'!$E$14+1,1))</f>
        <v>227.99747790451215</v>
      </c>
      <c r="DU123" s="59">
        <f t="shared" si="98"/>
        <v>209.49597700966933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0.48254637045728443</v>
      </c>
      <c r="EB123" s="21">
        <f>EXP(-LN(2)/25)*EB122+(1-EXP(-LN(2)/25))/(LN(2)/25)*Calculateur!DW123*Calculateur!DY123*VLOOKUP('Données projet'!$B$14,Paramètres!$A$1:$I$89,3,0)*0.475*44/12</f>
        <v>1.2515614407280455</v>
      </c>
      <c r="EC123" s="21">
        <f>EXP(-LN(2)/2)*EC122+(1-EXP(-LN(2)/2))/(LN(2)/2)*DW123*DZ123*VLOOKUP('Données projet'!$B$14,Paramètres!$A$1:$I$89,3,0)*0.475*44/12</f>
        <v>7.0095955251937325E-13</v>
      </c>
      <c r="ED123" s="22">
        <f t="shared" si="72"/>
        <v>1.7341078111860309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3.4106051316484809E-13</v>
      </c>
      <c r="EK123" s="17">
        <f>EJ123*VLOOKUP('Données projet'!$B$15,Paramètres!$A$1:$I$89,3,0)*VLOOKUP('Données projet'!$B$15,Paramètres!$A$1:$I$89,5,0)</f>
        <v>1.5074874681886286E-13</v>
      </c>
      <c r="EL123" s="13">
        <f t="shared" si="99"/>
        <v>2.1590218794584103E-12</v>
      </c>
      <c r="EM123" s="20">
        <f t="shared" si="73"/>
        <v>4.0228505074329168E-12</v>
      </c>
      <c r="EN123" s="59">
        <f t="shared" si="74"/>
        <v>293.33333333333735</v>
      </c>
      <c r="EO123" s="59">
        <f ca="1">AVERAGE(OFFSET($EN$3,0,0,'Données projet'!$E$15+1,1))-AVERAGE(OFFSET($H$3,0,0,'Données projet'!$E$15+1,1))</f>
        <v>335.27356627949155</v>
      </c>
      <c r="EP123" s="59">
        <f t="shared" si="100"/>
        <v>322.66829503077247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2.3060556582831246</v>
      </c>
      <c r="EX123" s="21">
        <f>EXP(-LN(2)/2)*EX122+(1-EXP(-LN(2)/2))/(LN(2)/2)*ER123*EU123*VLOOKUP('Données projet'!$B$15,Paramètres!$A$1:$I$89,3,0)*0.475*44/12</f>
        <v>1.0056494333578173E-12</v>
      </c>
      <c r="EY123" s="22">
        <f t="shared" si="75"/>
        <v>2.3060556582841305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-5.6843418860808015E-13</v>
      </c>
      <c r="O124" s="13">
        <f>N124*VLOOKUP('Données projet'!$B$9,Paramètres!$A$1:$I$89,3,0)*VLOOKUP('Données projet'!$B$9,Paramètres!$A$1:$I$89,5,0)</f>
        <v>-5.1431925385259092E-13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319.18811755575183</v>
      </c>
      <c r="T124" s="59">
        <f t="shared" si="88"/>
        <v>234.87694492493506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0.39726307156880825</v>
      </c>
      <c r="AA124" s="21">
        <f>EXP(-LN(2)/25)*AA123+(1-EXP(-LN(2)/25))/(LN(2)/25)*Calculateur!V124*Calculateur!X124*VLOOKUP('Données projet'!$B$9,Paramètres!$A$1:$I$89,3,0)*0.475*44/12</f>
        <v>0.90504133329459291</v>
      </c>
      <c r="AB124" s="21">
        <f>EXP(-LN(2)/2)*AB123+(1-EXP(-LN(2)/2))/(LN(2)/2)*V124*Y124*VLOOKUP('Données projet'!$B$9,Paramètres!$A$1:$I$89,3,0)*0.475*44/12</f>
        <v>4.3316136356475631E-13</v>
      </c>
      <c r="AC124" s="22">
        <f t="shared" si="57"/>
        <v>1.3023044048638344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-1.8089849618263545E-13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314.94704727988847</v>
      </c>
      <c r="AO124" s="59">
        <f t="shared" si="90"/>
        <v>366.49199094166454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0.64583124445699025</v>
      </c>
      <c r="AV124" s="21">
        <f>EXP(-LN(2)/25)*AV123+(1-EXP(-LN(2)/25))/(LN(2)/25)*Calculateur!AQ124*Calculateur!AS124*VLOOKUP('Données projet'!$B$10,Paramètres!$A$1:$I$89,3,0)*0.475*44/12</f>
        <v>2.037991518696193</v>
      </c>
      <c r="AW124" s="21">
        <f>EXP(-LN(2)/2)*AW123+(1-EXP(-LN(2)/2))/(LN(2)/2)*AQ124*AT124*VLOOKUP('Données projet'!$B$10,Paramètres!$A$1:$I$89,3,0)*0.475*44/12</f>
        <v>5.8019034423553782E-13</v>
      </c>
      <c r="AX124" s="21">
        <f t="shared" si="60"/>
        <v>2.6838227631537634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-1.4897523215040565E-13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246.64951465060813</v>
      </c>
      <c r="BJ124" s="59">
        <f t="shared" si="92"/>
        <v>292.64550285216865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0.43150988808336094</v>
      </c>
      <c r="BQ124" s="21">
        <f>EXP(-LN(2)/25)*BQ123+(1-EXP(-LN(2)/25))/(LN(2)/25)*Calculateur!BL124*Calculateur!BN124*VLOOKUP('Données projet'!$B$11,Paramètres!$A$1:$I$89,3,0)*0.475*44/12</f>
        <v>1.3616769081632722</v>
      </c>
      <c r="BR124" s="21">
        <f>EXP(-LN(2)/2)*BR123+(1-EXP(-LN(2)/2))/(LN(2)/2)*BL124*BO124*VLOOKUP('Données projet'!$B$11,Paramètres!$A$1:$I$89,3,0)*0.475*44/12</f>
        <v>4.7780381289985471E-13</v>
      </c>
      <c r="BS124" s="22">
        <f t="shared" si="63"/>
        <v>1.7931867962471111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-1.5252226148732008E-13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254.25222107710192</v>
      </c>
      <c r="CE124" s="59">
        <f t="shared" si="94"/>
        <v>300.86609173447573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0.5445243825813838</v>
      </c>
      <c r="CL124" s="21">
        <f>EXP(-LN(2)/25)*CL123+(1-EXP(-LN(2)/25))/(LN(2)/25)*Calculateur!CG124*Calculateur!CI124*VLOOKUP('Données projet'!$B$12,Paramètres!$A$1:$I$89,3,0)*0.475*44/12</f>
        <v>1.7183065745869857</v>
      </c>
      <c r="CM124" s="21">
        <f>EXP(-LN(2)/2)*CM123+(1-EXP(-LN(2)/2))/(LN(2)/2)*CG124*CJ124*VLOOKUP('Données projet'!$B$12,Paramètres!$A$1:$I$89,3,0)*0.475*44/12</f>
        <v>4.8918009415937534E-13</v>
      </c>
      <c r="CN124" s="22">
        <f t="shared" si="66"/>
        <v>2.262830957168859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243.38048563215585</v>
      </c>
      <c r="CZ124" s="59">
        <f t="shared" si="96"/>
        <v>372.1604147006675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1.2054879413122463</v>
      </c>
      <c r="DG124" s="21">
        <f>EXP(-LN(2)/25)*DG123+(1-EXP(-LN(2)/25))/(LN(2)/25)*Calculateur!DB124*Calculateur!DD124*VLOOKUP('Données projet'!$B$13,Paramètres!$A$1:$I$89,3,0)*0.475*44/12</f>
        <v>1.5531401387971857</v>
      </c>
      <c r="DH124" s="21">
        <f>EXP(-LN(2)/2)*DH123+(1-EXP(-LN(2)/2))/(LN(2)/2)*DB124*DE124*VLOOKUP('Données projet'!$B$13,Paramètres!$A$1:$I$89,3,0)*0.475*44/12</f>
        <v>5.8914771181259762E-13</v>
      </c>
      <c r="DI124" s="22">
        <f t="shared" si="69"/>
        <v>2.7586280801100211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1.1368683772161603E-13</v>
      </c>
      <c r="DP124" s="17">
        <f>DO124*VLOOKUP('Données projet'!$B$14,Paramètres!$A$1:$I$89,3,0)*VLOOKUP('Données projet'!$B$14,Paramètres!$A$1:$I$89,5,0)</f>
        <v>6.5028871176764376E-14</v>
      </c>
      <c r="DQ124" s="13">
        <f t="shared" si="97"/>
        <v>1.0270999702906072E-12</v>
      </c>
      <c r="DR124" s="20">
        <f t="shared" si="70"/>
        <v>1.9021243988890057E-12</v>
      </c>
      <c r="DS124" s="59">
        <f t="shared" si="71"/>
        <v>293.33333333333519</v>
      </c>
      <c r="DT124" s="59">
        <f ca="1">AVERAGE(OFFSET($DS$3,0,0,'Données projet'!$E$14+1,1))-AVERAGE(OFFSET($H$3,0,0,'Données projet'!$E$14+1,1))</f>
        <v>227.99747790451215</v>
      </c>
      <c r="DU124" s="59">
        <f t="shared" si="98"/>
        <v>209.49597700966933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0.47308393045684094</v>
      </c>
      <c r="EB124" s="21">
        <f>EXP(-LN(2)/25)*EB123+(1-EXP(-LN(2)/25))/(LN(2)/25)*Calculateur!DW124*Calculateur!DY124*VLOOKUP('Données projet'!$B$14,Paramètres!$A$1:$I$89,3,0)*0.475*44/12</f>
        <v>1.2173374273145814</v>
      </c>
      <c r="EC124" s="21">
        <f>EXP(-LN(2)/2)*EC123+(1-EXP(-LN(2)/2))/(LN(2)/2)*DW124*DZ124*VLOOKUP('Données projet'!$B$14,Paramètres!$A$1:$I$89,3,0)*0.475*44/12</f>
        <v>4.9565325292393672E-13</v>
      </c>
      <c r="ED124" s="22">
        <f t="shared" si="72"/>
        <v>1.690421357771918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3.4106051316484809E-13</v>
      </c>
      <c r="EK124" s="17">
        <f>EJ124*VLOOKUP('Données projet'!$B$15,Paramètres!$A$1:$I$89,3,0)*VLOOKUP('Données projet'!$B$15,Paramètres!$A$1:$I$89,5,0)</f>
        <v>1.5074874681886286E-13</v>
      </c>
      <c r="EL124" s="13">
        <f t="shared" si="99"/>
        <v>2.1590218794584103E-12</v>
      </c>
      <c r="EM124" s="20">
        <f t="shared" si="73"/>
        <v>4.0228505074329168E-12</v>
      </c>
      <c r="EN124" s="59">
        <f t="shared" si="74"/>
        <v>293.33333333333735</v>
      </c>
      <c r="EO124" s="59">
        <f ca="1">AVERAGE(OFFSET($EN$3,0,0,'Données projet'!$E$15+1,1))-AVERAGE(OFFSET($H$3,0,0,'Données projet'!$E$15+1,1))</f>
        <v>335.27356627949155</v>
      </c>
      <c r="EP124" s="59">
        <f t="shared" si="100"/>
        <v>322.66829503077247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2.2429964450371762</v>
      </c>
      <c r="EX124" s="21">
        <f>EXP(-LN(2)/2)*EX123+(1-EXP(-LN(2)/2))/(LN(2)/2)*ER124*EU124*VLOOKUP('Données projet'!$B$15,Paramètres!$A$1:$I$89,3,0)*0.475*44/12</f>
        <v>7.1110153382372163E-13</v>
      </c>
      <c r="EY124" s="22">
        <f t="shared" si="75"/>
        <v>2.2429964450378872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-5.6843418860808015E-13</v>
      </c>
      <c r="O125" s="13">
        <f>N125*VLOOKUP('Données projet'!$B$9,Paramètres!$A$1:$I$89,3,0)*VLOOKUP('Données projet'!$B$9,Paramètres!$A$1:$I$89,5,0)</f>
        <v>-5.1431925385259092E-13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319.18811755575183</v>
      </c>
      <c r="T125" s="59">
        <f t="shared" si="88"/>
        <v>234.87694492493506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0.38947298504189176</v>
      </c>
      <c r="AA125" s="21">
        <f>EXP(-LN(2)/25)*AA124+(1-EXP(-LN(2)/25))/(LN(2)/25)*Calculateur!V125*Calculateur!X125*VLOOKUP('Données projet'!$B$9,Paramètres!$A$1:$I$89,3,0)*0.475*44/12</f>
        <v>0.88029293044159707</v>
      </c>
      <c r="AB125" s="21">
        <f>EXP(-LN(2)/2)*AB124+(1-EXP(-LN(2)/2))/(LN(2)/2)*V125*Y125*VLOOKUP('Données projet'!$B$9,Paramètres!$A$1:$I$89,3,0)*0.475*44/12</f>
        <v>3.0629133752465069E-13</v>
      </c>
      <c r="AC125" s="22">
        <f t="shared" si="57"/>
        <v>1.269765915483795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-1.8089849618263545E-13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314.94704727988847</v>
      </c>
      <c r="AO125" s="59">
        <f t="shared" si="90"/>
        <v>366.49199094166454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0.63316688767135165</v>
      </c>
      <c r="AV125" s="21">
        <f>EXP(-LN(2)/25)*AV124+(1-EXP(-LN(2)/25))/(LN(2)/25)*Calculateur!AQ125*Calculateur!AS125*VLOOKUP('Données projet'!$B$10,Paramètres!$A$1:$I$89,3,0)*0.475*44/12</f>
        <v>1.9822625334441295</v>
      </c>
      <c r="AW125" s="21">
        <f>EXP(-LN(2)/2)*AW124+(1-EXP(-LN(2)/2))/(LN(2)/2)*AQ125*AT125*VLOOKUP('Données projet'!$B$10,Paramètres!$A$1:$I$89,3,0)*0.475*44/12</f>
        <v>4.1025652678790614E-13</v>
      </c>
      <c r="AX125" s="21">
        <f t="shared" si="60"/>
        <v>2.6154294211158913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-1.4897523215040565E-13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246.64951465060813</v>
      </c>
      <c r="BJ125" s="59">
        <f t="shared" si="92"/>
        <v>292.64550285216865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0.42304824237308963</v>
      </c>
      <c r="BQ125" s="21">
        <f>EXP(-LN(2)/25)*BQ124+(1-EXP(-LN(2)/25))/(LN(2)/25)*Calculateur!BL125*Calculateur!BN125*VLOOKUP('Données projet'!$B$11,Paramètres!$A$1:$I$89,3,0)*0.475*44/12</f>
        <v>1.324441781502071</v>
      </c>
      <c r="BR125" s="21">
        <f>EXP(-LN(2)/2)*BR124+(1-EXP(-LN(2)/2))/(LN(2)/2)*BL125*BO125*VLOOKUP('Données projet'!$B$11,Paramètres!$A$1:$I$89,3,0)*0.475*44/12</f>
        <v>3.3785831617827566E-13</v>
      </c>
      <c r="BS125" s="22">
        <f t="shared" si="63"/>
        <v>1.7474900238754987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-1.5252226148732008E-13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254.25222107710192</v>
      </c>
      <c r="CE125" s="59">
        <f t="shared" si="94"/>
        <v>300.86609173447573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0.53384659156604142</v>
      </c>
      <c r="CL125" s="21">
        <f>EXP(-LN(2)/25)*CL124+(1-EXP(-LN(2)/25))/(LN(2)/25)*Calculateur!CG125*Calculateur!CI125*VLOOKUP('Données projet'!$B$12,Paramètres!$A$1:$I$89,3,0)*0.475*44/12</f>
        <v>1.671319390943089</v>
      </c>
      <c r="CM125" s="21">
        <f>EXP(-LN(2)/2)*CM124+(1-EXP(-LN(2)/2))/(LN(2)/2)*CG125*CJ125*VLOOKUP('Données projet'!$B$12,Paramètres!$A$1:$I$89,3,0)*0.475*44/12</f>
        <v>3.4590256180156814E-13</v>
      </c>
      <c r="CN125" s="22">
        <f t="shared" si="66"/>
        <v>2.2051659825094765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243.38048563215585</v>
      </c>
      <c r="CZ125" s="59">
        <f t="shared" si="96"/>
        <v>372.1604147006675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1.1818490580581551</v>
      </c>
      <c r="DG125" s="21">
        <f>EXP(-LN(2)/25)*DG124+(1-EXP(-LN(2)/25))/(LN(2)/25)*Calculateur!DB125*Calculateur!DD125*VLOOKUP('Données projet'!$B$13,Paramètres!$A$1:$I$89,3,0)*0.475*44/12</f>
        <v>1.5106694400256866</v>
      </c>
      <c r="DH125" s="21">
        <f>EXP(-LN(2)/2)*DH124+(1-EXP(-LN(2)/2))/(LN(2)/2)*DB125*DE125*VLOOKUP('Données projet'!$B$13,Paramètres!$A$1:$I$89,3,0)*0.475*44/12</f>
        <v>4.1659034214322563E-13</v>
      </c>
      <c r="DI125" s="22">
        <f t="shared" si="69"/>
        <v>2.692518498084258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1.1368683772161603E-13</v>
      </c>
      <c r="DP125" s="17">
        <f>DO125*VLOOKUP('Données projet'!$B$14,Paramètres!$A$1:$I$89,3,0)*VLOOKUP('Données projet'!$B$14,Paramètres!$A$1:$I$89,5,0)</f>
        <v>6.5028871176764376E-14</v>
      </c>
      <c r="DQ125" s="13">
        <f t="shared" si="97"/>
        <v>1.0270999702906072E-12</v>
      </c>
      <c r="DR125" s="20">
        <f t="shared" si="70"/>
        <v>1.9021243988890057E-12</v>
      </c>
      <c r="DS125" s="59">
        <f t="shared" si="71"/>
        <v>293.33333333333519</v>
      </c>
      <c r="DT125" s="59">
        <f ca="1">AVERAGE(OFFSET($DS$3,0,0,'Données projet'!$E$14+1,1))-AVERAGE(OFFSET($H$3,0,0,'Données projet'!$E$14+1,1))</f>
        <v>227.99747790451215</v>
      </c>
      <c r="DU125" s="59">
        <f t="shared" si="98"/>
        <v>209.49597700966933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0.46380704313328763</v>
      </c>
      <c r="EB125" s="21">
        <f>EXP(-LN(2)/25)*EB124+(1-EXP(-LN(2)/25))/(LN(2)/25)*Calculateur!DW125*Calculateur!DY125*VLOOKUP('Données projet'!$B$14,Paramètres!$A$1:$I$89,3,0)*0.475*44/12</f>
        <v>1.1840492713476711</v>
      </c>
      <c r="EC125" s="21">
        <f>EXP(-LN(2)/2)*EC124+(1-EXP(-LN(2)/2))/(LN(2)/2)*DW125*DZ125*VLOOKUP('Données projet'!$B$14,Paramètres!$A$1:$I$89,3,0)*0.475*44/12</f>
        <v>3.5047977625968663E-13</v>
      </c>
      <c r="ED125" s="22">
        <f t="shared" si="72"/>
        <v>1.6478563144813092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3.4106051316484809E-13</v>
      </c>
      <c r="EK125" s="17">
        <f>EJ125*VLOOKUP('Données projet'!$B$15,Paramètres!$A$1:$I$89,3,0)*VLOOKUP('Données projet'!$B$15,Paramètres!$A$1:$I$89,5,0)</f>
        <v>1.5074874681886286E-13</v>
      </c>
      <c r="EL125" s="13">
        <f t="shared" si="99"/>
        <v>2.1590218794584103E-12</v>
      </c>
      <c r="EM125" s="20">
        <f t="shared" si="73"/>
        <v>4.0228505074329168E-12</v>
      </c>
      <c r="EN125" s="59">
        <f t="shared" si="74"/>
        <v>293.33333333333735</v>
      </c>
      <c r="EO125" s="59">
        <f ca="1">AVERAGE(OFFSET($EN$3,0,0,'Données projet'!$E$15+1,1))-AVERAGE(OFFSET($H$3,0,0,'Données projet'!$E$15+1,1))</f>
        <v>335.27356627949155</v>
      </c>
      <c r="EP125" s="59">
        <f t="shared" si="100"/>
        <v>322.66829503077247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2.181661589293578</v>
      </c>
      <c r="EX125" s="21">
        <f>EXP(-LN(2)/2)*EX124+(1-EXP(-LN(2)/2))/(LN(2)/2)*ER125*EU125*VLOOKUP('Données projet'!$B$15,Paramètres!$A$1:$I$89,3,0)*0.475*44/12</f>
        <v>5.0282471667890865E-13</v>
      </c>
      <c r="EY125" s="22">
        <f t="shared" si="75"/>
        <v>2.1816615892940807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-5.6843418860808015E-13</v>
      </c>
      <c r="O126" s="13">
        <f>N126*VLOOKUP('Données projet'!$B$9,Paramètres!$A$1:$I$89,3,0)*VLOOKUP('Données projet'!$B$9,Paramètres!$A$1:$I$89,5,0)</f>
        <v>-5.1431925385259092E-13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319.18811755575183</v>
      </c>
      <c r="T126" s="59">
        <f t="shared" si="88"/>
        <v>234.87694492493506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0.38183565736028452</v>
      </c>
      <c r="AA126" s="21">
        <f>EXP(-LN(2)/25)*AA125+(1-EXP(-LN(2)/25))/(LN(2)/25)*Calculateur!V126*Calculateur!X126*VLOOKUP('Données projet'!$B$9,Paramètres!$A$1:$I$89,3,0)*0.475*44/12</f>
        <v>0.85622127396607828</v>
      </c>
      <c r="AB126" s="21">
        <f>EXP(-LN(2)/2)*AB125+(1-EXP(-LN(2)/2))/(LN(2)/2)*V126*Y126*VLOOKUP('Données projet'!$B$9,Paramètres!$A$1:$I$89,3,0)*0.475*44/12</f>
        <v>2.1658068178237815E-13</v>
      </c>
      <c r="AC126" s="22">
        <f t="shared" si="57"/>
        <v>1.2380569313265792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-1.8089849618263545E-13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314.94704727988847</v>
      </c>
      <c r="AO126" s="59">
        <f t="shared" si="90"/>
        <v>366.49199094166454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0.62075087119778449</v>
      </c>
      <c r="AV126" s="21">
        <f>EXP(-LN(2)/25)*AV125+(1-EXP(-LN(2)/25))/(LN(2)/25)*Calculateur!AQ126*Calculateur!AS126*VLOOKUP('Données projet'!$B$10,Paramètres!$A$1:$I$89,3,0)*0.475*44/12</f>
        <v>1.9280574602244436</v>
      </c>
      <c r="AW126" s="21">
        <f>EXP(-LN(2)/2)*AW125+(1-EXP(-LN(2)/2))/(LN(2)/2)*AQ126*AT126*VLOOKUP('Données projet'!$B$10,Paramètres!$A$1:$I$89,3,0)*0.475*44/12</f>
        <v>2.9009517211776891E-13</v>
      </c>
      <c r="AX126" s="21">
        <f t="shared" si="60"/>
        <v>2.5488083314225181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-1.4897523215040565E-13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246.64951465060813</v>
      </c>
      <c r="BJ126" s="59">
        <f t="shared" si="92"/>
        <v>292.64550285216865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0.41475252437410248</v>
      </c>
      <c r="BQ126" s="21">
        <f>EXP(-LN(2)/25)*BQ125+(1-EXP(-LN(2)/25))/(LN(2)/25)*Calculateur!BL126*Calculateur!BN126*VLOOKUP('Données projet'!$B$11,Paramètres!$A$1:$I$89,3,0)*0.475*44/12</f>
        <v>1.2882248513375307</v>
      </c>
      <c r="BR126" s="21">
        <f>EXP(-LN(2)/2)*BR125+(1-EXP(-LN(2)/2))/(LN(2)/2)*BL126*BO126*VLOOKUP('Données projet'!$B$11,Paramètres!$A$1:$I$89,3,0)*0.475*44/12</f>
        <v>2.3890190644992735E-13</v>
      </c>
      <c r="BS126" s="22">
        <f t="shared" si="63"/>
        <v>1.702977375711872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-1.5252226148732008E-13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254.25222107710192</v>
      </c>
      <c r="CE126" s="59">
        <f t="shared" si="94"/>
        <v>300.86609173447573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0.5233781855197005</v>
      </c>
      <c r="CL126" s="21">
        <f>EXP(-LN(2)/25)*CL125+(1-EXP(-LN(2)/25))/(LN(2)/25)*Calculateur!CG126*Calculateur!CI126*VLOOKUP('Données projet'!$B$12,Paramètres!$A$1:$I$89,3,0)*0.475*44/12</f>
        <v>1.6256170743068834</v>
      </c>
      <c r="CM126" s="21">
        <f>EXP(-LN(2)/2)*CM125+(1-EXP(-LN(2)/2))/(LN(2)/2)*CG126*CJ126*VLOOKUP('Données projet'!$B$12,Paramètres!$A$1:$I$89,3,0)*0.475*44/12</f>
        <v>2.4459004707968767E-13</v>
      </c>
      <c r="CN126" s="22">
        <f t="shared" si="66"/>
        <v>2.1489952598268287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243.38048563215585</v>
      </c>
      <c r="CZ126" s="59">
        <f t="shared" si="96"/>
        <v>372.1604147006675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1.1586737188863814</v>
      </c>
      <c r="DG126" s="21">
        <f>EXP(-LN(2)/25)*DG125+(1-EXP(-LN(2)/25))/(LN(2)/25)*Calculateur!DB126*Calculateur!DD126*VLOOKUP('Données projet'!$B$13,Paramètres!$A$1:$I$89,3,0)*0.475*44/12</f>
        <v>1.4693601047455309</v>
      </c>
      <c r="DH126" s="21">
        <f>EXP(-LN(2)/2)*DH125+(1-EXP(-LN(2)/2))/(LN(2)/2)*DB126*DE126*VLOOKUP('Données projet'!$B$13,Paramètres!$A$1:$I$89,3,0)*0.475*44/12</f>
        <v>2.9457385590629881E-13</v>
      </c>
      <c r="DI126" s="22">
        <f t="shared" si="69"/>
        <v>2.6280338236322067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1.1368683772161603E-13</v>
      </c>
      <c r="DP126" s="17">
        <f>DO126*VLOOKUP('Données projet'!$B$14,Paramètres!$A$1:$I$89,3,0)*VLOOKUP('Données projet'!$B$14,Paramètres!$A$1:$I$89,5,0)</f>
        <v>6.5028871176764376E-14</v>
      </c>
      <c r="DQ126" s="13">
        <f t="shared" si="97"/>
        <v>1.0270999702906072E-12</v>
      </c>
      <c r="DR126" s="20">
        <f t="shared" si="70"/>
        <v>1.9021243988890057E-12</v>
      </c>
      <c r="DS126" s="59">
        <f t="shared" si="71"/>
        <v>293.33333333333519</v>
      </c>
      <c r="DT126" s="59">
        <f ca="1">AVERAGE(OFFSET($DS$3,0,0,'Données projet'!$E$14+1,1))-AVERAGE(OFFSET($H$3,0,0,'Données projet'!$E$14+1,1))</f>
        <v>227.99747790451215</v>
      </c>
      <c r="DU126" s="59">
        <f t="shared" si="98"/>
        <v>209.49597700966933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0.45471206991180668</v>
      </c>
      <c r="EB126" s="21">
        <f>EXP(-LN(2)/25)*EB125+(1-EXP(-LN(2)/25))/(LN(2)/25)*Calculateur!DW126*Calculateur!DY126*VLOOKUP('Données projet'!$B$14,Paramètres!$A$1:$I$89,3,0)*0.475*44/12</f>
        <v>1.1516713817562241</v>
      </c>
      <c r="EC126" s="21">
        <f>EXP(-LN(2)/2)*EC125+(1-EXP(-LN(2)/2))/(LN(2)/2)*DW126*DZ126*VLOOKUP('Données projet'!$B$14,Paramètres!$A$1:$I$89,3,0)*0.475*44/12</f>
        <v>2.4782662646196836E-13</v>
      </c>
      <c r="ED126" s="22">
        <f t="shared" si="72"/>
        <v>1.6063834516682785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3.4106051316484809E-13</v>
      </c>
      <c r="EK126" s="17">
        <f>EJ126*VLOOKUP('Données projet'!$B$15,Paramètres!$A$1:$I$89,3,0)*VLOOKUP('Données projet'!$B$15,Paramètres!$A$1:$I$89,5,0)</f>
        <v>1.5074874681886286E-13</v>
      </c>
      <c r="EL126" s="13">
        <f t="shared" si="99"/>
        <v>2.1590218794584103E-12</v>
      </c>
      <c r="EM126" s="20">
        <f t="shared" si="73"/>
        <v>4.0228505074329168E-12</v>
      </c>
      <c r="EN126" s="59">
        <f t="shared" si="74"/>
        <v>293.33333333333735</v>
      </c>
      <c r="EO126" s="59">
        <f ca="1">AVERAGE(OFFSET($EN$3,0,0,'Données projet'!$E$15+1,1))-AVERAGE(OFFSET($H$3,0,0,'Données projet'!$E$15+1,1))</f>
        <v>335.27356627949155</v>
      </c>
      <c r="EP126" s="59">
        <f t="shared" si="100"/>
        <v>322.66829503077247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2.1220039384057485</v>
      </c>
      <c r="EX126" s="21">
        <f>EXP(-LN(2)/2)*EX125+(1-EXP(-LN(2)/2))/(LN(2)/2)*ER126*EU126*VLOOKUP('Données projet'!$B$15,Paramètres!$A$1:$I$89,3,0)*0.475*44/12</f>
        <v>3.5555076691186082E-13</v>
      </c>
      <c r="EY126" s="22">
        <f t="shared" si="75"/>
        <v>2.1220039384061042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-5.6843418860808015E-13</v>
      </c>
      <c r="O127" s="13">
        <f>N127*VLOOKUP('Données projet'!$B$9,Paramètres!$A$1:$I$89,3,0)*VLOOKUP('Données projet'!$B$9,Paramètres!$A$1:$I$89,5,0)</f>
        <v>-5.1431925385259092E-13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319.18811755575183</v>
      </c>
      <c r="T127" s="59">
        <f t="shared" si="88"/>
        <v>234.87694492493506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0.3743480930162037</v>
      </c>
      <c r="AA127" s="21">
        <f>EXP(-LN(2)/25)*AA126+(1-EXP(-LN(2)/25))/(LN(2)/25)*Calculateur!V127*Calculateur!X127*VLOOKUP('Données projet'!$B$9,Paramètres!$A$1:$I$89,3,0)*0.475*44/12</f>
        <v>0.83280785820275594</v>
      </c>
      <c r="AB127" s="21">
        <f>EXP(-LN(2)/2)*AB126+(1-EXP(-LN(2)/2))/(LN(2)/2)*V127*Y127*VLOOKUP('Données projet'!$B$9,Paramètres!$A$1:$I$89,3,0)*0.475*44/12</f>
        <v>1.5314566876232535E-13</v>
      </c>
      <c r="AC127" s="22">
        <f t="shared" si="57"/>
        <v>1.2071559512191128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-1.8089849618263545E-13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314.94704727988847</v>
      </c>
      <c r="AO127" s="59">
        <f t="shared" si="90"/>
        <v>366.49199094166454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0.60857832523424171</v>
      </c>
      <c r="AV127" s="21">
        <f>EXP(-LN(2)/25)*AV126+(1-EXP(-LN(2)/25))/(LN(2)/25)*Calculateur!AQ127*Calculateur!AS127*VLOOKUP('Données projet'!$B$10,Paramètres!$A$1:$I$89,3,0)*0.475*44/12</f>
        <v>1.8753346275824709</v>
      </c>
      <c r="AW127" s="21">
        <f>EXP(-LN(2)/2)*AW126+(1-EXP(-LN(2)/2))/(LN(2)/2)*AQ127*AT127*VLOOKUP('Données projet'!$B$10,Paramètres!$A$1:$I$89,3,0)*0.475*44/12</f>
        <v>2.0512826339395307E-13</v>
      </c>
      <c r="AX127" s="21">
        <f t="shared" si="60"/>
        <v>2.4839129528169179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-1.4897523215040565E-13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246.64951465060813</v>
      </c>
      <c r="BJ127" s="59">
        <f t="shared" si="92"/>
        <v>292.64550285216865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0.40661948034518708</v>
      </c>
      <c r="BQ127" s="21">
        <f>EXP(-LN(2)/25)*BQ126+(1-EXP(-LN(2)/25))/(LN(2)/25)*Calculateur!BL127*Calculateur!BN127*VLOOKUP('Données projet'!$B$11,Paramètres!$A$1:$I$89,3,0)*0.475*44/12</f>
        <v>1.2529982750329054</v>
      </c>
      <c r="BR127" s="21">
        <f>EXP(-LN(2)/2)*BR126+(1-EXP(-LN(2)/2))/(LN(2)/2)*BL127*BO127*VLOOKUP('Données projet'!$B$11,Paramètres!$A$1:$I$89,3,0)*0.475*44/12</f>
        <v>1.6892915808913783E-13</v>
      </c>
      <c r="BS127" s="22">
        <f t="shared" si="63"/>
        <v>1.6596177553782614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-1.5252226148732008E-13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254.25222107710192</v>
      </c>
      <c r="CE127" s="59">
        <f t="shared" si="94"/>
        <v>300.86609173447573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0.51311505853083106</v>
      </c>
      <c r="CL127" s="21">
        <f>EXP(-LN(2)/25)*CL126+(1-EXP(-LN(2)/25))/(LN(2)/25)*Calculateur!CG127*Calculateur!CI127*VLOOKUP('Données projet'!$B$12,Paramètres!$A$1:$I$89,3,0)*0.475*44/12</f>
        <v>1.581164489922475</v>
      </c>
      <c r="CM127" s="21">
        <f>EXP(-LN(2)/2)*CM126+(1-EXP(-LN(2)/2))/(LN(2)/2)*CG127*CJ127*VLOOKUP('Données projet'!$B$12,Paramètres!$A$1:$I$89,3,0)*0.475*44/12</f>
        <v>1.7295128090078407E-13</v>
      </c>
      <c r="CN127" s="22">
        <f t="shared" si="66"/>
        <v>2.0942795484534789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243.38048563215585</v>
      </c>
      <c r="CZ127" s="59">
        <f t="shared" si="96"/>
        <v>372.1604147006675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1.135952833980205</v>
      </c>
      <c r="DG127" s="21">
        <f>EXP(-LN(2)/25)*DG126+(1-EXP(-LN(2)/25))/(LN(2)/25)*Calculateur!DB127*Calculateur!DD127*VLOOKUP('Données projet'!$B$13,Paramètres!$A$1:$I$89,3,0)*0.475*44/12</f>
        <v>1.4291803754109746</v>
      </c>
      <c r="DH127" s="21">
        <f>EXP(-LN(2)/2)*DH126+(1-EXP(-LN(2)/2))/(LN(2)/2)*DB127*DE127*VLOOKUP('Données projet'!$B$13,Paramètres!$A$1:$I$89,3,0)*0.475*44/12</f>
        <v>2.0829517107161282E-13</v>
      </c>
      <c r="DI127" s="22">
        <f t="shared" si="69"/>
        <v>2.5651332093913877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1.1368683772161603E-13</v>
      </c>
      <c r="DP127" s="17">
        <f>DO127*VLOOKUP('Données projet'!$B$14,Paramètres!$A$1:$I$89,3,0)*VLOOKUP('Données projet'!$B$14,Paramètres!$A$1:$I$89,5,0)</f>
        <v>6.5028871176764376E-14</v>
      </c>
      <c r="DQ127" s="13">
        <f t="shared" si="97"/>
        <v>1.0270999702906072E-12</v>
      </c>
      <c r="DR127" s="20">
        <f t="shared" si="70"/>
        <v>1.9021243988890057E-12</v>
      </c>
      <c r="DS127" s="59">
        <f t="shared" si="71"/>
        <v>293.33333333333519</v>
      </c>
      <c r="DT127" s="59">
        <f ca="1">AVERAGE(OFFSET($DS$3,0,0,'Données projet'!$E$14+1,1))-AVERAGE(OFFSET($H$3,0,0,'Données projet'!$E$14+1,1))</f>
        <v>227.99747790451215</v>
      </c>
      <c r="DU127" s="59">
        <f t="shared" si="98"/>
        <v>209.49597700966933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0.44579544356781309</v>
      </c>
      <c r="EB127" s="21">
        <f>EXP(-LN(2)/25)*EB126+(1-EXP(-LN(2)/25))/(LN(2)/25)*Calculateur!DW127*Calculateur!DY127*VLOOKUP('Données projet'!$B$14,Paramètres!$A$1:$I$89,3,0)*0.475*44/12</f>
        <v>1.1201788672583344</v>
      </c>
      <c r="EC127" s="21">
        <f>EXP(-LN(2)/2)*EC126+(1-EXP(-LN(2)/2))/(LN(2)/2)*DW127*DZ127*VLOOKUP('Données projet'!$B$14,Paramètres!$A$1:$I$89,3,0)*0.475*44/12</f>
        <v>1.7523988812984331E-13</v>
      </c>
      <c r="ED127" s="22">
        <f t="shared" si="72"/>
        <v>1.5659743108263227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3.4106051316484809E-13</v>
      </c>
      <c r="EK127" s="17">
        <f>EJ127*VLOOKUP('Données projet'!$B$15,Paramètres!$A$1:$I$89,3,0)*VLOOKUP('Données projet'!$B$15,Paramètres!$A$1:$I$89,5,0)</f>
        <v>1.5074874681886286E-13</v>
      </c>
      <c r="EL127" s="13">
        <f t="shared" si="99"/>
        <v>2.1590218794584103E-12</v>
      </c>
      <c r="EM127" s="20">
        <f t="shared" si="73"/>
        <v>4.0228505074329168E-12</v>
      </c>
      <c r="EN127" s="59">
        <f t="shared" si="74"/>
        <v>293.33333333333735</v>
      </c>
      <c r="EO127" s="59">
        <f ca="1">AVERAGE(OFFSET($EN$3,0,0,'Données projet'!$E$15+1,1))-AVERAGE(OFFSET($H$3,0,0,'Données projet'!$E$15+1,1))</f>
        <v>335.27356627949155</v>
      </c>
      <c r="EP127" s="59">
        <f t="shared" si="100"/>
        <v>322.66829503077247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2.063977629118706</v>
      </c>
      <c r="EX127" s="21">
        <f>EXP(-LN(2)/2)*EX126+(1-EXP(-LN(2)/2))/(LN(2)/2)*ER127*EU127*VLOOKUP('Données projet'!$B$15,Paramètres!$A$1:$I$89,3,0)*0.475*44/12</f>
        <v>2.5141235833945432E-13</v>
      </c>
      <c r="EY127" s="22">
        <f t="shared" si="75"/>
        <v>2.0639776291189573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-5.6843418860808015E-13</v>
      </c>
      <c r="O128" s="13">
        <f>N128*VLOOKUP('Données projet'!$B$9,Paramètres!$A$1:$I$89,3,0)*VLOOKUP('Données projet'!$B$9,Paramètres!$A$1:$I$89,5,0)</f>
        <v>-5.1431925385259092E-13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319.18811755575183</v>
      </c>
      <c r="T128" s="59">
        <f t="shared" si="88"/>
        <v>234.87694492493506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0.367007355241947</v>
      </c>
      <c r="AA128" s="21">
        <f>EXP(-LN(2)/25)*AA127+(1-EXP(-LN(2)/25))/(LN(2)/25)*Calculateur!V128*Calculateur!X128*VLOOKUP('Données projet'!$B$9,Paramètres!$A$1:$I$89,3,0)*0.475*44/12</f>
        <v>0.81003468352473973</v>
      </c>
      <c r="AB128" s="21">
        <f>EXP(-LN(2)/2)*AB127+(1-EXP(-LN(2)/2))/(LN(2)/2)*V128*Y128*VLOOKUP('Données projet'!$B$9,Paramètres!$A$1:$I$89,3,0)*0.475*44/12</f>
        <v>1.0829034089118908E-13</v>
      </c>
      <c r="AC128" s="22">
        <f t="shared" si="57"/>
        <v>1.177042038766795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-1.8089849618263545E-13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314.94704727988847</v>
      </c>
      <c r="AO128" s="59">
        <f t="shared" si="90"/>
        <v>366.49199094166454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0.59664447547252408</v>
      </c>
      <c r="AV128" s="21">
        <f>EXP(-LN(2)/25)*AV127+(1-EXP(-LN(2)/25))/(LN(2)/25)*Calculateur!AQ128*Calculateur!AS128*VLOOKUP('Données projet'!$B$10,Paramètres!$A$1:$I$89,3,0)*0.475*44/12</f>
        <v>1.8240535035716663</v>
      </c>
      <c r="AW128" s="21">
        <f>EXP(-LN(2)/2)*AW127+(1-EXP(-LN(2)/2))/(LN(2)/2)*AQ128*AT128*VLOOKUP('Données projet'!$B$10,Paramètres!$A$1:$I$89,3,0)*0.475*44/12</f>
        <v>1.4504758605888446E-13</v>
      </c>
      <c r="AX128" s="21">
        <f t="shared" si="60"/>
        <v>2.4206979790443355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-1.4897523215040565E-13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246.64951465060813</v>
      </c>
      <c r="BJ128" s="59">
        <f t="shared" si="92"/>
        <v>292.64550285216865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0.3986459203490117</v>
      </c>
      <c r="BQ128" s="21">
        <f>EXP(-LN(2)/25)*BQ127+(1-EXP(-LN(2)/25))/(LN(2)/25)*Calculateur!BL128*Calculateur!BN128*VLOOKUP('Données projet'!$B$11,Paramètres!$A$1:$I$89,3,0)*0.475*44/12</f>
        <v>1.218734971309815</v>
      </c>
      <c r="BR128" s="21">
        <f>EXP(-LN(2)/2)*BR127+(1-EXP(-LN(2)/2))/(LN(2)/2)*BL128*BO128*VLOOKUP('Données projet'!$B$11,Paramètres!$A$1:$I$89,3,0)*0.475*44/12</f>
        <v>1.1945095322496368E-13</v>
      </c>
      <c r="BS128" s="22">
        <f t="shared" si="63"/>
        <v>1.6173808916589461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-1.5252226148732008E-13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254.25222107710192</v>
      </c>
      <c r="CE128" s="59">
        <f t="shared" si="94"/>
        <v>300.86609173447573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0.503053185202324</v>
      </c>
      <c r="CL128" s="21">
        <f>EXP(-LN(2)/25)*CL127+(1-EXP(-LN(2)/25))/(LN(2)/25)*Calculateur!CG128*Calculateur!CI128*VLOOKUP('Données projet'!$B$12,Paramètres!$A$1:$I$89,3,0)*0.475*44/12</f>
        <v>1.5379274637957183</v>
      </c>
      <c r="CM128" s="21">
        <f>EXP(-LN(2)/2)*CM127+(1-EXP(-LN(2)/2))/(LN(2)/2)*CG128*CJ128*VLOOKUP('Données projet'!$B$12,Paramètres!$A$1:$I$89,3,0)*0.475*44/12</f>
        <v>1.2229502353984383E-13</v>
      </c>
      <c r="CN128" s="22">
        <f t="shared" si="66"/>
        <v>2.0409806489981643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243.38048563215585</v>
      </c>
      <c r="CZ128" s="59">
        <f t="shared" si="96"/>
        <v>372.1604147006675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1.1136774917686674</v>
      </c>
      <c r="DG128" s="21">
        <f>EXP(-LN(2)/25)*DG127+(1-EXP(-LN(2)/25))/(LN(2)/25)*Calculateur!DB128*Calculateur!DD128*VLOOKUP('Données projet'!$B$13,Paramètres!$A$1:$I$89,3,0)*0.475*44/12</f>
        <v>1.390099362888032</v>
      </c>
      <c r="DH128" s="21">
        <f>EXP(-LN(2)/2)*DH127+(1-EXP(-LN(2)/2))/(LN(2)/2)*DB128*DE128*VLOOKUP('Données projet'!$B$13,Paramètres!$A$1:$I$89,3,0)*0.475*44/12</f>
        <v>1.4728692795314941E-13</v>
      </c>
      <c r="DI128" s="22">
        <f t="shared" si="69"/>
        <v>2.5037768546568469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1.1368683772161603E-13</v>
      </c>
      <c r="DP128" s="17">
        <f>DO128*VLOOKUP('Données projet'!$B$14,Paramètres!$A$1:$I$89,3,0)*VLOOKUP('Données projet'!$B$14,Paramètres!$A$1:$I$89,5,0)</f>
        <v>6.5028871176764376E-14</v>
      </c>
      <c r="DQ128" s="13">
        <f t="shared" si="97"/>
        <v>1.0270999702906072E-12</v>
      </c>
      <c r="DR128" s="20">
        <f t="shared" si="70"/>
        <v>1.9021243988890057E-12</v>
      </c>
      <c r="DS128" s="59">
        <f t="shared" si="71"/>
        <v>293.33333333333519</v>
      </c>
      <c r="DT128" s="59">
        <f ca="1">AVERAGE(OFFSET($DS$3,0,0,'Données projet'!$E$14+1,1))-AVERAGE(OFFSET($H$3,0,0,'Données projet'!$E$14+1,1))</f>
        <v>227.99747790451215</v>
      </c>
      <c r="DU128" s="59">
        <f t="shared" si="98"/>
        <v>209.49597700966933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0.43705366682782015</v>
      </c>
      <c r="EB128" s="21">
        <f>EXP(-LN(2)/25)*EB127+(1-EXP(-LN(2)/25))/(LN(2)/25)*Calculateur!DW128*Calculateur!DY128*VLOOKUP('Données projet'!$B$14,Paramètres!$A$1:$I$89,3,0)*0.475*44/12</f>
        <v>1.0895475172255087</v>
      </c>
      <c r="EC128" s="21">
        <f>EXP(-LN(2)/2)*EC127+(1-EXP(-LN(2)/2))/(LN(2)/2)*DW128*DZ128*VLOOKUP('Données projet'!$B$14,Paramètres!$A$1:$I$89,3,0)*0.475*44/12</f>
        <v>1.2391331323098418E-13</v>
      </c>
      <c r="ED128" s="22">
        <f t="shared" si="72"/>
        <v>1.5266011840534528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3.4106051316484809E-13</v>
      </c>
      <c r="EK128" s="17">
        <f>EJ128*VLOOKUP('Données projet'!$B$15,Paramètres!$A$1:$I$89,3,0)*VLOOKUP('Données projet'!$B$15,Paramètres!$A$1:$I$89,5,0)</f>
        <v>1.5074874681886286E-13</v>
      </c>
      <c r="EL128" s="13">
        <f t="shared" si="99"/>
        <v>2.1590218794584103E-12</v>
      </c>
      <c r="EM128" s="20">
        <f t="shared" si="73"/>
        <v>4.0228505074329168E-12</v>
      </c>
      <c r="EN128" s="59">
        <f t="shared" si="74"/>
        <v>293.33333333333735</v>
      </c>
      <c r="EO128" s="59">
        <f ca="1">AVERAGE(OFFSET($EN$3,0,0,'Données projet'!$E$15+1,1))-AVERAGE(OFFSET($H$3,0,0,'Données projet'!$E$15+1,1))</f>
        <v>335.27356627949155</v>
      </c>
      <c r="EP128" s="59">
        <f t="shared" si="100"/>
        <v>322.66829503077247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2.0075380523105886</v>
      </c>
      <c r="EX128" s="21">
        <f>EXP(-LN(2)/2)*EX127+(1-EXP(-LN(2)/2))/(LN(2)/2)*ER128*EU128*VLOOKUP('Données projet'!$B$15,Paramètres!$A$1:$I$89,3,0)*0.475*44/12</f>
        <v>1.7777538345593041E-13</v>
      </c>
      <c r="EY128" s="22">
        <f t="shared" si="75"/>
        <v>2.0075380523107662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-5.6843418860808015E-13</v>
      </c>
      <c r="O129" s="13">
        <f>N129*VLOOKUP('Données projet'!$B$9,Paramètres!$A$1:$I$89,3,0)*VLOOKUP('Données projet'!$B$9,Paramètres!$A$1:$I$89,5,0)</f>
        <v>-5.1431925385259092E-13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319.18811755575183</v>
      </c>
      <c r="T129" s="59">
        <f t="shared" si="88"/>
        <v>234.87694492493506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0.35981056485803553</v>
      </c>
      <c r="AA129" s="21">
        <f>EXP(-LN(2)/25)*AA128+(1-EXP(-LN(2)/25))/(LN(2)/25)*Calculateur!V129*Calculateur!X129*VLOOKUP('Données projet'!$B$9,Paramètres!$A$1:$I$89,3,0)*0.475*44/12</f>
        <v>0.78788424250588307</v>
      </c>
      <c r="AB129" s="21">
        <f>EXP(-LN(2)/2)*AB128+(1-EXP(-LN(2)/2))/(LN(2)/2)*V129*Y129*VLOOKUP('Données projet'!$B$9,Paramètres!$A$1:$I$89,3,0)*0.475*44/12</f>
        <v>7.6572834381162674E-14</v>
      </c>
      <c r="AC129" s="22">
        <f t="shared" si="57"/>
        <v>1.1476948073639952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-1.8089849618263545E-13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314.94704727988847</v>
      </c>
      <c r="AO129" s="59">
        <f t="shared" si="90"/>
        <v>366.49199094166454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0.58494464122570411</v>
      </c>
      <c r="AV129" s="21">
        <f>EXP(-LN(2)/25)*AV128+(1-EXP(-LN(2)/25))/(LN(2)/25)*Calculateur!AQ129*Calculateur!AS129*VLOOKUP('Données projet'!$B$10,Paramètres!$A$1:$I$89,3,0)*0.475*44/12</f>
        <v>1.7741746645936942</v>
      </c>
      <c r="AW129" s="21">
        <f>EXP(-LN(2)/2)*AW128+(1-EXP(-LN(2)/2))/(LN(2)/2)*AQ129*AT129*VLOOKUP('Données projet'!$B$10,Paramètres!$A$1:$I$89,3,0)*0.475*44/12</f>
        <v>1.0256413169697653E-13</v>
      </c>
      <c r="AX129" s="21">
        <f t="shared" si="60"/>
        <v>2.359119305819501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-1.4897523215040565E-13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246.64951465060813</v>
      </c>
      <c r="BJ129" s="59">
        <f t="shared" si="92"/>
        <v>292.64550285216865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0.39082871700096994</v>
      </c>
      <c r="BQ129" s="21">
        <f>EXP(-LN(2)/25)*BQ128+(1-EXP(-LN(2)/25))/(LN(2)/25)*Calculateur!BL129*Calculateur!BN129*VLOOKUP('Données projet'!$B$11,Paramètres!$A$1:$I$89,3,0)*0.475*44/12</f>
        <v>1.1854085994288615</v>
      </c>
      <c r="BR129" s="21">
        <f>EXP(-LN(2)/2)*BR128+(1-EXP(-LN(2)/2))/(LN(2)/2)*BL129*BO129*VLOOKUP('Données projet'!$B$11,Paramètres!$A$1:$I$89,3,0)*0.475*44/12</f>
        <v>8.4464579044568915E-14</v>
      </c>
      <c r="BS129" s="22">
        <f t="shared" si="63"/>
        <v>1.5762373164299157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-1.5252226148732008E-13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254.25222107710192</v>
      </c>
      <c r="CE129" s="59">
        <f t="shared" si="94"/>
        <v>300.86609173447573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0.49318861907265227</v>
      </c>
      <c r="CL129" s="21">
        <f>EXP(-LN(2)/25)*CL128+(1-EXP(-LN(2)/25))/(LN(2)/25)*Calculateur!CG129*Calculateur!CI129*VLOOKUP('Données projet'!$B$12,Paramètres!$A$1:$I$89,3,0)*0.475*44/12</f>
        <v>1.4958727564221341</v>
      </c>
      <c r="CM129" s="21">
        <f>EXP(-LN(2)/2)*CM128+(1-EXP(-LN(2)/2))/(LN(2)/2)*CG129*CJ129*VLOOKUP('Données projet'!$B$12,Paramètres!$A$1:$I$89,3,0)*0.475*44/12</f>
        <v>8.6475640450392034E-14</v>
      </c>
      <c r="CN129" s="22">
        <f t="shared" si="66"/>
        <v>1.9890613754948727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243.38048563215585</v>
      </c>
      <c r="CZ129" s="59">
        <f t="shared" si="96"/>
        <v>372.1604147006675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1.0918389554312808</v>
      </c>
      <c r="DG129" s="21">
        <f>EXP(-LN(2)/25)*DG128+(1-EXP(-LN(2)/25))/(LN(2)/25)*Calculateur!DB129*Calculateur!DD129*VLOOKUP('Données projet'!$B$13,Paramètres!$A$1:$I$89,3,0)*0.475*44/12</f>
        <v>1.3520870227077104</v>
      </c>
      <c r="DH129" s="21">
        <f>EXP(-LN(2)/2)*DH128+(1-EXP(-LN(2)/2))/(LN(2)/2)*DB129*DE129*VLOOKUP('Données projet'!$B$13,Paramètres!$A$1:$I$89,3,0)*0.475*44/12</f>
        <v>1.0414758553580641E-13</v>
      </c>
      <c r="DI129" s="22">
        <f t="shared" si="69"/>
        <v>2.4439259781390956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1.1368683772161603E-13</v>
      </c>
      <c r="DP129" s="17">
        <f>DO129*VLOOKUP('Données projet'!$B$14,Paramètres!$A$1:$I$89,3,0)*VLOOKUP('Données projet'!$B$14,Paramètres!$A$1:$I$89,5,0)</f>
        <v>6.5028871176764376E-14</v>
      </c>
      <c r="DQ129" s="13">
        <f t="shared" si="97"/>
        <v>1.0270999702906072E-12</v>
      </c>
      <c r="DR129" s="20">
        <f t="shared" si="70"/>
        <v>1.9021243988890057E-12</v>
      </c>
      <c r="DS129" s="59">
        <f t="shared" si="71"/>
        <v>293.33333333333519</v>
      </c>
      <c r="DT129" s="59">
        <f ca="1">AVERAGE(OFFSET($DS$3,0,0,'Données projet'!$E$14+1,1))-AVERAGE(OFFSET($H$3,0,0,'Données projet'!$E$14+1,1))</f>
        <v>227.99747790451215</v>
      </c>
      <c r="DU129" s="59">
        <f t="shared" si="98"/>
        <v>209.49597700966933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0.42848331099774112</v>
      </c>
      <c r="EB129" s="21">
        <f>EXP(-LN(2)/25)*EB128+(1-EXP(-LN(2)/25))/(LN(2)/25)*Calculateur!DW129*Calculateur!DY129*VLOOKUP('Données projet'!$B$14,Paramètres!$A$1:$I$89,3,0)*0.475*44/12</f>
        <v>1.0597537830701633</v>
      </c>
      <c r="EC129" s="21">
        <f>EXP(-LN(2)/2)*EC128+(1-EXP(-LN(2)/2))/(LN(2)/2)*DW129*DZ129*VLOOKUP('Données projet'!$B$14,Paramètres!$A$1:$I$89,3,0)*0.475*44/12</f>
        <v>8.7619944064921656E-14</v>
      </c>
      <c r="ED129" s="22">
        <f t="shared" si="72"/>
        <v>1.4882370940679921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3.4106051316484809E-13</v>
      </c>
      <c r="EK129" s="17">
        <f>EJ129*VLOOKUP('Données projet'!$B$15,Paramètres!$A$1:$I$89,3,0)*VLOOKUP('Données projet'!$B$15,Paramètres!$A$1:$I$89,5,0)</f>
        <v>1.5074874681886286E-13</v>
      </c>
      <c r="EL129" s="13">
        <f t="shared" si="99"/>
        <v>2.1590218794584103E-12</v>
      </c>
      <c r="EM129" s="20">
        <f t="shared" si="73"/>
        <v>4.0228505074329168E-12</v>
      </c>
      <c r="EN129" s="59">
        <f t="shared" si="74"/>
        <v>293.33333333333735</v>
      </c>
      <c r="EO129" s="59">
        <f ca="1">AVERAGE(OFFSET($EN$3,0,0,'Données projet'!$E$15+1,1))-AVERAGE(OFFSET($H$3,0,0,'Données projet'!$E$15+1,1))</f>
        <v>335.27356627949155</v>
      </c>
      <c r="EP129" s="59">
        <f t="shared" si="100"/>
        <v>322.66829503077247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1.9526418186983177</v>
      </c>
      <c r="EX129" s="21">
        <f>EXP(-LN(2)/2)*EX128+(1-EXP(-LN(2)/2))/(LN(2)/2)*ER129*EU129*VLOOKUP('Données projet'!$B$15,Paramètres!$A$1:$I$89,3,0)*0.475*44/12</f>
        <v>1.2570617916972716E-13</v>
      </c>
      <c r="EY129" s="22">
        <f t="shared" si="75"/>
        <v>1.9526418186984433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-5.6843418860808015E-13</v>
      </c>
      <c r="O130" s="13">
        <f>N130*VLOOKUP('Données projet'!$B$9,Paramètres!$A$1:$I$89,3,0)*VLOOKUP('Données projet'!$B$9,Paramètres!$A$1:$I$89,5,0)</f>
        <v>-5.1431925385259092E-13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319.18811755575183</v>
      </c>
      <c r="T130" s="59">
        <f t="shared" si="88"/>
        <v>234.87694492493506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0.35275489914394387</v>
      </c>
      <c r="AA130" s="21">
        <f>EXP(-LN(2)/25)*AA129+(1-EXP(-LN(2)/25))/(LN(2)/25)*Calculateur!V130*Calculateur!X130*VLOOKUP('Données projet'!$B$9,Paramètres!$A$1:$I$89,3,0)*0.475*44/12</f>
        <v>0.76633950646152815</v>
      </c>
      <c r="AB130" s="21">
        <f>EXP(-LN(2)/2)*AB129+(1-EXP(-LN(2)/2))/(LN(2)/2)*V130*Y130*VLOOKUP('Données projet'!$B$9,Paramètres!$A$1:$I$89,3,0)*0.475*44/12</f>
        <v>5.4145170445594539E-14</v>
      </c>
      <c r="AC130" s="22">
        <f t="shared" si="57"/>
        <v>1.1190944056055261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-1.8089849618263545E-13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314.94704727988847</v>
      </c>
      <c r="AO130" s="59">
        <f t="shared" si="90"/>
        <v>366.49199094166454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0.57347423359227001</v>
      </c>
      <c r="AV130" s="21">
        <f>EXP(-LN(2)/25)*AV129+(1-EXP(-LN(2)/25))/(LN(2)/25)*Calculateur!AQ130*Calculateur!AS130*VLOOKUP('Données projet'!$B$10,Paramètres!$A$1:$I$89,3,0)*0.475*44/12</f>
        <v>1.7256597650905889</v>
      </c>
      <c r="AW130" s="21">
        <f>EXP(-LN(2)/2)*AW129+(1-EXP(-LN(2)/2))/(LN(2)/2)*AQ130*AT130*VLOOKUP('Données projet'!$B$10,Paramètres!$A$1:$I$89,3,0)*0.475*44/12</f>
        <v>7.2523793029442228E-14</v>
      </c>
      <c r="AX130" s="21">
        <f t="shared" si="60"/>
        <v>2.2991339986829313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-1.4897523215040565E-13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246.64951465060813</v>
      </c>
      <c r="BJ130" s="59">
        <f t="shared" si="92"/>
        <v>292.64550285216865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0.38316480424256</v>
      </c>
      <c r="BQ130" s="21">
        <f>EXP(-LN(2)/25)*BQ129+(1-EXP(-LN(2)/25))/(LN(2)/25)*Calculateur!BL130*Calculateur!BN130*VLOOKUP('Données projet'!$B$11,Paramètres!$A$1:$I$89,3,0)*0.475*44/12</f>
        <v>1.1529935389395503</v>
      </c>
      <c r="BR130" s="21">
        <f>EXP(-LN(2)/2)*BR129+(1-EXP(-LN(2)/2))/(LN(2)/2)*BL130*BO130*VLOOKUP('Données projet'!$B$11,Paramètres!$A$1:$I$89,3,0)*0.475*44/12</f>
        <v>5.9725476612481839E-14</v>
      </c>
      <c r="BS130" s="22">
        <f t="shared" si="63"/>
        <v>1.5361583431821699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-1.5252226148732008E-13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254.25222107710192</v>
      </c>
      <c r="CE130" s="59">
        <f t="shared" si="94"/>
        <v>300.86609173447573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0.48351749106799213</v>
      </c>
      <c r="CL130" s="21">
        <f>EXP(-LN(2)/25)*CL129+(1-EXP(-LN(2)/25))/(LN(2)/25)*Calculateur!CG130*Calculateur!CI130*VLOOKUP('Données projet'!$B$12,Paramètres!$A$1:$I$89,3,0)*0.475*44/12</f>
        <v>1.4549680372332414</v>
      </c>
      <c r="CM130" s="21">
        <f>EXP(-LN(2)/2)*CM129+(1-EXP(-LN(2)/2))/(LN(2)/2)*CG130*CJ130*VLOOKUP('Données projet'!$B$12,Paramètres!$A$1:$I$89,3,0)*0.475*44/12</f>
        <v>6.1147511769921917E-14</v>
      </c>
      <c r="CN130" s="22">
        <f t="shared" si="66"/>
        <v>1.9384855283012945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243.38048563215585</v>
      </c>
      <c r="CZ130" s="59">
        <f t="shared" si="96"/>
        <v>372.1604147006675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1.0704286594712786</v>
      </c>
      <c r="DG130" s="21">
        <f>EXP(-LN(2)/25)*DG129+(1-EXP(-LN(2)/25))/(LN(2)/25)*Calculateur!DB130*Calculateur!DD130*VLOOKUP('Données projet'!$B$13,Paramètres!$A$1:$I$89,3,0)*0.475*44/12</f>
        <v>1.3151141319686017</v>
      </c>
      <c r="DH130" s="21">
        <f>EXP(-LN(2)/2)*DH129+(1-EXP(-LN(2)/2))/(LN(2)/2)*DB130*DE130*VLOOKUP('Données projet'!$B$13,Paramètres!$A$1:$I$89,3,0)*0.475*44/12</f>
        <v>7.3643463976574703E-14</v>
      </c>
      <c r="DI130" s="22">
        <f t="shared" si="69"/>
        <v>2.3855427914399541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1.1368683772161603E-13</v>
      </c>
      <c r="DP130" s="17">
        <f>DO130*VLOOKUP('Données projet'!$B$14,Paramètres!$A$1:$I$89,3,0)*VLOOKUP('Données projet'!$B$14,Paramètres!$A$1:$I$89,5,0)</f>
        <v>6.5028871176764376E-14</v>
      </c>
      <c r="DQ130" s="13">
        <f t="shared" si="97"/>
        <v>1.0270999702906072E-12</v>
      </c>
      <c r="DR130" s="20">
        <f t="shared" si="70"/>
        <v>1.9021243988890057E-12</v>
      </c>
      <c r="DS130" s="59">
        <f t="shared" si="71"/>
        <v>293.33333333333519</v>
      </c>
      <c r="DT130" s="59">
        <f ca="1">AVERAGE(OFFSET($DS$3,0,0,'Données projet'!$E$14+1,1))-AVERAGE(OFFSET($H$3,0,0,'Données projet'!$E$14+1,1))</f>
        <v>227.99747790451215</v>
      </c>
      <c r="DU130" s="59">
        <f t="shared" si="98"/>
        <v>209.49597700966933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0.42008101461808905</v>
      </c>
      <c r="EB130" s="21">
        <f>EXP(-LN(2)/25)*EB129+(1-EXP(-LN(2)/25))/(LN(2)/25)*Calculateur!DW130*Calculateur!DY130*VLOOKUP('Données projet'!$B$14,Paramètres!$A$1:$I$89,3,0)*0.475*44/12</f>
        <v>1.0307747601420802</v>
      </c>
      <c r="EC130" s="21">
        <f>EXP(-LN(2)/2)*EC129+(1-EXP(-LN(2)/2))/(LN(2)/2)*DW130*DZ130*VLOOKUP('Données projet'!$B$14,Paramètres!$A$1:$I$89,3,0)*0.475*44/12</f>
        <v>6.195665661549209E-14</v>
      </c>
      <c r="ED130" s="22">
        <f t="shared" si="72"/>
        <v>1.4508557747602313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3.4106051316484809E-13</v>
      </c>
      <c r="EK130" s="17">
        <f>EJ130*VLOOKUP('Données projet'!$B$15,Paramètres!$A$1:$I$89,3,0)*VLOOKUP('Données projet'!$B$15,Paramètres!$A$1:$I$89,5,0)</f>
        <v>1.5074874681886286E-13</v>
      </c>
      <c r="EL130" s="13">
        <f t="shared" si="99"/>
        <v>2.1590218794584103E-12</v>
      </c>
      <c r="EM130" s="20">
        <f t="shared" si="73"/>
        <v>4.0228505074329168E-12</v>
      </c>
      <c r="EN130" s="59">
        <f t="shared" si="74"/>
        <v>293.33333333333735</v>
      </c>
      <c r="EO130" s="59">
        <f ca="1">AVERAGE(OFFSET($EN$3,0,0,'Données projet'!$E$15+1,1))-AVERAGE(OFFSET($H$3,0,0,'Données projet'!$E$15+1,1))</f>
        <v>335.27356627949155</v>
      </c>
      <c r="EP130" s="59">
        <f t="shared" si="100"/>
        <v>322.66829503077247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1.8992467254810417</v>
      </c>
      <c r="EX130" s="21">
        <f>EXP(-LN(2)/2)*EX129+(1-EXP(-LN(2)/2))/(LN(2)/2)*ER130*EU130*VLOOKUP('Données projet'!$B$15,Paramètres!$A$1:$I$89,3,0)*0.475*44/12</f>
        <v>8.8887691727965204E-14</v>
      </c>
      <c r="EY130" s="22">
        <f t="shared" si="75"/>
        <v>1.8992467254811305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-5.6843418860808015E-13</v>
      </c>
      <c r="O131" s="13">
        <f>N131*VLOOKUP('Données projet'!$B$9,Paramètres!$A$1:$I$89,3,0)*VLOOKUP('Données projet'!$B$9,Paramètres!$A$1:$I$89,5,0)</f>
        <v>-5.1431925385259092E-13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319.18811755575183</v>
      </c>
      <c r="T131" s="59">
        <f t="shared" si="88"/>
        <v>234.87694492493506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0.34583759073097442</v>
      </c>
      <c r="AA131" s="21">
        <f>EXP(-LN(2)/25)*AA130+(1-EXP(-LN(2)/25))/(LN(2)/25)*Calculateur!V131*Calculateur!X131*VLOOKUP('Données projet'!$B$9,Paramètres!$A$1:$I$89,3,0)*0.475*44/12</f>
        <v>0.74538391235729451</v>
      </c>
      <c r="AB131" s="21">
        <f>EXP(-LN(2)/2)*AB130+(1-EXP(-LN(2)/2))/(LN(2)/2)*V131*Y131*VLOOKUP('Données projet'!$B$9,Paramètres!$A$1:$I$89,3,0)*0.475*44/12</f>
        <v>3.8286417190581337E-14</v>
      </c>
      <c r="AC131" s="22">
        <f t="shared" si="57"/>
        <v>1.091221503088307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-1.8089849618263545E-13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314.94704727988847</v>
      </c>
      <c r="AO131" s="59">
        <f t="shared" si="90"/>
        <v>366.49199094166454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0.56222875365626968</v>
      </c>
      <c r="AV131" s="21">
        <f>EXP(-LN(2)/25)*AV130+(1-EXP(-LN(2)/25))/(LN(2)/25)*Calculateur!AQ131*Calculateur!AS131*VLOOKUP('Données projet'!$B$10,Paramètres!$A$1:$I$89,3,0)*0.475*44/12</f>
        <v>1.6784715080656838</v>
      </c>
      <c r="AW131" s="21">
        <f>EXP(-LN(2)/2)*AW130+(1-EXP(-LN(2)/2))/(LN(2)/2)*AQ131*AT131*VLOOKUP('Données projet'!$B$10,Paramètres!$A$1:$I$89,3,0)*0.475*44/12</f>
        <v>5.1282065848488267E-14</v>
      </c>
      <c r="AX131" s="21">
        <f t="shared" si="60"/>
        <v>2.2407002617220044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-1.4897523215040565E-13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246.64951465060813</v>
      </c>
      <c r="BJ131" s="59">
        <f t="shared" si="92"/>
        <v>292.64550285216865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0.37565117613881727</v>
      </c>
      <c r="BQ131" s="21">
        <f>EXP(-LN(2)/25)*BQ130+(1-EXP(-LN(2)/25))/(LN(2)/25)*Calculateur!BL131*Calculateur!BN131*VLOOKUP('Données projet'!$B$11,Paramètres!$A$1:$I$89,3,0)*0.475*44/12</f>
        <v>1.1214648699839533</v>
      </c>
      <c r="BR131" s="21">
        <f>EXP(-LN(2)/2)*BR130+(1-EXP(-LN(2)/2))/(LN(2)/2)*BL131*BO131*VLOOKUP('Données projet'!$B$11,Paramètres!$A$1:$I$89,3,0)*0.475*44/12</f>
        <v>4.2232289522284457E-14</v>
      </c>
      <c r="BS131" s="22">
        <f t="shared" si="63"/>
        <v>1.4971160461228128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-1.5252226148732008E-13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254.25222107710192</v>
      </c>
      <c r="CE131" s="59">
        <f t="shared" si="94"/>
        <v>300.86609173447573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0.47403600798469775</v>
      </c>
      <c r="CL131" s="21">
        <f>EXP(-LN(2)/25)*CL130+(1-EXP(-LN(2)/25))/(LN(2)/25)*Calculateur!CG131*Calculateur!CI131*VLOOKUP('Données projet'!$B$12,Paramètres!$A$1:$I$89,3,0)*0.475*44/12</f>
        <v>1.4151818597416548</v>
      </c>
      <c r="CM131" s="21">
        <f>EXP(-LN(2)/2)*CM130+(1-EXP(-LN(2)/2))/(LN(2)/2)*CG131*CJ131*VLOOKUP('Données projet'!$B$12,Paramètres!$A$1:$I$89,3,0)*0.475*44/12</f>
        <v>4.3237820225196017E-14</v>
      </c>
      <c r="CN131" s="22">
        <f t="shared" si="66"/>
        <v>1.8892178677263958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243.38048563215585</v>
      </c>
      <c r="CZ131" s="59">
        <f t="shared" si="96"/>
        <v>372.1604147006675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1.049438206356061</v>
      </c>
      <c r="DG131" s="21">
        <f>EXP(-LN(2)/25)*DG130+(1-EXP(-LN(2)/25))/(LN(2)/25)*Calculateur!DB131*Calculateur!DD131*VLOOKUP('Données projet'!$B$13,Paramètres!$A$1:$I$89,3,0)*0.475*44/12</f>
        <v>1.2791522668710738</v>
      </c>
      <c r="DH131" s="21">
        <f>EXP(-LN(2)/2)*DH130+(1-EXP(-LN(2)/2))/(LN(2)/2)*DB131*DE131*VLOOKUP('Données projet'!$B$13,Paramètres!$A$1:$I$89,3,0)*0.475*44/12</f>
        <v>5.2073792767903204E-14</v>
      </c>
      <c r="DI131" s="22">
        <f t="shared" si="69"/>
        <v>2.3285904732271869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1.1368683772161603E-13</v>
      </c>
      <c r="DP131" s="17">
        <f>DO131*VLOOKUP('Données projet'!$B$14,Paramètres!$A$1:$I$89,3,0)*VLOOKUP('Données projet'!$B$14,Paramètres!$A$1:$I$89,5,0)</f>
        <v>6.5028871176764376E-14</v>
      </c>
      <c r="DQ131" s="13">
        <f t="shared" si="97"/>
        <v>1.0270999702906072E-12</v>
      </c>
      <c r="DR131" s="20">
        <f t="shared" si="70"/>
        <v>1.9021243988890057E-12</v>
      </c>
      <c r="DS131" s="59">
        <f t="shared" si="71"/>
        <v>293.33333333333519</v>
      </c>
      <c r="DT131" s="59">
        <f ca="1">AVERAGE(OFFSET($DS$3,0,0,'Données projet'!$E$14+1,1))-AVERAGE(OFFSET($H$3,0,0,'Données projet'!$E$14+1,1))</f>
        <v>227.99747790451215</v>
      </c>
      <c r="DU131" s="59">
        <f t="shared" si="98"/>
        <v>209.49597700966933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0.41184348214554722</v>
      </c>
      <c r="EB131" s="21">
        <f>EXP(-LN(2)/25)*EB130+(1-EXP(-LN(2)/25))/(LN(2)/25)*Calculateur!DW131*Calculateur!DY131*VLOOKUP('Données projet'!$B$14,Paramètres!$A$1:$I$89,3,0)*0.475*44/12</f>
        <v>1.0025881701199062</v>
      </c>
      <c r="EC131" s="21">
        <f>EXP(-LN(2)/2)*EC130+(1-EXP(-LN(2)/2))/(LN(2)/2)*DW131*DZ131*VLOOKUP('Données projet'!$B$14,Paramètres!$A$1:$I$89,3,0)*0.475*44/12</f>
        <v>4.3809972032460828E-14</v>
      </c>
      <c r="ED131" s="22">
        <f t="shared" si="72"/>
        <v>1.4144316522654972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3.4106051316484809E-13</v>
      </c>
      <c r="EK131" s="17">
        <f>EJ131*VLOOKUP('Données projet'!$B$15,Paramètres!$A$1:$I$89,3,0)*VLOOKUP('Données projet'!$B$15,Paramètres!$A$1:$I$89,5,0)</f>
        <v>1.5074874681886286E-13</v>
      </c>
      <c r="EL131" s="13">
        <f t="shared" si="99"/>
        <v>2.1590218794584103E-12</v>
      </c>
      <c r="EM131" s="20">
        <f t="shared" si="73"/>
        <v>4.0228505074329168E-12</v>
      </c>
      <c r="EN131" s="59">
        <f t="shared" si="74"/>
        <v>293.33333333333735</v>
      </c>
      <c r="EO131" s="59">
        <f ca="1">AVERAGE(OFFSET($EN$3,0,0,'Données projet'!$E$15+1,1))-AVERAGE(OFFSET($H$3,0,0,'Données projet'!$E$15+1,1))</f>
        <v>335.27356627949155</v>
      </c>
      <c r="EP131" s="59">
        <f t="shared" si="100"/>
        <v>322.66829503077247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1.8473117238957182</v>
      </c>
      <c r="EX131" s="21">
        <f>EXP(-LN(2)/2)*EX130+(1-EXP(-LN(2)/2))/(LN(2)/2)*ER131*EU131*VLOOKUP('Données projet'!$B$15,Paramètres!$A$1:$I$89,3,0)*0.475*44/12</f>
        <v>6.2853089584863581E-14</v>
      </c>
      <c r="EY131" s="22">
        <f t="shared" si="75"/>
        <v>1.847311723895781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-5.6843418860808015E-13</v>
      </c>
      <c r="O132" s="13">
        <f>N132*VLOOKUP('Données projet'!$B$9,Paramètres!$A$1:$I$89,3,0)*VLOOKUP('Données projet'!$B$9,Paramètres!$A$1:$I$89,5,0)</f>
        <v>-5.1431925385259092E-13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319.18811755575183</v>
      </c>
      <c r="T132" s="59">
        <f t="shared" si="88"/>
        <v>234.87694492493506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0.33905592651684174</v>
      </c>
      <c r="AA132" s="21">
        <f>EXP(-LN(2)/25)*AA131+(1-EXP(-LN(2)/25))/(LN(2)/25)*Calculateur!V132*Calculateur!X132*VLOOKUP('Données projet'!$B$9,Paramètres!$A$1:$I$89,3,0)*0.475*44/12</f>
        <v>0.72500135007584798</v>
      </c>
      <c r="AB132" s="21">
        <f>EXP(-LN(2)/2)*AB131+(1-EXP(-LN(2)/2))/(LN(2)/2)*V132*Y132*VLOOKUP('Données projet'!$B$9,Paramètres!$A$1:$I$89,3,0)*0.475*44/12</f>
        <v>2.7072585222797269E-14</v>
      </c>
      <c r="AC132" s="22">
        <f t="shared" ref="AC132:AC153" si="111">SUM(Z132:AB132)</f>
        <v>1.0640572765927168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-1.8089849618263545E-13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314.94704727988847</v>
      </c>
      <c r="AO132" s="59">
        <f t="shared" si="90"/>
        <v>366.49199094166454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0.55120379072274883</v>
      </c>
      <c r="AV132" s="21">
        <f>EXP(-LN(2)/25)*AV131+(1-EXP(-LN(2)/25))/(LN(2)/25)*Calculateur!AQ132*Calculateur!AS132*VLOOKUP('Données projet'!$B$10,Paramètres!$A$1:$I$89,3,0)*0.475*44/12</f>
        <v>1.6325736164106472</v>
      </c>
      <c r="AW132" s="21">
        <f>EXP(-LN(2)/2)*AW131+(1-EXP(-LN(2)/2))/(LN(2)/2)*AQ132*AT132*VLOOKUP('Données projet'!$B$10,Paramètres!$A$1:$I$89,3,0)*0.475*44/12</f>
        <v>3.6261896514721114E-14</v>
      </c>
      <c r="AX132" s="21">
        <f t="shared" ref="AX132:AX153" si="114">SUM(AU132:AW132)</f>
        <v>2.1837774071334324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-1.4897523215040565E-13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246.64951465060813</v>
      </c>
      <c r="BJ132" s="59">
        <f t="shared" si="92"/>
        <v>292.64550285216865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0.36828488569932832</v>
      </c>
      <c r="BQ132" s="21">
        <f>EXP(-LN(2)/25)*BQ131+(1-EXP(-LN(2)/25))/(LN(2)/25)*Calculateur!BL132*Calculateur!BN132*VLOOKUP('Données projet'!$B$11,Paramètres!$A$1:$I$89,3,0)*0.475*44/12</f>
        <v>1.0907983541389679</v>
      </c>
      <c r="BR132" s="21">
        <f>EXP(-LN(2)/2)*BR131+(1-EXP(-LN(2)/2))/(LN(2)/2)*BL132*BO132*VLOOKUP('Données projet'!$B$11,Paramètres!$A$1:$I$89,3,0)*0.475*44/12</f>
        <v>2.9862738306240919E-14</v>
      </c>
      <c r="BS132" s="22">
        <f t="shared" ref="BS132:BS153" si="117">SUM(BP132:BR132)</f>
        <v>1.459083239838326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-1.5252226148732008E-13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254.25222107710192</v>
      </c>
      <c r="CE132" s="59">
        <f t="shared" si="94"/>
        <v>300.86609173447573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0.46474045100153316</v>
      </c>
      <c r="CL132" s="21">
        <f>EXP(-LN(2)/25)*CL131+(1-EXP(-LN(2)/25))/(LN(2)/25)*Calculateur!CG132*Calculateur!CI132*VLOOKUP('Données projet'!$B$12,Paramètres!$A$1:$I$89,3,0)*0.475*44/12</f>
        <v>1.3764836373658396</v>
      </c>
      <c r="CM132" s="21">
        <f>EXP(-LN(2)/2)*CM131+(1-EXP(-LN(2)/2))/(LN(2)/2)*CG132*CJ132*VLOOKUP('Données projet'!$B$12,Paramètres!$A$1:$I$89,3,0)*0.475*44/12</f>
        <v>3.0573755884960958E-14</v>
      </c>
      <c r="CN132" s="22">
        <f t="shared" ref="CN132:CN153" si="120">SUM(CK132:CM132)</f>
        <v>1.8412240883674034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243.38048563215585</v>
      </c>
      <c r="CZ132" s="59">
        <f t="shared" si="96"/>
        <v>372.1604147006675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1.0288593632235206</v>
      </c>
      <c r="DG132" s="21">
        <f>EXP(-LN(2)/25)*DG131+(1-EXP(-LN(2)/25))/(LN(2)/25)*Calculateur!DB132*Calculateur!DD132*VLOOKUP('Données projet'!$B$13,Paramètres!$A$1:$I$89,3,0)*0.475*44/12</f>
        <v>1.24417378086579</v>
      </c>
      <c r="DH132" s="21">
        <f>EXP(-LN(2)/2)*DH131+(1-EXP(-LN(2)/2))/(LN(2)/2)*DB132*DE132*VLOOKUP('Données projet'!$B$13,Paramètres!$A$1:$I$89,3,0)*0.475*44/12</f>
        <v>3.6821731988287352E-14</v>
      </c>
      <c r="DI132" s="22">
        <f t="shared" ref="DI132:DI153" si="123">SUM(DF132:DH132)</f>
        <v>2.2730331440893474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1.1368683772161603E-13</v>
      </c>
      <c r="DP132" s="17">
        <f>DO132*VLOOKUP('Données projet'!$B$14,Paramètres!$A$1:$I$89,3,0)*VLOOKUP('Données projet'!$B$14,Paramètres!$A$1:$I$89,5,0)</f>
        <v>6.5028871176764376E-14</v>
      </c>
      <c r="DQ132" s="13">
        <f t="shared" si="97"/>
        <v>1.0270999702906072E-12</v>
      </c>
      <c r="DR132" s="20">
        <f t="shared" ref="DR132:DR153" si="124">(DP132+DQ132)*0.475*44/12</f>
        <v>1.9021243988890057E-12</v>
      </c>
      <c r="DS132" s="59">
        <f t="shared" ref="DS132:DS195" si="125">DR132+(DJ132+DK132)*44/12</f>
        <v>293.33333333333519</v>
      </c>
      <c r="DT132" s="59">
        <f ca="1">AVERAGE(OFFSET($DS$3,0,0,'Données projet'!$E$14+1,1))-AVERAGE(OFFSET($H$3,0,0,'Données projet'!$E$14+1,1))</f>
        <v>227.99747790451215</v>
      </c>
      <c r="DU132" s="59">
        <f t="shared" si="98"/>
        <v>209.49597700966933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0.40376748266039325</v>
      </c>
      <c r="EB132" s="21">
        <f>EXP(-LN(2)/25)*EB131+(1-EXP(-LN(2)/25))/(LN(2)/25)*Calculateur!DW132*Calculateur!DY132*VLOOKUP('Données projet'!$B$14,Paramètres!$A$1:$I$89,3,0)*0.475*44/12</f>
        <v>0.97517234388415697</v>
      </c>
      <c r="EC132" s="21">
        <f>EXP(-LN(2)/2)*EC131+(1-EXP(-LN(2)/2))/(LN(2)/2)*DW132*DZ132*VLOOKUP('Données projet'!$B$14,Paramètres!$A$1:$I$89,3,0)*0.475*44/12</f>
        <v>3.0978328307746045E-14</v>
      </c>
      <c r="ED132" s="22">
        <f t="shared" ref="ED132:ED153" si="126">SUM(EA132:EC132)</f>
        <v>1.3789398265445814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3.4106051316484809E-13</v>
      </c>
      <c r="EK132" s="17">
        <f>EJ132*VLOOKUP('Données projet'!$B$15,Paramètres!$A$1:$I$89,3,0)*VLOOKUP('Données projet'!$B$15,Paramètres!$A$1:$I$89,5,0)</f>
        <v>1.5074874681886286E-13</v>
      </c>
      <c r="EL132" s="13">
        <f t="shared" si="99"/>
        <v>2.1590218794584103E-12</v>
      </c>
      <c r="EM132" s="20">
        <f t="shared" ref="EM132:EM153" si="127">(EK132+EL132)*0.475*44/12</f>
        <v>4.0228505074329168E-12</v>
      </c>
      <c r="EN132" s="59">
        <f t="shared" ref="EN132:EN195" si="128">EM132+(EE132+EF132)*44/12</f>
        <v>293.33333333333735</v>
      </c>
      <c r="EO132" s="59">
        <f ca="1">AVERAGE(OFFSET($EN$3,0,0,'Données projet'!$E$15+1,1))-AVERAGE(OFFSET($H$3,0,0,'Données projet'!$E$15+1,1))</f>
        <v>335.27356627949155</v>
      </c>
      <c r="EP132" s="59">
        <f t="shared" si="100"/>
        <v>322.66829503077247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1.7967968876598883</v>
      </c>
      <c r="EX132" s="21">
        <f>EXP(-LN(2)/2)*EX131+(1-EXP(-LN(2)/2))/(LN(2)/2)*ER132*EU132*VLOOKUP('Données projet'!$B$15,Paramètres!$A$1:$I$89,3,0)*0.475*44/12</f>
        <v>4.4443845863982602E-14</v>
      </c>
      <c r="EY132" s="22">
        <f t="shared" ref="EY132:EY153" si="129">SUM(EV132:EX132)</f>
        <v>1.7967968876599327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-5.6843418860808015E-13</v>
      </c>
      <c r="O133" s="13">
        <f>N133*VLOOKUP('Données projet'!$B$9,Paramètres!$A$1:$I$89,3,0)*VLOOKUP('Données projet'!$B$9,Paramètres!$A$1:$I$89,5,0)</f>
        <v>-5.1431925385259092E-13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319.18811755575183</v>
      </c>
      <c r="T133" s="59">
        <f t="shared" ref="T133:T196" si="142">$T$3</f>
        <v>234.87694492493506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0.33240724660154147</v>
      </c>
      <c r="AA133" s="21">
        <f>EXP(-LN(2)/25)*AA132+(1-EXP(-LN(2)/25))/(LN(2)/25)*Calculateur!V133*Calculateur!X133*VLOOKUP('Données projet'!$B$9,Paramètres!$A$1:$I$89,3,0)*0.475*44/12</f>
        <v>0.70517615003185996</v>
      </c>
      <c r="AB133" s="21">
        <f>EXP(-LN(2)/2)*AB132+(1-EXP(-LN(2)/2))/(LN(2)/2)*V133*Y133*VLOOKUP('Données projet'!$B$9,Paramètres!$A$1:$I$89,3,0)*0.475*44/12</f>
        <v>1.9143208595290668E-14</v>
      </c>
      <c r="AC133" s="22">
        <f t="shared" si="111"/>
        <v>1.0375833966334205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-1.8089849618263545E-13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314.94704727988847</v>
      </c>
      <c r="AO133" s="59">
        <f t="shared" ref="AO133:AO196" si="144">$AO$3</f>
        <v>366.49199094166454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0.54039502058779099</v>
      </c>
      <c r="AV133" s="21">
        <f>EXP(-LN(2)/25)*AV132+(1-EXP(-LN(2)/25))/(LN(2)/25)*Calculateur!AQ133*Calculateur!AS133*VLOOKUP('Données projet'!$B$10,Paramètres!$A$1:$I$89,3,0)*0.475*44/12</f>
        <v>1.587930805016583</v>
      </c>
      <c r="AW133" s="21">
        <f>EXP(-LN(2)/2)*AW132+(1-EXP(-LN(2)/2))/(LN(2)/2)*AQ133*AT133*VLOOKUP('Données projet'!$B$10,Paramètres!$A$1:$I$89,3,0)*0.475*44/12</f>
        <v>2.5641032924244134E-14</v>
      </c>
      <c r="AX133" s="21">
        <f t="shared" si="114"/>
        <v>2.1283258256043998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-1.4897523215040565E-13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246.64951465060813</v>
      </c>
      <c r="BJ133" s="59">
        <f t="shared" ref="BJ133:BJ196" si="146">$BJ$3</f>
        <v>292.64550285216865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0.36106304372236425</v>
      </c>
      <c r="BQ133" s="21">
        <f>EXP(-LN(2)/25)*BQ132+(1-EXP(-LN(2)/25))/(LN(2)/25)*Calculateur!BL133*Calculateur!BN133*VLOOKUP('Données projet'!$B$11,Paramètres!$A$1:$I$89,3,0)*0.475*44/12</f>
        <v>1.0609704157824453</v>
      </c>
      <c r="BR133" s="21">
        <f>EXP(-LN(2)/2)*BR132+(1-EXP(-LN(2)/2))/(LN(2)/2)*BL133*BO133*VLOOKUP('Données projet'!$B$11,Paramètres!$A$1:$I$89,3,0)*0.475*44/12</f>
        <v>2.1116144761142229E-14</v>
      </c>
      <c r="BS133" s="22">
        <f t="shared" si="117"/>
        <v>1.4220334595048307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-1.5252226148732008E-13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254.25222107710192</v>
      </c>
      <c r="CE133" s="59">
        <f t="shared" ref="CE133:CE196" si="148">$CE$3</f>
        <v>300.86609173447573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0.45562717422107851</v>
      </c>
      <c r="CL133" s="21">
        <f>EXP(-LN(2)/25)*CL132+(1-EXP(-LN(2)/25))/(LN(2)/25)*Calculateur!CG133*Calculateur!CI133*VLOOKUP('Données projet'!$B$12,Paramètres!$A$1:$I$89,3,0)*0.475*44/12</f>
        <v>1.3388436199159421</v>
      </c>
      <c r="CM133" s="21">
        <f>EXP(-LN(2)/2)*CM132+(1-EXP(-LN(2)/2))/(LN(2)/2)*CG133*CJ133*VLOOKUP('Données projet'!$B$12,Paramètres!$A$1:$I$89,3,0)*0.475*44/12</f>
        <v>2.1618910112598009E-14</v>
      </c>
      <c r="CN133" s="22">
        <f t="shared" si="120"/>
        <v>1.7944707941370421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243.38048563215585</v>
      </c>
      <c r="CZ133" s="59">
        <f t="shared" ref="CZ133:CZ196" si="150">$CZ$3</f>
        <v>372.1604147006675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1.0086840586529542</v>
      </c>
      <c r="DG133" s="21">
        <f>EXP(-LN(2)/25)*DG132+(1-EXP(-LN(2)/25))/(LN(2)/25)*Calculateur!DB133*Calculateur!DD133*VLOOKUP('Données projet'!$B$13,Paramètres!$A$1:$I$89,3,0)*0.475*44/12</f>
        <v>1.2101517833997595</v>
      </c>
      <c r="DH133" s="21">
        <f>EXP(-LN(2)/2)*DH132+(1-EXP(-LN(2)/2))/(LN(2)/2)*DB133*DE133*VLOOKUP('Données projet'!$B$13,Paramètres!$A$1:$I$89,3,0)*0.475*44/12</f>
        <v>2.6036896383951602E-14</v>
      </c>
      <c r="DI133" s="22">
        <f t="shared" si="123"/>
        <v>2.2188358420527399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1.1368683772161603E-13</v>
      </c>
      <c r="DP133" s="17">
        <f>DO133*VLOOKUP('Données projet'!$B$14,Paramètres!$A$1:$I$89,3,0)*VLOOKUP('Données projet'!$B$14,Paramètres!$A$1:$I$89,5,0)</f>
        <v>6.5028871176764376E-14</v>
      </c>
      <c r="DQ133" s="13">
        <f t="shared" ref="DQ133:DQ153" si="151">EXP(-1.0587+0.8836*LN(DP133)+0.284)</f>
        <v>1.0270999702906072E-12</v>
      </c>
      <c r="DR133" s="20">
        <f t="shared" si="124"/>
        <v>1.9021243988890057E-12</v>
      </c>
      <c r="DS133" s="59">
        <f t="shared" si="125"/>
        <v>293.33333333333519</v>
      </c>
      <c r="DT133" s="59">
        <f ca="1">AVERAGE(OFFSET($DS$3,0,0,'Données projet'!$E$14+1,1))-AVERAGE(OFFSET($H$3,0,0,'Données projet'!$E$14+1,1))</f>
        <v>227.99747790451215</v>
      </c>
      <c r="DU133" s="59">
        <f t="shared" ref="DU133:DU196" si="152">$DU$3</f>
        <v>209.49597700966933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0.39584984859926986</v>
      </c>
      <c r="EB133" s="21">
        <f>EXP(-LN(2)/25)*EB132+(1-EXP(-LN(2)/25))/(LN(2)/25)*Calculateur!DW133*Calculateur!DY133*VLOOKUP('Données projet'!$B$14,Paramètres!$A$1:$I$89,3,0)*0.475*44/12</f>
        <v>0.94850620485855996</v>
      </c>
      <c r="EC133" s="21">
        <f>EXP(-LN(2)/2)*EC132+(1-EXP(-LN(2)/2))/(LN(2)/2)*DW133*DZ133*VLOOKUP('Données projet'!$B$14,Paramètres!$A$1:$I$89,3,0)*0.475*44/12</f>
        <v>2.1904986016230414E-14</v>
      </c>
      <c r="ED133" s="22">
        <f t="shared" si="126"/>
        <v>1.3443560534578518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3.4106051316484809E-13</v>
      </c>
      <c r="EK133" s="17">
        <f>EJ133*VLOOKUP('Données projet'!$B$15,Paramètres!$A$1:$I$89,3,0)*VLOOKUP('Données projet'!$B$15,Paramètres!$A$1:$I$89,5,0)</f>
        <v>1.5074874681886286E-13</v>
      </c>
      <c r="EL133" s="13">
        <f t="shared" ref="EL133:EL153" si="153">EXP(-1.0587+0.8836*LN(EK133)+0.284)</f>
        <v>2.1590218794584103E-12</v>
      </c>
      <c r="EM133" s="20">
        <f t="shared" si="127"/>
        <v>4.0228505074329168E-12</v>
      </c>
      <c r="EN133" s="59">
        <f t="shared" si="128"/>
        <v>293.33333333333735</v>
      </c>
      <c r="EO133" s="59">
        <f ca="1">AVERAGE(OFFSET($EN$3,0,0,'Données projet'!$E$15+1,1))-AVERAGE(OFFSET($H$3,0,0,'Données projet'!$E$15+1,1))</f>
        <v>335.27356627949155</v>
      </c>
      <c r="EP133" s="59">
        <f t="shared" ref="EP133:EP196" si="154">$EP$3</f>
        <v>322.66829503077247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1.747663382277387</v>
      </c>
      <c r="EX133" s="21">
        <f>EXP(-LN(2)/2)*EX132+(1-EXP(-LN(2)/2))/(LN(2)/2)*ER133*EU133*VLOOKUP('Données projet'!$B$15,Paramètres!$A$1:$I$89,3,0)*0.475*44/12</f>
        <v>3.142654479243179E-14</v>
      </c>
      <c r="EY133" s="22">
        <f t="shared" si="129"/>
        <v>1.7476633822774186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-5.6843418860808015E-13</v>
      </c>
      <c r="O134" s="13">
        <f>N134*VLOOKUP('Données projet'!$B$9,Paramètres!$A$1:$I$89,3,0)*VLOOKUP('Données projet'!$B$9,Paramètres!$A$1:$I$89,5,0)</f>
        <v>-5.1431925385259092E-13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319.18811755575183</v>
      </c>
      <c r="T134" s="59">
        <f t="shared" si="142"/>
        <v>234.87694492493506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0.3258889432440859</v>
      </c>
      <c r="AA134" s="21">
        <f>EXP(-LN(2)/25)*AA133+(1-EXP(-LN(2)/25))/(LN(2)/25)*Calculateur!V134*Calculateur!X134*VLOOKUP('Données projet'!$B$9,Paramètres!$A$1:$I$89,3,0)*0.475*44/12</f>
        <v>0.68589307112563669</v>
      </c>
      <c r="AB134" s="21">
        <f>EXP(-LN(2)/2)*AB133+(1-EXP(-LN(2)/2))/(LN(2)/2)*V134*Y134*VLOOKUP('Données projet'!$B$9,Paramètres!$A$1:$I$89,3,0)*0.475*44/12</f>
        <v>1.3536292611398635E-14</v>
      </c>
      <c r="AC134" s="22">
        <f t="shared" si="111"/>
        <v>1.011782014369736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-1.8089849618263545E-13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314.94704727988847</v>
      </c>
      <c r="AO134" s="59">
        <f t="shared" si="144"/>
        <v>366.49199094166454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0.52979820384248089</v>
      </c>
      <c r="AV134" s="21">
        <f>EXP(-LN(2)/25)*AV133+(1-EXP(-LN(2)/25))/(LN(2)/25)*Calculateur!AQ134*Calculateur!AS134*VLOOKUP('Données projet'!$B$10,Paramètres!$A$1:$I$89,3,0)*0.475*44/12</f>
        <v>1.5445087536477529</v>
      </c>
      <c r="AW134" s="21">
        <f>EXP(-LN(2)/2)*AW133+(1-EXP(-LN(2)/2))/(LN(2)/2)*AQ134*AT134*VLOOKUP('Données projet'!$B$10,Paramètres!$A$1:$I$89,3,0)*0.475*44/12</f>
        <v>1.8130948257360557E-14</v>
      </c>
      <c r="AX134" s="21">
        <f t="shared" si="114"/>
        <v>2.074306957490252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-1.4897523215040565E-13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246.64951465060813</v>
      </c>
      <c r="BJ134" s="59">
        <f t="shared" si="146"/>
        <v>292.64550285216865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0.35398281766167977</v>
      </c>
      <c r="BQ134" s="21">
        <f>EXP(-LN(2)/25)*BQ133+(1-EXP(-LN(2)/25))/(LN(2)/25)*Calculateur!BL134*Calculateur!BN134*VLOOKUP('Données projet'!$B$11,Paramètres!$A$1:$I$89,3,0)*0.475*44/12</f>
        <v>1.0319581239688651</v>
      </c>
      <c r="BR134" s="21">
        <f>EXP(-LN(2)/2)*BR133+(1-EXP(-LN(2)/2))/(LN(2)/2)*BL134*BO134*VLOOKUP('Données projet'!$B$11,Paramètres!$A$1:$I$89,3,0)*0.475*44/12</f>
        <v>1.493136915312046E-14</v>
      </c>
      <c r="BS134" s="22">
        <f t="shared" si="117"/>
        <v>1.3859409416305597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-1.5252226148732008E-13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254.25222107710192</v>
      </c>
      <c r="CE134" s="59">
        <f t="shared" si="148"/>
        <v>300.86609173447573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0.44669260323973858</v>
      </c>
      <c r="CL134" s="21">
        <f>EXP(-LN(2)/25)*CL133+(1-EXP(-LN(2)/25))/(LN(2)/25)*Calculateur!CG134*Calculateur!CI134*VLOOKUP('Données projet'!$B$12,Paramètres!$A$1:$I$89,3,0)*0.475*44/12</f>
        <v>1.3022328707226147</v>
      </c>
      <c r="CM134" s="21">
        <f>EXP(-LN(2)/2)*CM133+(1-EXP(-LN(2)/2))/(LN(2)/2)*CG134*CJ134*VLOOKUP('Données projet'!$B$12,Paramètres!$A$1:$I$89,3,0)*0.475*44/12</f>
        <v>1.5286877942480479E-14</v>
      </c>
      <c r="CN134" s="22">
        <f t="shared" si="120"/>
        <v>1.7489254739623685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243.38048563215585</v>
      </c>
      <c r="CZ134" s="59">
        <f t="shared" si="150"/>
        <v>372.1604147006675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0.98890437949929599</v>
      </c>
      <c r="DG134" s="21">
        <f>EXP(-LN(2)/25)*DG133+(1-EXP(-LN(2)/25))/(LN(2)/25)*Calculateur!DB134*Calculateur!DD134*VLOOKUP('Données projet'!$B$13,Paramètres!$A$1:$I$89,3,0)*0.475*44/12</f>
        <v>1.1770601192435766</v>
      </c>
      <c r="DH134" s="21">
        <f>EXP(-LN(2)/2)*DH133+(1-EXP(-LN(2)/2))/(LN(2)/2)*DB134*DE134*VLOOKUP('Données projet'!$B$13,Paramètres!$A$1:$I$89,3,0)*0.475*44/12</f>
        <v>1.8410865994143676E-14</v>
      </c>
      <c r="DI134" s="22">
        <f t="shared" si="123"/>
        <v>2.1659644987428908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1.1368683772161603E-13</v>
      </c>
      <c r="DP134" s="17">
        <f>DO134*VLOOKUP('Données projet'!$B$14,Paramètres!$A$1:$I$89,3,0)*VLOOKUP('Données projet'!$B$14,Paramètres!$A$1:$I$89,5,0)</f>
        <v>6.5028871176764376E-14</v>
      </c>
      <c r="DQ134" s="13">
        <f t="shared" si="151"/>
        <v>1.0270999702906072E-12</v>
      </c>
      <c r="DR134" s="20">
        <f t="shared" si="124"/>
        <v>1.9021243988890057E-12</v>
      </c>
      <c r="DS134" s="59">
        <f t="shared" si="125"/>
        <v>293.33333333333519</v>
      </c>
      <c r="DT134" s="59">
        <f ca="1">AVERAGE(OFFSET($DS$3,0,0,'Données projet'!$E$14+1,1))-AVERAGE(OFFSET($H$3,0,0,'Données projet'!$E$14+1,1))</f>
        <v>227.99747790451215</v>
      </c>
      <c r="DU134" s="59">
        <f t="shared" si="152"/>
        <v>209.49597700966933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0.38808747451280518</v>
      </c>
      <c r="EB134" s="21">
        <f>EXP(-LN(2)/25)*EB133+(1-EXP(-LN(2)/25))/(LN(2)/25)*Calculateur!DW134*Calculateur!DY134*VLOOKUP('Données projet'!$B$14,Paramètres!$A$1:$I$89,3,0)*0.475*44/12</f>
        <v>0.92256925280692914</v>
      </c>
      <c r="EC134" s="21">
        <f>EXP(-LN(2)/2)*EC133+(1-EXP(-LN(2)/2))/(LN(2)/2)*DW134*DZ134*VLOOKUP('Données projet'!$B$14,Paramètres!$A$1:$I$89,3,0)*0.475*44/12</f>
        <v>1.5489164153873023E-14</v>
      </c>
      <c r="ED134" s="22">
        <f t="shared" si="126"/>
        <v>1.3106567273197498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3.4106051316484809E-13</v>
      </c>
      <c r="EK134" s="17">
        <f>EJ134*VLOOKUP('Données projet'!$B$15,Paramètres!$A$1:$I$89,3,0)*VLOOKUP('Données projet'!$B$15,Paramètres!$A$1:$I$89,5,0)</f>
        <v>1.5074874681886286E-13</v>
      </c>
      <c r="EL134" s="13">
        <f t="shared" si="153"/>
        <v>2.1590218794584103E-12</v>
      </c>
      <c r="EM134" s="20">
        <f t="shared" si="127"/>
        <v>4.0228505074329168E-12</v>
      </c>
      <c r="EN134" s="59">
        <f t="shared" si="128"/>
        <v>293.33333333333735</v>
      </c>
      <c r="EO134" s="59">
        <f ca="1">AVERAGE(OFFSET($EN$3,0,0,'Données projet'!$E$15+1,1))-AVERAGE(OFFSET($H$3,0,0,'Données projet'!$E$15+1,1))</f>
        <v>335.27356627949155</v>
      </c>
      <c r="EP134" s="59">
        <f t="shared" si="154"/>
        <v>322.66829503077247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1.6998734351833891</v>
      </c>
      <c r="EX134" s="21">
        <f>EXP(-LN(2)/2)*EX133+(1-EXP(-LN(2)/2))/(LN(2)/2)*ER134*EU134*VLOOKUP('Données projet'!$B$15,Paramètres!$A$1:$I$89,3,0)*0.475*44/12</f>
        <v>2.2221922931991301E-14</v>
      </c>
      <c r="EY134" s="22">
        <f t="shared" si="129"/>
        <v>1.6998734351834113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-5.6843418860808015E-13</v>
      </c>
      <c r="O135" s="13">
        <f>N135*VLOOKUP('Données projet'!$B$9,Paramètres!$A$1:$I$89,3,0)*VLOOKUP('Données projet'!$B$9,Paramètres!$A$1:$I$89,5,0)</f>
        <v>-5.1431925385259092E-13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319.18811755575183</v>
      </c>
      <c r="T135" s="59">
        <f t="shared" si="142"/>
        <v>234.87694492493506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0.3194984598396976</v>
      </c>
      <c r="AA135" s="21">
        <f>EXP(-LN(2)/25)*AA134+(1-EXP(-LN(2)/25))/(LN(2)/25)*Calculateur!V135*Calculateur!X135*VLOOKUP('Données projet'!$B$9,Paramètres!$A$1:$I$89,3,0)*0.475*44/12</f>
        <v>0.66713728902615721</v>
      </c>
      <c r="AB135" s="21">
        <f>EXP(-LN(2)/2)*AB134+(1-EXP(-LN(2)/2))/(LN(2)/2)*V135*Y135*VLOOKUP('Données projet'!$B$9,Paramètres!$A$1:$I$89,3,0)*0.475*44/12</f>
        <v>9.5716042976453342E-15</v>
      </c>
      <c r="AC135" s="22">
        <f t="shared" si="111"/>
        <v>0.98663574886586436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-1.8089849618263545E-13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314.94704727988847</v>
      </c>
      <c r="AO135" s="59">
        <f t="shared" si="144"/>
        <v>366.49199094166454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0.51940918421012627</v>
      </c>
      <c r="AV135" s="21">
        <f>EXP(-LN(2)/25)*AV134+(1-EXP(-LN(2)/25))/(LN(2)/25)*Calculateur!AQ135*Calculateur!AS135*VLOOKUP('Données projet'!$B$10,Paramètres!$A$1:$I$89,3,0)*0.475*44/12</f>
        <v>1.5022740805570698</v>
      </c>
      <c r="AW135" s="21">
        <f>EXP(-LN(2)/2)*AW134+(1-EXP(-LN(2)/2))/(LN(2)/2)*AQ135*AT135*VLOOKUP('Données projet'!$B$10,Paramètres!$A$1:$I$89,3,0)*0.475*44/12</f>
        <v>1.2820516462122067E-14</v>
      </c>
      <c r="AX135" s="21">
        <f t="shared" si="114"/>
        <v>2.0216832647672089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-1.4897523215040565E-13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246.64951465060813</v>
      </c>
      <c r="BJ135" s="59">
        <f t="shared" si="146"/>
        <v>292.64550285216865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0.34704143051553382</v>
      </c>
      <c r="BQ135" s="21">
        <f>EXP(-LN(2)/25)*BQ134+(1-EXP(-LN(2)/25))/(LN(2)/25)*Calculateur!BL135*Calculateur!BN135*VLOOKUP('Données projet'!$B$11,Paramètres!$A$1:$I$89,3,0)*0.475*44/12</f>
        <v>1.0037391748006173</v>
      </c>
      <c r="BR135" s="21">
        <f>EXP(-LN(2)/2)*BR134+(1-EXP(-LN(2)/2))/(LN(2)/2)*BL135*BO135*VLOOKUP('Données projet'!$B$11,Paramètres!$A$1:$I$89,3,0)*0.475*44/12</f>
        <v>1.0558072380571114E-14</v>
      </c>
      <c r="BS135" s="22">
        <f t="shared" si="117"/>
        <v>1.3507806053161617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-1.5252226148732008E-13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254.25222107710192</v>
      </c>
      <c r="CE135" s="59">
        <f t="shared" si="148"/>
        <v>300.86609173447573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0.43793323374579252</v>
      </c>
      <c r="CL135" s="21">
        <f>EXP(-LN(2)/25)*CL134+(1-EXP(-LN(2)/25))/(LN(2)/25)*Calculateur!CG135*Calculateur!CI135*VLOOKUP('Données projet'!$B$12,Paramètres!$A$1:$I$89,3,0)*0.475*44/12</f>
        <v>1.2666232443912544</v>
      </c>
      <c r="CM135" s="21">
        <f>EXP(-LN(2)/2)*CM134+(1-EXP(-LN(2)/2))/(LN(2)/2)*CG135*CJ135*VLOOKUP('Données projet'!$B$12,Paramètres!$A$1:$I$89,3,0)*0.475*44/12</f>
        <v>1.0809455056299004E-14</v>
      </c>
      <c r="CN135" s="22">
        <f t="shared" si="120"/>
        <v>1.7045564781370579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243.38048563215585</v>
      </c>
      <c r="CZ135" s="59">
        <f t="shared" si="150"/>
        <v>372.1604147006675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0.96951256778942796</v>
      </c>
      <c r="DG135" s="21">
        <f>EXP(-LN(2)/25)*DG134+(1-EXP(-LN(2)/25))/(LN(2)/25)*Calculateur!DB135*Calculateur!DD135*VLOOKUP('Données projet'!$B$13,Paramètres!$A$1:$I$89,3,0)*0.475*44/12</f>
        <v>1.1448733483839595</v>
      </c>
      <c r="DH135" s="21">
        <f>EXP(-LN(2)/2)*DH134+(1-EXP(-LN(2)/2))/(LN(2)/2)*DB135*DE135*VLOOKUP('Données projet'!$B$13,Paramètres!$A$1:$I$89,3,0)*0.475*44/12</f>
        <v>1.3018448191975801E-14</v>
      </c>
      <c r="DI135" s="22">
        <f t="shared" si="123"/>
        <v>2.1143859161734002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1.1368683772161603E-13</v>
      </c>
      <c r="DP135" s="17">
        <f>DO135*VLOOKUP('Données projet'!$B$14,Paramètres!$A$1:$I$89,3,0)*VLOOKUP('Données projet'!$B$14,Paramètres!$A$1:$I$89,5,0)</f>
        <v>6.5028871176764376E-14</v>
      </c>
      <c r="DQ135" s="13">
        <f t="shared" si="151"/>
        <v>1.0270999702906072E-12</v>
      </c>
      <c r="DR135" s="20">
        <f t="shared" si="124"/>
        <v>1.9021243988890057E-12</v>
      </c>
      <c r="DS135" s="59">
        <f t="shared" si="125"/>
        <v>293.33333333333519</v>
      </c>
      <c r="DT135" s="59">
        <f ca="1">AVERAGE(OFFSET($DS$3,0,0,'Données projet'!$E$14+1,1))-AVERAGE(OFFSET($H$3,0,0,'Données projet'!$E$14+1,1))</f>
        <v>227.99747790451215</v>
      </c>
      <c r="DU135" s="59">
        <f t="shared" si="152"/>
        <v>209.49597700966933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0.38047731584759537</v>
      </c>
      <c r="EB135" s="21">
        <f>EXP(-LN(2)/25)*EB134+(1-EXP(-LN(2)/25))/(LN(2)/25)*Calculateur!DW135*Calculateur!DY135*VLOOKUP('Données projet'!$B$14,Paramètres!$A$1:$I$89,3,0)*0.475*44/12</f>
        <v>0.89734154807311517</v>
      </c>
      <c r="EC135" s="21">
        <f>EXP(-LN(2)/2)*EC134+(1-EXP(-LN(2)/2))/(LN(2)/2)*DW135*DZ135*VLOOKUP('Données projet'!$B$14,Paramètres!$A$1:$I$89,3,0)*0.475*44/12</f>
        <v>1.0952493008115207E-14</v>
      </c>
      <c r="ED135" s="22">
        <f t="shared" si="126"/>
        <v>1.2778188639207213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3.4106051316484809E-13</v>
      </c>
      <c r="EK135" s="17">
        <f>EJ135*VLOOKUP('Données projet'!$B$15,Paramètres!$A$1:$I$89,3,0)*VLOOKUP('Données projet'!$B$15,Paramètres!$A$1:$I$89,5,0)</f>
        <v>1.5074874681886286E-13</v>
      </c>
      <c r="EL135" s="13">
        <f t="shared" si="153"/>
        <v>2.1590218794584103E-12</v>
      </c>
      <c r="EM135" s="20">
        <f t="shared" si="127"/>
        <v>4.0228505074329168E-12</v>
      </c>
      <c r="EN135" s="59">
        <f t="shared" si="128"/>
        <v>293.33333333333735</v>
      </c>
      <c r="EO135" s="59">
        <f ca="1">AVERAGE(OFFSET($EN$3,0,0,'Données projet'!$E$15+1,1))-AVERAGE(OFFSET($H$3,0,0,'Données projet'!$E$15+1,1))</f>
        <v>335.27356627949155</v>
      </c>
      <c r="EP135" s="59">
        <f t="shared" si="154"/>
        <v>322.66829503077247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1.6533903067058404</v>
      </c>
      <c r="EX135" s="21">
        <f>EXP(-LN(2)/2)*EX134+(1-EXP(-LN(2)/2))/(LN(2)/2)*ER135*EU135*VLOOKUP('Données projet'!$B$15,Paramètres!$A$1:$I$89,3,0)*0.475*44/12</f>
        <v>1.5713272396215895E-14</v>
      </c>
      <c r="EY135" s="22">
        <f t="shared" si="129"/>
        <v>1.6533903067058562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-5.6843418860808015E-13</v>
      </c>
      <c r="O136" s="13">
        <f>N136*VLOOKUP('Données projet'!$B$9,Paramètres!$A$1:$I$89,3,0)*VLOOKUP('Données projet'!$B$9,Paramètres!$A$1:$I$89,5,0)</f>
        <v>-5.1431925385259092E-13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319.18811755575183</v>
      </c>
      <c r="T136" s="59">
        <f t="shared" si="142"/>
        <v>234.87694492493506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0.31323328991705934</v>
      </c>
      <c r="AA136" s="21">
        <f>EXP(-LN(2)/25)*AA135+(1-EXP(-LN(2)/25))/(LN(2)/25)*Calculateur!V136*Calculateur!X136*VLOOKUP('Données projet'!$B$9,Paramètres!$A$1:$I$89,3,0)*0.475*44/12</f>
        <v>0.64889438477451167</v>
      </c>
      <c r="AB136" s="21">
        <f>EXP(-LN(2)/2)*AB135+(1-EXP(-LN(2)/2))/(LN(2)/2)*V136*Y136*VLOOKUP('Données projet'!$B$9,Paramètres!$A$1:$I$89,3,0)*0.475*44/12</f>
        <v>6.7681463056993173E-15</v>
      </c>
      <c r="AC136" s="22">
        <f t="shared" si="111"/>
        <v>0.96212767469157778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-1.8089849618263545E-13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314.94704727988847</v>
      </c>
      <c r="AO136" s="59">
        <f t="shared" si="144"/>
        <v>366.49199094166454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0.50922388691608589</v>
      </c>
      <c r="AV136" s="21">
        <f>EXP(-LN(2)/25)*AV135+(1-EXP(-LN(2)/25))/(LN(2)/25)*Calculateur!AQ136*Calculateur!AS136*VLOOKUP('Données projet'!$B$10,Paramètres!$A$1:$I$89,3,0)*0.475*44/12</f>
        <v>1.4611943168230763</v>
      </c>
      <c r="AW136" s="21">
        <f>EXP(-LN(2)/2)*AW135+(1-EXP(-LN(2)/2))/(LN(2)/2)*AQ136*AT136*VLOOKUP('Données projet'!$B$10,Paramètres!$A$1:$I$89,3,0)*0.475*44/12</f>
        <v>9.0654741286802785E-15</v>
      </c>
      <c r="AX136" s="21">
        <f t="shared" si="114"/>
        <v>1.9704182037391713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-1.4897523215040565E-13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246.64951465060813</v>
      </c>
      <c r="BJ136" s="59">
        <f t="shared" si="146"/>
        <v>292.64550285216865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0.34023615973749571</v>
      </c>
      <c r="BQ136" s="21">
        <f>EXP(-LN(2)/25)*BQ135+(1-EXP(-LN(2)/25))/(LN(2)/25)*Calculateur!BL136*Calculateur!BN136*VLOOKUP('Données projet'!$B$11,Paramètres!$A$1:$I$89,3,0)*0.475*44/12</f>
        <v>0.97629187428134523</v>
      </c>
      <c r="BR136" s="21">
        <f>EXP(-LN(2)/2)*BR135+(1-EXP(-LN(2)/2))/(LN(2)/2)*BL136*BO136*VLOOKUP('Données projet'!$B$11,Paramètres!$A$1:$I$89,3,0)*0.475*44/12</f>
        <v>7.4656845765602298E-15</v>
      </c>
      <c r="BS136" s="22">
        <f t="shared" si="117"/>
        <v>1.3165280340188485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-1.5252226148732008E-13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254.25222107710192</v>
      </c>
      <c r="CE136" s="59">
        <f t="shared" si="148"/>
        <v>300.86609173447573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0.42934563014493488</v>
      </c>
      <c r="CL136" s="21">
        <f>EXP(-LN(2)/25)*CL135+(1-EXP(-LN(2)/25))/(LN(2)/25)*Calculateur!CG136*Calculateur!CI136*VLOOKUP('Données projet'!$B$12,Paramètres!$A$1:$I$89,3,0)*0.475*44/12</f>
        <v>1.2319873651645541</v>
      </c>
      <c r="CM136" s="21">
        <f>EXP(-LN(2)/2)*CM135+(1-EXP(-LN(2)/2))/(LN(2)/2)*CG136*CJ136*VLOOKUP('Données projet'!$B$12,Paramètres!$A$1:$I$89,3,0)*0.475*44/12</f>
        <v>7.6434389712402396E-15</v>
      </c>
      <c r="CN136" s="22">
        <f t="shared" si="120"/>
        <v>1.6613329953094964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243.38048563215585</v>
      </c>
      <c r="CZ136" s="59">
        <f t="shared" si="150"/>
        <v>372.1604147006675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0.95050101767935324</v>
      </c>
      <c r="DG136" s="21">
        <f>EXP(-LN(2)/25)*DG135+(1-EXP(-LN(2)/25))/(LN(2)/25)*Calculateur!DB136*Calculateur!DD136*VLOOKUP('Données projet'!$B$13,Paramètres!$A$1:$I$89,3,0)*0.475*44/12</f>
        <v>1.1135667264661273</v>
      </c>
      <c r="DH136" s="21">
        <f>EXP(-LN(2)/2)*DH135+(1-EXP(-LN(2)/2))/(LN(2)/2)*DB136*DE136*VLOOKUP('Données projet'!$B$13,Paramètres!$A$1:$I$89,3,0)*0.475*44/12</f>
        <v>9.2054329970718379E-15</v>
      </c>
      <c r="DI136" s="22">
        <f t="shared" si="123"/>
        <v>2.0640677441454898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1.1368683772161603E-13</v>
      </c>
      <c r="DP136" s="17">
        <f>DO136*VLOOKUP('Données projet'!$B$14,Paramètres!$A$1:$I$89,3,0)*VLOOKUP('Données projet'!$B$14,Paramètres!$A$1:$I$89,5,0)</f>
        <v>6.5028871176764376E-14</v>
      </c>
      <c r="DQ136" s="13">
        <f t="shared" si="151"/>
        <v>1.0270999702906072E-12</v>
      </c>
      <c r="DR136" s="20">
        <f t="shared" si="124"/>
        <v>1.9021243988890057E-12</v>
      </c>
      <c r="DS136" s="59">
        <f t="shared" si="125"/>
        <v>293.33333333333519</v>
      </c>
      <c r="DT136" s="59">
        <f ca="1">AVERAGE(OFFSET($DS$3,0,0,'Données projet'!$E$14+1,1))-AVERAGE(OFFSET($H$3,0,0,'Données projet'!$E$14+1,1))</f>
        <v>227.99747790451215</v>
      </c>
      <c r="DU136" s="59">
        <f t="shared" si="152"/>
        <v>209.49597700966933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0.37301638775207185</v>
      </c>
      <c r="EB136" s="21">
        <f>EXP(-LN(2)/25)*EB135+(1-EXP(-LN(2)/25))/(LN(2)/25)*Calculateur!DW136*Calculateur!DY136*VLOOKUP('Données projet'!$B$14,Paramètres!$A$1:$I$89,3,0)*0.475*44/12</f>
        <v>0.87280369625191467</v>
      </c>
      <c r="EC136" s="21">
        <f>EXP(-LN(2)/2)*EC135+(1-EXP(-LN(2)/2))/(LN(2)/2)*DW136*DZ136*VLOOKUP('Données projet'!$B$14,Paramètres!$A$1:$I$89,3,0)*0.475*44/12</f>
        <v>7.7445820769365113E-15</v>
      </c>
      <c r="ED136" s="22">
        <f t="shared" si="126"/>
        <v>1.2458200840039944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3.4106051316484809E-13</v>
      </c>
      <c r="EK136" s="17">
        <f>EJ136*VLOOKUP('Données projet'!$B$15,Paramètres!$A$1:$I$89,3,0)*VLOOKUP('Données projet'!$B$15,Paramètres!$A$1:$I$89,5,0)</f>
        <v>1.5074874681886286E-13</v>
      </c>
      <c r="EL136" s="13">
        <f t="shared" si="153"/>
        <v>2.1590218794584103E-12</v>
      </c>
      <c r="EM136" s="20">
        <f t="shared" si="127"/>
        <v>4.0228505074329168E-12</v>
      </c>
      <c r="EN136" s="59">
        <f t="shared" si="128"/>
        <v>293.33333333333735</v>
      </c>
      <c r="EO136" s="59">
        <f ca="1">AVERAGE(OFFSET($EN$3,0,0,'Données projet'!$E$15+1,1))-AVERAGE(OFFSET($H$3,0,0,'Données projet'!$E$15+1,1))</f>
        <v>335.27356627949155</v>
      </c>
      <c r="EP136" s="59">
        <f t="shared" si="154"/>
        <v>322.66829503077247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1.6081782618209519</v>
      </c>
      <c r="EX136" s="21">
        <f>EXP(-LN(2)/2)*EX135+(1-EXP(-LN(2)/2))/(LN(2)/2)*ER136*EU136*VLOOKUP('Données projet'!$B$15,Paramètres!$A$1:$I$89,3,0)*0.475*44/12</f>
        <v>1.111096146599565E-14</v>
      </c>
      <c r="EY136" s="22">
        <f t="shared" si="129"/>
        <v>1.608178261820963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-5.6843418860808015E-13</v>
      </c>
      <c r="O137" s="13">
        <f>N137*VLOOKUP('Données projet'!$B$9,Paramètres!$A$1:$I$89,3,0)*VLOOKUP('Données projet'!$B$9,Paramètres!$A$1:$I$89,5,0)</f>
        <v>-5.1431925385259092E-13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319.18811755575183</v>
      </c>
      <c r="T137" s="59">
        <f t="shared" si="142"/>
        <v>234.87694492493506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0.30709097615522768</v>
      </c>
      <c r="AA137" s="21">
        <f>EXP(-LN(2)/25)*AA136+(1-EXP(-LN(2)/25))/(LN(2)/25)*Calculateur!V137*Calculateur!X137*VLOOKUP('Données projet'!$B$9,Paramètres!$A$1:$I$89,3,0)*0.475*44/12</f>
        <v>0.63115033369897999</v>
      </c>
      <c r="AB137" s="21">
        <f>EXP(-LN(2)/2)*AB136+(1-EXP(-LN(2)/2))/(LN(2)/2)*V137*Y137*VLOOKUP('Données projet'!$B$9,Paramètres!$A$1:$I$89,3,0)*0.475*44/12</f>
        <v>4.7858021488226671E-15</v>
      </c>
      <c r="AC137" s="22">
        <f t="shared" si="111"/>
        <v>0.9382413098542125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-1.8089849618263545E-13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314.94704727988847</v>
      </c>
      <c r="AO137" s="59">
        <f t="shared" si="144"/>
        <v>366.49199094166454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0.49923831708956368</v>
      </c>
      <c r="AV137" s="21">
        <f>EXP(-LN(2)/25)*AV136+(1-EXP(-LN(2)/25))/(LN(2)/25)*Calculateur!AQ137*Calculateur!AS137*VLOOKUP('Données projet'!$B$10,Paramètres!$A$1:$I$89,3,0)*0.475*44/12</f>
        <v>1.4212378813886797</v>
      </c>
      <c r="AW137" s="21">
        <f>EXP(-LN(2)/2)*AW136+(1-EXP(-LN(2)/2))/(LN(2)/2)*AQ137*AT137*VLOOKUP('Données projet'!$B$10,Paramètres!$A$1:$I$89,3,0)*0.475*44/12</f>
        <v>6.4102582310610334E-15</v>
      </c>
      <c r="AX137" s="21">
        <f t="shared" si="114"/>
        <v>1.9204761984782499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-1.4897523215040565E-13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246.64951465060813</v>
      </c>
      <c r="BJ137" s="59">
        <f t="shared" si="146"/>
        <v>292.64550285216865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0.33356433616860959</v>
      </c>
      <c r="BQ137" s="21">
        <f>EXP(-LN(2)/25)*BQ136+(1-EXP(-LN(2)/25))/(LN(2)/25)*Calculateur!BL137*Calculateur!BN137*VLOOKUP('Données projet'!$B$11,Paramètres!$A$1:$I$89,3,0)*0.475*44/12</f>
        <v>0.94959512163816351</v>
      </c>
      <c r="BR137" s="21">
        <f>EXP(-LN(2)/2)*BR136+(1-EXP(-LN(2)/2))/(LN(2)/2)*BL137*BO137*VLOOKUP('Données projet'!$B$11,Paramètres!$A$1:$I$89,3,0)*0.475*44/12</f>
        <v>5.2790361902855572E-15</v>
      </c>
      <c r="BS137" s="22">
        <f t="shared" si="117"/>
        <v>1.2831594578067784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-1.5252226148732008E-13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254.25222107710192</v>
      </c>
      <c r="CE137" s="59">
        <f t="shared" si="148"/>
        <v>300.86609173447573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0.4209264242127691</v>
      </c>
      <c r="CL137" s="21">
        <f>EXP(-LN(2)/25)*CL136+(1-EXP(-LN(2)/25))/(LN(2)/25)*Calculateur!CG137*Calculateur!CI137*VLOOKUP('Données projet'!$B$12,Paramètres!$A$1:$I$89,3,0)*0.475*44/12</f>
        <v>1.1982986058767295</v>
      </c>
      <c r="CM137" s="21">
        <f>EXP(-LN(2)/2)*CM136+(1-EXP(-LN(2)/2))/(LN(2)/2)*CG137*CJ137*VLOOKUP('Données projet'!$B$12,Paramètres!$A$1:$I$89,3,0)*0.475*44/12</f>
        <v>5.4047275281495021E-15</v>
      </c>
      <c r="CN137" s="22">
        <f t="shared" si="120"/>
        <v>1.6192250300895039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243.38048563215585</v>
      </c>
      <c r="CZ137" s="59">
        <f t="shared" si="150"/>
        <v>372.1604147006675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0.93186227247103648</v>
      </c>
      <c r="DG137" s="21">
        <f>EXP(-LN(2)/25)*DG136+(1-EXP(-LN(2)/25))/(LN(2)/25)*Calculateur!DB137*Calculateur!DD137*VLOOKUP('Données projet'!$B$13,Paramètres!$A$1:$I$89,3,0)*0.475*44/12</f>
        <v>1.0831161857709819</v>
      </c>
      <c r="DH137" s="21">
        <f>EXP(-LN(2)/2)*DH136+(1-EXP(-LN(2)/2))/(LN(2)/2)*DB137*DE137*VLOOKUP('Données projet'!$B$13,Paramètres!$A$1:$I$89,3,0)*0.475*44/12</f>
        <v>6.5092240959879005E-15</v>
      </c>
      <c r="DI137" s="22">
        <f t="shared" si="123"/>
        <v>2.0149784582420249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1.1368683772161603E-13</v>
      </c>
      <c r="DP137" s="17">
        <f>DO137*VLOOKUP('Données projet'!$B$14,Paramètres!$A$1:$I$89,3,0)*VLOOKUP('Données projet'!$B$14,Paramètres!$A$1:$I$89,5,0)</f>
        <v>6.5028871176764376E-14</v>
      </c>
      <c r="DQ137" s="13">
        <f t="shared" si="151"/>
        <v>1.0270999702906072E-12</v>
      </c>
      <c r="DR137" s="20">
        <f t="shared" si="124"/>
        <v>1.9021243988890057E-12</v>
      </c>
      <c r="DS137" s="59">
        <f t="shared" si="125"/>
        <v>293.33333333333519</v>
      </c>
      <c r="DT137" s="59">
        <f ca="1">AVERAGE(OFFSET($DS$3,0,0,'Données projet'!$E$14+1,1))-AVERAGE(OFFSET($H$3,0,0,'Données projet'!$E$14+1,1))</f>
        <v>227.99747790451215</v>
      </c>
      <c r="DU137" s="59">
        <f t="shared" si="152"/>
        <v>209.49597700966933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0.36570176390578474</v>
      </c>
      <c r="EB137" s="21">
        <f>EXP(-LN(2)/25)*EB136+(1-EXP(-LN(2)/25))/(LN(2)/25)*Calculateur!DW137*Calculateur!DY137*VLOOKUP('Données projet'!$B$14,Paramètres!$A$1:$I$89,3,0)*0.475*44/12</f>
        <v>0.84893683327915448</v>
      </c>
      <c r="EC137" s="21">
        <f>EXP(-LN(2)/2)*EC136+(1-EXP(-LN(2)/2))/(LN(2)/2)*DW137*DZ137*VLOOKUP('Données projet'!$B$14,Paramètres!$A$1:$I$89,3,0)*0.475*44/12</f>
        <v>5.4762465040576035E-15</v>
      </c>
      <c r="ED137" s="22">
        <f t="shared" si="126"/>
        <v>1.2146385971849447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3.4106051316484809E-13</v>
      </c>
      <c r="EK137" s="17">
        <f>EJ137*VLOOKUP('Données projet'!$B$15,Paramètres!$A$1:$I$89,3,0)*VLOOKUP('Données projet'!$B$15,Paramètres!$A$1:$I$89,5,0)</f>
        <v>1.5074874681886286E-13</v>
      </c>
      <c r="EL137" s="13">
        <f t="shared" si="153"/>
        <v>2.1590218794584103E-12</v>
      </c>
      <c r="EM137" s="20">
        <f t="shared" si="127"/>
        <v>4.0228505074329168E-12</v>
      </c>
      <c r="EN137" s="59">
        <f t="shared" si="128"/>
        <v>293.33333333333735</v>
      </c>
      <c r="EO137" s="59">
        <f ca="1">AVERAGE(OFFSET($EN$3,0,0,'Données projet'!$E$15+1,1))-AVERAGE(OFFSET($H$3,0,0,'Données projet'!$E$15+1,1))</f>
        <v>335.27356627949155</v>
      </c>
      <c r="EP137" s="59">
        <f t="shared" si="154"/>
        <v>322.66829503077247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1.5642025426810386</v>
      </c>
      <c r="EX137" s="21">
        <f>EXP(-LN(2)/2)*EX136+(1-EXP(-LN(2)/2))/(LN(2)/2)*ER137*EU137*VLOOKUP('Données projet'!$B$15,Paramètres!$A$1:$I$89,3,0)*0.475*44/12</f>
        <v>7.8566361981079476E-15</v>
      </c>
      <c r="EY137" s="22">
        <f t="shared" si="129"/>
        <v>1.5642025426810464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-5.6843418860808015E-13</v>
      </c>
      <c r="O138" s="13">
        <f>N138*VLOOKUP('Données projet'!$B$9,Paramètres!$A$1:$I$89,3,0)*VLOOKUP('Données projet'!$B$9,Paramètres!$A$1:$I$89,5,0)</f>
        <v>-5.1431925385259092E-13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319.18811755575183</v>
      </c>
      <c r="T138" s="59">
        <f t="shared" si="142"/>
        <v>234.87694492493506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0.30106910941982407</v>
      </c>
      <c r="AA138" s="21">
        <f>EXP(-LN(2)/25)*AA137+(1-EXP(-LN(2)/25))/(LN(2)/25)*Calculateur!V138*Calculateur!X138*VLOOKUP('Données projet'!$B$9,Paramètres!$A$1:$I$89,3,0)*0.475*44/12</f>
        <v>0.6138914946332279</v>
      </c>
      <c r="AB138" s="21">
        <f>EXP(-LN(2)/2)*AB137+(1-EXP(-LN(2)/2))/(LN(2)/2)*V138*Y138*VLOOKUP('Données projet'!$B$9,Paramètres!$A$1:$I$89,3,0)*0.475*44/12</f>
        <v>3.3840731528496587E-15</v>
      </c>
      <c r="AC138" s="22">
        <f t="shared" si="111"/>
        <v>0.91496060405305535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-1.8089849618263545E-13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314.94704727988847</v>
      </c>
      <c r="AO138" s="59">
        <f t="shared" si="144"/>
        <v>366.49199094166454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0.48944855819674338</v>
      </c>
      <c r="AV138" s="21">
        <f>EXP(-LN(2)/25)*AV137+(1-EXP(-LN(2)/25))/(LN(2)/25)*Calculateur!AQ138*Calculateur!AS138*VLOOKUP('Données projet'!$B$10,Paramètres!$A$1:$I$89,3,0)*0.475*44/12</f>
        <v>1.3823740567824543</v>
      </c>
      <c r="AW138" s="21">
        <f>EXP(-LN(2)/2)*AW137+(1-EXP(-LN(2)/2))/(LN(2)/2)*AQ138*AT138*VLOOKUP('Données projet'!$B$10,Paramètres!$A$1:$I$89,3,0)*0.475*44/12</f>
        <v>4.5327370643401393E-15</v>
      </c>
      <c r="AX138" s="21">
        <f t="shared" si="114"/>
        <v>1.8718226149792021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-1.4897523215040565E-13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246.64951465060813</v>
      </c>
      <c r="BJ138" s="59">
        <f t="shared" si="146"/>
        <v>292.64550285216865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0.32702334299049879</v>
      </c>
      <c r="BQ138" s="21">
        <f>EXP(-LN(2)/25)*BQ137+(1-EXP(-LN(2)/25))/(LN(2)/25)*Calculateur!BL138*Calculateur!BN138*VLOOKUP('Données projet'!$B$11,Paramètres!$A$1:$I$89,3,0)*0.475*44/12</f>
        <v>0.92362839309993083</v>
      </c>
      <c r="BR138" s="21">
        <f>EXP(-LN(2)/2)*BR137+(1-EXP(-LN(2)/2))/(LN(2)/2)*BL138*BO138*VLOOKUP('Données projet'!$B$11,Paramètres!$A$1:$I$89,3,0)*0.475*44/12</f>
        <v>3.7328422882801149E-15</v>
      </c>
      <c r="BS138" s="22">
        <f t="shared" si="117"/>
        <v>1.2506517360904335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-1.5252226148732008E-13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254.25222107710192</v>
      </c>
      <c r="CE138" s="59">
        <f t="shared" si="148"/>
        <v>300.86609173447573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0.41267231377372454</v>
      </c>
      <c r="CL138" s="21">
        <f>EXP(-LN(2)/25)*CL137+(1-EXP(-LN(2)/25))/(LN(2)/25)*Calculateur!CG138*Calculateur!CI138*VLOOKUP('Données projet'!$B$12,Paramètres!$A$1:$I$89,3,0)*0.475*44/12</f>
        <v>1.1655310674832455</v>
      </c>
      <c r="CM138" s="21">
        <f>EXP(-LN(2)/2)*CM137+(1-EXP(-LN(2)/2))/(LN(2)/2)*CG138*CJ138*VLOOKUP('Données projet'!$B$12,Paramètres!$A$1:$I$89,3,0)*0.475*44/12</f>
        <v>3.8217194856201198E-15</v>
      </c>
      <c r="CN138" s="22">
        <f t="shared" si="120"/>
        <v>1.5782033812569738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243.38048563215585</v>
      </c>
      <c r="CZ138" s="59">
        <f t="shared" si="150"/>
        <v>372.1604147006675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0.91358902168774281</v>
      </c>
      <c r="DG138" s="21">
        <f>EXP(-LN(2)/25)*DG137+(1-EXP(-LN(2)/25))/(LN(2)/25)*Calculateur!DB138*Calculateur!DD138*VLOOKUP('Données projet'!$B$13,Paramètres!$A$1:$I$89,3,0)*0.475*44/12</f>
        <v>1.0534983167124696</v>
      </c>
      <c r="DH138" s="21">
        <f>EXP(-LN(2)/2)*DH137+(1-EXP(-LN(2)/2))/(LN(2)/2)*DB138*DE138*VLOOKUP('Données projet'!$B$13,Paramètres!$A$1:$I$89,3,0)*0.475*44/12</f>
        <v>4.6027164985359189E-15</v>
      </c>
      <c r="DI138" s="22">
        <f t="shared" si="123"/>
        <v>1.9670873384002172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1.1368683772161603E-13</v>
      </c>
      <c r="DP138" s="17">
        <f>DO138*VLOOKUP('Données projet'!$B$14,Paramètres!$A$1:$I$89,3,0)*VLOOKUP('Données projet'!$B$14,Paramètres!$A$1:$I$89,5,0)</f>
        <v>6.5028871176764376E-14</v>
      </c>
      <c r="DQ138" s="13">
        <f t="shared" si="151"/>
        <v>1.0270999702906072E-12</v>
      </c>
      <c r="DR138" s="20">
        <f t="shared" si="124"/>
        <v>1.9021243988890057E-12</v>
      </c>
      <c r="DS138" s="59">
        <f t="shared" si="125"/>
        <v>293.33333333333519</v>
      </c>
      <c r="DT138" s="59">
        <f ca="1">AVERAGE(OFFSET($DS$3,0,0,'Données projet'!$E$14+1,1))-AVERAGE(OFFSET($H$3,0,0,'Données projet'!$E$14+1,1))</f>
        <v>227.99747790451215</v>
      </c>
      <c r="DU138" s="59">
        <f t="shared" si="152"/>
        <v>209.49597700966933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0.35853057537164335</v>
      </c>
      <c r="EB138" s="21">
        <f>EXP(-LN(2)/25)*EB137+(1-EXP(-LN(2)/25))/(LN(2)/25)*Calculateur!DW138*Calculateur!DY138*VLOOKUP('Données projet'!$B$14,Paramètres!$A$1:$I$89,3,0)*0.475*44/12</f>
        <v>0.82572261092948818</v>
      </c>
      <c r="EC138" s="21">
        <f>EXP(-LN(2)/2)*EC137+(1-EXP(-LN(2)/2))/(LN(2)/2)*DW138*DZ138*VLOOKUP('Données projet'!$B$14,Paramètres!$A$1:$I$89,3,0)*0.475*44/12</f>
        <v>3.8722910384682556E-15</v>
      </c>
      <c r="ED138" s="22">
        <f t="shared" si="126"/>
        <v>1.1842531863011352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3.4106051316484809E-13</v>
      </c>
      <c r="EK138" s="17">
        <f>EJ138*VLOOKUP('Données projet'!$B$15,Paramètres!$A$1:$I$89,3,0)*VLOOKUP('Données projet'!$B$15,Paramètres!$A$1:$I$89,5,0)</f>
        <v>1.5074874681886286E-13</v>
      </c>
      <c r="EL138" s="13">
        <f t="shared" si="153"/>
        <v>2.1590218794584103E-12</v>
      </c>
      <c r="EM138" s="20">
        <f t="shared" si="127"/>
        <v>4.0228505074329168E-12</v>
      </c>
      <c r="EN138" s="59">
        <f t="shared" si="128"/>
        <v>293.33333333333735</v>
      </c>
      <c r="EO138" s="59">
        <f ca="1">AVERAGE(OFFSET($EN$3,0,0,'Données projet'!$E$15+1,1))-AVERAGE(OFFSET($H$3,0,0,'Données projet'!$E$15+1,1))</f>
        <v>335.27356627949155</v>
      </c>
      <c r="EP138" s="59">
        <f t="shared" si="154"/>
        <v>322.66829503077247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1.5214293418935889</v>
      </c>
      <c r="EX138" s="21">
        <f>EXP(-LN(2)/2)*EX137+(1-EXP(-LN(2)/2))/(LN(2)/2)*ER138*EU138*VLOOKUP('Données projet'!$B$15,Paramètres!$A$1:$I$89,3,0)*0.475*44/12</f>
        <v>5.5554807329978252E-15</v>
      </c>
      <c r="EY138" s="22">
        <f t="shared" si="129"/>
        <v>1.5214293418935945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-5.6843418860808015E-13</v>
      </c>
      <c r="O139" s="13">
        <f>N139*VLOOKUP('Données projet'!$B$9,Paramètres!$A$1:$I$89,3,0)*VLOOKUP('Données projet'!$B$9,Paramètres!$A$1:$I$89,5,0)</f>
        <v>-5.1431925385259092E-13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319.18811755575183</v>
      </c>
      <c r="T139" s="59">
        <f t="shared" si="142"/>
        <v>234.87694492493506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0.29516532781812571</v>
      </c>
      <c r="AA139" s="21">
        <f>EXP(-LN(2)/25)*AA138+(1-EXP(-LN(2)/25))/(LN(2)/25)*Calculateur!V139*Calculateur!X139*VLOOKUP('Données projet'!$B$9,Paramètres!$A$1:$I$89,3,0)*0.475*44/12</f>
        <v>0.59710459942933169</v>
      </c>
      <c r="AB139" s="21">
        <f>EXP(-LN(2)/2)*AB138+(1-EXP(-LN(2)/2))/(LN(2)/2)*V139*Y139*VLOOKUP('Données projet'!$B$9,Paramètres!$A$1:$I$89,3,0)*0.475*44/12</f>
        <v>2.3929010744113335E-15</v>
      </c>
      <c r="AC139" s="22">
        <f t="shared" si="111"/>
        <v>0.8922699272474599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-1.8089849618263545E-13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314.94704727988847</v>
      </c>
      <c r="AO139" s="59">
        <f t="shared" si="144"/>
        <v>366.49199094166454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0.47985077050464792</v>
      </c>
      <c r="AV139" s="21">
        <f>EXP(-LN(2)/25)*AV138+(1-EXP(-LN(2)/25))/(LN(2)/25)*Calculateur!AQ139*Calculateur!AS139*VLOOKUP('Données projet'!$B$10,Paramètres!$A$1:$I$89,3,0)*0.475*44/12</f>
        <v>1.3445729655038459</v>
      </c>
      <c r="AW139" s="21">
        <f>EXP(-LN(2)/2)*AW138+(1-EXP(-LN(2)/2))/(LN(2)/2)*AQ139*AT139*VLOOKUP('Données projet'!$B$10,Paramètres!$A$1:$I$89,3,0)*0.475*44/12</f>
        <v>3.2051291155305167E-15</v>
      </c>
      <c r="AX139" s="21">
        <f t="shared" si="114"/>
        <v>1.8244237360084969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-1.4897523215040565E-13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246.64951465060813</v>
      </c>
      <c r="BJ139" s="59">
        <f t="shared" si="146"/>
        <v>292.64550285216865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0.32061061469899882</v>
      </c>
      <c r="BQ139" s="21">
        <f>EXP(-LN(2)/25)*BQ138+(1-EXP(-LN(2)/25))/(LN(2)/25)*Calculateur!BL139*Calculateur!BN139*VLOOKUP('Données projet'!$B$11,Paramètres!$A$1:$I$89,3,0)*0.475*44/12</f>
        <v>0.89837172611910698</v>
      </c>
      <c r="BR139" s="21">
        <f>EXP(-LN(2)/2)*BR138+(1-EXP(-LN(2)/2))/(LN(2)/2)*BL139*BO139*VLOOKUP('Données projet'!$B$11,Paramètres!$A$1:$I$89,3,0)*0.475*44/12</f>
        <v>2.6395180951427786E-15</v>
      </c>
      <c r="BS139" s="22">
        <f t="shared" si="117"/>
        <v>1.2189823408181084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-1.5252226148732008E-13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254.25222107710192</v>
      </c>
      <c r="CE139" s="59">
        <f t="shared" si="148"/>
        <v>300.86609173447573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0.40458006140587938</v>
      </c>
      <c r="CL139" s="21">
        <f>EXP(-LN(2)/25)*CL138+(1-EXP(-LN(2)/25))/(LN(2)/25)*Calculateur!CG139*Calculateur!CI139*VLOOKUP('Données projet'!$B$12,Paramètres!$A$1:$I$89,3,0)*0.475*44/12</f>
        <v>1.1336595591503011</v>
      </c>
      <c r="CM139" s="21">
        <f>EXP(-LN(2)/2)*CM138+(1-EXP(-LN(2)/2))/(LN(2)/2)*CG139*CJ139*VLOOKUP('Données projet'!$B$12,Paramètres!$A$1:$I$89,3,0)*0.475*44/12</f>
        <v>2.7023637640747511E-15</v>
      </c>
      <c r="CN139" s="22">
        <f t="shared" si="120"/>
        <v>1.5382396205561832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243.38048563215585</v>
      </c>
      <c r="CZ139" s="59">
        <f t="shared" si="150"/>
        <v>372.1604147006675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0.89567409820672705</v>
      </c>
      <c r="DG139" s="21">
        <f>EXP(-LN(2)/25)*DG138+(1-EXP(-LN(2)/25))/(LN(2)/25)*Calculateur!DB139*Calculateur!DD139*VLOOKUP('Données projet'!$B$13,Paramètres!$A$1:$I$89,3,0)*0.475*44/12</f>
        <v>1.0246903498408986</v>
      </c>
      <c r="DH139" s="21">
        <f>EXP(-LN(2)/2)*DH138+(1-EXP(-LN(2)/2))/(LN(2)/2)*DB139*DE139*VLOOKUP('Données projet'!$B$13,Paramètres!$A$1:$I$89,3,0)*0.475*44/12</f>
        <v>3.2546120479939503E-15</v>
      </c>
      <c r="DI139" s="22">
        <f t="shared" si="123"/>
        <v>1.920364448047629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1.1368683772161603E-13</v>
      </c>
      <c r="DP139" s="17">
        <f>DO139*VLOOKUP('Données projet'!$B$14,Paramètres!$A$1:$I$89,3,0)*VLOOKUP('Données projet'!$B$14,Paramètres!$A$1:$I$89,5,0)</f>
        <v>6.5028871176764376E-14</v>
      </c>
      <c r="DQ139" s="13">
        <f t="shared" si="151"/>
        <v>1.0270999702906072E-12</v>
      </c>
      <c r="DR139" s="20">
        <f t="shared" si="124"/>
        <v>1.9021243988890057E-12</v>
      </c>
      <c r="DS139" s="59">
        <f t="shared" si="125"/>
        <v>293.33333333333519</v>
      </c>
      <c r="DT139" s="59">
        <f ca="1">AVERAGE(OFFSET($DS$3,0,0,'Données projet'!$E$14+1,1))-AVERAGE(OFFSET($H$3,0,0,'Données projet'!$E$14+1,1))</f>
        <v>227.99747790451215</v>
      </c>
      <c r="DU139" s="59">
        <f t="shared" si="152"/>
        <v>209.49597700966933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0.35150000947066334</v>
      </c>
      <c r="EB139" s="21">
        <f>EXP(-LN(2)/25)*EB138+(1-EXP(-LN(2)/25))/(LN(2)/25)*Calculateur!DW139*Calculateur!DY139*VLOOKUP('Données projet'!$B$14,Paramètres!$A$1:$I$89,3,0)*0.475*44/12</f>
        <v>0.80314318271075646</v>
      </c>
      <c r="EC139" s="21">
        <f>EXP(-LN(2)/2)*EC138+(1-EXP(-LN(2)/2))/(LN(2)/2)*DW139*DZ139*VLOOKUP('Données projet'!$B$14,Paramètres!$A$1:$I$89,3,0)*0.475*44/12</f>
        <v>2.7381232520288018E-15</v>
      </c>
      <c r="ED139" s="22">
        <f t="shared" si="126"/>
        <v>1.1546431921814224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3.4106051316484809E-13</v>
      </c>
      <c r="EK139" s="17">
        <f>EJ139*VLOOKUP('Données projet'!$B$15,Paramètres!$A$1:$I$89,3,0)*VLOOKUP('Données projet'!$B$15,Paramètres!$A$1:$I$89,5,0)</f>
        <v>1.5074874681886286E-13</v>
      </c>
      <c r="EL139" s="13">
        <f t="shared" si="153"/>
        <v>2.1590218794584103E-12</v>
      </c>
      <c r="EM139" s="20">
        <f t="shared" si="127"/>
        <v>4.0228505074329168E-12</v>
      </c>
      <c r="EN139" s="59">
        <f t="shared" si="128"/>
        <v>293.33333333333735</v>
      </c>
      <c r="EO139" s="59">
        <f ca="1">AVERAGE(OFFSET($EN$3,0,0,'Données projet'!$E$15+1,1))-AVERAGE(OFFSET($H$3,0,0,'Données projet'!$E$15+1,1))</f>
        <v>335.27356627949155</v>
      </c>
      <c r="EP139" s="59">
        <f t="shared" si="154"/>
        <v>322.66829503077247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1.479825776531017</v>
      </c>
      <c r="EX139" s="21">
        <f>EXP(-LN(2)/2)*EX138+(1-EXP(-LN(2)/2))/(LN(2)/2)*ER139*EU139*VLOOKUP('Données projet'!$B$15,Paramètres!$A$1:$I$89,3,0)*0.475*44/12</f>
        <v>3.9283180990539738E-15</v>
      </c>
      <c r="EY139" s="22">
        <f t="shared" si="129"/>
        <v>1.479825776531021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-5.6843418860808015E-13</v>
      </c>
      <c r="O140" s="13">
        <f>N140*VLOOKUP('Données projet'!$B$9,Paramètres!$A$1:$I$89,3,0)*VLOOKUP('Données projet'!$B$9,Paramètres!$A$1:$I$89,5,0)</f>
        <v>-5.1431925385259092E-13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319.18811755575183</v>
      </c>
      <c r="T140" s="59">
        <f t="shared" si="142"/>
        <v>234.87694492493506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0.28937731577268544</v>
      </c>
      <c r="AA140" s="21">
        <f>EXP(-LN(2)/25)*AA139+(1-EXP(-LN(2)/25))/(LN(2)/25)*Calculateur!V140*Calculateur!X140*VLOOKUP('Données projet'!$B$9,Paramètres!$A$1:$I$89,3,0)*0.475*44/12</f>
        <v>0.58077674275757041</v>
      </c>
      <c r="AB140" s="21">
        <f>EXP(-LN(2)/2)*AB139+(1-EXP(-LN(2)/2))/(LN(2)/2)*V140*Y140*VLOOKUP('Données projet'!$B$9,Paramètres!$A$1:$I$89,3,0)*0.475*44/12</f>
        <v>1.6920365764248293E-15</v>
      </c>
      <c r="AC140" s="22">
        <f t="shared" si="111"/>
        <v>0.87015405853025751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-1.8089849618263545E-13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314.94704727988847</v>
      </c>
      <c r="AO140" s="59">
        <f t="shared" si="144"/>
        <v>366.49199094166454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0.47044118957512204</v>
      </c>
      <c r="AV140" s="21">
        <f>EXP(-LN(2)/25)*AV139+(1-EXP(-LN(2)/25))/(LN(2)/25)*Calculateur!AQ140*Calculateur!AS140*VLOOKUP('Données projet'!$B$10,Paramètres!$A$1:$I$89,3,0)*0.475*44/12</f>
        <v>1.3078055470541241</v>
      </c>
      <c r="AW140" s="21">
        <f>EXP(-LN(2)/2)*AW139+(1-EXP(-LN(2)/2))/(LN(2)/2)*AQ140*AT140*VLOOKUP('Données projet'!$B$10,Paramètres!$A$1:$I$89,3,0)*0.475*44/12</f>
        <v>2.2663685321700696E-15</v>
      </c>
      <c r="AX140" s="21">
        <f t="shared" si="114"/>
        <v>1.7782467366292485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-1.4897523215040565E-13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246.64951465060813</v>
      </c>
      <c r="BJ140" s="59">
        <f t="shared" si="146"/>
        <v>292.64550285216865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0.31432363609791714</v>
      </c>
      <c r="BQ140" s="21">
        <f>EXP(-LN(2)/25)*BQ139+(1-EXP(-LN(2)/25))/(LN(2)/25)*Calculateur!BL140*Calculateur!BN140*VLOOKUP('Données projet'!$B$11,Paramètres!$A$1:$I$89,3,0)*0.475*44/12</f>
        <v>0.87380570402506419</v>
      </c>
      <c r="BR140" s="21">
        <f>EXP(-LN(2)/2)*BR139+(1-EXP(-LN(2)/2))/(LN(2)/2)*BL140*BO140*VLOOKUP('Données projet'!$B$11,Paramètres!$A$1:$I$89,3,0)*0.475*44/12</f>
        <v>1.8664211441400575E-15</v>
      </c>
      <c r="BS140" s="22">
        <f t="shared" si="117"/>
        <v>1.1881293401229831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-1.5252226148732008E-13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254.25222107710192</v>
      </c>
      <c r="CE140" s="59">
        <f t="shared" si="148"/>
        <v>300.86609173447573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0.39664649317118106</v>
      </c>
      <c r="CL140" s="21">
        <f>EXP(-LN(2)/25)*CL139+(1-EXP(-LN(2)/25))/(LN(2)/25)*Calculateur!CG140*Calculateur!CI140*VLOOKUP('Données projet'!$B$12,Paramètres!$A$1:$I$89,3,0)*0.475*44/12</f>
        <v>1.102659578888771</v>
      </c>
      <c r="CM140" s="21">
        <f>EXP(-LN(2)/2)*CM139+(1-EXP(-LN(2)/2))/(LN(2)/2)*CG140*CJ140*VLOOKUP('Données projet'!$B$12,Paramètres!$A$1:$I$89,3,0)*0.475*44/12</f>
        <v>1.9108597428100599E-15</v>
      </c>
      <c r="CN140" s="22">
        <f t="shared" si="120"/>
        <v>1.499306072059954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243.38048563215585</v>
      </c>
      <c r="CZ140" s="59">
        <f t="shared" si="150"/>
        <v>372.1604147006675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0.87811047544814969</v>
      </c>
      <c r="DG140" s="21">
        <f>EXP(-LN(2)/25)*DG139+(1-EXP(-LN(2)/25))/(LN(2)/25)*Calculateur!DB140*Calculateur!DD140*VLOOKUP('Données projet'!$B$13,Paramètres!$A$1:$I$89,3,0)*0.475*44/12</f>
        <v>0.9966701383383757</v>
      </c>
      <c r="DH140" s="21">
        <f>EXP(-LN(2)/2)*DH139+(1-EXP(-LN(2)/2))/(LN(2)/2)*DB140*DE140*VLOOKUP('Données projet'!$B$13,Paramètres!$A$1:$I$89,3,0)*0.475*44/12</f>
        <v>2.3013582492679595E-15</v>
      </c>
      <c r="DI140" s="22">
        <f t="shared" si="123"/>
        <v>1.8747806137865277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1.1368683772161603E-13</v>
      </c>
      <c r="DP140" s="17">
        <f>DO140*VLOOKUP('Données projet'!$B$14,Paramètres!$A$1:$I$89,3,0)*VLOOKUP('Données projet'!$B$14,Paramètres!$A$1:$I$89,5,0)</f>
        <v>6.5028871176764376E-14</v>
      </c>
      <c r="DQ140" s="13">
        <f t="shared" si="151"/>
        <v>1.0270999702906072E-12</v>
      </c>
      <c r="DR140" s="20">
        <f t="shared" si="124"/>
        <v>1.9021243988890057E-12</v>
      </c>
      <c r="DS140" s="59">
        <f t="shared" si="125"/>
        <v>293.33333333333519</v>
      </c>
      <c r="DT140" s="59">
        <f ca="1">AVERAGE(OFFSET($DS$3,0,0,'Données projet'!$E$14+1,1))-AVERAGE(OFFSET($H$3,0,0,'Données projet'!$E$14+1,1))</f>
        <v>227.99747790451215</v>
      </c>
      <c r="DU140" s="59">
        <f t="shared" si="152"/>
        <v>209.49597700966933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0.34460730867877976</v>
      </c>
      <c r="EB140" s="21">
        <f>EXP(-LN(2)/25)*EB139+(1-EXP(-LN(2)/25))/(LN(2)/25)*Calculateur!DW140*Calculateur!DY140*VLOOKUP('Données projet'!$B$14,Paramètres!$A$1:$I$89,3,0)*0.475*44/12</f>
        <v>0.78118119014406651</v>
      </c>
      <c r="EC140" s="21">
        <f>EXP(-LN(2)/2)*EC139+(1-EXP(-LN(2)/2))/(LN(2)/2)*DW140*DZ140*VLOOKUP('Données projet'!$B$14,Paramètres!$A$1:$I$89,3,0)*0.475*44/12</f>
        <v>1.9361455192341278E-15</v>
      </c>
      <c r="ED140" s="22">
        <f t="shared" si="126"/>
        <v>1.1257884988228481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3.4106051316484809E-13</v>
      </c>
      <c r="EK140" s="17">
        <f>EJ140*VLOOKUP('Données projet'!$B$15,Paramètres!$A$1:$I$89,3,0)*VLOOKUP('Données projet'!$B$15,Paramètres!$A$1:$I$89,5,0)</f>
        <v>1.5074874681886286E-13</v>
      </c>
      <c r="EL140" s="13">
        <f t="shared" si="153"/>
        <v>2.1590218794584103E-12</v>
      </c>
      <c r="EM140" s="20">
        <f t="shared" si="127"/>
        <v>4.0228505074329168E-12</v>
      </c>
      <c r="EN140" s="59">
        <f t="shared" si="128"/>
        <v>293.33333333333735</v>
      </c>
      <c r="EO140" s="59">
        <f ca="1">AVERAGE(OFFSET($EN$3,0,0,'Données projet'!$E$15+1,1))-AVERAGE(OFFSET($H$3,0,0,'Données projet'!$E$15+1,1))</f>
        <v>335.27356627949155</v>
      </c>
      <c r="EP140" s="59">
        <f t="shared" si="154"/>
        <v>322.66829503077247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1.4393598628511208</v>
      </c>
      <c r="EX140" s="21">
        <f>EXP(-LN(2)/2)*EX139+(1-EXP(-LN(2)/2))/(LN(2)/2)*ER140*EU140*VLOOKUP('Données projet'!$B$15,Paramètres!$A$1:$I$89,3,0)*0.475*44/12</f>
        <v>2.7777403664989126E-15</v>
      </c>
      <c r="EY140" s="22">
        <f t="shared" si="129"/>
        <v>1.4393598628511237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-5.6843418860808015E-13</v>
      </c>
      <c r="O141" s="13">
        <f>N141*VLOOKUP('Données projet'!$B$9,Paramètres!$A$1:$I$89,3,0)*VLOOKUP('Données projet'!$B$9,Paramètres!$A$1:$I$89,5,0)</f>
        <v>-5.1431925385259092E-13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319.18811755575183</v>
      </c>
      <c r="T141" s="59">
        <f t="shared" si="142"/>
        <v>234.87694492493506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0.28370280311311752</v>
      </c>
      <c r="AA141" s="21">
        <f>EXP(-LN(2)/25)*AA140+(1-EXP(-LN(2)/25))/(LN(2)/25)*Calculateur!V141*Calculateur!X141*VLOOKUP('Données projet'!$B$9,Paramètres!$A$1:$I$89,3,0)*0.475*44/12</f>
        <v>0.56489537218514307</v>
      </c>
      <c r="AB141" s="21">
        <f>EXP(-LN(2)/2)*AB140+(1-EXP(-LN(2)/2))/(LN(2)/2)*V141*Y141*VLOOKUP('Données projet'!$B$9,Paramètres!$A$1:$I$89,3,0)*0.475*44/12</f>
        <v>1.1964505372056668E-15</v>
      </c>
      <c r="AC141" s="22">
        <f t="shared" si="111"/>
        <v>0.84859817529826176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-1.8089849618263545E-13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314.94704727988847</v>
      </c>
      <c r="AO141" s="59">
        <f t="shared" si="144"/>
        <v>366.49199094166454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0.4612161247883465</v>
      </c>
      <c r="AV141" s="21">
        <f>EXP(-LN(2)/25)*AV140+(1-EXP(-LN(2)/25))/(LN(2)/25)*Calculateur!AQ141*Calculateur!AS141*VLOOKUP('Données projet'!$B$10,Paramètres!$A$1:$I$89,3,0)*0.475*44/12</f>
        <v>1.2720435355954245</v>
      </c>
      <c r="AW141" s="21">
        <f>EXP(-LN(2)/2)*AW140+(1-EXP(-LN(2)/2))/(LN(2)/2)*AQ141*AT141*VLOOKUP('Données projet'!$B$10,Paramètres!$A$1:$I$89,3,0)*0.475*44/12</f>
        <v>1.6025645577652583E-15</v>
      </c>
      <c r="AX141" s="21">
        <f t="shared" si="114"/>
        <v>1.7332596603837727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-1.4897523215040565E-13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246.64951465060813</v>
      </c>
      <c r="BJ141" s="59">
        <f t="shared" si="146"/>
        <v>292.64550285216865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0.30815994131252439</v>
      </c>
      <c r="BQ141" s="21">
        <f>EXP(-LN(2)/25)*BQ140+(1-EXP(-LN(2)/25))/(LN(2)/25)*Calculateur!BL141*Calculateur!BN141*VLOOKUP('Données projet'!$B$11,Paramètres!$A$1:$I$89,3,0)*0.475*44/12</f>
        <v>0.84991144109705397</v>
      </c>
      <c r="BR141" s="21">
        <f>EXP(-LN(2)/2)*BR140+(1-EXP(-LN(2)/2))/(LN(2)/2)*BL141*BO141*VLOOKUP('Données projet'!$B$11,Paramètres!$A$1:$I$89,3,0)*0.475*44/12</f>
        <v>1.3197590475713893E-15</v>
      </c>
      <c r="BS141" s="22">
        <f t="shared" si="117"/>
        <v>1.1580713824095796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-1.5252226148732008E-13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254.25222107710192</v>
      </c>
      <c r="CE141" s="59">
        <f t="shared" si="148"/>
        <v>300.86609173447573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0.38886849737056639</v>
      </c>
      <c r="CL141" s="21">
        <f>EXP(-LN(2)/25)*CL140+(1-EXP(-LN(2)/25))/(LN(2)/25)*Calculateur!CG141*Calculateur!CI141*VLOOKUP('Données projet'!$B$12,Paramètres!$A$1:$I$89,3,0)*0.475*44/12</f>
        <v>1.0725072947177103</v>
      </c>
      <c r="CM141" s="21">
        <f>EXP(-LN(2)/2)*CM140+(1-EXP(-LN(2)/2))/(LN(2)/2)*CG141*CJ141*VLOOKUP('Données projet'!$B$12,Paramètres!$A$1:$I$89,3,0)*0.475*44/12</f>
        <v>1.3511818820373755E-15</v>
      </c>
      <c r="CN141" s="22">
        <f t="shared" si="120"/>
        <v>1.4613757920882779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243.38048563215585</v>
      </c>
      <c r="CZ141" s="59">
        <f t="shared" si="150"/>
        <v>372.1604147006675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0.86089126461911591</v>
      </c>
      <c r="DG141" s="21">
        <f>EXP(-LN(2)/25)*DG140+(1-EXP(-LN(2)/25))/(LN(2)/25)*Calculateur!DB141*Calculateur!DD141*VLOOKUP('Données projet'!$B$13,Paramètres!$A$1:$I$89,3,0)*0.475*44/12</f>
        <v>0.96941614099290818</v>
      </c>
      <c r="DH141" s="21">
        <f>EXP(-LN(2)/2)*DH140+(1-EXP(-LN(2)/2))/(LN(2)/2)*DB141*DE141*VLOOKUP('Données projet'!$B$13,Paramètres!$A$1:$I$89,3,0)*0.475*44/12</f>
        <v>1.6273060239969751E-15</v>
      </c>
      <c r="DI141" s="22">
        <f t="shared" si="123"/>
        <v>1.8303074056120257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1.1368683772161603E-13</v>
      </c>
      <c r="DP141" s="17">
        <f>DO141*VLOOKUP('Données projet'!$B$14,Paramètres!$A$1:$I$89,3,0)*VLOOKUP('Données projet'!$B$14,Paramètres!$A$1:$I$89,5,0)</f>
        <v>6.5028871176764376E-14</v>
      </c>
      <c r="DQ141" s="13">
        <f t="shared" si="151"/>
        <v>1.0270999702906072E-12</v>
      </c>
      <c r="DR141" s="20">
        <f t="shared" si="124"/>
        <v>1.9021243988890057E-12</v>
      </c>
      <c r="DS141" s="59">
        <f t="shared" si="125"/>
        <v>293.33333333333519</v>
      </c>
      <c r="DT141" s="59">
        <f ca="1">AVERAGE(OFFSET($DS$3,0,0,'Données projet'!$E$14+1,1))-AVERAGE(OFFSET($H$3,0,0,'Données projet'!$E$14+1,1))</f>
        <v>227.99747790451215</v>
      </c>
      <c r="DU141" s="59">
        <f t="shared" si="152"/>
        <v>209.49597700966933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0.33784976954529267</v>
      </c>
      <c r="EB141" s="21">
        <f>EXP(-LN(2)/25)*EB140+(1-EXP(-LN(2)/25))/(LN(2)/25)*Calculateur!DW141*Calculateur!DY141*VLOOKUP('Données projet'!$B$14,Paramètres!$A$1:$I$89,3,0)*0.475*44/12</f>
        <v>0.75981974941904362</v>
      </c>
      <c r="EC141" s="21">
        <f>EXP(-LN(2)/2)*EC140+(1-EXP(-LN(2)/2))/(LN(2)/2)*DW141*DZ141*VLOOKUP('Données projet'!$B$14,Paramètres!$A$1:$I$89,3,0)*0.475*44/12</f>
        <v>1.3690616260144009E-15</v>
      </c>
      <c r="ED141" s="22">
        <f t="shared" si="126"/>
        <v>1.0976695189643375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3.4106051316484809E-13</v>
      </c>
      <c r="EK141" s="17">
        <f>EJ141*VLOOKUP('Données projet'!$B$15,Paramètres!$A$1:$I$89,3,0)*VLOOKUP('Données projet'!$B$15,Paramètres!$A$1:$I$89,5,0)</f>
        <v>1.5074874681886286E-13</v>
      </c>
      <c r="EL141" s="13">
        <f t="shared" si="153"/>
        <v>2.1590218794584103E-12</v>
      </c>
      <c r="EM141" s="20">
        <f t="shared" si="127"/>
        <v>4.0228505074329168E-12</v>
      </c>
      <c r="EN141" s="59">
        <f t="shared" si="128"/>
        <v>293.33333333333735</v>
      </c>
      <c r="EO141" s="59">
        <f ca="1">AVERAGE(OFFSET($EN$3,0,0,'Données projet'!$E$15+1,1))-AVERAGE(OFFSET($H$3,0,0,'Données projet'!$E$15+1,1))</f>
        <v>335.27356627949155</v>
      </c>
      <c r="EP141" s="59">
        <f t="shared" si="154"/>
        <v>322.66829503077247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1.4000004917088114</v>
      </c>
      <c r="EX141" s="21">
        <f>EXP(-LN(2)/2)*EX140+(1-EXP(-LN(2)/2))/(LN(2)/2)*ER141*EU141*VLOOKUP('Données projet'!$B$15,Paramètres!$A$1:$I$89,3,0)*0.475*44/12</f>
        <v>1.9641590495269869E-15</v>
      </c>
      <c r="EY141" s="22">
        <f t="shared" si="129"/>
        <v>1.4000004917088134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-5.6843418860808015E-13</v>
      </c>
      <c r="O142" s="13">
        <f>N142*VLOOKUP('Données projet'!$B$9,Paramètres!$A$1:$I$89,3,0)*VLOOKUP('Données projet'!$B$9,Paramètres!$A$1:$I$89,5,0)</f>
        <v>-5.1431925385259092E-13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319.18811755575183</v>
      </c>
      <c r="T142" s="59">
        <f t="shared" si="142"/>
        <v>234.87694492493506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0.27813956418569274</v>
      </c>
      <c r="AA142" s="21">
        <f>EXP(-LN(2)/25)*AA141+(1-EXP(-LN(2)/25))/(LN(2)/25)*Calculateur!V142*Calculateur!X142*VLOOKUP('Données projet'!$B$9,Paramètres!$A$1:$I$89,3,0)*0.475*44/12</f>
        <v>0.54944827852618383</v>
      </c>
      <c r="AB142" s="21">
        <f>EXP(-LN(2)/2)*AB141+(1-EXP(-LN(2)/2))/(LN(2)/2)*V142*Y142*VLOOKUP('Données projet'!$B$9,Paramètres!$A$1:$I$89,3,0)*0.475*44/12</f>
        <v>8.4601828821241466E-16</v>
      </c>
      <c r="AC142" s="22">
        <f t="shared" si="111"/>
        <v>0.82758784271187746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-1.8089849618263545E-13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314.94704727988847</v>
      </c>
      <c r="AO142" s="59">
        <f t="shared" si="144"/>
        <v>366.49199094166454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0.45217195789530568</v>
      </c>
      <c r="AV142" s="21">
        <f>EXP(-LN(2)/25)*AV141+(1-EXP(-LN(2)/25))/(LN(2)/25)*Calculateur!AQ142*Calculateur!AS142*VLOOKUP('Données projet'!$B$10,Paramètres!$A$1:$I$89,3,0)*0.475*44/12</f>
        <v>1.2372594382207054</v>
      </c>
      <c r="AW142" s="21">
        <f>EXP(-LN(2)/2)*AW141+(1-EXP(-LN(2)/2))/(LN(2)/2)*AQ142*AT142*VLOOKUP('Données projet'!$B$10,Paramètres!$A$1:$I$89,3,0)*0.475*44/12</f>
        <v>1.1331842660850348E-15</v>
      </c>
      <c r="AX142" s="21">
        <f t="shared" si="114"/>
        <v>1.6894313961160121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-1.4897523215040565E-13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246.64951465060813</v>
      </c>
      <c r="BJ142" s="59">
        <f t="shared" si="146"/>
        <v>292.64550285216865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0.30211711282239057</v>
      </c>
      <c r="BQ142" s="21">
        <f>EXP(-LN(2)/25)*BQ141+(1-EXP(-LN(2)/25))/(LN(2)/25)*Calculateur!BL142*Calculateur!BN142*VLOOKUP('Données projet'!$B$11,Paramètres!$A$1:$I$89,3,0)*0.475*44/12</f>
        <v>0.82667056804535488</v>
      </c>
      <c r="BR142" s="21">
        <f>EXP(-LN(2)/2)*BR141+(1-EXP(-LN(2)/2))/(LN(2)/2)*BL142*BO142*VLOOKUP('Données projet'!$B$11,Paramètres!$A$1:$I$89,3,0)*0.475*44/12</f>
        <v>9.3321057207002873E-16</v>
      </c>
      <c r="BS142" s="22">
        <f t="shared" si="117"/>
        <v>1.1287876808677464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-1.5252226148732008E-13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254.25222107710192</v>
      </c>
      <c r="CE142" s="59">
        <f t="shared" si="148"/>
        <v>300.86609173447573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0.38124302332349275</v>
      </c>
      <c r="CL142" s="21">
        <f>EXP(-LN(2)/25)*CL141+(1-EXP(-LN(2)/25))/(LN(2)/25)*Calculateur!CG142*Calculateur!CI142*VLOOKUP('Données projet'!$B$12,Paramètres!$A$1:$I$89,3,0)*0.475*44/12</f>
        <v>1.0431795263429471</v>
      </c>
      <c r="CM142" s="21">
        <f>EXP(-LN(2)/2)*CM141+(1-EXP(-LN(2)/2))/(LN(2)/2)*CG142*CJ142*VLOOKUP('Données projet'!$B$12,Paramètres!$A$1:$I$89,3,0)*0.475*44/12</f>
        <v>9.5542987140502995E-16</v>
      </c>
      <c r="CN142" s="22">
        <f t="shared" si="120"/>
        <v>1.4244225496664407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243.38048563215585</v>
      </c>
      <c r="CZ142" s="59">
        <f t="shared" si="150"/>
        <v>372.1604147006675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0.84400971201175801</v>
      </c>
      <c r="DG142" s="21">
        <f>EXP(-LN(2)/25)*DG141+(1-EXP(-LN(2)/25))/(LN(2)/25)*Calculateur!DB142*Calculateur!DD142*VLOOKUP('Données projet'!$B$13,Paramètres!$A$1:$I$89,3,0)*0.475*44/12</f>
        <v>0.94290740563807784</v>
      </c>
      <c r="DH142" s="21">
        <f>EXP(-LN(2)/2)*DH141+(1-EXP(-LN(2)/2))/(LN(2)/2)*DB142*DE142*VLOOKUP('Données projet'!$B$13,Paramètres!$A$1:$I$89,3,0)*0.475*44/12</f>
        <v>1.1506791246339797E-15</v>
      </c>
      <c r="DI142" s="22">
        <f t="shared" si="123"/>
        <v>1.7869171176498371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1.1368683772161603E-13</v>
      </c>
      <c r="DP142" s="17">
        <f>DO142*VLOOKUP('Données projet'!$B$14,Paramètres!$A$1:$I$89,3,0)*VLOOKUP('Données projet'!$B$14,Paramètres!$A$1:$I$89,5,0)</f>
        <v>6.5028871176764376E-14</v>
      </c>
      <c r="DQ142" s="13">
        <f t="shared" si="151"/>
        <v>1.0270999702906072E-12</v>
      </c>
      <c r="DR142" s="20">
        <f t="shared" si="124"/>
        <v>1.9021243988890057E-12</v>
      </c>
      <c r="DS142" s="59">
        <f t="shared" si="125"/>
        <v>293.33333333333519</v>
      </c>
      <c r="DT142" s="59">
        <f ca="1">AVERAGE(OFFSET($DS$3,0,0,'Données projet'!$E$14+1,1))-AVERAGE(OFFSET($H$3,0,0,'Données projet'!$E$14+1,1))</f>
        <v>227.99747790451215</v>
      </c>
      <c r="DU142" s="59">
        <f t="shared" si="152"/>
        <v>209.49597700966933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0.33122474163252136</v>
      </c>
      <c r="EB142" s="21">
        <f>EXP(-LN(2)/25)*EB141+(1-EXP(-LN(2)/25))/(LN(2)/25)*Calculateur!DW142*Calculateur!DY142*VLOOKUP('Données projet'!$B$14,Paramètres!$A$1:$I$89,3,0)*0.475*44/12</f>
        <v>0.73904243841399586</v>
      </c>
      <c r="EC142" s="21">
        <f>EXP(-LN(2)/2)*EC141+(1-EXP(-LN(2)/2))/(LN(2)/2)*DW142*DZ142*VLOOKUP('Données projet'!$B$14,Paramètres!$A$1:$I$89,3,0)*0.475*44/12</f>
        <v>9.6807275961706391E-16</v>
      </c>
      <c r="ED142" s="22">
        <f t="shared" si="126"/>
        <v>1.070267180046518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3.4106051316484809E-13</v>
      </c>
      <c r="EK142" s="17">
        <f>EJ142*VLOOKUP('Données projet'!$B$15,Paramètres!$A$1:$I$89,3,0)*VLOOKUP('Données projet'!$B$15,Paramètres!$A$1:$I$89,5,0)</f>
        <v>1.5074874681886286E-13</v>
      </c>
      <c r="EL142" s="13">
        <f t="shared" si="153"/>
        <v>2.1590218794584103E-12</v>
      </c>
      <c r="EM142" s="20">
        <f t="shared" si="127"/>
        <v>4.0228505074329168E-12</v>
      </c>
      <c r="EN142" s="59">
        <f t="shared" si="128"/>
        <v>293.33333333333735</v>
      </c>
      <c r="EO142" s="59">
        <f ca="1">AVERAGE(OFFSET($EN$3,0,0,'Données projet'!$E$15+1,1))-AVERAGE(OFFSET($H$3,0,0,'Données projet'!$E$15+1,1))</f>
        <v>335.27356627949155</v>
      </c>
      <c r="EP142" s="59">
        <f t="shared" si="154"/>
        <v>322.66829503077247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1.3617174046402079</v>
      </c>
      <c r="EX142" s="21">
        <f>EXP(-LN(2)/2)*EX141+(1-EXP(-LN(2)/2))/(LN(2)/2)*ER142*EU142*VLOOKUP('Données projet'!$B$15,Paramètres!$A$1:$I$89,3,0)*0.475*44/12</f>
        <v>1.3888701832494563E-15</v>
      </c>
      <c r="EY142" s="22">
        <f t="shared" si="129"/>
        <v>1.3617174046402092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-5.6843418860808015E-13</v>
      </c>
      <c r="O143" s="13">
        <f>N143*VLOOKUP('Données projet'!$B$9,Paramètres!$A$1:$I$89,3,0)*VLOOKUP('Données projet'!$B$9,Paramètres!$A$1:$I$89,5,0)</f>
        <v>-5.1431925385259092E-13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319.18811755575183</v>
      </c>
      <c r="T143" s="59">
        <f t="shared" si="142"/>
        <v>234.87694492493506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0.27268541698039406</v>
      </c>
      <c r="AA143" s="21">
        <f>EXP(-LN(2)/25)*AA142+(1-EXP(-LN(2)/25))/(LN(2)/25)*Calculateur!V143*Calculateur!X143*VLOOKUP('Données projet'!$B$9,Paramètres!$A$1:$I$89,3,0)*0.475*44/12</f>
        <v>0.53442358645565613</v>
      </c>
      <c r="AB143" s="21">
        <f>EXP(-LN(2)/2)*AB142+(1-EXP(-LN(2)/2))/(LN(2)/2)*V143*Y143*VLOOKUP('Données projet'!$B$9,Paramètres!$A$1:$I$89,3,0)*0.475*44/12</f>
        <v>5.9822526860283339E-16</v>
      </c>
      <c r="AC143" s="22">
        <f t="shared" si="111"/>
        <v>0.80710900343605074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-1.8089849618263545E-13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314.94704727988847</v>
      </c>
      <c r="AO143" s="59">
        <f t="shared" si="144"/>
        <v>366.49199094166454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0.44330514159864032</v>
      </c>
      <c r="AV143" s="21">
        <f>EXP(-LN(2)/25)*AV142+(1-EXP(-LN(2)/25))/(LN(2)/25)*Calculateur!AQ143*Calculateur!AS143*VLOOKUP('Données projet'!$B$10,Paramètres!$A$1:$I$89,3,0)*0.475*44/12</f>
        <v>1.2034265138179141</v>
      </c>
      <c r="AW143" s="21">
        <f>EXP(-LN(2)/2)*AW142+(1-EXP(-LN(2)/2))/(LN(2)/2)*AQ143*AT143*VLOOKUP('Données projet'!$B$10,Paramètres!$A$1:$I$89,3,0)*0.475*44/12</f>
        <v>8.0128227888262917E-16</v>
      </c>
      <c r="AX143" s="21">
        <f t="shared" si="114"/>
        <v>1.6467316554165552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-1.4897523215040565E-13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246.64951465060813</v>
      </c>
      <c r="BJ143" s="59">
        <f t="shared" si="146"/>
        <v>292.64550285216865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0.29619278051318682</v>
      </c>
      <c r="BQ143" s="21">
        <f>EXP(-LN(2)/25)*BQ142+(1-EXP(-LN(2)/25))/(LN(2)/25)*Calculateur!BL143*Calculateur!BN143*VLOOKUP('Données projet'!$B$11,Paramètres!$A$1:$I$89,3,0)*0.475*44/12</f>
        <v>0.80406521788943885</v>
      </c>
      <c r="BR143" s="21">
        <f>EXP(-LN(2)/2)*BR142+(1-EXP(-LN(2)/2))/(LN(2)/2)*BL143*BO143*VLOOKUP('Données projet'!$B$11,Paramètres!$A$1:$I$89,3,0)*0.475*44/12</f>
        <v>6.5987952378569465E-16</v>
      </c>
      <c r="BS143" s="22">
        <f t="shared" si="117"/>
        <v>1.1002579984026264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-1.5252226148732008E-13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254.25222107710192</v>
      </c>
      <c r="CE143" s="59">
        <f t="shared" si="148"/>
        <v>300.86609173447573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0.37376708017140231</v>
      </c>
      <c r="CL143" s="21">
        <f>EXP(-LN(2)/25)*CL142+(1-EXP(-LN(2)/25))/(LN(2)/25)*Calculateur!CG143*Calculateur!CI143*VLOOKUP('Données projet'!$B$12,Paramètres!$A$1:$I$89,3,0)*0.475*44/12</f>
        <v>1.014653727336672</v>
      </c>
      <c r="CM143" s="21">
        <f>EXP(-LN(2)/2)*CM142+(1-EXP(-LN(2)/2))/(LN(2)/2)*CG143*CJ143*VLOOKUP('Données projet'!$B$12,Paramètres!$A$1:$I$89,3,0)*0.475*44/12</f>
        <v>6.7559094101868777E-16</v>
      </c>
      <c r="CN143" s="22">
        <f t="shared" si="120"/>
        <v>1.3884208075080751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243.38048563215585</v>
      </c>
      <c r="CZ143" s="59">
        <f t="shared" si="150"/>
        <v>372.1604147006675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0.82745919635429999</v>
      </c>
      <c r="DG143" s="21">
        <f>EXP(-LN(2)/25)*DG142+(1-EXP(-LN(2)/25))/(LN(2)/25)*Calculateur!DB143*Calculateur!DD143*VLOOKUP('Données projet'!$B$13,Paramètres!$A$1:$I$89,3,0)*0.475*44/12</f>
        <v>0.91712355304555915</v>
      </c>
      <c r="DH143" s="21">
        <f>EXP(-LN(2)/2)*DH142+(1-EXP(-LN(2)/2))/(LN(2)/2)*DB143*DE143*VLOOKUP('Données projet'!$B$13,Paramètres!$A$1:$I$89,3,0)*0.475*44/12</f>
        <v>8.1365301199848756E-16</v>
      </c>
      <c r="DI143" s="22">
        <f t="shared" si="123"/>
        <v>1.74458274939986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1.1368683772161603E-13</v>
      </c>
      <c r="DP143" s="17">
        <f>DO143*VLOOKUP('Données projet'!$B$14,Paramètres!$A$1:$I$89,3,0)*VLOOKUP('Données projet'!$B$14,Paramètres!$A$1:$I$89,5,0)</f>
        <v>6.5028871176764376E-14</v>
      </c>
      <c r="DQ143" s="13">
        <f t="shared" si="151"/>
        <v>1.0270999702906072E-12</v>
      </c>
      <c r="DR143" s="20">
        <f t="shared" si="124"/>
        <v>1.9021243988890057E-12</v>
      </c>
      <c r="DS143" s="59">
        <f t="shared" si="125"/>
        <v>293.33333333333519</v>
      </c>
      <c r="DT143" s="59">
        <f ca="1">AVERAGE(OFFSET($DS$3,0,0,'Données projet'!$E$14+1,1))-AVERAGE(OFFSET($H$3,0,0,'Données projet'!$E$14+1,1))</f>
        <v>227.99747790451215</v>
      </c>
      <c r="DU143" s="59">
        <f t="shared" si="152"/>
        <v>209.49597700966933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0.32472962647625148</v>
      </c>
      <c r="EB143" s="21">
        <f>EXP(-LN(2)/25)*EB142+(1-EXP(-LN(2)/25))/(LN(2)/25)*Calculateur!DW143*Calculateur!DY143*VLOOKUP('Données projet'!$B$14,Paramètres!$A$1:$I$89,3,0)*0.475*44/12</f>
        <v>0.71883328407101243</v>
      </c>
      <c r="EC143" s="21">
        <f>EXP(-LN(2)/2)*EC142+(1-EXP(-LN(2)/2))/(LN(2)/2)*DW143*DZ143*VLOOKUP('Données projet'!$B$14,Paramètres!$A$1:$I$89,3,0)*0.475*44/12</f>
        <v>6.8453081300720044E-16</v>
      </c>
      <c r="ED143" s="22">
        <f t="shared" si="126"/>
        <v>1.0435629105472646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3.4106051316484809E-13</v>
      </c>
      <c r="EK143" s="17">
        <f>EJ143*VLOOKUP('Données projet'!$B$15,Paramètres!$A$1:$I$89,3,0)*VLOOKUP('Données projet'!$B$15,Paramètres!$A$1:$I$89,5,0)</f>
        <v>1.5074874681886286E-13</v>
      </c>
      <c r="EL143" s="13">
        <f t="shared" si="153"/>
        <v>2.1590218794584103E-12</v>
      </c>
      <c r="EM143" s="20">
        <f t="shared" si="127"/>
        <v>4.0228505074329168E-12</v>
      </c>
      <c r="EN143" s="59">
        <f t="shared" si="128"/>
        <v>293.33333333333735</v>
      </c>
      <c r="EO143" s="59">
        <f ca="1">AVERAGE(OFFSET($EN$3,0,0,'Données projet'!$E$15+1,1))-AVERAGE(OFFSET($H$3,0,0,'Données projet'!$E$15+1,1))</f>
        <v>335.27356627949155</v>
      </c>
      <c r="EP143" s="59">
        <f t="shared" si="154"/>
        <v>322.66829503077247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1.3244811706007154</v>
      </c>
      <c r="EX143" s="21">
        <f>EXP(-LN(2)/2)*EX142+(1-EXP(-LN(2)/2))/(LN(2)/2)*ER143*EU143*VLOOKUP('Données projet'!$B$15,Paramètres!$A$1:$I$89,3,0)*0.475*44/12</f>
        <v>9.8207952476349345E-16</v>
      </c>
      <c r="EY143" s="22">
        <f t="shared" si="129"/>
        <v>1.3244811706007162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-5.6843418860808015E-13</v>
      </c>
      <c r="O144" s="13">
        <f>N144*VLOOKUP('Données projet'!$B$9,Paramètres!$A$1:$I$89,3,0)*VLOOKUP('Données projet'!$B$9,Paramètres!$A$1:$I$89,5,0)</f>
        <v>-5.1431925385259092E-13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319.18811755575183</v>
      </c>
      <c r="T144" s="59">
        <f t="shared" si="142"/>
        <v>234.87694492493506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0.26733822227508997</v>
      </c>
      <c r="AA144" s="21">
        <f>EXP(-LN(2)/25)*AA143+(1-EXP(-LN(2)/25))/(LN(2)/25)*Calculateur!V144*Calculateur!X144*VLOOKUP('Données projet'!$B$9,Paramètres!$A$1:$I$89,3,0)*0.475*44/12</f>
        <v>0.5198097453799112</v>
      </c>
      <c r="AB144" s="21">
        <f>EXP(-LN(2)/2)*AB143+(1-EXP(-LN(2)/2))/(LN(2)/2)*V144*Y144*VLOOKUP('Données projet'!$B$9,Paramètres!$A$1:$I$89,3,0)*0.475*44/12</f>
        <v>4.2300914410620733E-16</v>
      </c>
      <c r="AC144" s="22">
        <f t="shared" si="111"/>
        <v>0.78714796765500161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-1.8089849618263545E-13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314.94704727988847</v>
      </c>
      <c r="AO144" s="59">
        <f t="shared" si="144"/>
        <v>366.49199094166454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0.43461219816132862</v>
      </c>
      <c r="AV144" s="21">
        <f>EXP(-LN(2)/25)*AV143+(1-EXP(-LN(2)/25))/(LN(2)/25)*Calculateur!AQ144*Calculateur!AS144*VLOOKUP('Données projet'!$B$10,Paramètres!$A$1:$I$89,3,0)*0.475*44/12</f>
        <v>1.1705187525121132</v>
      </c>
      <c r="AW144" s="21">
        <f>EXP(-LN(2)/2)*AW143+(1-EXP(-LN(2)/2))/(LN(2)/2)*AQ144*AT144*VLOOKUP('Données projet'!$B$10,Paramètres!$A$1:$I$89,3,0)*0.475*44/12</f>
        <v>5.6659213304251741E-16</v>
      </c>
      <c r="AX144" s="21">
        <f t="shared" si="114"/>
        <v>1.6051309506734426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-1.4897523215040565E-13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246.64951465060813</v>
      </c>
      <c r="BJ144" s="59">
        <f t="shared" si="146"/>
        <v>292.64550285216865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0.29038462074708066</v>
      </c>
      <c r="BQ144" s="21">
        <f>EXP(-LN(2)/25)*BQ143+(1-EXP(-LN(2)/25))/(LN(2)/25)*Calculateur!BL144*Calculateur!BN144*VLOOKUP('Données projet'!$B$11,Paramètres!$A$1:$I$89,3,0)*0.475*44/12</f>
        <v>0.78207801222230011</v>
      </c>
      <c r="BR144" s="21">
        <f>EXP(-LN(2)/2)*BR143+(1-EXP(-LN(2)/2))/(LN(2)/2)*BL144*BO144*VLOOKUP('Données projet'!$B$11,Paramètres!$A$1:$I$89,3,0)*0.475*44/12</f>
        <v>4.6660528603501436E-16</v>
      </c>
      <c r="BS144" s="22">
        <f t="shared" si="117"/>
        <v>1.0724626329693812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-1.5252226148732008E-13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254.25222107710192</v>
      </c>
      <c r="CE144" s="59">
        <f t="shared" si="148"/>
        <v>300.86609173447573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0.36643773570464933</v>
      </c>
      <c r="CL144" s="21">
        <f>EXP(-LN(2)/25)*CL143+(1-EXP(-LN(2)/25))/(LN(2)/25)*Calculateur!CG144*Calculateur!CI144*VLOOKUP('Données projet'!$B$12,Paramètres!$A$1:$I$89,3,0)*0.475*44/12</f>
        <v>0.98690796780433021</v>
      </c>
      <c r="CM144" s="21">
        <f>EXP(-LN(2)/2)*CM143+(1-EXP(-LN(2)/2))/(LN(2)/2)*CG144*CJ144*VLOOKUP('Données projet'!$B$12,Paramètres!$A$1:$I$89,3,0)*0.475*44/12</f>
        <v>4.7771493570251498E-16</v>
      </c>
      <c r="CN144" s="22">
        <f t="shared" si="120"/>
        <v>1.35334570350898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243.38048563215585</v>
      </c>
      <c r="CZ144" s="59">
        <f t="shared" si="150"/>
        <v>372.1604147006675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0.8112332262140669</v>
      </c>
      <c r="DG144" s="21">
        <f>EXP(-LN(2)/25)*DG143+(1-EXP(-LN(2)/25))/(LN(2)/25)*Calculateur!DB144*Calculateur!DD144*VLOOKUP('Données projet'!$B$13,Paramètres!$A$1:$I$89,3,0)*0.475*44/12</f>
        <v>0.89204476125809684</v>
      </c>
      <c r="DH144" s="21">
        <f>EXP(-LN(2)/2)*DH143+(1-EXP(-LN(2)/2))/(LN(2)/2)*DB144*DE144*VLOOKUP('Données projet'!$B$13,Paramètres!$A$1:$I$89,3,0)*0.475*44/12</f>
        <v>5.7533956231698987E-16</v>
      </c>
      <c r="DI144" s="22">
        <f t="shared" si="123"/>
        <v>1.7032779874721644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1.1368683772161603E-13</v>
      </c>
      <c r="DP144" s="17">
        <f>DO144*VLOOKUP('Données projet'!$B$14,Paramètres!$A$1:$I$89,3,0)*VLOOKUP('Données projet'!$B$14,Paramètres!$A$1:$I$89,5,0)</f>
        <v>6.5028871176764376E-14</v>
      </c>
      <c r="DQ144" s="13">
        <f t="shared" si="151"/>
        <v>1.0270999702906072E-12</v>
      </c>
      <c r="DR144" s="20">
        <f t="shared" si="124"/>
        <v>1.9021243988890057E-12</v>
      </c>
      <c r="DS144" s="59">
        <f t="shared" si="125"/>
        <v>293.33333333333519</v>
      </c>
      <c r="DT144" s="59">
        <f ca="1">AVERAGE(OFFSET($DS$3,0,0,'Données projet'!$E$14+1,1))-AVERAGE(OFFSET($H$3,0,0,'Données projet'!$E$14+1,1))</f>
        <v>227.99747790451215</v>
      </c>
      <c r="DU144" s="59">
        <f t="shared" si="152"/>
        <v>209.49597700966933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0.318361876566567</v>
      </c>
      <c r="EB144" s="21">
        <f>EXP(-LN(2)/25)*EB143+(1-EXP(-LN(2)/25))/(LN(2)/25)*Calculateur!DW144*Calculateur!DY144*VLOOKUP('Données projet'!$B$14,Paramètres!$A$1:$I$89,3,0)*0.475*44/12</f>
        <v>0.6991767501162911</v>
      </c>
      <c r="EC144" s="21">
        <f>EXP(-LN(2)/2)*EC143+(1-EXP(-LN(2)/2))/(LN(2)/2)*DW144*DZ144*VLOOKUP('Données projet'!$B$14,Paramètres!$A$1:$I$89,3,0)*0.475*44/12</f>
        <v>4.8403637980853195E-16</v>
      </c>
      <c r="ED144" s="22">
        <f t="shared" si="126"/>
        <v>1.0175386266828585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3.4106051316484809E-13</v>
      </c>
      <c r="EK144" s="17">
        <f>EJ144*VLOOKUP('Données projet'!$B$15,Paramètres!$A$1:$I$89,3,0)*VLOOKUP('Données projet'!$B$15,Paramètres!$A$1:$I$89,5,0)</f>
        <v>1.5074874681886286E-13</v>
      </c>
      <c r="EL144" s="13">
        <f t="shared" si="153"/>
        <v>2.1590218794584103E-12</v>
      </c>
      <c r="EM144" s="20">
        <f t="shared" si="127"/>
        <v>4.0228505074329168E-12</v>
      </c>
      <c r="EN144" s="59">
        <f t="shared" si="128"/>
        <v>293.33333333333735</v>
      </c>
      <c r="EO144" s="59">
        <f ca="1">AVERAGE(OFFSET($EN$3,0,0,'Données projet'!$E$15+1,1))-AVERAGE(OFFSET($H$3,0,0,'Données projet'!$E$15+1,1))</f>
        <v>335.27356627949155</v>
      </c>
      <c r="EP144" s="59">
        <f t="shared" si="154"/>
        <v>322.66829503077247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1.2882631633392012</v>
      </c>
      <c r="EX144" s="21">
        <f>EXP(-LN(2)/2)*EX143+(1-EXP(-LN(2)/2))/(LN(2)/2)*ER144*EU144*VLOOKUP('Données projet'!$B$15,Paramètres!$A$1:$I$89,3,0)*0.475*44/12</f>
        <v>6.9443509162472815E-16</v>
      </c>
      <c r="EY144" s="22">
        <f t="shared" si="129"/>
        <v>1.2882631633392019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-5.6843418860808015E-13</v>
      </c>
      <c r="O145" s="13">
        <f>N145*VLOOKUP('Données projet'!$B$9,Paramètres!$A$1:$I$89,3,0)*VLOOKUP('Données projet'!$B$9,Paramètres!$A$1:$I$89,5,0)</f>
        <v>-5.1431925385259092E-13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319.18811755575183</v>
      </c>
      <c r="T145" s="59">
        <f t="shared" si="142"/>
        <v>234.87694492493506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0.26209588279649015</v>
      </c>
      <c r="AA145" s="21">
        <f>EXP(-LN(2)/25)*AA144+(1-EXP(-LN(2)/25))/(LN(2)/25)*Calculateur!V145*Calculateur!X145*VLOOKUP('Données projet'!$B$9,Paramètres!$A$1:$I$89,3,0)*0.475*44/12</f>
        <v>0.50559552055689105</v>
      </c>
      <c r="AB145" s="21">
        <f>EXP(-LN(2)/2)*AB144+(1-EXP(-LN(2)/2))/(LN(2)/2)*V145*Y145*VLOOKUP('Données projet'!$B$9,Paramètres!$A$1:$I$89,3,0)*0.475*44/12</f>
        <v>2.9911263430141669E-16</v>
      </c>
      <c r="AC145" s="22">
        <f t="shared" si="111"/>
        <v>0.7676914033533816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-1.8089849618263545E-13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314.94704727988847</v>
      </c>
      <c r="AO145" s="59">
        <f t="shared" si="144"/>
        <v>366.49199094166454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0.42608971804265067</v>
      </c>
      <c r="AV145" s="21">
        <f>EXP(-LN(2)/25)*AV144+(1-EXP(-LN(2)/25))/(LN(2)/25)*Calculateur!AQ145*Calculateur!AS145*VLOOKUP('Données projet'!$B$10,Paramètres!$A$1:$I$89,3,0)*0.475*44/12</f>
        <v>1.1385108556697636</v>
      </c>
      <c r="AW145" s="21">
        <f>EXP(-LN(2)/2)*AW144+(1-EXP(-LN(2)/2))/(LN(2)/2)*AQ145*AT145*VLOOKUP('Données projet'!$B$10,Paramètres!$A$1:$I$89,3,0)*0.475*44/12</f>
        <v>4.0064113944131459E-16</v>
      </c>
      <c r="AX145" s="21">
        <f t="shared" si="114"/>
        <v>1.5646005737124147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-1.4897523215040565E-13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246.64951465060813</v>
      </c>
      <c r="BJ145" s="59">
        <f t="shared" si="146"/>
        <v>292.64550285216865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0.28469035545136018</v>
      </c>
      <c r="BQ145" s="21">
        <f>EXP(-LN(2)/25)*BQ144+(1-EXP(-LN(2)/25))/(LN(2)/25)*Calculateur!BL145*Calculateur!BN145*VLOOKUP('Données projet'!$B$11,Paramètres!$A$1:$I$89,3,0)*0.475*44/12</f>
        <v>0.76069204785038613</v>
      </c>
      <c r="BR145" s="21">
        <f>EXP(-LN(2)/2)*BR144+(1-EXP(-LN(2)/2))/(LN(2)/2)*BL145*BO145*VLOOKUP('Données projet'!$B$11,Paramètres!$A$1:$I$89,3,0)*0.475*44/12</f>
        <v>3.2993976189284732E-16</v>
      </c>
      <c r="BS145" s="22">
        <f t="shared" si="117"/>
        <v>1.0453824033017465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-1.5252226148732008E-13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254.25222107710192</v>
      </c>
      <c r="CE145" s="59">
        <f t="shared" si="148"/>
        <v>300.86609173447573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0.35925211521243067</v>
      </c>
      <c r="CL145" s="21">
        <f>EXP(-LN(2)/25)*CL144+(1-EXP(-LN(2)/25))/(LN(2)/25)*Calculateur!CG145*Calculateur!CI145*VLOOKUP('Données projet'!$B$12,Paramètres!$A$1:$I$89,3,0)*0.475*44/12</f>
        <v>0.95992091752548636</v>
      </c>
      <c r="CM145" s="21">
        <f>EXP(-LN(2)/2)*CM144+(1-EXP(-LN(2)/2))/(LN(2)/2)*CG145*CJ145*VLOOKUP('Données projet'!$B$12,Paramètres!$A$1:$I$89,3,0)*0.475*44/12</f>
        <v>3.3779547050934388E-16</v>
      </c>
      <c r="CN145" s="22">
        <f t="shared" si="120"/>
        <v>1.3191730327379174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243.38048563215585</v>
      </c>
      <c r="CZ145" s="59">
        <f t="shared" si="150"/>
        <v>372.1604147006675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0.79532543745141926</v>
      </c>
      <c r="DG145" s="21">
        <f>EXP(-LN(2)/25)*DG144+(1-EXP(-LN(2)/25))/(LN(2)/25)*Calculateur!DB145*Calculateur!DD145*VLOOKUP('Données projet'!$B$13,Paramètres!$A$1:$I$89,3,0)*0.475*44/12</f>
        <v>0.86765175035089903</v>
      </c>
      <c r="DH145" s="21">
        <f>EXP(-LN(2)/2)*DH144+(1-EXP(-LN(2)/2))/(LN(2)/2)*DB145*DE145*VLOOKUP('Données projet'!$B$13,Paramètres!$A$1:$I$89,3,0)*0.475*44/12</f>
        <v>4.0682650599924378E-16</v>
      </c>
      <c r="DI145" s="22">
        <f t="shared" si="123"/>
        <v>1.6629771878023187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1.1368683772161603E-13</v>
      </c>
      <c r="DP145" s="17">
        <f>DO145*VLOOKUP('Données projet'!$B$14,Paramètres!$A$1:$I$89,3,0)*VLOOKUP('Données projet'!$B$14,Paramètres!$A$1:$I$89,5,0)</f>
        <v>6.5028871176764376E-14</v>
      </c>
      <c r="DQ145" s="13">
        <f t="shared" si="151"/>
        <v>1.0270999702906072E-12</v>
      </c>
      <c r="DR145" s="20">
        <f t="shared" si="124"/>
        <v>1.9021243988890057E-12</v>
      </c>
      <c r="DS145" s="59">
        <f t="shared" si="125"/>
        <v>293.33333333333519</v>
      </c>
      <c r="DT145" s="59">
        <f ca="1">AVERAGE(OFFSET($DS$3,0,0,'Données projet'!$E$14+1,1))-AVERAGE(OFFSET($H$3,0,0,'Données projet'!$E$14+1,1))</f>
        <v>227.99747790451215</v>
      </c>
      <c r="DU145" s="59">
        <f t="shared" si="152"/>
        <v>209.49597700966933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0.31211899434866747</v>
      </c>
      <c r="EB145" s="21">
        <f>EXP(-LN(2)/25)*EB144+(1-EXP(-LN(2)/25))/(LN(2)/25)*Calculateur!DW145*Calculateur!DY145*VLOOKUP('Données projet'!$B$14,Paramètres!$A$1:$I$89,3,0)*0.475*44/12</f>
        <v>0.68005772511625384</v>
      </c>
      <c r="EC145" s="21">
        <f>EXP(-LN(2)/2)*EC144+(1-EXP(-LN(2)/2))/(LN(2)/2)*DW145*DZ145*VLOOKUP('Données projet'!$B$14,Paramètres!$A$1:$I$89,3,0)*0.475*44/12</f>
        <v>3.4226540650360022E-16</v>
      </c>
      <c r="ED145" s="22">
        <f t="shared" si="126"/>
        <v>0.9921767194649217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3.4106051316484809E-13</v>
      </c>
      <c r="EK145" s="17">
        <f>EJ145*VLOOKUP('Données projet'!$B$15,Paramètres!$A$1:$I$89,3,0)*VLOOKUP('Données projet'!$B$15,Paramètres!$A$1:$I$89,5,0)</f>
        <v>1.5074874681886286E-13</v>
      </c>
      <c r="EL145" s="13">
        <f t="shared" si="153"/>
        <v>2.1590218794584103E-12</v>
      </c>
      <c r="EM145" s="20">
        <f t="shared" si="127"/>
        <v>4.0228505074329168E-12</v>
      </c>
      <c r="EN145" s="59">
        <f t="shared" si="128"/>
        <v>293.33333333333735</v>
      </c>
      <c r="EO145" s="59">
        <f ca="1">AVERAGE(OFFSET($EN$3,0,0,'Données projet'!$E$15+1,1))-AVERAGE(OFFSET($H$3,0,0,'Données projet'!$E$15+1,1))</f>
        <v>335.27356627949155</v>
      </c>
      <c r="EP145" s="59">
        <f t="shared" si="154"/>
        <v>322.66829503077247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1.2530355393908754</v>
      </c>
      <c r="EX145" s="21">
        <f>EXP(-LN(2)/2)*EX144+(1-EXP(-LN(2)/2))/(LN(2)/2)*ER145*EU145*VLOOKUP('Données projet'!$B$15,Paramètres!$A$1:$I$89,3,0)*0.475*44/12</f>
        <v>4.9103976238174672E-16</v>
      </c>
      <c r="EY145" s="22">
        <f t="shared" si="129"/>
        <v>1.2530355393908759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-5.6843418860808015E-13</v>
      </c>
      <c r="O146" s="13">
        <f>N146*VLOOKUP('Données projet'!$B$9,Paramètres!$A$1:$I$89,3,0)*VLOOKUP('Données projet'!$B$9,Paramètres!$A$1:$I$89,5,0)</f>
        <v>-5.1431925385259092E-13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319.18811755575183</v>
      </c>
      <c r="T146" s="59">
        <f t="shared" si="142"/>
        <v>234.87694492493506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0.25695634239755438</v>
      </c>
      <c r="AA146" s="21">
        <f>EXP(-LN(2)/25)*AA145+(1-EXP(-LN(2)/25))/(LN(2)/25)*Calculateur!V146*Calculateur!X146*VLOOKUP('Données projet'!$B$9,Paramètres!$A$1:$I$89,3,0)*0.475*44/12</f>
        <v>0.49176998445914999</v>
      </c>
      <c r="AB146" s="21">
        <f>EXP(-LN(2)/2)*AB145+(1-EXP(-LN(2)/2))/(LN(2)/2)*V146*Y146*VLOOKUP('Données projet'!$B$9,Paramètres!$A$1:$I$89,3,0)*0.475*44/12</f>
        <v>2.1150457205310367E-16</v>
      </c>
      <c r="AC146" s="22">
        <f t="shared" si="111"/>
        <v>0.74872632685670459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-1.8089849618263545E-13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314.94704727988847</v>
      </c>
      <c r="AO146" s="59">
        <f t="shared" si="144"/>
        <v>366.49199094166454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0.41773435856090035</v>
      </c>
      <c r="AV146" s="21">
        <f>EXP(-LN(2)/25)*AV145+(1-EXP(-LN(2)/25))/(LN(2)/25)*Calculateur!AQ146*Calculateur!AS146*VLOOKUP('Données projet'!$B$10,Paramètres!$A$1:$I$89,3,0)*0.475*44/12</f>
        <v>1.1073782164497901</v>
      </c>
      <c r="AW146" s="21">
        <f>EXP(-LN(2)/2)*AW145+(1-EXP(-LN(2)/2))/(LN(2)/2)*AQ146*AT146*VLOOKUP('Données projet'!$B$10,Paramètres!$A$1:$I$89,3,0)*0.475*44/12</f>
        <v>2.832960665212587E-16</v>
      </c>
      <c r="AX146" s="21">
        <f t="shared" si="114"/>
        <v>1.5251125750106906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-1.4897523215040565E-13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246.64951465060813</v>
      </c>
      <c r="BJ146" s="59">
        <f t="shared" si="146"/>
        <v>292.64550285216865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0.27910775122492992</v>
      </c>
      <c r="BQ146" s="21">
        <f>EXP(-LN(2)/25)*BQ145+(1-EXP(-LN(2)/25))/(LN(2)/25)*Calculateur!BL146*Calculateur!BN146*VLOOKUP('Données projet'!$B$11,Paramètres!$A$1:$I$89,3,0)*0.475*44/12</f>
        <v>0.73989088379886114</v>
      </c>
      <c r="BR146" s="21">
        <f>EXP(-LN(2)/2)*BR145+(1-EXP(-LN(2)/2))/(LN(2)/2)*BL146*BO146*VLOOKUP('Données projet'!$B$11,Paramètres!$A$1:$I$89,3,0)*0.475*44/12</f>
        <v>2.3330264301750718E-16</v>
      </c>
      <c r="BS146" s="22">
        <f t="shared" si="117"/>
        <v>1.0189986350237914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-1.5252226148732008E-13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254.25222107710192</v>
      </c>
      <c r="CE146" s="59">
        <f t="shared" si="148"/>
        <v>300.86609173447573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0.35220740035526865</v>
      </c>
      <c r="CL146" s="21">
        <f>EXP(-LN(2)/25)*CL145+(1-EXP(-LN(2)/25))/(LN(2)/25)*Calculateur!CG146*Calculateur!CI146*VLOOKUP('Données projet'!$B$12,Paramètres!$A$1:$I$89,3,0)*0.475*44/12</f>
        <v>0.93367182955570482</v>
      </c>
      <c r="CM146" s="21">
        <f>EXP(-LN(2)/2)*CM145+(1-EXP(-LN(2)/2))/(LN(2)/2)*CG146*CJ146*VLOOKUP('Données projet'!$B$12,Paramètres!$A$1:$I$89,3,0)*0.475*44/12</f>
        <v>2.3885746785125749E-16</v>
      </c>
      <c r="CN146" s="22">
        <f t="shared" si="120"/>
        <v>1.2858792299109736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243.38048563215585</v>
      </c>
      <c r="CZ146" s="59">
        <f t="shared" si="150"/>
        <v>372.1604147006675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0.77972959072361403</v>
      </c>
      <c r="DG146" s="21">
        <f>EXP(-LN(2)/25)*DG145+(1-EXP(-LN(2)/25))/(LN(2)/25)*Calculateur!DB146*Calculateur!DD146*VLOOKUP('Données projet'!$B$13,Paramètres!$A$1:$I$89,3,0)*0.475*44/12</f>
        <v>0.84392576760973115</v>
      </c>
      <c r="DH146" s="21">
        <f>EXP(-LN(2)/2)*DH145+(1-EXP(-LN(2)/2))/(LN(2)/2)*DB146*DE146*VLOOKUP('Données projet'!$B$13,Paramètres!$A$1:$I$89,3,0)*0.475*44/12</f>
        <v>2.8766978115849493E-16</v>
      </c>
      <c r="DI146" s="22">
        <f t="shared" si="123"/>
        <v>1.6236553583333453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1.1368683772161603E-13</v>
      </c>
      <c r="DP146" s="17">
        <f>DO146*VLOOKUP('Données projet'!$B$14,Paramètres!$A$1:$I$89,3,0)*VLOOKUP('Données projet'!$B$14,Paramètres!$A$1:$I$89,5,0)</f>
        <v>6.5028871176764376E-14</v>
      </c>
      <c r="DQ146" s="13">
        <f t="shared" si="151"/>
        <v>1.0270999702906072E-12</v>
      </c>
      <c r="DR146" s="20">
        <f t="shared" si="124"/>
        <v>1.9021243988890057E-12</v>
      </c>
      <c r="DS146" s="59">
        <f t="shared" si="125"/>
        <v>293.33333333333519</v>
      </c>
      <c r="DT146" s="59">
        <f ca="1">AVERAGE(OFFSET($DS$3,0,0,'Données projet'!$E$14+1,1))-AVERAGE(OFFSET($H$3,0,0,'Données projet'!$E$14+1,1))</f>
        <v>227.99747790451215</v>
      </c>
      <c r="DU146" s="59">
        <f t="shared" si="152"/>
        <v>209.49597700966933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0.3059985312432788</v>
      </c>
      <c r="EB146" s="21">
        <f>EXP(-LN(2)/25)*EB145+(1-EXP(-LN(2)/25))/(LN(2)/25)*Calculateur!DW146*Calculateur!DY146*VLOOKUP('Données projet'!$B$14,Paramètres!$A$1:$I$89,3,0)*0.475*44/12</f>
        <v>0.66146151086026839</v>
      </c>
      <c r="EC146" s="21">
        <f>EXP(-LN(2)/2)*EC145+(1-EXP(-LN(2)/2))/(LN(2)/2)*DW146*DZ146*VLOOKUP('Données projet'!$B$14,Paramètres!$A$1:$I$89,3,0)*0.475*44/12</f>
        <v>2.4201818990426598E-16</v>
      </c>
      <c r="ED146" s="22">
        <f t="shared" si="126"/>
        <v>0.96746004210354741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3.4106051316484809E-13</v>
      </c>
      <c r="EK146" s="17">
        <f>EJ146*VLOOKUP('Données projet'!$B$15,Paramètres!$A$1:$I$89,3,0)*VLOOKUP('Données projet'!$B$15,Paramètres!$A$1:$I$89,5,0)</f>
        <v>1.5074874681886286E-13</v>
      </c>
      <c r="EL146" s="13">
        <f t="shared" si="153"/>
        <v>2.1590218794584103E-12</v>
      </c>
      <c r="EM146" s="20">
        <f t="shared" si="127"/>
        <v>4.0228505074329168E-12</v>
      </c>
      <c r="EN146" s="59">
        <f t="shared" si="128"/>
        <v>293.33333333333735</v>
      </c>
      <c r="EO146" s="59">
        <f ca="1">AVERAGE(OFFSET($EN$3,0,0,'Données projet'!$E$15+1,1))-AVERAGE(OFFSET($H$3,0,0,'Données projet'!$E$15+1,1))</f>
        <v>335.27356627949155</v>
      </c>
      <c r="EP146" s="59">
        <f t="shared" si="154"/>
        <v>322.66829503077247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1.2187712166719569</v>
      </c>
      <c r="EX146" s="21">
        <f>EXP(-LN(2)/2)*EX145+(1-EXP(-LN(2)/2))/(LN(2)/2)*ER146*EU146*VLOOKUP('Données projet'!$B$15,Paramètres!$A$1:$I$89,3,0)*0.475*44/12</f>
        <v>3.4721754581236408E-16</v>
      </c>
      <c r="EY146" s="22">
        <f t="shared" si="129"/>
        <v>1.2187712166719573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-5.6843418860808015E-13</v>
      </c>
      <c r="O147" s="13">
        <f>N147*VLOOKUP('Données projet'!$B$9,Paramètres!$A$1:$I$89,3,0)*VLOOKUP('Données projet'!$B$9,Paramètres!$A$1:$I$89,5,0)</f>
        <v>-5.1431925385259092E-13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319.18811755575183</v>
      </c>
      <c r="T147" s="59">
        <f t="shared" si="142"/>
        <v>234.87694492493506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0.25191758525103158</v>
      </c>
      <c r="AA147" s="21">
        <f>EXP(-LN(2)/25)*AA146+(1-EXP(-LN(2)/25))/(LN(2)/25)*Calculateur!V147*Calculateur!X147*VLOOKUP('Données projet'!$B$9,Paramètres!$A$1:$I$89,3,0)*0.475*44/12</f>
        <v>0.47832250837305501</v>
      </c>
      <c r="AB147" s="21">
        <f>EXP(-LN(2)/2)*AB146+(1-EXP(-LN(2)/2))/(LN(2)/2)*V147*Y147*VLOOKUP('Données projet'!$B$9,Paramètres!$A$1:$I$89,3,0)*0.475*44/12</f>
        <v>1.4955631715070835E-16</v>
      </c>
      <c r="AC147" s="22">
        <f t="shared" si="111"/>
        <v>0.73024009362408671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-1.8089849618263545E-13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314.94704727988847</v>
      </c>
      <c r="AO147" s="59">
        <f t="shared" si="144"/>
        <v>366.49199094166454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0.4095428425823211</v>
      </c>
      <c r="AV147" s="21">
        <f>EXP(-LN(2)/25)*AV146+(1-EXP(-LN(2)/25))/(LN(2)/25)*Calculateur!AQ147*Calculateur!AS147*VLOOKUP('Données projet'!$B$10,Paramètres!$A$1:$I$89,3,0)*0.475*44/12</f>
        <v>1.077096900886481</v>
      </c>
      <c r="AW147" s="21">
        <f>EXP(-LN(2)/2)*AW146+(1-EXP(-LN(2)/2))/(LN(2)/2)*AQ147*AT147*VLOOKUP('Données projet'!$B$10,Paramètres!$A$1:$I$89,3,0)*0.475*44/12</f>
        <v>2.0032056972065729E-16</v>
      </c>
      <c r="AX147" s="21">
        <f t="shared" si="114"/>
        <v>1.4866397434688023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-1.4897523215040565E-13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246.64951465060813</v>
      </c>
      <c r="BJ147" s="59">
        <f t="shared" si="146"/>
        <v>292.64550285216865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0.27363461846232762</v>
      </c>
      <c r="BQ147" s="21">
        <f>EXP(-LN(2)/25)*BQ146+(1-EXP(-LN(2)/25))/(LN(2)/25)*Calculateur!BL147*Calculateur!BN147*VLOOKUP('Données projet'!$B$11,Paramètres!$A$1:$I$89,3,0)*0.475*44/12</f>
        <v>0.7196585286722107</v>
      </c>
      <c r="BR147" s="21">
        <f>EXP(-LN(2)/2)*BR146+(1-EXP(-LN(2)/2))/(LN(2)/2)*BL147*BO147*VLOOKUP('Données projet'!$B$11,Paramètres!$A$1:$I$89,3,0)*0.475*44/12</f>
        <v>1.6496988094642366E-16</v>
      </c>
      <c r="BS147" s="22">
        <f t="shared" si="117"/>
        <v>0.99329314713453842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-1.5252226148732008E-13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254.25222107710192</v>
      </c>
      <c r="CE147" s="59">
        <f t="shared" si="148"/>
        <v>300.86609173447573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0.34530082805960383</v>
      </c>
      <c r="CL147" s="21">
        <f>EXP(-LN(2)/25)*CL146+(1-EXP(-LN(2)/25))/(LN(2)/25)*Calculateur!CG147*Calculateur!CI147*VLOOKUP('Données projet'!$B$12,Paramètres!$A$1:$I$89,3,0)*0.475*44/12</f>
        <v>0.90814052427683645</v>
      </c>
      <c r="CM147" s="21">
        <f>EXP(-LN(2)/2)*CM146+(1-EXP(-LN(2)/2))/(LN(2)/2)*CG147*CJ147*VLOOKUP('Données projet'!$B$12,Paramètres!$A$1:$I$89,3,0)*0.475*44/12</f>
        <v>1.6889773525467194E-16</v>
      </c>
      <c r="CN147" s="22">
        <f t="shared" si="120"/>
        <v>1.2534413523364405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243.38048563215585</v>
      </c>
      <c r="CZ147" s="59">
        <f t="shared" si="150"/>
        <v>372.1604147006675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0.7644395690376139</v>
      </c>
      <c r="DG147" s="21">
        <f>EXP(-LN(2)/25)*DG146+(1-EXP(-LN(2)/25))/(LN(2)/25)*Calculateur!DB147*Calculateur!DD147*VLOOKUP('Données projet'!$B$13,Paramètres!$A$1:$I$89,3,0)*0.475*44/12</f>
        <v>0.8208485731143158</v>
      </c>
      <c r="DH147" s="21">
        <f>EXP(-LN(2)/2)*DH146+(1-EXP(-LN(2)/2))/(LN(2)/2)*DB147*DE147*VLOOKUP('Données projet'!$B$13,Paramètres!$A$1:$I$89,3,0)*0.475*44/12</f>
        <v>2.0341325299962189E-16</v>
      </c>
      <c r="DI147" s="22">
        <f t="shared" si="123"/>
        <v>1.5852881421519298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1.1368683772161603E-13</v>
      </c>
      <c r="DP147" s="17">
        <f>DO147*VLOOKUP('Données projet'!$B$14,Paramètres!$A$1:$I$89,3,0)*VLOOKUP('Données projet'!$B$14,Paramètres!$A$1:$I$89,5,0)</f>
        <v>6.5028871176764376E-14</v>
      </c>
      <c r="DQ147" s="13">
        <f t="shared" si="151"/>
        <v>1.0270999702906072E-12</v>
      </c>
      <c r="DR147" s="20">
        <f t="shared" si="124"/>
        <v>1.9021243988890057E-12</v>
      </c>
      <c r="DS147" s="59">
        <f t="shared" si="125"/>
        <v>293.33333333333519</v>
      </c>
      <c r="DT147" s="59">
        <f ca="1">AVERAGE(OFFSET($DS$3,0,0,'Données projet'!$E$14+1,1))-AVERAGE(OFFSET($H$3,0,0,'Données projet'!$E$14+1,1))</f>
        <v>227.99747790451215</v>
      </c>
      <c r="DU147" s="59">
        <f t="shared" si="152"/>
        <v>209.49597700966933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0.29999808668627292</v>
      </c>
      <c r="EB147" s="21">
        <f>EXP(-LN(2)/25)*EB146+(1-EXP(-LN(2)/25))/(LN(2)/25)*Calculateur!DW147*Calculateur!DY147*VLOOKUP('Données projet'!$B$14,Paramètres!$A$1:$I$89,3,0)*0.475*44/12</f>
        <v>0.6433738110610453</v>
      </c>
      <c r="EC147" s="21">
        <f>EXP(-LN(2)/2)*EC146+(1-EXP(-LN(2)/2))/(LN(2)/2)*DW147*DZ147*VLOOKUP('Données projet'!$B$14,Paramètres!$A$1:$I$89,3,0)*0.475*44/12</f>
        <v>1.7113270325180011E-16</v>
      </c>
      <c r="ED147" s="22">
        <f t="shared" si="126"/>
        <v>0.94337189774731844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3.4106051316484809E-13</v>
      </c>
      <c r="EK147" s="17">
        <f>EJ147*VLOOKUP('Données projet'!$B$15,Paramètres!$A$1:$I$89,3,0)*VLOOKUP('Données projet'!$B$15,Paramètres!$A$1:$I$89,5,0)</f>
        <v>1.5074874681886286E-13</v>
      </c>
      <c r="EL147" s="13">
        <f t="shared" si="153"/>
        <v>2.1590218794584103E-12</v>
      </c>
      <c r="EM147" s="20">
        <f t="shared" si="127"/>
        <v>4.0228505074329168E-12</v>
      </c>
      <c r="EN147" s="59">
        <f t="shared" si="128"/>
        <v>293.33333333333735</v>
      </c>
      <c r="EO147" s="59">
        <f ca="1">AVERAGE(OFFSET($EN$3,0,0,'Données projet'!$E$15+1,1))-AVERAGE(OFFSET($H$3,0,0,'Données projet'!$E$15+1,1))</f>
        <v>335.27356627949155</v>
      </c>
      <c r="EP147" s="59">
        <f t="shared" si="154"/>
        <v>322.66829503077247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1.1854438536596694</v>
      </c>
      <c r="EX147" s="21">
        <f>EXP(-LN(2)/2)*EX146+(1-EXP(-LN(2)/2))/(LN(2)/2)*ER147*EU147*VLOOKUP('Données projet'!$B$15,Paramètres!$A$1:$I$89,3,0)*0.475*44/12</f>
        <v>2.4551988119087336E-16</v>
      </c>
      <c r="EY147" s="22">
        <f t="shared" si="129"/>
        <v>1.1854438536596696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-5.6843418860808015E-13</v>
      </c>
      <c r="O148" s="13">
        <f>N148*VLOOKUP('Données projet'!$B$9,Paramètres!$A$1:$I$89,3,0)*VLOOKUP('Données projet'!$B$9,Paramètres!$A$1:$I$89,5,0)</f>
        <v>-5.1431925385259092E-13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319.18811755575183</v>
      </c>
      <c r="T148" s="59">
        <f t="shared" si="142"/>
        <v>234.87694492493506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0.24697763505881373</v>
      </c>
      <c r="AA148" s="21">
        <f>EXP(-LN(2)/25)*AA147+(1-EXP(-LN(2)/25))/(LN(2)/25)*Calculateur!V148*Calculateur!X148*VLOOKUP('Données projet'!$B$9,Paramètres!$A$1:$I$89,3,0)*0.475*44/12</f>
        <v>0.46524275422770633</v>
      </c>
      <c r="AB148" s="21">
        <f>EXP(-LN(2)/2)*AB147+(1-EXP(-LN(2)/2))/(LN(2)/2)*V148*Y148*VLOOKUP('Données projet'!$B$9,Paramètres!$A$1:$I$89,3,0)*0.475*44/12</f>
        <v>1.0575228602655183E-16</v>
      </c>
      <c r="AC148" s="22">
        <f t="shared" si="111"/>
        <v>0.71222038928652021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-1.8089849618263545E-13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314.94704727988847</v>
      </c>
      <c r="AO148" s="59">
        <f t="shared" si="144"/>
        <v>366.49199094166454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0.40151195723575039</v>
      </c>
      <c r="AV148" s="21">
        <f>EXP(-LN(2)/25)*AV147+(1-EXP(-LN(2)/25))/(LN(2)/25)*Calculateur!AQ148*Calculateur!AS148*VLOOKUP('Données projet'!$B$10,Paramètres!$A$1:$I$89,3,0)*0.475*44/12</f>
        <v>1.0476436294896758</v>
      </c>
      <c r="AW148" s="21">
        <f>EXP(-LN(2)/2)*AW147+(1-EXP(-LN(2)/2))/(LN(2)/2)*AQ148*AT148*VLOOKUP('Données projet'!$B$10,Paramètres!$A$1:$I$89,3,0)*0.475*44/12</f>
        <v>1.4164803326062935E-16</v>
      </c>
      <c r="AX148" s="21">
        <f t="shared" si="114"/>
        <v>1.4491555867254264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-1.4897523215040565E-13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246.64951465060813</v>
      </c>
      <c r="BJ148" s="59">
        <f t="shared" si="146"/>
        <v>292.64550285216865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0.26826881049491857</v>
      </c>
      <c r="BQ148" s="21">
        <f>EXP(-LN(2)/25)*BQ147+(1-EXP(-LN(2)/25))/(LN(2)/25)*Calculateur!BL148*Calculateur!BN148*VLOOKUP('Données projet'!$B$11,Paramètres!$A$1:$I$89,3,0)*0.475*44/12</f>
        <v>0.69997942836047189</v>
      </c>
      <c r="BR148" s="21">
        <f>EXP(-LN(2)/2)*BR147+(1-EXP(-LN(2)/2))/(LN(2)/2)*BL148*BO148*VLOOKUP('Données projet'!$B$11,Paramètres!$A$1:$I$89,3,0)*0.475*44/12</f>
        <v>1.1665132150875359E-16</v>
      </c>
      <c r="BS148" s="22">
        <f t="shared" si="117"/>
        <v>0.96824823885539057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-1.5252226148732008E-13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254.25222107710192</v>
      </c>
      <c r="CE148" s="59">
        <f t="shared" si="148"/>
        <v>300.86609173447573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0.33852968943406381</v>
      </c>
      <c r="CL148" s="21">
        <f>EXP(-LN(2)/25)*CL147+(1-EXP(-LN(2)/25))/(LN(2)/25)*Calculateur!CG148*Calculateur!CI148*VLOOKUP('Données projet'!$B$12,Paramètres!$A$1:$I$89,3,0)*0.475*44/12</f>
        <v>0.88330737388345182</v>
      </c>
      <c r="CM148" s="21">
        <f>EXP(-LN(2)/2)*CM147+(1-EXP(-LN(2)/2))/(LN(2)/2)*CG148*CJ148*VLOOKUP('Données projet'!$B$12,Paramètres!$A$1:$I$89,3,0)*0.475*44/12</f>
        <v>1.1942873392562874E-16</v>
      </c>
      <c r="CN148" s="22">
        <f t="shared" si="120"/>
        <v>1.2218370633175157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243.38048563215585</v>
      </c>
      <c r="CZ148" s="59">
        <f t="shared" si="150"/>
        <v>372.1604147006675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0.74944937535088385</v>
      </c>
      <c r="DG148" s="21">
        <f>EXP(-LN(2)/25)*DG147+(1-EXP(-LN(2)/25))/(LN(2)/25)*Calculateur!DB148*Calculateur!DD148*VLOOKUP('Données projet'!$B$13,Paramètres!$A$1:$I$89,3,0)*0.475*44/12</f>
        <v>0.79840242571595443</v>
      </c>
      <c r="DH148" s="21">
        <f>EXP(-LN(2)/2)*DH147+(1-EXP(-LN(2)/2))/(LN(2)/2)*DB148*DE148*VLOOKUP('Données projet'!$B$13,Paramètres!$A$1:$I$89,3,0)*0.475*44/12</f>
        <v>1.4383489057924747E-16</v>
      </c>
      <c r="DI148" s="22">
        <f t="shared" si="123"/>
        <v>1.5478518010668385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1.1368683772161603E-13</v>
      </c>
      <c r="DP148" s="17">
        <f>DO148*VLOOKUP('Données projet'!$B$14,Paramètres!$A$1:$I$89,3,0)*VLOOKUP('Données projet'!$B$14,Paramètres!$A$1:$I$89,5,0)</f>
        <v>6.5028871176764376E-14</v>
      </c>
      <c r="DQ148" s="13">
        <f t="shared" si="151"/>
        <v>1.0270999702906072E-12</v>
      </c>
      <c r="DR148" s="20">
        <f t="shared" si="124"/>
        <v>1.9021243988890057E-12</v>
      </c>
      <c r="DS148" s="59">
        <f t="shared" si="125"/>
        <v>293.33333333333519</v>
      </c>
      <c r="DT148" s="59">
        <f ca="1">AVERAGE(OFFSET($DS$3,0,0,'Données projet'!$E$14+1,1))-AVERAGE(OFFSET($H$3,0,0,'Données projet'!$E$14+1,1))</f>
        <v>227.99747790451215</v>
      </c>
      <c r="DU148" s="59">
        <f t="shared" si="152"/>
        <v>209.49597700966933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0.29411530718712015</v>
      </c>
      <c r="EB148" s="21">
        <f>EXP(-LN(2)/25)*EB147+(1-EXP(-LN(2)/25))/(LN(2)/25)*Calculateur!DW148*Calculateur!DY148*VLOOKUP('Données projet'!$B$14,Paramètres!$A$1:$I$89,3,0)*0.475*44/12</f>
        <v>0.62578072036402277</v>
      </c>
      <c r="EC148" s="21">
        <f>EXP(-LN(2)/2)*EC147+(1-EXP(-LN(2)/2))/(LN(2)/2)*DW148*DZ148*VLOOKUP('Données projet'!$B$14,Paramètres!$A$1:$I$89,3,0)*0.475*44/12</f>
        <v>1.2100909495213299E-16</v>
      </c>
      <c r="ED148" s="22">
        <f t="shared" si="126"/>
        <v>0.91989602755114308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3.4106051316484809E-13</v>
      </c>
      <c r="EK148" s="17">
        <f>EJ148*VLOOKUP('Données projet'!$B$15,Paramètres!$A$1:$I$89,3,0)*VLOOKUP('Données projet'!$B$15,Paramètres!$A$1:$I$89,5,0)</f>
        <v>1.5074874681886286E-13</v>
      </c>
      <c r="EL148" s="13">
        <f t="shared" si="153"/>
        <v>2.1590218794584103E-12</v>
      </c>
      <c r="EM148" s="20">
        <f t="shared" si="127"/>
        <v>4.0228505074329168E-12</v>
      </c>
      <c r="EN148" s="59">
        <f t="shared" si="128"/>
        <v>293.33333333333735</v>
      </c>
      <c r="EO148" s="59">
        <f ca="1">AVERAGE(OFFSET($EN$3,0,0,'Données projet'!$E$15+1,1))-AVERAGE(OFFSET($H$3,0,0,'Données projet'!$E$15+1,1))</f>
        <v>335.27356627949155</v>
      </c>
      <c r="EP148" s="59">
        <f t="shared" si="154"/>
        <v>322.66829503077247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1.1530278291415628</v>
      </c>
      <c r="EX148" s="21">
        <f>EXP(-LN(2)/2)*EX147+(1-EXP(-LN(2)/2))/(LN(2)/2)*ER148*EU148*VLOOKUP('Données projet'!$B$15,Paramètres!$A$1:$I$89,3,0)*0.475*44/12</f>
        <v>1.7360877290618204E-16</v>
      </c>
      <c r="EY148" s="22">
        <f t="shared" si="129"/>
        <v>1.153027829141563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-5.6843418860808015E-13</v>
      </c>
      <c r="O149" s="13">
        <f>N149*VLOOKUP('Données projet'!$B$9,Paramètres!$A$1:$I$89,3,0)*VLOOKUP('Données projet'!$B$9,Paramètres!$A$1:$I$89,5,0)</f>
        <v>-5.1431925385259092E-13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319.18811755575183</v>
      </c>
      <c r="T149" s="59">
        <f t="shared" si="142"/>
        <v>234.87694492493506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0.24213455427679317</v>
      </c>
      <c r="AA149" s="21">
        <f>EXP(-LN(2)/25)*AA148+(1-EXP(-LN(2)/25))/(LN(2)/25)*Calculateur!V149*Calculateur!X149*VLOOKUP('Données projet'!$B$9,Paramètres!$A$1:$I$89,3,0)*0.475*44/12</f>
        <v>0.45252066664729657</v>
      </c>
      <c r="AB149" s="21">
        <f>EXP(-LN(2)/2)*AB148+(1-EXP(-LN(2)/2))/(LN(2)/2)*V149*Y149*VLOOKUP('Données projet'!$B$9,Paramètres!$A$1:$I$89,3,0)*0.475*44/12</f>
        <v>7.4778158575354173E-17</v>
      </c>
      <c r="AC149" s="22">
        <f t="shared" si="111"/>
        <v>0.69465522092408982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-1.8089849618263545E-13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314.94704727988847</v>
      </c>
      <c r="AO149" s="59">
        <f t="shared" si="144"/>
        <v>366.49199094166454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0.39363855265246955</v>
      </c>
      <c r="AV149" s="21">
        <f>EXP(-LN(2)/25)*AV148+(1-EXP(-LN(2)/25))/(LN(2)/25)*Calculateur!AQ149*Calculateur!AS149*VLOOKUP('Données projet'!$B$10,Paramètres!$A$1:$I$89,3,0)*0.475*44/12</f>
        <v>1.0189957593480965</v>
      </c>
      <c r="AW149" s="21">
        <f>EXP(-LN(2)/2)*AW148+(1-EXP(-LN(2)/2))/(LN(2)/2)*AQ149*AT149*VLOOKUP('Données projet'!$B$10,Paramètres!$A$1:$I$89,3,0)*0.475*44/12</f>
        <v>1.0016028486032865E-16</v>
      </c>
      <c r="AX149" s="21">
        <f t="shared" si="114"/>
        <v>1.412634312000566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-1.4897523215040565E-13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246.64951465060813</v>
      </c>
      <c r="BJ149" s="59">
        <f t="shared" si="146"/>
        <v>292.64550285216865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0.26300822274893071</v>
      </c>
      <c r="BQ149" s="21">
        <f>EXP(-LN(2)/25)*BQ148+(1-EXP(-LN(2)/25))/(LN(2)/25)*Calculateur!BL149*Calculateur!BN149*VLOOKUP('Données projet'!$B$11,Paramètres!$A$1:$I$89,3,0)*0.475*44/12</f>
        <v>0.68083845408163646</v>
      </c>
      <c r="BR149" s="21">
        <f>EXP(-LN(2)/2)*BR148+(1-EXP(-LN(2)/2))/(LN(2)/2)*BL149*BO149*VLOOKUP('Données projet'!$B$11,Paramètres!$A$1:$I$89,3,0)*0.475*44/12</f>
        <v>8.2484940473211831E-17</v>
      </c>
      <c r="BS149" s="22">
        <f t="shared" si="117"/>
        <v>0.94384667683056722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-1.5252226148732008E-13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254.25222107710192</v>
      </c>
      <c r="CE149" s="59">
        <f t="shared" si="148"/>
        <v>300.86609173447573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0.3318913287069839</v>
      </c>
      <c r="CL149" s="21">
        <f>EXP(-LN(2)/25)*CL148+(1-EXP(-LN(2)/25))/(LN(2)/25)*Calculateur!CG149*Calculateur!CI149*VLOOKUP('Données projet'!$B$12,Paramètres!$A$1:$I$89,3,0)*0.475*44/12</f>
        <v>0.85915328729349283</v>
      </c>
      <c r="CM149" s="21">
        <f>EXP(-LN(2)/2)*CM148+(1-EXP(-LN(2)/2))/(LN(2)/2)*CG149*CJ149*VLOOKUP('Données projet'!$B$12,Paramètres!$A$1:$I$89,3,0)*0.475*44/12</f>
        <v>8.4448867627335971E-17</v>
      </c>
      <c r="CN149" s="22">
        <f t="shared" si="120"/>
        <v>1.1910446160004766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243.38048563215585</v>
      </c>
      <c r="CZ149" s="59">
        <f t="shared" si="150"/>
        <v>372.1604147006675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0.73475313021923527</v>
      </c>
      <c r="DG149" s="21">
        <f>EXP(-LN(2)/25)*DG148+(1-EXP(-LN(2)/25))/(LN(2)/25)*Calculateur!DB149*Calculateur!DD149*VLOOKUP('Données projet'!$B$13,Paramètres!$A$1:$I$89,3,0)*0.475*44/12</f>
        <v>0.77657006939859285</v>
      </c>
      <c r="DH149" s="21">
        <f>EXP(-LN(2)/2)*DH148+(1-EXP(-LN(2)/2))/(LN(2)/2)*DB149*DE149*VLOOKUP('Données projet'!$B$13,Paramètres!$A$1:$I$89,3,0)*0.475*44/12</f>
        <v>1.0170662649981095E-16</v>
      </c>
      <c r="DI149" s="22">
        <f t="shared" si="123"/>
        <v>1.511323199617828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1.1368683772161603E-13</v>
      </c>
      <c r="DP149" s="17">
        <f>DO149*VLOOKUP('Données projet'!$B$14,Paramètres!$A$1:$I$89,3,0)*VLOOKUP('Données projet'!$B$14,Paramètres!$A$1:$I$89,5,0)</f>
        <v>6.5028871176764376E-14</v>
      </c>
      <c r="DQ149" s="13">
        <f t="shared" si="151"/>
        <v>1.0270999702906072E-12</v>
      </c>
      <c r="DR149" s="20">
        <f t="shared" si="124"/>
        <v>1.9021243988890057E-12</v>
      </c>
      <c r="DS149" s="59">
        <f t="shared" si="125"/>
        <v>293.33333333333519</v>
      </c>
      <c r="DT149" s="59">
        <f ca="1">AVERAGE(OFFSET($DS$3,0,0,'Données projet'!$E$14+1,1))-AVERAGE(OFFSET($H$3,0,0,'Données projet'!$E$14+1,1))</f>
        <v>227.99747790451215</v>
      </c>
      <c r="DU149" s="59">
        <f t="shared" si="152"/>
        <v>209.49597700966933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0.28834788540580453</v>
      </c>
      <c r="EB149" s="21">
        <f>EXP(-LN(2)/25)*EB148+(1-EXP(-LN(2)/25))/(LN(2)/25)*Calculateur!DW149*Calculateur!DY149*VLOOKUP('Données projet'!$B$14,Paramètres!$A$1:$I$89,3,0)*0.475*44/12</f>
        <v>0.60866871365729069</v>
      </c>
      <c r="EC149" s="21">
        <f>EXP(-LN(2)/2)*EC148+(1-EXP(-LN(2)/2))/(LN(2)/2)*DW149*DZ149*VLOOKUP('Données projet'!$B$14,Paramètres!$A$1:$I$89,3,0)*0.475*44/12</f>
        <v>8.5566351625900055E-17</v>
      </c>
      <c r="ED149" s="22">
        <f t="shared" si="126"/>
        <v>0.89701659906309528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3.4106051316484809E-13</v>
      </c>
      <c r="EK149" s="17">
        <f>EJ149*VLOOKUP('Données projet'!$B$15,Paramètres!$A$1:$I$89,3,0)*VLOOKUP('Données projet'!$B$15,Paramètres!$A$1:$I$89,5,0)</f>
        <v>1.5074874681886286E-13</v>
      </c>
      <c r="EL149" s="13">
        <f t="shared" si="153"/>
        <v>2.1590218794584103E-12</v>
      </c>
      <c r="EM149" s="20">
        <f t="shared" si="127"/>
        <v>4.0228505074329168E-12</v>
      </c>
      <c r="EN149" s="59">
        <f t="shared" si="128"/>
        <v>293.33333333333735</v>
      </c>
      <c r="EO149" s="59">
        <f ca="1">AVERAGE(OFFSET($EN$3,0,0,'Données projet'!$E$15+1,1))-AVERAGE(OFFSET($H$3,0,0,'Données projet'!$E$15+1,1))</f>
        <v>335.27356627949155</v>
      </c>
      <c r="EP149" s="59">
        <f t="shared" si="154"/>
        <v>322.66829503077247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1.1214982225185886</v>
      </c>
      <c r="EX149" s="21">
        <f>EXP(-LN(2)/2)*EX148+(1-EXP(-LN(2)/2))/(LN(2)/2)*ER149*EU149*VLOOKUP('Données projet'!$B$15,Paramètres!$A$1:$I$89,3,0)*0.475*44/12</f>
        <v>1.2275994059543668E-16</v>
      </c>
      <c r="EY149" s="22">
        <f t="shared" si="129"/>
        <v>1.1214982225185888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-5.6843418860808015E-13</v>
      </c>
      <c r="O150" s="13">
        <f>N150*VLOOKUP('Données projet'!$B$9,Paramètres!$A$1:$I$89,3,0)*VLOOKUP('Données projet'!$B$9,Paramètres!$A$1:$I$89,5,0)</f>
        <v>-5.1431925385259092E-13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319.18811755575183</v>
      </c>
      <c r="T150" s="59">
        <f t="shared" si="142"/>
        <v>234.87694492493506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0.23738644335492043</v>
      </c>
      <c r="AA150" s="21">
        <f>EXP(-LN(2)/25)*AA149+(1-EXP(-LN(2)/25))/(LN(2)/25)*Calculateur!V150*Calculateur!X150*VLOOKUP('Données projet'!$B$9,Paramètres!$A$1:$I$89,3,0)*0.475*44/12</f>
        <v>0.44014646522079864</v>
      </c>
      <c r="AB150" s="21">
        <f>EXP(-LN(2)/2)*AB149+(1-EXP(-LN(2)/2))/(LN(2)/2)*V150*Y150*VLOOKUP('Données projet'!$B$9,Paramètres!$A$1:$I$89,3,0)*0.475*44/12</f>
        <v>5.2876143013275917E-17</v>
      </c>
      <c r="AC150" s="22">
        <f t="shared" si="111"/>
        <v>0.67753290857571913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-1.8089849618263545E-13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314.94704727988847</v>
      </c>
      <c r="AO150" s="59">
        <f t="shared" si="144"/>
        <v>366.49199094166454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0.38591954073076423</v>
      </c>
      <c r="AV150" s="21">
        <f>EXP(-LN(2)/25)*AV149+(1-EXP(-LN(2)/25))/(LN(2)/25)*Calculateur!AQ150*Calculateur!AS150*VLOOKUP('Données projet'!$B$10,Paramètres!$A$1:$I$89,3,0)*0.475*44/12</f>
        <v>0.99113126672206475</v>
      </c>
      <c r="AW150" s="21">
        <f>EXP(-LN(2)/2)*AW149+(1-EXP(-LN(2)/2))/(LN(2)/2)*AQ150*AT150*VLOOKUP('Données projet'!$B$10,Paramètres!$A$1:$I$89,3,0)*0.475*44/12</f>
        <v>7.0824016630314676E-17</v>
      </c>
      <c r="AX150" s="21">
        <f t="shared" si="114"/>
        <v>1.3770508074528289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-1.4897523215040565E-13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246.64951465060813</v>
      </c>
      <c r="BJ150" s="59">
        <f t="shared" si="146"/>
        <v>292.64550285216865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0.25785079191999999</v>
      </c>
      <c r="BQ150" s="21">
        <f>EXP(-LN(2)/25)*BQ149+(1-EXP(-LN(2)/25))/(LN(2)/25)*Calculateur!BL150*Calculateur!BN150*VLOOKUP('Données projet'!$B$11,Paramètres!$A$1:$I$89,3,0)*0.475*44/12</f>
        <v>0.66222089075103585</v>
      </c>
      <c r="BR150" s="21">
        <f>EXP(-LN(2)/2)*BR149+(1-EXP(-LN(2)/2))/(LN(2)/2)*BL150*BO150*VLOOKUP('Données projet'!$B$11,Paramètres!$A$1:$I$89,3,0)*0.475*44/12</f>
        <v>5.8325660754376796E-17</v>
      </c>
      <c r="BS150" s="22">
        <f t="shared" si="117"/>
        <v>0.9200716826710359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-1.5252226148732008E-13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254.25222107710192</v>
      </c>
      <c r="CE150" s="59">
        <f t="shared" si="148"/>
        <v>300.86609173447573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0.32538314218476178</v>
      </c>
      <c r="CL150" s="21">
        <f>EXP(-LN(2)/25)*CL149+(1-EXP(-LN(2)/25))/(LN(2)/25)*Calculateur!CG150*Calculateur!CI150*VLOOKUP('Données projet'!$B$12,Paramètres!$A$1:$I$89,3,0)*0.475*44/12</f>
        <v>0.83565969547154451</v>
      </c>
      <c r="CM150" s="21">
        <f>EXP(-LN(2)/2)*CM149+(1-EXP(-LN(2)/2))/(LN(2)/2)*CG150*CJ150*VLOOKUP('Données projet'!$B$12,Paramètres!$A$1:$I$89,3,0)*0.475*44/12</f>
        <v>5.9714366962814372E-17</v>
      </c>
      <c r="CN150" s="22">
        <f t="shared" si="120"/>
        <v>1.1610428376563062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243.38048563215585</v>
      </c>
      <c r="CZ150" s="59">
        <f t="shared" si="150"/>
        <v>372.1604147006675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0.72034506949079391</v>
      </c>
      <c r="DG150" s="21">
        <f>EXP(-LN(2)/25)*DG149+(1-EXP(-LN(2)/25))/(LN(2)/25)*Calculateur!DB150*Calculateur!DD150*VLOOKUP('Données projet'!$B$13,Paramètres!$A$1:$I$89,3,0)*0.475*44/12</f>
        <v>0.7553347200128433</v>
      </c>
      <c r="DH150" s="21">
        <f>EXP(-LN(2)/2)*DH149+(1-EXP(-LN(2)/2))/(LN(2)/2)*DB150*DE150*VLOOKUP('Données projet'!$B$13,Paramètres!$A$1:$I$89,3,0)*0.475*44/12</f>
        <v>7.1917445289623733E-17</v>
      </c>
      <c r="DI150" s="22">
        <f t="shared" si="123"/>
        <v>1.4756797895036371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1.1368683772161603E-13</v>
      </c>
      <c r="DP150" s="17">
        <f>DO150*VLOOKUP('Données projet'!$B$14,Paramètres!$A$1:$I$89,3,0)*VLOOKUP('Données projet'!$B$14,Paramètres!$A$1:$I$89,5,0)</f>
        <v>6.5028871176764376E-14</v>
      </c>
      <c r="DQ150" s="13">
        <f t="shared" si="151"/>
        <v>1.0270999702906072E-12</v>
      </c>
      <c r="DR150" s="20">
        <f t="shared" si="124"/>
        <v>1.9021243988890057E-12</v>
      </c>
      <c r="DS150" s="59">
        <f t="shared" si="125"/>
        <v>293.33333333333519</v>
      </c>
      <c r="DT150" s="59">
        <f ca="1">AVERAGE(OFFSET($DS$3,0,0,'Données projet'!$E$14+1,1))-AVERAGE(OFFSET($H$3,0,0,'Données projet'!$E$14+1,1))</f>
        <v>227.99747790451215</v>
      </c>
      <c r="DU150" s="59">
        <f t="shared" si="152"/>
        <v>209.49597700966933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0.28269355924784062</v>
      </c>
      <c r="EB150" s="21">
        <f>EXP(-LN(2)/25)*EB149+(1-EXP(-LN(2)/25))/(LN(2)/25)*Calculateur!DW150*Calculateur!DY150*VLOOKUP('Données projet'!$B$14,Paramètres!$A$1:$I$89,3,0)*0.475*44/12</f>
        <v>0.59202463567383556</v>
      </c>
      <c r="EC150" s="21">
        <f>EXP(-LN(2)/2)*EC149+(1-EXP(-LN(2)/2))/(LN(2)/2)*DW150*DZ150*VLOOKUP('Données projet'!$B$14,Paramètres!$A$1:$I$89,3,0)*0.475*44/12</f>
        <v>6.0504547476066494E-17</v>
      </c>
      <c r="ED150" s="22">
        <f t="shared" si="126"/>
        <v>0.87471819492167635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3.4106051316484809E-13</v>
      </c>
      <c r="EK150" s="17">
        <f>EJ150*VLOOKUP('Données projet'!$B$15,Paramètres!$A$1:$I$89,3,0)*VLOOKUP('Données projet'!$B$15,Paramètres!$A$1:$I$89,5,0)</f>
        <v>1.5074874681886286E-13</v>
      </c>
      <c r="EL150" s="13">
        <f t="shared" si="153"/>
        <v>2.1590218794584103E-12</v>
      </c>
      <c r="EM150" s="20">
        <f t="shared" si="127"/>
        <v>4.0228505074329168E-12</v>
      </c>
      <c r="EN150" s="59">
        <f t="shared" si="128"/>
        <v>293.33333333333735</v>
      </c>
      <c r="EO150" s="59">
        <f ca="1">AVERAGE(OFFSET($EN$3,0,0,'Données projet'!$E$15+1,1))-AVERAGE(OFFSET($H$3,0,0,'Données projet'!$E$15+1,1))</f>
        <v>335.27356627949155</v>
      </c>
      <c r="EP150" s="59">
        <f t="shared" si="154"/>
        <v>322.66829503077247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1.0908307946467894</v>
      </c>
      <c r="EX150" s="21">
        <f>EXP(-LN(2)/2)*EX149+(1-EXP(-LN(2)/2))/(LN(2)/2)*ER150*EU150*VLOOKUP('Données projet'!$B$15,Paramètres!$A$1:$I$89,3,0)*0.475*44/12</f>
        <v>8.6804386453091019E-17</v>
      </c>
      <c r="EY150" s="22">
        <f t="shared" si="129"/>
        <v>1.0908307946467894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-5.6843418860808015E-13</v>
      </c>
      <c r="O151" s="13">
        <f>N151*VLOOKUP('Données projet'!$B$9,Paramètres!$A$1:$I$89,3,0)*VLOOKUP('Données projet'!$B$9,Paramètres!$A$1:$I$89,5,0)</f>
        <v>-5.1431925385259092E-13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319.18811755575183</v>
      </c>
      <c r="T151" s="59">
        <f t="shared" si="142"/>
        <v>234.87694492493506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0.23273143999216392</v>
      </c>
      <c r="AA151" s="21">
        <f>EXP(-LN(2)/25)*AA150+(1-EXP(-LN(2)/25))/(LN(2)/25)*Calculateur!V151*Calculateur!X151*VLOOKUP('Données projet'!$B$9,Paramètres!$A$1:$I$89,3,0)*0.475*44/12</f>
        <v>0.42811063698303925</v>
      </c>
      <c r="AB151" s="21">
        <f>EXP(-LN(2)/2)*AB150+(1-EXP(-LN(2)/2))/(LN(2)/2)*V151*Y151*VLOOKUP('Données projet'!$B$9,Paramètres!$A$1:$I$89,3,0)*0.475*44/12</f>
        <v>3.7389079287677087E-17</v>
      </c>
      <c r="AC151" s="22">
        <f t="shared" si="111"/>
        <v>0.66084207697520314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-1.8089849618263545E-13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314.94704727988847</v>
      </c>
      <c r="AO151" s="59">
        <f t="shared" si="144"/>
        <v>366.49199094166454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0.37835189392471119</v>
      </c>
      <c r="AV151" s="21">
        <f>EXP(-LN(2)/25)*AV150+(1-EXP(-LN(2)/25))/(LN(2)/25)*Calculateur!AQ151*Calculateur!AS151*VLOOKUP('Données projet'!$B$10,Paramètres!$A$1:$I$89,3,0)*0.475*44/12</f>
        <v>0.96402873011222179</v>
      </c>
      <c r="AW151" s="21">
        <f>EXP(-LN(2)/2)*AW150+(1-EXP(-LN(2)/2))/(LN(2)/2)*AQ151*AT151*VLOOKUP('Données projet'!$B$10,Paramètres!$A$1:$I$89,3,0)*0.475*44/12</f>
        <v>5.0080142430164323E-17</v>
      </c>
      <c r="AX151" s="21">
        <f t="shared" si="114"/>
        <v>1.3423806240369329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-1.4897523215040565E-13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246.64951465060813</v>
      </c>
      <c r="BJ151" s="59">
        <f t="shared" si="146"/>
        <v>292.64550285216865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0.2527944951639024</v>
      </c>
      <c r="BQ151" s="21">
        <f>EXP(-LN(2)/25)*BQ150+(1-EXP(-LN(2)/25))/(LN(2)/25)*Calculateur!BL151*Calculateur!BN151*VLOOKUP('Données projet'!$B$11,Paramètres!$A$1:$I$89,3,0)*0.475*44/12</f>
        <v>0.6441124256687657</v>
      </c>
      <c r="BR151" s="21">
        <f>EXP(-LN(2)/2)*BR150+(1-EXP(-LN(2)/2))/(LN(2)/2)*BL151*BO151*VLOOKUP('Données projet'!$B$11,Paramètres!$A$1:$I$89,3,0)*0.475*44/12</f>
        <v>4.1242470236605915E-17</v>
      </c>
      <c r="BS151" s="22">
        <f t="shared" si="117"/>
        <v>0.8969069208326681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-1.5252226148732008E-13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254.25222107710192</v>
      </c>
      <c r="CE151" s="59">
        <f t="shared" si="148"/>
        <v>300.86609173447573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0.31900257723063863</v>
      </c>
      <c r="CL151" s="21">
        <f>EXP(-LN(2)/25)*CL150+(1-EXP(-LN(2)/25))/(LN(2)/25)*Calculateur!CG151*Calculateur!CI151*VLOOKUP('Données projet'!$B$12,Paramètres!$A$1:$I$89,3,0)*0.475*44/12</f>
        <v>0.8128085371534417</v>
      </c>
      <c r="CM151" s="21">
        <f>EXP(-LN(2)/2)*CM150+(1-EXP(-LN(2)/2))/(LN(2)/2)*CG151*CJ151*VLOOKUP('Données projet'!$B$12,Paramètres!$A$1:$I$89,3,0)*0.475*44/12</f>
        <v>4.2224433813667985E-17</v>
      </c>
      <c r="CN151" s="22">
        <f t="shared" si="120"/>
        <v>1.1318111143840803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243.38048563215585</v>
      </c>
      <c r="CZ151" s="59">
        <f t="shared" si="150"/>
        <v>372.1604147006675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0.70621954204518789</v>
      </c>
      <c r="DG151" s="21">
        <f>EXP(-LN(2)/25)*DG150+(1-EXP(-LN(2)/25))/(LN(2)/25)*Calculateur!DB151*Calculateur!DD151*VLOOKUP('Données projet'!$B$13,Paramètres!$A$1:$I$89,3,0)*0.475*44/12</f>
        <v>0.73468005237276546</v>
      </c>
      <c r="DH151" s="21">
        <f>EXP(-LN(2)/2)*DH150+(1-EXP(-LN(2)/2))/(LN(2)/2)*DB151*DE151*VLOOKUP('Données projet'!$B$13,Paramètres!$A$1:$I$89,3,0)*0.475*44/12</f>
        <v>5.0853313249905473E-17</v>
      </c>
      <c r="DI151" s="22">
        <f t="shared" si="123"/>
        <v>1.4408995944179535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1.1368683772161603E-13</v>
      </c>
      <c r="DP151" s="17">
        <f>DO151*VLOOKUP('Données projet'!$B$14,Paramètres!$A$1:$I$89,3,0)*VLOOKUP('Données projet'!$B$14,Paramètres!$A$1:$I$89,5,0)</f>
        <v>6.5028871176764376E-14</v>
      </c>
      <c r="DQ151" s="13">
        <f t="shared" si="151"/>
        <v>1.0270999702906072E-12</v>
      </c>
      <c r="DR151" s="20">
        <f t="shared" si="124"/>
        <v>1.9021243988890057E-12</v>
      </c>
      <c r="DS151" s="59">
        <f t="shared" si="125"/>
        <v>293.33333333333519</v>
      </c>
      <c r="DT151" s="59">
        <f ca="1">AVERAGE(OFFSET($DS$3,0,0,'Données projet'!$E$14+1,1))-AVERAGE(OFFSET($H$3,0,0,'Données projet'!$E$14+1,1))</f>
        <v>227.99747790451215</v>
      </c>
      <c r="DU151" s="59">
        <f t="shared" si="152"/>
        <v>209.49597700966933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0.27715011097703596</v>
      </c>
      <c r="EB151" s="21">
        <f>EXP(-LN(2)/25)*EB150+(1-EXP(-LN(2)/25))/(LN(2)/25)*Calculateur!DW151*Calculateur!DY151*VLOOKUP('Données projet'!$B$14,Paramètres!$A$1:$I$89,3,0)*0.475*44/12</f>
        <v>0.57583569087811204</v>
      </c>
      <c r="EC151" s="21">
        <f>EXP(-LN(2)/2)*EC150+(1-EXP(-LN(2)/2))/(LN(2)/2)*DW151*DZ151*VLOOKUP('Données projet'!$B$14,Paramètres!$A$1:$I$89,3,0)*0.475*44/12</f>
        <v>4.2783175812950028E-17</v>
      </c>
      <c r="ED151" s="22">
        <f t="shared" si="126"/>
        <v>0.85298580185514794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3.4106051316484809E-13</v>
      </c>
      <c r="EK151" s="17">
        <f>EJ151*VLOOKUP('Données projet'!$B$15,Paramètres!$A$1:$I$89,3,0)*VLOOKUP('Données projet'!$B$15,Paramètres!$A$1:$I$89,5,0)</f>
        <v>1.5074874681886286E-13</v>
      </c>
      <c r="EL151" s="13">
        <f t="shared" si="153"/>
        <v>2.1590218794584103E-12</v>
      </c>
      <c r="EM151" s="20">
        <f t="shared" si="127"/>
        <v>4.0228505074329168E-12</v>
      </c>
      <c r="EN151" s="59">
        <f t="shared" si="128"/>
        <v>293.33333333333735</v>
      </c>
      <c r="EO151" s="59">
        <f ca="1">AVERAGE(OFFSET($EN$3,0,0,'Données projet'!$E$15+1,1))-AVERAGE(OFFSET($H$3,0,0,'Données projet'!$E$15+1,1))</f>
        <v>335.27356627949155</v>
      </c>
      <c r="EP151" s="59">
        <f t="shared" si="154"/>
        <v>322.66829503077247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1.0610019692028747</v>
      </c>
      <c r="EX151" s="21">
        <f>EXP(-LN(2)/2)*EX150+(1-EXP(-LN(2)/2))/(LN(2)/2)*ER151*EU151*VLOOKUP('Données projet'!$B$15,Paramètres!$A$1:$I$89,3,0)*0.475*44/12</f>
        <v>6.1379970297718341E-17</v>
      </c>
      <c r="EY151" s="22">
        <f t="shared" si="129"/>
        <v>1.0610019692028747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-5.6843418860808015E-13</v>
      </c>
      <c r="O152" s="13">
        <f>N152*VLOOKUP('Données projet'!$B$9,Paramètres!$A$1:$I$89,3,0)*VLOOKUP('Données projet'!$B$9,Paramètres!$A$1:$I$89,5,0)</f>
        <v>-5.1431925385259092E-13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319.18811755575183</v>
      </c>
      <c r="T152" s="59">
        <f t="shared" si="142"/>
        <v>234.87694492493506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0.22816771840607936</v>
      </c>
      <c r="AA152" s="21">
        <f>EXP(-LN(2)/25)*AA151+(1-EXP(-LN(2)/25))/(LN(2)/25)*Calculateur!V152*Calculateur!X152*VLOOKUP('Données projet'!$B$9,Paramètres!$A$1:$I$89,3,0)*0.475*44/12</f>
        <v>0.41640392910137808</v>
      </c>
      <c r="AB152" s="21">
        <f>EXP(-LN(2)/2)*AB151+(1-EXP(-LN(2)/2))/(LN(2)/2)*V152*Y152*VLOOKUP('Données projet'!$B$9,Paramètres!$A$1:$I$89,3,0)*0.475*44/12</f>
        <v>2.6438071506637958E-17</v>
      </c>
      <c r="AC152" s="22">
        <f t="shared" si="111"/>
        <v>0.64457164750745743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-1.8089849618263545E-13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314.94704727988847</v>
      </c>
      <c r="AO152" s="59">
        <f t="shared" si="144"/>
        <v>366.49199094166454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0.37093264405671605</v>
      </c>
      <c r="AV152" s="21">
        <f>EXP(-LN(2)/25)*AV151+(1-EXP(-LN(2)/25))/(LN(2)/25)*Calculateur!AQ152*Calculateur!AS152*VLOOKUP('Données projet'!$B$10,Paramètres!$A$1:$I$89,3,0)*0.475*44/12</f>
        <v>0.93766731379123547</v>
      </c>
      <c r="AW152" s="21">
        <f>EXP(-LN(2)/2)*AW151+(1-EXP(-LN(2)/2))/(LN(2)/2)*AQ152*AT152*VLOOKUP('Données projet'!$B$10,Paramètres!$A$1:$I$89,3,0)*0.475*44/12</f>
        <v>3.5412008315157338E-17</v>
      </c>
      <c r="AX152" s="21">
        <f t="shared" si="114"/>
        <v>1.3085999578479515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-1.4897523215040565E-13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246.64951465060813</v>
      </c>
      <c r="BJ152" s="59">
        <f t="shared" si="146"/>
        <v>292.64550285216865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0.24783734930315537</v>
      </c>
      <c r="BQ152" s="21">
        <f>EXP(-LN(2)/25)*BQ151+(1-EXP(-LN(2)/25))/(LN(2)/25)*Calculateur!BL152*Calculateur!BN152*VLOOKUP('Données projet'!$B$11,Paramètres!$A$1:$I$89,3,0)*0.475*44/12</f>
        <v>0.62649913751645292</v>
      </c>
      <c r="BR152" s="21">
        <f>EXP(-LN(2)/2)*BR151+(1-EXP(-LN(2)/2))/(LN(2)/2)*BL152*BO152*VLOOKUP('Données projet'!$B$11,Paramètres!$A$1:$I$89,3,0)*0.475*44/12</f>
        <v>2.9162830377188398E-17</v>
      </c>
      <c r="BS152" s="22">
        <f t="shared" si="117"/>
        <v>0.87433648681960829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-1.5252226148732008E-13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254.25222107710192</v>
      </c>
      <c r="CE152" s="59">
        <f t="shared" si="148"/>
        <v>300.86609173447573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0.31274713126350551</v>
      </c>
      <c r="CL152" s="21">
        <f>EXP(-LN(2)/25)*CL151+(1-EXP(-LN(2)/25))/(LN(2)/25)*Calculateur!CG152*Calculateur!CI152*VLOOKUP('Données projet'!$B$12,Paramètres!$A$1:$I$89,3,0)*0.475*44/12</f>
        <v>0.79058224496123752</v>
      </c>
      <c r="CM152" s="21">
        <f>EXP(-LN(2)/2)*CM151+(1-EXP(-LN(2)/2))/(LN(2)/2)*CG152*CJ152*VLOOKUP('Données projet'!$B$12,Paramètres!$A$1:$I$89,3,0)*0.475*44/12</f>
        <v>2.9857183481407186E-17</v>
      </c>
      <c r="CN152" s="22">
        <f t="shared" si="120"/>
        <v>1.1033293762247429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243.38048563215585</v>
      </c>
      <c r="CZ152" s="59">
        <f t="shared" si="150"/>
        <v>372.1604147006675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0.69237100757706926</v>
      </c>
      <c r="DG152" s="21">
        <f>EXP(-LN(2)/25)*DG151+(1-EXP(-LN(2)/25))/(LN(2)/25)*Calculateur!DB152*Calculateur!DD152*VLOOKUP('Données projet'!$B$13,Paramètres!$A$1:$I$89,3,0)*0.475*44/12</f>
        <v>0.71459018770548732</v>
      </c>
      <c r="DH152" s="21">
        <f>EXP(-LN(2)/2)*DH151+(1-EXP(-LN(2)/2))/(LN(2)/2)*DB152*DE152*VLOOKUP('Données projet'!$B$13,Paramètres!$A$1:$I$89,3,0)*0.475*44/12</f>
        <v>3.5958722644811867E-17</v>
      </c>
      <c r="DI152" s="22">
        <f t="shared" si="123"/>
        <v>1.4069611952825567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1.1368683772161603E-13</v>
      </c>
      <c r="DP152" s="17">
        <f>DO152*VLOOKUP('Données projet'!$B$14,Paramètres!$A$1:$I$89,3,0)*VLOOKUP('Données projet'!$B$14,Paramètres!$A$1:$I$89,5,0)</f>
        <v>6.5028871176764376E-14</v>
      </c>
      <c r="DQ152" s="13">
        <f t="shared" si="151"/>
        <v>1.0270999702906072E-12</v>
      </c>
      <c r="DR152" s="20">
        <f t="shared" si="124"/>
        <v>1.9021243988890057E-12</v>
      </c>
      <c r="DS152" s="59">
        <f t="shared" si="125"/>
        <v>293.33333333333519</v>
      </c>
      <c r="DT152" s="59">
        <f ca="1">AVERAGE(OFFSET($DS$3,0,0,'Données projet'!$E$14+1,1))-AVERAGE(OFFSET($H$3,0,0,'Données projet'!$E$14+1,1))</f>
        <v>227.99747790451215</v>
      </c>
      <c r="DU152" s="59">
        <f t="shared" si="152"/>
        <v>209.49597700966933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0.27171536634565219</v>
      </c>
      <c r="EB152" s="21">
        <f>EXP(-LN(2)/25)*EB151+(1-EXP(-LN(2)/25))/(LN(2)/25)*Calculateur!DW152*Calculateur!DY152*VLOOKUP('Données projet'!$B$14,Paramètres!$A$1:$I$89,3,0)*0.475*44/12</f>
        <v>0.56008943362916719</v>
      </c>
      <c r="EC152" s="21">
        <f>EXP(-LN(2)/2)*EC151+(1-EXP(-LN(2)/2))/(LN(2)/2)*DW152*DZ152*VLOOKUP('Données projet'!$B$14,Paramètres!$A$1:$I$89,3,0)*0.475*44/12</f>
        <v>3.0252273738033247E-17</v>
      </c>
      <c r="ED152" s="22">
        <f t="shared" si="126"/>
        <v>0.83180479997481938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3.4106051316484809E-13</v>
      </c>
      <c r="EK152" s="17">
        <f>EJ152*VLOOKUP('Données projet'!$B$15,Paramètres!$A$1:$I$89,3,0)*VLOOKUP('Données projet'!$B$15,Paramètres!$A$1:$I$89,5,0)</f>
        <v>1.5074874681886286E-13</v>
      </c>
      <c r="EL152" s="13">
        <f t="shared" si="153"/>
        <v>2.1590218794584103E-12</v>
      </c>
      <c r="EM152" s="20">
        <f t="shared" si="127"/>
        <v>4.0228505074329168E-12</v>
      </c>
      <c r="EN152" s="59">
        <f t="shared" si="128"/>
        <v>293.33333333333735</v>
      </c>
      <c r="EO152" s="59">
        <f ca="1">AVERAGE(OFFSET($EN$3,0,0,'Données projet'!$E$15+1,1))-AVERAGE(OFFSET($H$3,0,0,'Données projet'!$E$15+1,1))</f>
        <v>335.27356627949155</v>
      </c>
      <c r="EP152" s="59">
        <f t="shared" si="154"/>
        <v>322.66829503077247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1.0319888145593534</v>
      </c>
      <c r="EX152" s="21">
        <f>EXP(-LN(2)/2)*EX151+(1-EXP(-LN(2)/2))/(LN(2)/2)*ER152*EU152*VLOOKUP('Données projet'!$B$15,Paramètres!$A$1:$I$89,3,0)*0.475*44/12</f>
        <v>4.340219322654551E-17</v>
      </c>
      <c r="EY152" s="22">
        <f t="shared" si="129"/>
        <v>1.0319888145593534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-5.6843418860808015E-13</v>
      </c>
      <c r="O153" s="13">
        <f>N153*VLOOKUP('Données projet'!$B$9,Paramètres!$A$1:$I$89,3,0)*VLOOKUP('Données projet'!$B$9,Paramètres!$A$1:$I$89,5,0)</f>
        <v>-5.1431925385259092E-13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319.18811755575183</v>
      </c>
      <c r="T153" s="59">
        <f t="shared" si="142"/>
        <v>234.87694492493506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0.2236934886167026</v>
      </c>
      <c r="AA153" s="21">
        <f>EXP(-LN(2)/25)*AA152+(1-EXP(-LN(2)/25))/(LN(2)/25)*Calculateur!V153*Calculateur!X153*VLOOKUP('Données projet'!$B$9,Paramètres!$A$1:$I$89,3,0)*0.475*44/12</f>
        <v>0.40501734176236998</v>
      </c>
      <c r="AB153" s="21">
        <f>EXP(-LN(2)/2)*AB152+(1-EXP(-LN(2)/2))/(LN(2)/2)*V153*Y153*VLOOKUP('Données projet'!$B$9,Paramètres!$A$1:$I$89,3,0)*0.475*44/12</f>
        <v>1.8694539643838543E-17</v>
      </c>
      <c r="AC153" s="22">
        <f t="shared" si="111"/>
        <v>0.6287108303790726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-1.8089849618263545E-13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314.94704727988847</v>
      </c>
      <c r="AO153" s="59">
        <f t="shared" si="144"/>
        <v>366.49199094166454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0.36365888115333672</v>
      </c>
      <c r="AV153" s="21">
        <f>EXP(-LN(2)/25)*AV152+(1-EXP(-LN(2)/25))/(LN(2)/25)*Calculateur!AQ153*Calculateur!AS153*VLOOKUP('Données projet'!$B$10,Paramètres!$A$1:$I$89,3,0)*0.475*44/12</f>
        <v>0.91202675178583315</v>
      </c>
      <c r="AW153" s="21">
        <f>EXP(-LN(2)/2)*AW152+(1-EXP(-LN(2)/2))/(LN(2)/2)*AQ153*AT153*VLOOKUP('Données projet'!$B$10,Paramètres!$A$1:$I$89,3,0)*0.475*44/12</f>
        <v>2.5040071215082162E-17</v>
      </c>
      <c r="AX153" s="21">
        <f t="shared" si="114"/>
        <v>1.2756856329391699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-1.4897523215040565E-13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246.64951465060813</v>
      </c>
      <c r="BJ153" s="59">
        <f t="shared" si="146"/>
        <v>292.64550285216865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0.24297741004917719</v>
      </c>
      <c r="BQ153" s="21">
        <f>EXP(-LN(2)/25)*BQ152+(1-EXP(-LN(2)/25))/(LN(2)/25)*Calculateur!BL153*Calculateur!BN153*VLOOKUP('Données projet'!$B$11,Paramètres!$A$1:$I$89,3,0)*0.475*44/12</f>
        <v>0.60936748565490773</v>
      </c>
      <c r="BR153" s="21">
        <f>EXP(-LN(2)/2)*BR152+(1-EXP(-LN(2)/2))/(LN(2)/2)*BL153*BO153*VLOOKUP('Données projet'!$B$11,Paramètres!$A$1:$I$89,3,0)*0.475*44/12</f>
        <v>2.0621235118302958E-17</v>
      </c>
      <c r="BS153" s="22">
        <f t="shared" si="117"/>
        <v>0.85234489570408489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-1.5252226148732008E-13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254.25222107710192</v>
      </c>
      <c r="CE153" s="59">
        <f t="shared" si="148"/>
        <v>300.86609173447573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0.30661435077634258</v>
      </c>
      <c r="CL153" s="21">
        <f>EXP(-LN(2)/25)*CL152+(1-EXP(-LN(2)/25))/(LN(2)/25)*Calculateur!CG153*Calculateur!CI153*VLOOKUP('Données projet'!$B$12,Paramètres!$A$1:$I$89,3,0)*0.475*44/12</f>
        <v>0.76896373189785916</v>
      </c>
      <c r="CM153" s="21">
        <f>EXP(-LN(2)/2)*CM152+(1-EXP(-LN(2)/2))/(LN(2)/2)*CG153*CJ153*VLOOKUP('Données projet'!$B$12,Paramètres!$A$1:$I$89,3,0)*0.475*44/12</f>
        <v>2.1112216906833993E-17</v>
      </c>
      <c r="CN153" s="22">
        <f t="shared" si="120"/>
        <v>1.0755780826742019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243.38048563215585</v>
      </c>
      <c r="CZ153" s="59">
        <f t="shared" si="150"/>
        <v>372.1604147006675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0.67879403442309849</v>
      </c>
      <c r="DG153" s="21">
        <f>EXP(-LN(2)/25)*DG152+(1-EXP(-LN(2)/25))/(LN(2)/25)*Calculateur!DB153*Calculateur!DD153*VLOOKUP('Données projet'!$B$13,Paramètres!$A$1:$I$89,3,0)*0.475*44/12</f>
        <v>0.69504968144401602</v>
      </c>
      <c r="DH153" s="21">
        <f>EXP(-LN(2)/2)*DH152+(1-EXP(-LN(2)/2))/(LN(2)/2)*DB153*DE153*VLOOKUP('Données projet'!$B$13,Paramètres!$A$1:$I$89,3,0)*0.475*44/12</f>
        <v>2.5426656624952736E-17</v>
      </c>
      <c r="DI153" s="22">
        <f t="shared" si="123"/>
        <v>1.3738437158671144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1.1368683772161603E-13</v>
      </c>
      <c r="DP153" s="17">
        <f>DO153*VLOOKUP('Données projet'!$B$14,Paramètres!$A$1:$I$89,3,0)*VLOOKUP('Données projet'!$B$14,Paramètres!$A$1:$I$89,5,0)</f>
        <v>6.5028871176764376E-14</v>
      </c>
      <c r="DQ153" s="13">
        <f t="shared" si="151"/>
        <v>1.0270999702906072E-12</v>
      </c>
      <c r="DR153" s="20">
        <f t="shared" si="124"/>
        <v>1.9021243988890057E-12</v>
      </c>
      <c r="DS153" s="59">
        <f t="shared" si="125"/>
        <v>293.33333333333519</v>
      </c>
      <c r="DT153" s="59">
        <f ca="1">AVERAGE(OFFSET($DS$3,0,0,'Données projet'!$E$14+1,1))-AVERAGE(OFFSET($H$3,0,0,'Données projet'!$E$14+1,1))</f>
        <v>227.99747790451215</v>
      </c>
      <c r="DU153" s="59">
        <f t="shared" si="152"/>
        <v>209.49597700966933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0.26638719374162295</v>
      </c>
      <c r="EB153" s="21">
        <f>EXP(-LN(2)/25)*EB152+(1-EXP(-LN(2)/25))/(LN(2)/25)*Calculateur!DW153*Calculateur!DY153*VLOOKUP('Données projet'!$B$14,Paramètres!$A$1:$I$89,3,0)*0.475*44/12</f>
        <v>0.54477375861275434</v>
      </c>
      <c r="EC153" s="21">
        <f>EXP(-LN(2)/2)*EC152+(1-EXP(-LN(2)/2))/(LN(2)/2)*DW153*DZ153*VLOOKUP('Données projet'!$B$14,Paramètres!$A$1:$I$89,3,0)*0.475*44/12</f>
        <v>2.1391587906475014E-17</v>
      </c>
      <c r="ED153" s="22">
        <f t="shared" si="126"/>
        <v>0.81116095235437724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3.4106051316484809E-13</v>
      </c>
      <c r="EK153" s="17">
        <f>EJ153*VLOOKUP('Données projet'!$B$15,Paramètres!$A$1:$I$89,3,0)*VLOOKUP('Données projet'!$B$15,Paramètres!$A$1:$I$89,5,0)</f>
        <v>1.5074874681886286E-13</v>
      </c>
      <c r="EL153" s="13">
        <f t="shared" si="153"/>
        <v>2.1590218794584103E-12</v>
      </c>
      <c r="EM153" s="20">
        <f t="shared" si="127"/>
        <v>4.0228505074329168E-12</v>
      </c>
      <c r="EN153" s="59">
        <f t="shared" si="128"/>
        <v>293.33333333333735</v>
      </c>
      <c r="EO153" s="59">
        <f ca="1">AVERAGE(OFFSET($EN$3,0,0,'Données projet'!$E$15+1,1))-AVERAGE(OFFSET($H$3,0,0,'Données projet'!$E$15+1,1))</f>
        <v>335.27356627949155</v>
      </c>
      <c r="EP153" s="59">
        <f t="shared" si="154"/>
        <v>322.66829503077247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1.0037690261552947</v>
      </c>
      <c r="EX153" s="21">
        <f>EXP(-LN(2)/2)*EX152+(1-EXP(-LN(2)/2))/(LN(2)/2)*ER153*EU153*VLOOKUP('Données projet'!$B$15,Paramètres!$A$1:$I$89,3,0)*0.475*44/12</f>
        <v>3.068998514885917E-17</v>
      </c>
      <c r="EY153" s="22">
        <f t="shared" si="129"/>
        <v>1.0037690261552947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-5.6843418860808015E-13</v>
      </c>
      <c r="O154" s="13">
        <f>N154*VLOOKUP('Données projet'!$B$9,Paramètres!$A$1:$I$89,3,0)*VLOOKUP('Données projet'!$B$9,Paramètres!$A$1:$I$89,5,0)</f>
        <v>-5.1431925385259092E-13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319.18811755575183</v>
      </c>
      <c r="T154" s="59">
        <f t="shared" si="142"/>
        <v>234.87694492493506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0.21930699574448484</v>
      </c>
      <c r="AA154" s="21">
        <f>EXP(-LN(2)/25)*AA153+(1-EXP(-LN(2)/25))/(LN(2)/25)*Calculateur!V154*Calculateur!X154*VLOOKUP('Données projet'!$B$9,Paramètres!$A$1:$I$89,3,0)*0.475*44/12</f>
        <v>0.39394212125294165</v>
      </c>
      <c r="AB154" s="21">
        <f>EXP(-LN(2)/2)*AB153+(1-EXP(-LN(2)/2))/(LN(2)/2)*V154*Y154*VLOOKUP('Données projet'!$B$9,Paramètres!$A$1:$I$89,3,0)*0.475*44/12</f>
        <v>1.3219035753318979E-17</v>
      </c>
      <c r="AC154" s="22">
        <f t="shared" ref="AC154:AC203" si="163">SUM(Z154:AB154)</f>
        <v>0.61324911699742646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-1.8089849618263545E-13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314.94704727988847</v>
      </c>
      <c r="AO154" s="59">
        <f t="shared" si="144"/>
        <v>366.49199094166454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0.35652775230393535</v>
      </c>
      <c r="AV154" s="21">
        <f>EXP(-LN(2)/25)*AV153+(1-EXP(-LN(2)/25))/(LN(2)/25)*Calculateur!AQ154*Calculateur!AS154*VLOOKUP('Données projet'!$B$10,Paramètres!$A$1:$I$89,3,0)*0.475*44/12</f>
        <v>0.88708733229684711</v>
      </c>
      <c r="AW154" s="21">
        <f>EXP(-LN(2)/2)*AW153+(1-EXP(-LN(2)/2))/(LN(2)/2)*AQ154*AT154*VLOOKUP('Données projet'!$B$10,Paramètres!$A$1:$I$89,3,0)*0.475*44/12</f>
        <v>1.7706004157578669E-17</v>
      </c>
      <c r="AX154" s="21">
        <f t="shared" ref="AX154:AX203" si="166">SUM(AU154:AW154)</f>
        <v>1.2436150846007825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-1.4897523215040565E-13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246.64951465060813</v>
      </c>
      <c r="BJ154" s="59">
        <f t="shared" si="146"/>
        <v>292.64550285216865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0.23821277123969928</v>
      </c>
      <c r="BQ154" s="21">
        <f>EXP(-LN(2)/25)*BQ153+(1-EXP(-LN(2)/25))/(LN(2)/25)*Calculateur!BL154*Calculateur!BN154*VLOOKUP('Données projet'!$B$11,Paramètres!$A$1:$I$89,3,0)*0.475*44/12</f>
        <v>0.59270429971443095</v>
      </c>
      <c r="BR154" s="21">
        <f>EXP(-LN(2)/2)*BR153+(1-EXP(-LN(2)/2))/(LN(2)/2)*BL154*BO154*VLOOKUP('Données projet'!$B$11,Paramètres!$A$1:$I$89,3,0)*0.475*44/12</f>
        <v>1.4581415188594199E-17</v>
      </c>
      <c r="BS154" s="22">
        <f t="shared" ref="BS154:BS203" si="169">SUM(BP154:BR154)</f>
        <v>0.83091707095413025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-1.5252226148732008E-13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254.25222107710192</v>
      </c>
      <c r="CE154" s="59">
        <f t="shared" si="148"/>
        <v>300.86609173447573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0.30060183037390614</v>
      </c>
      <c r="CL154" s="21">
        <f>EXP(-LN(2)/25)*CL153+(1-EXP(-LN(2)/25))/(LN(2)/25)*Calculateur!CG154*Calculateur!CI154*VLOOKUP('Données projet'!$B$12,Paramètres!$A$1:$I$89,3,0)*0.475*44/12</f>
        <v>0.74793637821106707</v>
      </c>
      <c r="CM154" s="21">
        <f>EXP(-LN(2)/2)*CM153+(1-EXP(-LN(2)/2))/(LN(2)/2)*CG154*CJ154*VLOOKUP('Données projet'!$B$12,Paramètres!$A$1:$I$89,3,0)*0.475*44/12</f>
        <v>1.4928591740703593E-17</v>
      </c>
      <c r="CN154" s="22">
        <f t="shared" ref="CN154:CN203" si="172">SUM(CK154:CM154)</f>
        <v>1.0485382085849733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243.38048563215585</v>
      </c>
      <c r="CZ154" s="59">
        <f t="shared" si="150"/>
        <v>372.1604147006675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0.66548329743154111</v>
      </c>
      <c r="DG154" s="21">
        <f>EXP(-LN(2)/25)*DG153+(1-EXP(-LN(2)/25))/(LN(2)/25)*Calculateur!DB154*Calculateur!DD154*VLOOKUP('Données projet'!$B$13,Paramètres!$A$1:$I$89,3,0)*0.475*44/12</f>
        <v>0.67604351135385521</v>
      </c>
      <c r="DH154" s="21">
        <f>EXP(-LN(2)/2)*DH153+(1-EXP(-LN(2)/2))/(LN(2)/2)*DB154*DE154*VLOOKUP('Données projet'!$B$13,Paramètres!$A$1:$I$89,3,0)*0.475*44/12</f>
        <v>1.7979361322405933E-17</v>
      </c>
      <c r="DI154" s="22">
        <f t="shared" ref="DI154:DI203" si="175">SUM(DF154:DH154)</f>
        <v>1.3415268087853964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1.1368683772161603E-13</v>
      </c>
      <c r="DP154" s="17">
        <f>DO154*VLOOKUP('Données projet'!$B$14,Paramètres!$A$1:$I$89,3,0)*VLOOKUP('Données projet'!$B$14,Paramètres!$A$1:$I$89,5,0)</f>
        <v>6.5028871176764376E-14</v>
      </c>
      <c r="DQ154" s="13">
        <f t="shared" ref="DQ154:DQ203" si="176">EXP(-1.0587+0.8836*LN(DP154)+0.284)</f>
        <v>1.0270999702906072E-12</v>
      </c>
      <c r="DR154" s="20">
        <f t="shared" ref="DR154:DR203" si="177">(DP154+DQ154)*0.475*44/12</f>
        <v>1.9021243988890057E-12</v>
      </c>
      <c r="DS154" s="59">
        <f t="shared" si="125"/>
        <v>293.33333333333519</v>
      </c>
      <c r="DT154" s="59">
        <f ca="1">AVERAGE(OFFSET($DS$3,0,0,'Données projet'!$E$14+1,1))-AVERAGE(OFFSET($H$3,0,0,'Données projet'!$E$14+1,1))</f>
        <v>227.99747790451215</v>
      </c>
      <c r="DU154" s="59">
        <f t="shared" si="152"/>
        <v>209.49597700966933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0.26116350335249433</v>
      </c>
      <c r="EB154" s="21">
        <f>EXP(-LN(2)/25)*EB153+(1-EXP(-LN(2)/25))/(LN(2)/25)*Calculateur!DW154*Calculateur!DY154*VLOOKUP('Données projet'!$B$14,Paramètres!$A$1:$I$89,3,0)*0.475*44/12</f>
        <v>0.52987689153508166</v>
      </c>
      <c r="EC154" s="21">
        <f>EXP(-LN(2)/2)*EC153+(1-EXP(-LN(2)/2))/(LN(2)/2)*DW154*DZ154*VLOOKUP('Données projet'!$B$14,Paramètres!$A$1:$I$89,3,0)*0.475*44/12</f>
        <v>1.5126136869016624E-17</v>
      </c>
      <c r="ED154" s="22">
        <f t="shared" ref="ED154:ED203" si="178">SUM(EA154:EC154)</f>
        <v>0.79104039488757594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3.4106051316484809E-13</v>
      </c>
      <c r="EK154" s="17">
        <f>EJ154*VLOOKUP('Données projet'!$B$15,Paramètres!$A$1:$I$89,3,0)*VLOOKUP('Données projet'!$B$15,Paramètres!$A$1:$I$89,5,0)</f>
        <v>1.5074874681886286E-13</v>
      </c>
      <c r="EL154" s="13">
        <f t="shared" ref="EL154:EL203" si="179">EXP(-1.0587+0.8836*LN(EK154)+0.284)</f>
        <v>2.1590218794584103E-12</v>
      </c>
      <c r="EM154" s="20">
        <f t="shared" ref="EM154:EM203" si="180">(EK154+EL154)*0.475*44/12</f>
        <v>4.0228505074329168E-12</v>
      </c>
      <c r="EN154" s="59">
        <f t="shared" si="128"/>
        <v>293.33333333333735</v>
      </c>
      <c r="EO154" s="59">
        <f ca="1">AVERAGE(OFFSET($EN$3,0,0,'Données projet'!$E$15+1,1))-AVERAGE(OFFSET($H$3,0,0,'Données projet'!$E$15+1,1))</f>
        <v>335.27356627949155</v>
      </c>
      <c r="EP154" s="59">
        <f t="shared" si="154"/>
        <v>322.66829503077247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0.97632090934915927</v>
      </c>
      <c r="EX154" s="21">
        <f>EXP(-LN(2)/2)*EX153+(1-EXP(-LN(2)/2))/(LN(2)/2)*ER154*EU154*VLOOKUP('Données projet'!$B$15,Paramètres!$A$1:$I$89,3,0)*0.475*44/12</f>
        <v>2.1701096613272755E-17</v>
      </c>
      <c r="EY154" s="22">
        <f t="shared" ref="EY154:EY203" si="181">SUM(EV154:EX154)</f>
        <v>0.97632090934915927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-5.6843418860808015E-13</v>
      </c>
      <c r="O155" s="13">
        <f>N155*VLOOKUP('Données projet'!$B$9,Paramètres!$A$1:$I$89,3,0)*VLOOKUP('Données projet'!$B$9,Paramètres!$A$1:$I$89,5,0)</f>
        <v>-5.1431925385259092E-13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319.18811755575183</v>
      </c>
      <c r="T155" s="59">
        <f t="shared" si="142"/>
        <v>234.87694492493506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0.2150065193219948</v>
      </c>
      <c r="AA155" s="21">
        <f>EXP(-LN(2)/25)*AA154+(1-EXP(-LN(2)/25))/(LN(2)/25)*Calculateur!V155*Calculateur!X155*VLOOKUP('Données projet'!$B$9,Paramètres!$A$1:$I$89,3,0)*0.475*44/12</f>
        <v>0.38316975323076419</v>
      </c>
      <c r="AB155" s="21">
        <f>EXP(-LN(2)/2)*AB154+(1-EXP(-LN(2)/2))/(LN(2)/2)*V155*Y155*VLOOKUP('Données projet'!$B$9,Paramètres!$A$1:$I$89,3,0)*0.475*44/12</f>
        <v>9.3472698219192717E-18</v>
      </c>
      <c r="AC155" s="22">
        <f t="shared" si="163"/>
        <v>0.59817627255275896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-1.8089849618263545E-13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314.94704727988847</v>
      </c>
      <c r="AO155" s="59">
        <f t="shared" si="144"/>
        <v>366.49199094166454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0.34953646054171167</v>
      </c>
      <c r="AV155" s="21">
        <f>EXP(-LN(2)/25)*AV154+(1-EXP(-LN(2)/25))/(LN(2)/25)*Calculateur!AQ155*Calculateur!AS155*VLOOKUP('Données projet'!$B$10,Paramètres!$A$1:$I$89,3,0)*0.475*44/12</f>
        <v>0.86282988254529447</v>
      </c>
      <c r="AW155" s="21">
        <f>EXP(-LN(2)/2)*AW154+(1-EXP(-LN(2)/2))/(LN(2)/2)*AQ155*AT155*VLOOKUP('Données projet'!$B$10,Paramètres!$A$1:$I$89,3,0)*0.475*44/12</f>
        <v>1.2520035607541081E-17</v>
      </c>
      <c r="AX155" s="21">
        <f t="shared" si="166"/>
        <v>1.2123663430870062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-1.4897523215040565E-13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246.64951465060813</v>
      </c>
      <c r="BJ155" s="59">
        <f t="shared" si="146"/>
        <v>292.64550285216865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0.2335415640911325</v>
      </c>
      <c r="BQ155" s="21">
        <f>EXP(-LN(2)/25)*BQ154+(1-EXP(-LN(2)/25))/(LN(2)/25)*Calculateur!BL155*Calculateur!BN155*VLOOKUP('Données projet'!$B$11,Paramètres!$A$1:$I$89,3,0)*0.475*44/12</f>
        <v>0.57649676946977535</v>
      </c>
      <c r="BR155" s="21">
        <f>EXP(-LN(2)/2)*BR154+(1-EXP(-LN(2)/2))/(LN(2)/2)*BL155*BO155*VLOOKUP('Données projet'!$B$11,Paramètres!$A$1:$I$89,3,0)*0.475*44/12</f>
        <v>1.0310617559151479E-17</v>
      </c>
      <c r="BS155" s="22">
        <f t="shared" si="169"/>
        <v>0.81003833356090782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-1.5252226148732008E-13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254.25222107710192</v>
      </c>
      <c r="CE155" s="59">
        <f t="shared" si="148"/>
        <v>300.86609173447573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0.29470721182928616</v>
      </c>
      <c r="CL155" s="21">
        <f>EXP(-LN(2)/25)*CL154+(1-EXP(-LN(2)/25))/(LN(2)/25)*Calculateur!CG155*Calculateur!CI155*VLOOKUP('Données projet'!$B$12,Paramètres!$A$1:$I$89,3,0)*0.475*44/12</f>
        <v>0.72748401861662071</v>
      </c>
      <c r="CM155" s="21">
        <f>EXP(-LN(2)/2)*CM154+(1-EXP(-LN(2)/2))/(LN(2)/2)*CG155*CJ155*VLOOKUP('Données projet'!$B$12,Paramètres!$A$1:$I$89,3,0)*0.475*44/12</f>
        <v>1.0556108453416996E-17</v>
      </c>
      <c r="CN155" s="22">
        <f t="shared" si="172"/>
        <v>1.0221912304459069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243.38048563215585</v>
      </c>
      <c r="CZ155" s="59">
        <f t="shared" si="150"/>
        <v>372.1604147006675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0.65243357587364026</v>
      </c>
      <c r="DG155" s="21">
        <f>EXP(-LN(2)/25)*DG154+(1-EXP(-LN(2)/25))/(LN(2)/25)*Calculateur!DB155*Calculateur!DD155*VLOOKUP('Données projet'!$B$13,Paramètres!$A$1:$I$89,3,0)*0.475*44/12</f>
        <v>0.65755706598430086</v>
      </c>
      <c r="DH155" s="21">
        <f>EXP(-LN(2)/2)*DH154+(1-EXP(-LN(2)/2))/(LN(2)/2)*DB155*DE155*VLOOKUP('Données projet'!$B$13,Paramètres!$A$1:$I$89,3,0)*0.475*44/12</f>
        <v>1.2713328312476368E-17</v>
      </c>
      <c r="DI155" s="22">
        <f t="shared" si="175"/>
        <v>1.309990641857941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1.1368683772161603E-13</v>
      </c>
      <c r="DP155" s="17">
        <f>DO155*VLOOKUP('Données projet'!$B$14,Paramètres!$A$1:$I$89,3,0)*VLOOKUP('Données projet'!$B$14,Paramètres!$A$1:$I$89,5,0)</f>
        <v>6.5028871176764376E-14</v>
      </c>
      <c r="DQ155" s="13">
        <f t="shared" si="176"/>
        <v>1.0270999702906072E-12</v>
      </c>
      <c r="DR155" s="20">
        <f t="shared" si="177"/>
        <v>1.9021243988890057E-12</v>
      </c>
      <c r="DS155" s="59">
        <f t="shared" si="125"/>
        <v>293.33333333333519</v>
      </c>
      <c r="DT155" s="59">
        <f ca="1">AVERAGE(OFFSET($DS$3,0,0,'Données projet'!$E$14+1,1))-AVERAGE(OFFSET($H$3,0,0,'Données projet'!$E$14+1,1))</f>
        <v>227.99747790451215</v>
      </c>
      <c r="DU155" s="59">
        <f t="shared" si="152"/>
        <v>209.49597700966933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0.25604224634576001</v>
      </c>
      <c r="EB155" s="21">
        <f>EXP(-LN(2)/25)*EB154+(1-EXP(-LN(2)/25))/(LN(2)/25)*Calculateur!DW155*Calculateur!DY155*VLOOKUP('Données projet'!$B$14,Paramètres!$A$1:$I$89,3,0)*0.475*44/12</f>
        <v>0.51538738007104012</v>
      </c>
      <c r="EC155" s="21">
        <f>EXP(-LN(2)/2)*EC154+(1-EXP(-LN(2)/2))/(LN(2)/2)*DW155*DZ155*VLOOKUP('Données projet'!$B$14,Paramètres!$A$1:$I$89,3,0)*0.475*44/12</f>
        <v>1.0695793953237507E-17</v>
      </c>
      <c r="ED155" s="22">
        <f t="shared" si="178"/>
        <v>0.77142962641680013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3.4106051316484809E-13</v>
      </c>
      <c r="EK155" s="17">
        <f>EJ155*VLOOKUP('Données projet'!$B$15,Paramètres!$A$1:$I$89,3,0)*VLOOKUP('Données projet'!$B$15,Paramètres!$A$1:$I$89,5,0)</f>
        <v>1.5074874681886286E-13</v>
      </c>
      <c r="EL155" s="13">
        <f t="shared" si="179"/>
        <v>2.1590218794584103E-12</v>
      </c>
      <c r="EM155" s="20">
        <f t="shared" si="180"/>
        <v>4.0228505074329168E-12</v>
      </c>
      <c r="EN155" s="59">
        <f t="shared" si="128"/>
        <v>293.33333333333735</v>
      </c>
      <c r="EO155" s="59">
        <f ca="1">AVERAGE(OFFSET($EN$3,0,0,'Données projet'!$E$15+1,1))-AVERAGE(OFFSET($H$3,0,0,'Données projet'!$E$15+1,1))</f>
        <v>335.27356627949155</v>
      </c>
      <c r="EP155" s="59">
        <f t="shared" si="154"/>
        <v>322.66829503077247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0.94962336274052128</v>
      </c>
      <c r="EX155" s="21">
        <f>EXP(-LN(2)/2)*EX154+(1-EXP(-LN(2)/2))/(LN(2)/2)*ER155*EU155*VLOOKUP('Données projet'!$B$15,Paramètres!$A$1:$I$89,3,0)*0.475*44/12</f>
        <v>1.5344992574429585E-17</v>
      </c>
      <c r="EY155" s="22">
        <f t="shared" si="181"/>
        <v>0.94962336274052128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-5.6843418860808015E-13</v>
      </c>
      <c r="O156" s="13">
        <f>N156*VLOOKUP('Données projet'!$B$9,Paramètres!$A$1:$I$89,3,0)*VLOOKUP('Données projet'!$B$9,Paramètres!$A$1:$I$89,5,0)</f>
        <v>-5.1431925385259092E-13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319.18811755575183</v>
      </c>
      <c r="T156" s="59">
        <f t="shared" si="142"/>
        <v>234.87694492493506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0.21079037261911818</v>
      </c>
      <c r="AA156" s="21">
        <f>EXP(-LN(2)/25)*AA155+(1-EXP(-LN(2)/25))/(LN(2)/25)*Calculateur!V156*Calculateur!X156*VLOOKUP('Données projet'!$B$9,Paramètres!$A$1:$I$89,3,0)*0.475*44/12</f>
        <v>0.37269195617864737</v>
      </c>
      <c r="AB156" s="21">
        <f>EXP(-LN(2)/2)*AB155+(1-EXP(-LN(2)/2))/(LN(2)/2)*V156*Y156*VLOOKUP('Données projet'!$B$9,Paramètres!$A$1:$I$89,3,0)*0.475*44/12</f>
        <v>6.6095178766594896E-18</v>
      </c>
      <c r="AC156" s="22">
        <f t="shared" si="163"/>
        <v>0.58348232879776551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-1.8089849618263545E-13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314.94704727988847</v>
      </c>
      <c r="AO156" s="59">
        <f t="shared" si="144"/>
        <v>366.49199094166454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0.34268226374667826</v>
      </c>
      <c r="AV156" s="21">
        <f>EXP(-LN(2)/25)*AV155+(1-EXP(-LN(2)/25))/(LN(2)/25)*Calculateur!AQ156*Calculateur!AS156*VLOOKUP('Données projet'!$B$10,Paramètres!$A$1:$I$89,3,0)*0.475*44/12</f>
        <v>0.8392357540328419</v>
      </c>
      <c r="AW156" s="21">
        <f>EXP(-LN(2)/2)*AW155+(1-EXP(-LN(2)/2))/(LN(2)/2)*AQ156*AT156*VLOOKUP('Données projet'!$B$10,Paramètres!$A$1:$I$89,3,0)*0.475*44/12</f>
        <v>8.8530020787893345E-18</v>
      </c>
      <c r="AX156" s="21">
        <f t="shared" si="166"/>
        <v>1.1819180177795201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-1.4897523215040565E-13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246.64951465060813</v>
      </c>
      <c r="BJ156" s="59">
        <f t="shared" si="146"/>
        <v>292.64550285216865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0.22896195646559409</v>
      </c>
      <c r="BQ156" s="21">
        <f>EXP(-LN(2)/25)*BQ155+(1-EXP(-LN(2)/25))/(LN(2)/25)*Calculateur!BL156*Calculateur!BN156*VLOOKUP('Données projet'!$B$11,Paramètres!$A$1:$I$89,3,0)*0.475*44/12</f>
        <v>0.56073243499197689</v>
      </c>
      <c r="BR156" s="21">
        <f>EXP(-LN(2)/2)*BR155+(1-EXP(-LN(2)/2))/(LN(2)/2)*BL156*BO156*VLOOKUP('Données projet'!$B$11,Paramètres!$A$1:$I$89,3,0)*0.475*44/12</f>
        <v>7.2907075942970994E-18</v>
      </c>
      <c r="BS156" s="22">
        <f t="shared" si="169"/>
        <v>0.78969439145757092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-1.5252226148732008E-13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254.25222107710192</v>
      </c>
      <c r="CE156" s="59">
        <f t="shared" si="148"/>
        <v>300.86609173447573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0.2889281831589639</v>
      </c>
      <c r="CL156" s="21">
        <f>EXP(-LN(2)/25)*CL155+(1-EXP(-LN(2)/25))/(LN(2)/25)*Calculateur!CG156*Calculateur!CI156*VLOOKUP('Données projet'!$B$12,Paramètres!$A$1:$I$89,3,0)*0.475*44/12</f>
        <v>0.70759092987082739</v>
      </c>
      <c r="CM156" s="21">
        <f>EXP(-LN(2)/2)*CM155+(1-EXP(-LN(2)/2))/(LN(2)/2)*CG156*CJ156*VLOOKUP('Données projet'!$B$12,Paramètres!$A$1:$I$89,3,0)*0.475*44/12</f>
        <v>7.4642958703517965E-18</v>
      </c>
      <c r="CN156" s="22">
        <f t="shared" si="172"/>
        <v>0.99651911302979124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243.38048563215585</v>
      </c>
      <c r="CZ156" s="59">
        <f t="shared" si="150"/>
        <v>372.1604147006675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0.63963975139594564</v>
      </c>
      <c r="DG156" s="21">
        <f>EXP(-LN(2)/25)*DG155+(1-EXP(-LN(2)/25))/(LN(2)/25)*Calculateur!DB156*Calculateur!DD156*VLOOKUP('Données projet'!$B$13,Paramètres!$A$1:$I$89,3,0)*0.475*44/12</f>
        <v>0.63957613343553688</v>
      </c>
      <c r="DH156" s="21">
        <f>EXP(-LN(2)/2)*DH155+(1-EXP(-LN(2)/2))/(LN(2)/2)*DB156*DE156*VLOOKUP('Données projet'!$B$13,Paramètres!$A$1:$I$89,3,0)*0.475*44/12</f>
        <v>8.9896806612029667E-18</v>
      </c>
      <c r="DI156" s="22">
        <f t="shared" si="175"/>
        <v>1.2792158848314825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1.1368683772161603E-13</v>
      </c>
      <c r="DP156" s="17">
        <f>DO156*VLOOKUP('Données projet'!$B$14,Paramètres!$A$1:$I$89,3,0)*VLOOKUP('Données projet'!$B$14,Paramètres!$A$1:$I$89,5,0)</f>
        <v>6.5028871176764376E-14</v>
      </c>
      <c r="DQ156" s="13">
        <f t="shared" si="176"/>
        <v>1.0270999702906072E-12</v>
      </c>
      <c r="DR156" s="20">
        <f t="shared" si="177"/>
        <v>1.9021243988890057E-12</v>
      </c>
      <c r="DS156" s="59">
        <f t="shared" si="125"/>
        <v>293.33333333333519</v>
      </c>
      <c r="DT156" s="59">
        <f ca="1">AVERAGE(OFFSET($DS$3,0,0,'Données projet'!$E$14+1,1))-AVERAGE(OFFSET($H$3,0,0,'Données projet'!$E$14+1,1))</f>
        <v>227.99747790451215</v>
      </c>
      <c r="DU156" s="59">
        <f t="shared" si="152"/>
        <v>209.49597700966933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0.2510214140652694</v>
      </c>
      <c r="EB156" s="21">
        <f>EXP(-LN(2)/25)*EB155+(1-EXP(-LN(2)/25))/(LN(2)/25)*Calculateur!DW156*Calculateur!DY156*VLOOKUP('Données projet'!$B$14,Paramètres!$A$1:$I$89,3,0)*0.475*44/12</f>
        <v>0.5012940850599531</v>
      </c>
      <c r="EC156" s="21">
        <f>EXP(-LN(2)/2)*EC155+(1-EXP(-LN(2)/2))/(LN(2)/2)*DW156*DZ156*VLOOKUP('Données projet'!$B$14,Paramètres!$A$1:$I$89,3,0)*0.475*44/12</f>
        <v>7.5630684345083118E-18</v>
      </c>
      <c r="ED156" s="22">
        <f t="shared" si="178"/>
        <v>0.75231549912522255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3.4106051316484809E-13</v>
      </c>
      <c r="EK156" s="17">
        <f>EJ156*VLOOKUP('Données projet'!$B$15,Paramètres!$A$1:$I$89,3,0)*VLOOKUP('Données projet'!$B$15,Paramètres!$A$1:$I$89,5,0)</f>
        <v>1.5074874681886286E-13</v>
      </c>
      <c r="EL156" s="13">
        <f t="shared" si="179"/>
        <v>2.1590218794584103E-12</v>
      </c>
      <c r="EM156" s="20">
        <f t="shared" si="180"/>
        <v>4.0228505074329168E-12</v>
      </c>
      <c r="EN156" s="59">
        <f t="shared" si="128"/>
        <v>293.33333333333735</v>
      </c>
      <c r="EO156" s="59">
        <f ca="1">AVERAGE(OFFSET($EN$3,0,0,'Données projet'!$E$15+1,1))-AVERAGE(OFFSET($H$3,0,0,'Données projet'!$E$15+1,1))</f>
        <v>335.27356627949155</v>
      </c>
      <c r="EP156" s="59">
        <f t="shared" si="154"/>
        <v>322.66829503077247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0.92365586194785942</v>
      </c>
      <c r="EX156" s="21">
        <f>EXP(-LN(2)/2)*EX155+(1-EXP(-LN(2)/2))/(LN(2)/2)*ER156*EU156*VLOOKUP('Données projet'!$B$15,Paramètres!$A$1:$I$89,3,0)*0.475*44/12</f>
        <v>1.0850548306636377E-17</v>
      </c>
      <c r="EY156" s="22">
        <f t="shared" si="181"/>
        <v>0.92365586194785942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-5.6843418860808015E-13</v>
      </c>
      <c r="O157" s="13">
        <f>N157*VLOOKUP('Données projet'!$B$9,Paramètres!$A$1:$I$89,3,0)*VLOOKUP('Données projet'!$B$9,Paramètres!$A$1:$I$89,5,0)</f>
        <v>-5.1431925385259092E-13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319.18811755575183</v>
      </c>
      <c r="T157" s="59">
        <f t="shared" si="142"/>
        <v>234.87694492493506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0.20665690198148939</v>
      </c>
      <c r="AA157" s="21">
        <f>EXP(-LN(2)/25)*AA156+(1-EXP(-LN(2)/25))/(LN(2)/25)*Calculateur!V157*Calculateur!X157*VLOOKUP('Données projet'!$B$9,Paramètres!$A$1:$I$89,3,0)*0.475*44/12</f>
        <v>0.3625006750379241</v>
      </c>
      <c r="AB157" s="21">
        <f>EXP(-LN(2)/2)*AB156+(1-EXP(-LN(2)/2))/(LN(2)/2)*V157*Y157*VLOOKUP('Données projet'!$B$9,Paramètres!$A$1:$I$89,3,0)*0.475*44/12</f>
        <v>4.6736349109596358E-18</v>
      </c>
      <c r="AC157" s="22">
        <f t="shared" si="163"/>
        <v>0.5691575770194135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-1.8089849618263545E-13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314.94704727988847</v>
      </c>
      <c r="AO157" s="59">
        <f t="shared" si="144"/>
        <v>366.49199094166454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0.33596247357014819</v>
      </c>
      <c r="AV157" s="21">
        <f>EXP(-LN(2)/25)*AV156+(1-EXP(-LN(2)/25))/(LN(2)/25)*Calculateur!AQ157*Calculateur!AS157*VLOOKUP('Données projet'!$B$10,Paramètres!$A$1:$I$89,3,0)*0.475*44/12</f>
        <v>0.81628680820532362</v>
      </c>
      <c r="AW157" s="21">
        <f>EXP(-LN(2)/2)*AW156+(1-EXP(-LN(2)/2))/(LN(2)/2)*AQ157*AT157*VLOOKUP('Données projet'!$B$10,Paramètres!$A$1:$I$89,3,0)*0.475*44/12</f>
        <v>6.2600178037705404E-18</v>
      </c>
      <c r="AX157" s="21">
        <f t="shared" si="166"/>
        <v>1.1522492817754717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-1.4897523215040565E-13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246.64951465060813</v>
      </c>
      <c r="BJ157" s="59">
        <f t="shared" si="146"/>
        <v>292.64550285216865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0.22447215215230765</v>
      </c>
      <c r="BQ157" s="21">
        <f>EXP(-LN(2)/25)*BQ156+(1-EXP(-LN(2)/25))/(LN(2)/25)*Calculateur!BL157*Calculateur!BN157*VLOOKUP('Données projet'!$B$11,Paramètres!$A$1:$I$89,3,0)*0.475*44/12</f>
        <v>0.54539917706948415</v>
      </c>
      <c r="BR157" s="21">
        <f>EXP(-LN(2)/2)*BR156+(1-EXP(-LN(2)/2))/(LN(2)/2)*BL157*BO157*VLOOKUP('Données projet'!$B$11,Paramètres!$A$1:$I$89,3,0)*0.475*44/12</f>
        <v>5.1553087795757394E-18</v>
      </c>
      <c r="BS157" s="22">
        <f t="shared" si="169"/>
        <v>0.7698713292217918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-1.5252226148732008E-13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254.25222107710192</v>
      </c>
      <c r="CE157" s="59">
        <f t="shared" si="148"/>
        <v>300.86609173447573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0.28326247771600721</v>
      </c>
      <c r="CL157" s="21">
        <f>EXP(-LN(2)/25)*CL156+(1-EXP(-LN(2)/25))/(LN(2)/25)*Calculateur!CG157*Calculateur!CI157*VLOOKUP('Données projet'!$B$12,Paramètres!$A$1:$I$89,3,0)*0.475*44/12</f>
        <v>0.68824181868291978</v>
      </c>
      <c r="CM157" s="21">
        <f>EXP(-LN(2)/2)*CM156+(1-EXP(-LN(2)/2))/(LN(2)/2)*CG157*CJ157*VLOOKUP('Données projet'!$B$12,Paramètres!$A$1:$I$89,3,0)*0.475*44/12</f>
        <v>5.2780542267084982E-18</v>
      </c>
      <c r="CN157" s="22">
        <f t="shared" si="172"/>
        <v>0.97150429639892699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243.38048563215585</v>
      </c>
      <c r="CZ157" s="59">
        <f t="shared" si="150"/>
        <v>372.1604147006675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0.62709680601279616</v>
      </c>
      <c r="DG157" s="21">
        <f>EXP(-LN(2)/25)*DG156+(1-EXP(-LN(2)/25))/(LN(2)/25)*Calculateur!DB157*Calculateur!DD157*VLOOKUP('Données projet'!$B$13,Paramètres!$A$1:$I$89,3,0)*0.475*44/12</f>
        <v>0.622086890432895</v>
      </c>
      <c r="DH157" s="21">
        <f>EXP(-LN(2)/2)*DH156+(1-EXP(-LN(2)/2))/(LN(2)/2)*DB157*DE157*VLOOKUP('Données projet'!$B$13,Paramètres!$A$1:$I$89,3,0)*0.475*44/12</f>
        <v>6.3566641562381841E-18</v>
      </c>
      <c r="DI157" s="22">
        <f t="shared" si="175"/>
        <v>1.2491836964456913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1.1368683772161603E-13</v>
      </c>
      <c r="DP157" s="17">
        <f>DO157*VLOOKUP('Données projet'!$B$14,Paramètres!$A$1:$I$89,3,0)*VLOOKUP('Données projet'!$B$14,Paramètres!$A$1:$I$89,5,0)</f>
        <v>6.5028871176764376E-14</v>
      </c>
      <c r="DQ157" s="13">
        <f t="shared" si="176"/>
        <v>1.0270999702906072E-12</v>
      </c>
      <c r="DR157" s="20">
        <f t="shared" si="177"/>
        <v>1.9021243988890057E-12</v>
      </c>
      <c r="DS157" s="59">
        <f t="shared" si="125"/>
        <v>293.33333333333519</v>
      </c>
      <c r="DT157" s="59">
        <f ca="1">AVERAGE(OFFSET($DS$3,0,0,'Données projet'!$E$14+1,1))-AVERAGE(OFFSET($H$3,0,0,'Données projet'!$E$14+1,1))</f>
        <v>227.99747790451215</v>
      </c>
      <c r="DU157" s="59">
        <f t="shared" si="152"/>
        <v>209.49597700966933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0.24609903724339388</v>
      </c>
      <c r="EB157" s="21">
        <f>EXP(-LN(2)/25)*EB156+(1-EXP(-LN(2)/25))/(LN(2)/25)*Calculateur!DW157*Calculateur!DY157*VLOOKUP('Données projet'!$B$14,Paramètres!$A$1:$I$89,3,0)*0.475*44/12</f>
        <v>0.48758617194207848</v>
      </c>
      <c r="EC157" s="21">
        <f>EXP(-LN(2)/2)*EC156+(1-EXP(-LN(2)/2))/(LN(2)/2)*DW157*DZ157*VLOOKUP('Données projet'!$B$14,Paramètres!$A$1:$I$89,3,0)*0.475*44/12</f>
        <v>5.3478969766187534E-18</v>
      </c>
      <c r="ED157" s="22">
        <f t="shared" si="178"/>
        <v>0.73368520918547242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3.4106051316484809E-13</v>
      </c>
      <c r="EK157" s="17">
        <f>EJ157*VLOOKUP('Données projet'!$B$15,Paramètres!$A$1:$I$89,3,0)*VLOOKUP('Données projet'!$B$15,Paramètres!$A$1:$I$89,5,0)</f>
        <v>1.5074874681886286E-13</v>
      </c>
      <c r="EL157" s="13">
        <f t="shared" si="179"/>
        <v>2.1590218794584103E-12</v>
      </c>
      <c r="EM157" s="20">
        <f t="shared" si="180"/>
        <v>4.0228505074329168E-12</v>
      </c>
      <c r="EN157" s="59">
        <f t="shared" si="128"/>
        <v>293.33333333333735</v>
      </c>
      <c r="EO157" s="59">
        <f ca="1">AVERAGE(OFFSET($EN$3,0,0,'Données projet'!$E$15+1,1))-AVERAGE(OFFSET($H$3,0,0,'Données projet'!$E$15+1,1))</f>
        <v>335.27356627949155</v>
      </c>
      <c r="EP157" s="59">
        <f t="shared" si="154"/>
        <v>322.66829503077247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0.89839844382994449</v>
      </c>
      <c r="EX157" s="21">
        <f>EXP(-LN(2)/2)*EX156+(1-EXP(-LN(2)/2))/(LN(2)/2)*ER157*EU157*VLOOKUP('Données projet'!$B$15,Paramètres!$A$1:$I$89,3,0)*0.475*44/12</f>
        <v>7.6724962872147926E-18</v>
      </c>
      <c r="EY157" s="22">
        <f t="shared" si="181"/>
        <v>0.89839844382994449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-5.6843418860808015E-13</v>
      </c>
      <c r="O158" s="13">
        <f>N158*VLOOKUP('Données projet'!$B$9,Paramètres!$A$1:$I$89,3,0)*VLOOKUP('Données projet'!$B$9,Paramètres!$A$1:$I$89,5,0)</f>
        <v>-5.1431925385259092E-13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319.18811755575183</v>
      </c>
      <c r="T158" s="59">
        <f t="shared" si="142"/>
        <v>234.87694492493506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0.20260448618189636</v>
      </c>
      <c r="AA158" s="21">
        <f>EXP(-LN(2)/25)*AA157+(1-EXP(-LN(2)/25))/(LN(2)/25)*Calculateur!V158*Calculateur!X158*VLOOKUP('Données projet'!$B$9,Paramètres!$A$1:$I$89,3,0)*0.475*44/12</f>
        <v>0.35258807501593009</v>
      </c>
      <c r="AB158" s="21">
        <f>EXP(-LN(2)/2)*AB157+(1-EXP(-LN(2)/2))/(LN(2)/2)*V158*Y158*VLOOKUP('Données projet'!$B$9,Paramètres!$A$1:$I$89,3,0)*0.475*44/12</f>
        <v>3.3047589383297448E-18</v>
      </c>
      <c r="AC158" s="22">
        <f t="shared" si="163"/>
        <v>0.55519256119782645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-1.8089849618263545E-13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314.94704727988847</v>
      </c>
      <c r="AO158" s="59">
        <f t="shared" si="144"/>
        <v>366.49199094166454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0.3293744543803126</v>
      </c>
      <c r="AV158" s="21">
        <f>EXP(-LN(2)/25)*AV157+(1-EXP(-LN(2)/25))/(LN(2)/25)*Calculateur!AQ158*Calculateur!AS158*VLOOKUP('Données projet'!$B$10,Paramètres!$A$1:$I$89,3,0)*0.475*44/12</f>
        <v>0.79396540250829151</v>
      </c>
      <c r="AW158" s="21">
        <f>EXP(-LN(2)/2)*AW157+(1-EXP(-LN(2)/2))/(LN(2)/2)*AQ158*AT158*VLOOKUP('Données projet'!$B$10,Paramètres!$A$1:$I$89,3,0)*0.475*44/12</f>
        <v>4.4265010393946672E-18</v>
      </c>
      <c r="AX158" s="21">
        <f t="shared" si="166"/>
        <v>1.1233398568886042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-1.4897523215040565E-13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246.64951465060813</v>
      </c>
      <c r="BJ158" s="59">
        <f t="shared" si="146"/>
        <v>292.64550285216865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0.22007039016309451</v>
      </c>
      <c r="BQ158" s="21">
        <f>EXP(-LN(2)/25)*BQ157+(1-EXP(-LN(2)/25))/(LN(2)/25)*Calculateur!BL158*Calculateur!BN158*VLOOKUP('Données projet'!$B$11,Paramètres!$A$1:$I$89,3,0)*0.475*44/12</f>
        <v>0.53048520789122289</v>
      </c>
      <c r="BR158" s="21">
        <f>EXP(-LN(2)/2)*BR157+(1-EXP(-LN(2)/2))/(LN(2)/2)*BL158*BO158*VLOOKUP('Données projet'!$B$11,Paramètres!$A$1:$I$89,3,0)*0.475*44/12</f>
        <v>3.6453537971485497E-18</v>
      </c>
      <c r="BS158" s="22">
        <f t="shared" si="169"/>
        <v>0.75055559805431737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-1.5252226148732008E-13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254.25222107710192</v>
      </c>
      <c r="CE158" s="59">
        <f t="shared" si="148"/>
        <v>300.86609173447573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0.27770787330104779</v>
      </c>
      <c r="CL158" s="21">
        <f>EXP(-LN(2)/25)*CL157+(1-EXP(-LN(2)/25))/(LN(2)/25)*Calculateur!CG158*Calculateur!CI158*VLOOKUP('Données projet'!$B$12,Paramètres!$A$1:$I$89,3,0)*0.475*44/12</f>
        <v>0.66942180995797107</v>
      </c>
      <c r="CM158" s="21">
        <f>EXP(-LN(2)/2)*CM157+(1-EXP(-LN(2)/2))/(LN(2)/2)*CG158*CJ158*VLOOKUP('Données projet'!$B$12,Paramètres!$A$1:$I$89,3,0)*0.475*44/12</f>
        <v>3.7321479351758983E-18</v>
      </c>
      <c r="CN158" s="22">
        <f t="shared" si="172"/>
        <v>0.94712968325901881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243.38048563215585</v>
      </c>
      <c r="CZ158" s="59">
        <f t="shared" si="150"/>
        <v>372.1604147006675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0.61479982013816903</v>
      </c>
      <c r="DG158" s="21">
        <f>EXP(-LN(2)/25)*DG157+(1-EXP(-LN(2)/25))/(LN(2)/25)*Calculateur!DB158*Calculateur!DD158*VLOOKUP('Données projet'!$B$13,Paramètres!$A$1:$I$89,3,0)*0.475*44/12</f>
        <v>0.60507589169987974</v>
      </c>
      <c r="DH158" s="21">
        <f>EXP(-LN(2)/2)*DH157+(1-EXP(-LN(2)/2))/(LN(2)/2)*DB158*DE158*VLOOKUP('Données projet'!$B$13,Paramètres!$A$1:$I$89,3,0)*0.475*44/12</f>
        <v>4.4948403306014833E-18</v>
      </c>
      <c r="DI158" s="22">
        <f t="shared" si="175"/>
        <v>1.2198757118380488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1.1368683772161603E-13</v>
      </c>
      <c r="DP158" s="17">
        <f>DO158*VLOOKUP('Données projet'!$B$14,Paramètres!$A$1:$I$89,3,0)*VLOOKUP('Données projet'!$B$14,Paramètres!$A$1:$I$89,5,0)</f>
        <v>6.5028871176764376E-14</v>
      </c>
      <c r="DQ158" s="13">
        <f t="shared" si="176"/>
        <v>1.0270999702906072E-12</v>
      </c>
      <c r="DR158" s="20">
        <f t="shared" si="177"/>
        <v>1.9021243988890057E-12</v>
      </c>
      <c r="DS158" s="59">
        <f t="shared" si="125"/>
        <v>293.33333333333519</v>
      </c>
      <c r="DT158" s="59">
        <f ca="1">AVERAGE(OFFSET($DS$3,0,0,'Données projet'!$E$14+1,1))-AVERAGE(OFFSET($H$3,0,0,'Données projet'!$E$14+1,1))</f>
        <v>227.99747790451215</v>
      </c>
      <c r="DU158" s="59">
        <f t="shared" si="152"/>
        <v>209.49597700966933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0.24127318522864194</v>
      </c>
      <c r="EB158" s="21">
        <f>EXP(-LN(2)/25)*EB157+(1-EXP(-LN(2)/25))/(LN(2)/25)*Calculateur!DW158*Calculateur!DY158*VLOOKUP('Données projet'!$B$14,Paramètres!$A$1:$I$89,3,0)*0.475*44/12</f>
        <v>0.47425310242927998</v>
      </c>
      <c r="EC158" s="21">
        <f>EXP(-LN(2)/2)*EC157+(1-EXP(-LN(2)/2))/(LN(2)/2)*DW158*DZ158*VLOOKUP('Données projet'!$B$14,Paramètres!$A$1:$I$89,3,0)*0.475*44/12</f>
        <v>3.7815342172541559E-18</v>
      </c>
      <c r="ED158" s="22">
        <f t="shared" si="178"/>
        <v>0.71552628765792192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3.4106051316484809E-13</v>
      </c>
      <c r="EK158" s="17">
        <f>EJ158*VLOOKUP('Données projet'!$B$15,Paramètres!$A$1:$I$89,3,0)*VLOOKUP('Données projet'!$B$15,Paramètres!$A$1:$I$89,5,0)</f>
        <v>1.5074874681886286E-13</v>
      </c>
      <c r="EL158" s="13">
        <f t="shared" si="179"/>
        <v>2.1590218794584103E-12</v>
      </c>
      <c r="EM158" s="20">
        <f t="shared" si="180"/>
        <v>4.0228505074329168E-12</v>
      </c>
      <c r="EN158" s="59">
        <f t="shared" si="128"/>
        <v>293.33333333333735</v>
      </c>
      <c r="EO158" s="59">
        <f ca="1">AVERAGE(OFFSET($EN$3,0,0,'Données projet'!$E$15+1,1))-AVERAGE(OFFSET($H$3,0,0,'Données projet'!$E$15+1,1))</f>
        <v>335.27356627949155</v>
      </c>
      <c r="EP158" s="59">
        <f t="shared" si="154"/>
        <v>322.66829503077247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0.87383169113869386</v>
      </c>
      <c r="EX158" s="21">
        <f>EXP(-LN(2)/2)*EX157+(1-EXP(-LN(2)/2))/(LN(2)/2)*ER158*EU158*VLOOKUP('Données projet'!$B$15,Paramètres!$A$1:$I$89,3,0)*0.475*44/12</f>
        <v>5.4252741533181887E-18</v>
      </c>
      <c r="EY158" s="22">
        <f t="shared" si="181"/>
        <v>0.87383169113869386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-5.6843418860808015E-13</v>
      </c>
      <c r="O159" s="13">
        <f>N159*VLOOKUP('Données projet'!$B$9,Paramètres!$A$1:$I$89,3,0)*VLOOKUP('Données projet'!$B$9,Paramètres!$A$1:$I$89,5,0)</f>
        <v>-5.1431925385259092E-13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319.18811755575183</v>
      </c>
      <c r="T159" s="59">
        <f t="shared" si="142"/>
        <v>234.87694492493506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0.19863153578440376</v>
      </c>
      <c r="AA159" s="21">
        <f>EXP(-LN(2)/25)*AA158+(1-EXP(-LN(2)/25))/(LN(2)/25)*Calculateur!V159*Calculateur!X159*VLOOKUP('Données projet'!$B$9,Paramètres!$A$1:$I$89,3,0)*0.475*44/12</f>
        <v>0.34294653556281846</v>
      </c>
      <c r="AB159" s="21">
        <f>EXP(-LN(2)/2)*AB158+(1-EXP(-LN(2)/2))/(LN(2)/2)*V159*Y159*VLOOKUP('Données projet'!$B$9,Paramètres!$A$1:$I$89,3,0)*0.475*44/12</f>
        <v>2.3368174554798179E-18</v>
      </c>
      <c r="AC159" s="22">
        <f t="shared" si="163"/>
        <v>0.54157807134722225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-1.8089849618263545E-13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314.94704727988847</v>
      </c>
      <c r="AO159" s="59">
        <f t="shared" si="144"/>
        <v>366.49199094166454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0.32291562222849474</v>
      </c>
      <c r="AV159" s="21">
        <f>EXP(-LN(2)/25)*AV158+(1-EXP(-LN(2)/25))/(LN(2)/25)*Calculateur!AQ159*Calculateur!AS159*VLOOKUP('Données projet'!$B$10,Paramètres!$A$1:$I$89,3,0)*0.475*44/12</f>
        <v>0.77225437682387643</v>
      </c>
      <c r="AW159" s="21">
        <f>EXP(-LN(2)/2)*AW158+(1-EXP(-LN(2)/2))/(LN(2)/2)*AQ159*AT159*VLOOKUP('Données projet'!$B$10,Paramètres!$A$1:$I$89,3,0)*0.475*44/12</f>
        <v>3.1300089018852702E-18</v>
      </c>
      <c r="AX159" s="21">
        <f t="shared" si="166"/>
        <v>1.0951699990523711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-1.4897523215040565E-13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246.64951465060813</v>
      </c>
      <c r="BJ159" s="59">
        <f t="shared" si="146"/>
        <v>292.64550285216865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0.21575494404168016</v>
      </c>
      <c r="BQ159" s="21">
        <f>EXP(-LN(2)/25)*BQ158+(1-EXP(-LN(2)/25))/(LN(2)/25)*Calculateur!BL159*Calculateur!BN159*VLOOKUP('Données projet'!$B$11,Paramètres!$A$1:$I$89,3,0)*0.475*44/12</f>
        <v>0.51597906198443277</v>
      </c>
      <c r="BR159" s="21">
        <f>EXP(-LN(2)/2)*BR158+(1-EXP(-LN(2)/2))/(LN(2)/2)*BL159*BO159*VLOOKUP('Données projet'!$B$11,Paramètres!$A$1:$I$89,3,0)*0.475*44/12</f>
        <v>2.5776543897878697E-18</v>
      </c>
      <c r="BS159" s="22">
        <f t="shared" si="169"/>
        <v>0.73173400602611294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-1.5252226148732008E-13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254.25222107710192</v>
      </c>
      <c r="CE159" s="59">
        <f t="shared" si="148"/>
        <v>300.86609173447573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0.27226219129069157</v>
      </c>
      <c r="CL159" s="21">
        <f>EXP(-LN(2)/25)*CL158+(1-EXP(-LN(2)/25))/(LN(2)/25)*Calculateur!CG159*Calculateur!CI159*VLOOKUP('Données projet'!$B$12,Paramètres!$A$1:$I$89,3,0)*0.475*44/12</f>
        <v>0.65111643536130737</v>
      </c>
      <c r="CM159" s="21">
        <f>EXP(-LN(2)/2)*CM158+(1-EXP(-LN(2)/2))/(LN(2)/2)*CG159*CJ159*VLOOKUP('Données projet'!$B$12,Paramètres!$A$1:$I$89,3,0)*0.475*44/12</f>
        <v>2.6390271133542491E-18</v>
      </c>
      <c r="CN159" s="22">
        <f t="shared" si="172"/>
        <v>0.92337862665199899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243.38048563215585</v>
      </c>
      <c r="CZ159" s="59">
        <f t="shared" si="150"/>
        <v>372.1604147006675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0.60274397065612251</v>
      </c>
      <c r="DG159" s="21">
        <f>EXP(-LN(2)/25)*DG158+(1-EXP(-LN(2)/25))/(LN(2)/25)*Calculateur!DB159*Calculateur!DD159*VLOOKUP('Données projet'!$B$13,Paramètres!$A$1:$I$89,3,0)*0.475*44/12</f>
        <v>0.58853005962178828</v>
      </c>
      <c r="DH159" s="21">
        <f>EXP(-LN(2)/2)*DH158+(1-EXP(-LN(2)/2))/(LN(2)/2)*DB159*DE159*VLOOKUP('Données projet'!$B$13,Paramètres!$A$1:$I$89,3,0)*0.475*44/12</f>
        <v>3.178332078119092E-18</v>
      </c>
      <c r="DI159" s="22">
        <f t="shared" si="175"/>
        <v>1.1912740302779108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1.1368683772161603E-13</v>
      </c>
      <c r="DP159" s="17">
        <f>DO159*VLOOKUP('Données projet'!$B$14,Paramètres!$A$1:$I$89,3,0)*VLOOKUP('Données projet'!$B$14,Paramètres!$A$1:$I$89,5,0)</f>
        <v>6.5028871176764376E-14</v>
      </c>
      <c r="DQ159" s="13">
        <f t="shared" si="176"/>
        <v>1.0270999702906072E-12</v>
      </c>
      <c r="DR159" s="20">
        <f t="shared" si="177"/>
        <v>1.9021243988890057E-12</v>
      </c>
      <c r="DS159" s="59">
        <f t="shared" si="125"/>
        <v>293.33333333333519</v>
      </c>
      <c r="DT159" s="59">
        <f ca="1">AVERAGE(OFFSET($DS$3,0,0,'Données projet'!$E$14+1,1))-AVERAGE(OFFSET($H$3,0,0,'Données projet'!$E$14+1,1))</f>
        <v>227.99747790451215</v>
      </c>
      <c r="DU159" s="59">
        <f t="shared" si="152"/>
        <v>209.49597700966933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0.23654196522842022</v>
      </c>
      <c r="EB159" s="21">
        <f>EXP(-LN(2)/25)*EB158+(1-EXP(-LN(2)/25))/(LN(2)/25)*Calculateur!DW159*Calculateur!DY159*VLOOKUP('Données projet'!$B$14,Paramètres!$A$1:$I$89,3,0)*0.475*44/12</f>
        <v>0.46128462640346457</v>
      </c>
      <c r="EC159" s="21">
        <f>EXP(-LN(2)/2)*EC158+(1-EXP(-LN(2)/2))/(LN(2)/2)*DW159*DZ159*VLOOKUP('Données projet'!$B$14,Paramètres!$A$1:$I$89,3,0)*0.475*44/12</f>
        <v>2.6739484883093767E-18</v>
      </c>
      <c r="ED159" s="22">
        <f t="shared" si="178"/>
        <v>0.69782659163188476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3.4106051316484809E-13</v>
      </c>
      <c r="EK159" s="17">
        <f>EJ159*VLOOKUP('Données projet'!$B$15,Paramètres!$A$1:$I$89,3,0)*VLOOKUP('Données projet'!$B$15,Paramètres!$A$1:$I$89,5,0)</f>
        <v>1.5074874681886286E-13</v>
      </c>
      <c r="EL159" s="13">
        <f t="shared" si="179"/>
        <v>2.1590218794584103E-12</v>
      </c>
      <c r="EM159" s="20">
        <f t="shared" si="180"/>
        <v>4.0228505074329168E-12</v>
      </c>
      <c r="EN159" s="59">
        <f t="shared" si="128"/>
        <v>293.33333333333735</v>
      </c>
      <c r="EO159" s="59">
        <f ca="1">AVERAGE(OFFSET($EN$3,0,0,'Données projet'!$E$15+1,1))-AVERAGE(OFFSET($H$3,0,0,'Données projet'!$E$15+1,1))</f>
        <v>335.27356627949155</v>
      </c>
      <c r="EP159" s="59">
        <f t="shared" si="154"/>
        <v>322.66829503077247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0.84993671759169476</v>
      </c>
      <c r="EX159" s="21">
        <f>EXP(-LN(2)/2)*EX158+(1-EXP(-LN(2)/2))/(LN(2)/2)*ER159*EU159*VLOOKUP('Données projet'!$B$15,Paramètres!$A$1:$I$89,3,0)*0.475*44/12</f>
        <v>3.8362481436073963E-18</v>
      </c>
      <c r="EY159" s="22">
        <f t="shared" si="181"/>
        <v>0.84993671759169476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-5.6843418860808015E-13</v>
      </c>
      <c r="O160" s="13">
        <f>N160*VLOOKUP('Données projet'!$B$9,Paramètres!$A$1:$I$89,3,0)*VLOOKUP('Données projet'!$B$9,Paramètres!$A$1:$I$89,5,0)</f>
        <v>-5.1431925385259092E-13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319.18811755575183</v>
      </c>
      <c r="T160" s="59">
        <f t="shared" si="142"/>
        <v>234.87694492493506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0.19473649252094555</v>
      </c>
      <c r="AA160" s="21">
        <f>EXP(-LN(2)/25)*AA159+(1-EXP(-LN(2)/25))/(LN(2)/25)*Calculateur!V160*Calculateur!X160*VLOOKUP('Données projet'!$B$9,Paramètres!$A$1:$I$89,3,0)*0.475*44/12</f>
        <v>0.33356864451307872</v>
      </c>
      <c r="AB160" s="21">
        <f>EXP(-LN(2)/2)*AB159+(1-EXP(-LN(2)/2))/(LN(2)/2)*V160*Y160*VLOOKUP('Données projet'!$B$9,Paramètres!$A$1:$I$89,3,0)*0.475*44/12</f>
        <v>1.6523794691648724E-18</v>
      </c>
      <c r="AC160" s="22">
        <f t="shared" si="163"/>
        <v>0.52830513703402426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-1.8089849618263545E-13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314.94704727988847</v>
      </c>
      <c r="AO160" s="59">
        <f t="shared" si="144"/>
        <v>366.49199094166454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0.31658344383567544</v>
      </c>
      <c r="AV160" s="21">
        <f>EXP(-LN(2)/25)*AV159+(1-EXP(-LN(2)/25))/(LN(2)/25)*Calculateur!AQ160*Calculateur!AS160*VLOOKUP('Données projet'!$B$10,Paramètres!$A$1:$I$89,3,0)*0.475*44/12</f>
        <v>0.7511370402785349</v>
      </c>
      <c r="AW160" s="21">
        <f>EXP(-LN(2)/2)*AW159+(1-EXP(-LN(2)/2))/(LN(2)/2)*AQ160*AT160*VLOOKUP('Données projet'!$B$10,Paramètres!$A$1:$I$89,3,0)*0.475*44/12</f>
        <v>2.2132505196973336E-18</v>
      </c>
      <c r="AX160" s="21">
        <f t="shared" si="166"/>
        <v>1.0677204841142103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-1.4897523215040565E-13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246.64951465060813</v>
      </c>
      <c r="BJ160" s="59">
        <f t="shared" si="146"/>
        <v>292.64550285216865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0.21152412118654451</v>
      </c>
      <c r="BQ160" s="21">
        <f>EXP(-LN(2)/25)*BQ159+(1-EXP(-LN(2)/25))/(LN(2)/25)*Calculateur!BL160*Calculateur!BN160*VLOOKUP('Données projet'!$B$11,Paramètres!$A$1:$I$89,3,0)*0.475*44/12</f>
        <v>0.50186958740030885</v>
      </c>
      <c r="BR160" s="21">
        <f>EXP(-LN(2)/2)*BR159+(1-EXP(-LN(2)/2))/(LN(2)/2)*BL160*BO160*VLOOKUP('Données projet'!$B$11,Paramètres!$A$1:$I$89,3,0)*0.475*44/12</f>
        <v>1.8226768985742749E-18</v>
      </c>
      <c r="BS160" s="22">
        <f t="shared" si="169"/>
        <v>0.71339370858685336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-1.5252226148732008E-13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254.25222107710192</v>
      </c>
      <c r="CE160" s="59">
        <f t="shared" si="148"/>
        <v>300.86609173447573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0.26692329578302038</v>
      </c>
      <c r="CL160" s="21">
        <f>EXP(-LN(2)/25)*CL159+(1-EXP(-LN(2)/25))/(LN(2)/25)*Calculateur!CG160*Calculateur!CI160*VLOOKUP('Données projet'!$B$12,Paramètres!$A$1:$I$89,3,0)*0.475*44/12</f>
        <v>0.6333116221956272</v>
      </c>
      <c r="CM160" s="21">
        <f>EXP(-LN(2)/2)*CM159+(1-EXP(-LN(2)/2))/(LN(2)/2)*CG160*CJ160*VLOOKUP('Données projet'!$B$12,Paramètres!$A$1:$I$89,3,0)*0.475*44/12</f>
        <v>1.8660739675879491E-18</v>
      </c>
      <c r="CN160" s="22">
        <f t="shared" si="172"/>
        <v>0.90023491797864752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243.38048563215585</v>
      </c>
      <c r="CZ160" s="59">
        <f t="shared" si="150"/>
        <v>372.1604147006675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0.59092452902907688</v>
      </c>
      <c r="DG160" s="21">
        <f>EXP(-LN(2)/25)*DG159+(1-EXP(-LN(2)/25))/(LN(2)/25)*Calculateur!DB160*Calculateur!DD160*VLOOKUP('Données projet'!$B$13,Paramètres!$A$1:$I$89,3,0)*0.475*44/12</f>
        <v>0.57243667419197974</v>
      </c>
      <c r="DH160" s="21">
        <f>EXP(-LN(2)/2)*DH159+(1-EXP(-LN(2)/2))/(LN(2)/2)*DB160*DE160*VLOOKUP('Données projet'!$B$13,Paramètres!$A$1:$I$89,3,0)*0.475*44/12</f>
        <v>2.2474201653007417E-18</v>
      </c>
      <c r="DI160" s="22">
        <f t="shared" si="175"/>
        <v>1.1633612032210565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1.1368683772161603E-13</v>
      </c>
      <c r="DP160" s="17">
        <f>DO160*VLOOKUP('Données projet'!$B$14,Paramètres!$A$1:$I$89,3,0)*VLOOKUP('Données projet'!$B$14,Paramètres!$A$1:$I$89,5,0)</f>
        <v>6.5028871176764376E-14</v>
      </c>
      <c r="DQ160" s="13">
        <f t="shared" si="176"/>
        <v>1.0270999702906072E-12</v>
      </c>
      <c r="DR160" s="20">
        <f t="shared" si="177"/>
        <v>1.9021243988890057E-12</v>
      </c>
      <c r="DS160" s="59">
        <f t="shared" si="125"/>
        <v>293.33333333333519</v>
      </c>
      <c r="DT160" s="59">
        <f ca="1">AVERAGE(OFFSET($DS$3,0,0,'Données projet'!$E$14+1,1))-AVERAGE(OFFSET($H$3,0,0,'Données projet'!$E$14+1,1))</f>
        <v>227.99747790451215</v>
      </c>
      <c r="DU160" s="59">
        <f t="shared" si="152"/>
        <v>209.49597700966933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0.23190352156664359</v>
      </c>
      <c r="EB160" s="21">
        <f>EXP(-LN(2)/25)*EB159+(1-EXP(-LN(2)/25))/(LN(2)/25)*Calculateur!DW160*Calculateur!DY160*VLOOKUP('Données projet'!$B$14,Paramètres!$A$1:$I$89,3,0)*0.475*44/12</f>
        <v>0.44867077403655758</v>
      </c>
      <c r="EC160" s="21">
        <f>EXP(-LN(2)/2)*EC159+(1-EXP(-LN(2)/2))/(LN(2)/2)*DW160*DZ160*VLOOKUP('Données projet'!$B$14,Paramètres!$A$1:$I$89,3,0)*0.475*44/12</f>
        <v>1.8907671086270779E-18</v>
      </c>
      <c r="ED160" s="22">
        <f t="shared" si="178"/>
        <v>0.68057429560320115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3.4106051316484809E-13</v>
      </c>
      <c r="EK160" s="17">
        <f>EJ160*VLOOKUP('Données projet'!$B$15,Paramètres!$A$1:$I$89,3,0)*VLOOKUP('Données projet'!$B$15,Paramètres!$A$1:$I$89,5,0)</f>
        <v>1.5074874681886286E-13</v>
      </c>
      <c r="EL160" s="13">
        <f t="shared" si="179"/>
        <v>2.1590218794584103E-12</v>
      </c>
      <c r="EM160" s="20">
        <f t="shared" si="180"/>
        <v>4.0228505074329168E-12</v>
      </c>
      <c r="EN160" s="59">
        <f t="shared" si="128"/>
        <v>293.33333333333735</v>
      </c>
      <c r="EO160" s="59">
        <f ca="1">AVERAGE(OFFSET($EN$3,0,0,'Données projet'!$E$15+1,1))-AVERAGE(OFFSET($H$3,0,0,'Données projet'!$E$15+1,1))</f>
        <v>335.27356627949155</v>
      </c>
      <c r="EP160" s="59">
        <f t="shared" si="154"/>
        <v>322.66829503077247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0.82669515335292043</v>
      </c>
      <c r="EX160" s="21">
        <f>EXP(-LN(2)/2)*EX159+(1-EXP(-LN(2)/2))/(LN(2)/2)*ER160*EU160*VLOOKUP('Données projet'!$B$15,Paramètres!$A$1:$I$89,3,0)*0.475*44/12</f>
        <v>2.7126370766590944E-18</v>
      </c>
      <c r="EY160" s="22">
        <f t="shared" si="181"/>
        <v>0.82669515335292043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-5.6843418860808015E-13</v>
      </c>
      <c r="O161" s="13">
        <f>N161*VLOOKUP('Données projet'!$B$9,Paramètres!$A$1:$I$89,3,0)*VLOOKUP('Données projet'!$B$9,Paramètres!$A$1:$I$89,5,0)</f>
        <v>-5.1431925385259092E-13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319.18811755575183</v>
      </c>
      <c r="T161" s="59">
        <f t="shared" si="142"/>
        <v>234.87694492493506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0.19091782868014193</v>
      </c>
      <c r="AA161" s="21">
        <f>EXP(-LN(2)/25)*AA160+(1-EXP(-LN(2)/25))/(LN(2)/25)*Calculateur!V161*Calculateur!X161*VLOOKUP('Données projet'!$B$9,Paramètres!$A$1:$I$89,3,0)*0.475*44/12</f>
        <v>0.32444719238725594</v>
      </c>
      <c r="AB161" s="21">
        <f>EXP(-LN(2)/2)*AB160+(1-EXP(-LN(2)/2))/(LN(2)/2)*V161*Y161*VLOOKUP('Données projet'!$B$9,Paramètres!$A$1:$I$89,3,0)*0.475*44/12</f>
        <v>1.168408727739909E-18</v>
      </c>
      <c r="AC161" s="22">
        <f t="shared" si="163"/>
        <v>0.5153650210673979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-1.8089849618263545E-13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314.94704727988847</v>
      </c>
      <c r="AO161" s="59">
        <f t="shared" si="144"/>
        <v>366.49199094166454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0.31037543559889186</v>
      </c>
      <c r="AV161" s="21">
        <f>EXP(-LN(2)/25)*AV160+(1-EXP(-LN(2)/25))/(LN(2)/25)*Calculateur!AQ161*Calculateur!AS161*VLOOKUP('Données projet'!$B$10,Paramètres!$A$1:$I$89,3,0)*0.475*44/12</f>
        <v>0.73059715841153816</v>
      </c>
      <c r="AW161" s="21">
        <f>EXP(-LN(2)/2)*AW160+(1-EXP(-LN(2)/2))/(LN(2)/2)*AQ161*AT161*VLOOKUP('Données projet'!$B$10,Paramètres!$A$1:$I$89,3,0)*0.475*44/12</f>
        <v>1.5650044509426351E-18</v>
      </c>
      <c r="AX161" s="21">
        <f t="shared" si="166"/>
        <v>1.04097259401043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-1.4897523215040565E-13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246.64951465060813</v>
      </c>
      <c r="BJ161" s="59">
        <f t="shared" si="146"/>
        <v>292.64550285216865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0.20737626218705094</v>
      </c>
      <c r="BQ161" s="21">
        <f>EXP(-LN(2)/25)*BQ160+(1-EXP(-LN(2)/25))/(LN(2)/25)*Calculateur!BL161*Calculateur!BN161*VLOOKUP('Données projet'!$B$11,Paramètres!$A$1:$I$89,3,0)*0.475*44/12</f>
        <v>0.48814593714067284</v>
      </c>
      <c r="BR161" s="21">
        <f>EXP(-LN(2)/2)*BR160+(1-EXP(-LN(2)/2))/(LN(2)/2)*BL161*BO161*VLOOKUP('Données projet'!$B$11,Paramètres!$A$1:$I$89,3,0)*0.475*44/12</f>
        <v>1.2888271948939349E-18</v>
      </c>
      <c r="BS161" s="22">
        <f t="shared" si="169"/>
        <v>0.69552219932772374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-1.5252226148732008E-13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254.25222107710192</v>
      </c>
      <c r="CE161" s="59">
        <f t="shared" si="148"/>
        <v>300.86609173447573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0.26168909275984992</v>
      </c>
      <c r="CL161" s="21">
        <f>EXP(-LN(2)/25)*CL160+(1-EXP(-LN(2)/25))/(LN(2)/25)*Calculateur!CG161*Calculateur!CI161*VLOOKUP('Données projet'!$B$12,Paramètres!$A$1:$I$89,3,0)*0.475*44/12</f>
        <v>0.61599368258227705</v>
      </c>
      <c r="CM161" s="21">
        <f>EXP(-LN(2)/2)*CM160+(1-EXP(-LN(2)/2))/(LN(2)/2)*CG161*CJ161*VLOOKUP('Données projet'!$B$12,Paramètres!$A$1:$I$89,3,0)*0.475*44/12</f>
        <v>1.3195135566771245E-18</v>
      </c>
      <c r="CN161" s="22">
        <f t="shared" si="172"/>
        <v>0.87768277534212702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243.38048563215585</v>
      </c>
      <c r="CZ161" s="59">
        <f t="shared" si="150"/>
        <v>372.1604147006675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0.57933685944319002</v>
      </c>
      <c r="DG161" s="21">
        <f>EXP(-LN(2)/25)*DG160+(1-EXP(-LN(2)/25))/(LN(2)/25)*Calculateur!DB161*Calculateur!DD161*VLOOKUP('Données projet'!$B$13,Paramètres!$A$1:$I$89,3,0)*0.475*44/12</f>
        <v>0.55678336323306366</v>
      </c>
      <c r="DH161" s="21">
        <f>EXP(-LN(2)/2)*DH160+(1-EXP(-LN(2)/2))/(LN(2)/2)*DB161*DE161*VLOOKUP('Données projet'!$B$13,Paramètres!$A$1:$I$89,3,0)*0.475*44/12</f>
        <v>1.589166039059546E-18</v>
      </c>
      <c r="DI161" s="22">
        <f t="shared" si="175"/>
        <v>1.1361202226762537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1.1368683772161603E-13</v>
      </c>
      <c r="DP161" s="17">
        <f>DO161*VLOOKUP('Données projet'!$B$14,Paramètres!$A$1:$I$89,3,0)*VLOOKUP('Données projet'!$B$14,Paramètres!$A$1:$I$89,5,0)</f>
        <v>6.5028871176764376E-14</v>
      </c>
      <c r="DQ161" s="13">
        <f t="shared" si="176"/>
        <v>1.0270999702906072E-12</v>
      </c>
      <c r="DR161" s="20">
        <f t="shared" si="177"/>
        <v>1.9021243988890057E-12</v>
      </c>
      <c r="DS161" s="59">
        <f t="shared" si="125"/>
        <v>293.33333333333519</v>
      </c>
      <c r="DT161" s="59">
        <f ca="1">AVERAGE(OFFSET($DS$3,0,0,'Données projet'!$E$14+1,1))-AVERAGE(OFFSET($H$3,0,0,'Données projet'!$E$14+1,1))</f>
        <v>227.99747790451215</v>
      </c>
      <c r="DU161" s="59">
        <f t="shared" si="152"/>
        <v>209.49597700966933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0.22735603495590312</v>
      </c>
      <c r="EB161" s="21">
        <f>EXP(-LN(2)/25)*EB160+(1-EXP(-LN(2)/25))/(LN(2)/25)*Calculateur!DW161*Calculateur!DY161*VLOOKUP('Données projet'!$B$14,Paramètres!$A$1:$I$89,3,0)*0.475*44/12</f>
        <v>0.43640184812595734</v>
      </c>
      <c r="EC161" s="21">
        <f>EXP(-LN(2)/2)*EC160+(1-EXP(-LN(2)/2))/(LN(2)/2)*DW161*DZ161*VLOOKUP('Données projet'!$B$14,Paramètres!$A$1:$I$89,3,0)*0.475*44/12</f>
        <v>1.3369742441546884E-18</v>
      </c>
      <c r="ED161" s="22">
        <f t="shared" si="178"/>
        <v>0.66375788308186046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3.4106051316484809E-13</v>
      </c>
      <c r="EK161" s="17">
        <f>EJ161*VLOOKUP('Données projet'!$B$15,Paramètres!$A$1:$I$89,3,0)*VLOOKUP('Données projet'!$B$15,Paramètres!$A$1:$I$89,5,0)</f>
        <v>1.5074874681886286E-13</v>
      </c>
      <c r="EL161" s="13">
        <f t="shared" si="179"/>
        <v>2.1590218794584103E-12</v>
      </c>
      <c r="EM161" s="20">
        <f t="shared" si="180"/>
        <v>4.0228505074329168E-12</v>
      </c>
      <c r="EN161" s="59">
        <f t="shared" si="128"/>
        <v>293.33333333333735</v>
      </c>
      <c r="EO161" s="59">
        <f ca="1">AVERAGE(OFFSET($EN$3,0,0,'Données projet'!$E$15+1,1))-AVERAGE(OFFSET($H$3,0,0,'Données projet'!$E$15+1,1))</f>
        <v>335.27356627949155</v>
      </c>
      <c r="EP161" s="59">
        <f t="shared" si="154"/>
        <v>322.66829503077247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0.80408913091047618</v>
      </c>
      <c r="EX161" s="21">
        <f>EXP(-LN(2)/2)*EX160+(1-EXP(-LN(2)/2))/(LN(2)/2)*ER161*EU161*VLOOKUP('Données projet'!$B$15,Paramètres!$A$1:$I$89,3,0)*0.475*44/12</f>
        <v>1.9181240718036981E-18</v>
      </c>
      <c r="EY161" s="22">
        <f t="shared" si="181"/>
        <v>0.80408913091047618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-5.6843418860808015E-13</v>
      </c>
      <c r="O162" s="13">
        <f>N162*VLOOKUP('Données projet'!$B$9,Paramètres!$A$1:$I$89,3,0)*VLOOKUP('Données projet'!$B$9,Paramètres!$A$1:$I$89,5,0)</f>
        <v>-5.1431925385259092E-13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319.18811755575183</v>
      </c>
      <c r="T162" s="59">
        <f t="shared" si="142"/>
        <v>234.87694492493506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0.18717404650810152</v>
      </c>
      <c r="AA162" s="21">
        <f>EXP(-LN(2)/25)*AA161+(1-EXP(-LN(2)/25))/(LN(2)/25)*Calculateur!V162*Calculateur!X162*VLOOKUP('Données projet'!$B$9,Paramètres!$A$1:$I$89,3,0)*0.475*44/12</f>
        <v>0.31557516684949011</v>
      </c>
      <c r="AB162" s="21">
        <f>EXP(-LN(2)/2)*AB161+(1-EXP(-LN(2)/2))/(LN(2)/2)*V162*Y162*VLOOKUP('Données projet'!$B$9,Paramètres!$A$1:$I$89,3,0)*0.475*44/12</f>
        <v>8.261897345824362E-19</v>
      </c>
      <c r="AC162" s="22">
        <f t="shared" si="163"/>
        <v>0.5027492133575916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-1.8089849618263545E-13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314.94704727988847</v>
      </c>
      <c r="AO162" s="59">
        <f t="shared" si="144"/>
        <v>366.49199094166454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0.30428916261712047</v>
      </c>
      <c r="AV162" s="21">
        <f>EXP(-LN(2)/25)*AV161+(1-EXP(-LN(2)/25))/(LN(2)/25)*Calculateur!AQ162*Calculateur!AS162*VLOOKUP('Données projet'!$B$10,Paramètres!$A$1:$I$89,3,0)*0.475*44/12</f>
        <v>0.71061894069433984</v>
      </c>
      <c r="AW162" s="21">
        <f>EXP(-LN(2)/2)*AW161+(1-EXP(-LN(2)/2))/(LN(2)/2)*AQ162*AT162*VLOOKUP('Données projet'!$B$10,Paramètres!$A$1:$I$89,3,0)*0.475*44/12</f>
        <v>1.1066252598486668E-18</v>
      </c>
      <c r="AX162" s="21">
        <f t="shared" si="166"/>
        <v>1.0149081033114604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-1.4897523215040565E-13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246.64951465060813</v>
      </c>
      <c r="BJ162" s="59">
        <f t="shared" si="146"/>
        <v>292.64550285216865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0.20330974017259323</v>
      </c>
      <c r="BQ162" s="21">
        <f>EXP(-LN(2)/25)*BQ161+(1-EXP(-LN(2)/25))/(LN(2)/25)*Calculateur!BL162*Calculateur!BN162*VLOOKUP('Données projet'!$B$11,Paramètres!$A$1:$I$89,3,0)*0.475*44/12</f>
        <v>0.47479756081908198</v>
      </c>
      <c r="BR162" s="21">
        <f>EXP(-LN(2)/2)*BR161+(1-EXP(-LN(2)/2))/(LN(2)/2)*BL162*BO162*VLOOKUP('Données projet'!$B$11,Paramètres!$A$1:$I$89,3,0)*0.475*44/12</f>
        <v>9.1133844928713743E-19</v>
      </c>
      <c r="BS162" s="22">
        <f t="shared" si="169"/>
        <v>0.67810730099167515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-1.5252226148732008E-13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254.25222107710192</v>
      </c>
      <c r="CE162" s="59">
        <f t="shared" si="148"/>
        <v>300.86609173447573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0.2565575292654152</v>
      </c>
      <c r="CL162" s="21">
        <f>EXP(-LN(2)/25)*CL161+(1-EXP(-LN(2)/25))/(LN(2)/25)*Calculateur!CG162*Calculateur!CI162*VLOOKUP('Données projet'!$B$12,Paramètres!$A$1:$I$89,3,0)*0.475*44/12</f>
        <v>0.59914930293836477</v>
      </c>
      <c r="CM162" s="21">
        <f>EXP(-LN(2)/2)*CM161+(1-EXP(-LN(2)/2))/(LN(2)/2)*CG162*CJ162*VLOOKUP('Données projet'!$B$12,Paramètres!$A$1:$I$89,3,0)*0.475*44/12</f>
        <v>9.3303698379397456E-19</v>
      </c>
      <c r="CN162" s="22">
        <f t="shared" si="172"/>
        <v>0.85570683220377997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243.38048563215585</v>
      </c>
      <c r="CZ162" s="59">
        <f t="shared" si="150"/>
        <v>372.1604147006675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0.56797641699010182</v>
      </c>
      <c r="DG162" s="21">
        <f>EXP(-LN(2)/25)*DG161+(1-EXP(-LN(2)/25))/(LN(2)/25)*Calculateur!DB162*Calculateur!DD162*VLOOKUP('Données projet'!$B$13,Paramètres!$A$1:$I$89,3,0)*0.475*44/12</f>
        <v>0.54155809288549095</v>
      </c>
      <c r="DH162" s="21">
        <f>EXP(-LN(2)/2)*DH161+(1-EXP(-LN(2)/2))/(LN(2)/2)*DB162*DE162*VLOOKUP('Données projet'!$B$13,Paramètres!$A$1:$I$89,3,0)*0.475*44/12</f>
        <v>1.1237100826503708E-18</v>
      </c>
      <c r="DI162" s="22">
        <f t="shared" si="175"/>
        <v>1.1095345098755929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1.1368683772161603E-13</v>
      </c>
      <c r="DP162" s="17">
        <f>DO162*VLOOKUP('Données projet'!$B$14,Paramètres!$A$1:$I$89,3,0)*VLOOKUP('Données projet'!$B$14,Paramètres!$A$1:$I$89,5,0)</f>
        <v>6.5028871176764376E-14</v>
      </c>
      <c r="DQ162" s="13">
        <f t="shared" si="176"/>
        <v>1.0270999702906072E-12</v>
      </c>
      <c r="DR162" s="20">
        <f t="shared" si="177"/>
        <v>1.9021243988890057E-12</v>
      </c>
      <c r="DS162" s="59">
        <f t="shared" si="125"/>
        <v>293.33333333333519</v>
      </c>
      <c r="DT162" s="59">
        <f ca="1">AVERAGE(OFFSET($DS$3,0,0,'Données projet'!$E$14+1,1))-AVERAGE(OFFSET($H$3,0,0,'Données projet'!$E$14+1,1))</f>
        <v>227.99747790451215</v>
      </c>
      <c r="DU162" s="59">
        <f t="shared" si="152"/>
        <v>209.49597700966933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0.22289772178390632</v>
      </c>
      <c r="EB162" s="21">
        <f>EXP(-LN(2)/25)*EB161+(1-EXP(-LN(2)/25))/(LN(2)/25)*Calculateur!DW162*Calculateur!DY162*VLOOKUP('Données projet'!$B$14,Paramètres!$A$1:$I$89,3,0)*0.475*44/12</f>
        <v>0.42446841663957724</v>
      </c>
      <c r="EC162" s="21">
        <f>EXP(-LN(2)/2)*EC161+(1-EXP(-LN(2)/2))/(LN(2)/2)*DW162*DZ162*VLOOKUP('Données projet'!$B$14,Paramètres!$A$1:$I$89,3,0)*0.475*44/12</f>
        <v>9.4538355431353897E-19</v>
      </c>
      <c r="ED162" s="22">
        <f t="shared" si="178"/>
        <v>0.64736613842348356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3.4106051316484809E-13</v>
      </c>
      <c r="EK162" s="17">
        <f>EJ162*VLOOKUP('Données projet'!$B$15,Paramètres!$A$1:$I$89,3,0)*VLOOKUP('Données projet'!$B$15,Paramètres!$A$1:$I$89,5,0)</f>
        <v>1.5074874681886286E-13</v>
      </c>
      <c r="EL162" s="13">
        <f t="shared" si="179"/>
        <v>2.1590218794584103E-12</v>
      </c>
      <c r="EM162" s="20">
        <f t="shared" si="180"/>
        <v>4.0228505074329168E-12</v>
      </c>
      <c r="EN162" s="59">
        <f t="shared" si="128"/>
        <v>293.33333333333735</v>
      </c>
      <c r="EO162" s="59">
        <f ca="1">AVERAGE(OFFSET($EN$3,0,0,'Données projet'!$E$15+1,1))-AVERAGE(OFFSET($H$3,0,0,'Données projet'!$E$15+1,1))</f>
        <v>335.27356627949155</v>
      </c>
      <c r="EP162" s="59">
        <f t="shared" si="154"/>
        <v>322.66829503077247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0.78210127134051954</v>
      </c>
      <c r="EX162" s="21">
        <f>EXP(-LN(2)/2)*EX161+(1-EXP(-LN(2)/2))/(LN(2)/2)*ER162*EU162*VLOOKUP('Données projet'!$B$15,Paramètres!$A$1:$I$89,3,0)*0.475*44/12</f>
        <v>1.3563185383295472E-18</v>
      </c>
      <c r="EY162" s="22">
        <f t="shared" si="181"/>
        <v>0.78210127134051954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-5.6843418860808015E-13</v>
      </c>
      <c r="O163" s="13">
        <f>N163*VLOOKUP('Données projet'!$B$9,Paramètres!$A$1:$I$89,3,0)*VLOOKUP('Données projet'!$B$9,Paramètres!$A$1:$I$89,5,0)</f>
        <v>-5.1431925385259092E-13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319.18811755575183</v>
      </c>
      <c r="T163" s="59">
        <f t="shared" si="142"/>
        <v>234.87694492493506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0.18350367762097317</v>
      </c>
      <c r="AA163" s="21">
        <f>EXP(-LN(2)/25)*AA162+(1-EXP(-LN(2)/25))/(LN(2)/25)*Calculateur!V163*Calculateur!X163*VLOOKUP('Données projet'!$B$9,Paramètres!$A$1:$I$89,3,0)*0.475*44/12</f>
        <v>0.30694574731661406</v>
      </c>
      <c r="AB163" s="21">
        <f>EXP(-LN(2)/2)*AB162+(1-EXP(-LN(2)/2))/(LN(2)/2)*V163*Y163*VLOOKUP('Données projet'!$B$9,Paramètres!$A$1:$I$89,3,0)*0.475*44/12</f>
        <v>5.8420436386995448E-19</v>
      </c>
      <c r="AC163" s="22">
        <f t="shared" si="163"/>
        <v>0.49044942493758725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-1.8089849618263545E-13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314.94704727988847</v>
      </c>
      <c r="AO163" s="59">
        <f t="shared" si="144"/>
        <v>366.49199094166454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0.29832223773626165</v>
      </c>
      <c r="AV163" s="21">
        <f>EXP(-LN(2)/25)*AV162+(1-EXP(-LN(2)/25))/(LN(2)/25)*Calculateur!AQ163*Calculateur!AS163*VLOOKUP('Données projet'!$B$10,Paramètres!$A$1:$I$89,3,0)*0.475*44/12</f>
        <v>0.69118702839122714</v>
      </c>
      <c r="AW163" s="21">
        <f>EXP(-LN(2)/2)*AW162+(1-EXP(-LN(2)/2))/(LN(2)/2)*AQ163*AT163*VLOOKUP('Données projet'!$B$10,Paramètres!$A$1:$I$89,3,0)*0.475*44/12</f>
        <v>7.8250222547131755E-19</v>
      </c>
      <c r="AX163" s="21">
        <f t="shared" si="166"/>
        <v>0.9895092661274888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-1.4897523215040565E-13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246.64951465060813</v>
      </c>
      <c r="BJ163" s="59">
        <f t="shared" si="146"/>
        <v>292.64550285216865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0.19932296017450554</v>
      </c>
      <c r="BQ163" s="21">
        <f>EXP(-LN(2)/25)*BQ162+(1-EXP(-LN(2)/25))/(LN(2)/25)*Calculateur!BL163*Calculateur!BN163*VLOOKUP('Données projet'!$B$11,Paramètres!$A$1:$I$89,3,0)*0.475*44/12</f>
        <v>0.46181419654996564</v>
      </c>
      <c r="BR163" s="21">
        <f>EXP(-LN(2)/2)*BR162+(1-EXP(-LN(2)/2))/(LN(2)/2)*BL163*BO163*VLOOKUP('Données projet'!$B$11,Paramètres!$A$1:$I$89,3,0)*0.475*44/12</f>
        <v>6.4441359744696743E-19</v>
      </c>
      <c r="BS163" s="22">
        <f t="shared" si="169"/>
        <v>0.66113715672447115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-1.5252226148732008E-13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254.25222107710192</v>
      </c>
      <c r="CE163" s="59">
        <f t="shared" si="148"/>
        <v>300.86609173447573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0.25152659260116167</v>
      </c>
      <c r="CL163" s="21">
        <f>EXP(-LN(2)/25)*CL162+(1-EXP(-LN(2)/25))/(LN(2)/25)*Calculateur!CG163*Calculateur!CI163*VLOOKUP('Données projet'!$B$12,Paramètres!$A$1:$I$89,3,0)*0.475*44/12</f>
        <v>0.58276553374162277</v>
      </c>
      <c r="CM163" s="21">
        <f>EXP(-LN(2)/2)*CM162+(1-EXP(-LN(2)/2))/(LN(2)/2)*CG163*CJ163*VLOOKUP('Données projet'!$B$12,Paramètres!$A$1:$I$89,3,0)*0.475*44/12</f>
        <v>6.5975677833856227E-19</v>
      </c>
      <c r="CN163" s="22">
        <f t="shared" si="172"/>
        <v>0.83429212634278449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243.38048563215585</v>
      </c>
      <c r="CZ163" s="59">
        <f t="shared" si="150"/>
        <v>372.1604147006675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0.55683874588433302</v>
      </c>
      <c r="DG163" s="21">
        <f>EXP(-LN(2)/25)*DG162+(1-EXP(-LN(2)/25))/(LN(2)/25)*Calculateur!DB163*Calculateur!DD163*VLOOKUP('Données projet'!$B$13,Paramètres!$A$1:$I$89,3,0)*0.475*44/12</f>
        <v>0.52674915835623481</v>
      </c>
      <c r="DH163" s="21">
        <f>EXP(-LN(2)/2)*DH162+(1-EXP(-LN(2)/2))/(LN(2)/2)*DB163*DE163*VLOOKUP('Données projet'!$B$13,Paramètres!$A$1:$I$89,3,0)*0.475*44/12</f>
        <v>7.9458301952977301E-19</v>
      </c>
      <c r="DI163" s="22">
        <f t="shared" si="175"/>
        <v>1.0835879042405678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1.1368683772161603E-13</v>
      </c>
      <c r="DP163" s="17">
        <f>DO163*VLOOKUP('Données projet'!$B$14,Paramètres!$A$1:$I$89,3,0)*VLOOKUP('Données projet'!$B$14,Paramètres!$A$1:$I$89,5,0)</f>
        <v>6.5028871176764376E-14</v>
      </c>
      <c r="DQ163" s="13">
        <f t="shared" si="176"/>
        <v>1.0270999702906072E-12</v>
      </c>
      <c r="DR163" s="20">
        <f t="shared" si="177"/>
        <v>1.9021243988890057E-12</v>
      </c>
      <c r="DS163" s="59">
        <f t="shared" si="125"/>
        <v>293.33333333333519</v>
      </c>
      <c r="DT163" s="59">
        <f ca="1">AVERAGE(OFFSET($DS$3,0,0,'Données projet'!$E$14+1,1))-AVERAGE(OFFSET($H$3,0,0,'Données projet'!$E$14+1,1))</f>
        <v>227.99747790451215</v>
      </c>
      <c r="DU163" s="59">
        <f t="shared" si="152"/>
        <v>209.49597700966933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0.21852683341390985</v>
      </c>
      <c r="EB163" s="21">
        <f>EXP(-LN(2)/25)*EB162+(1-EXP(-LN(2)/25))/(LN(2)/25)*Calculateur!DW163*Calculateur!DY163*VLOOKUP('Données projet'!$B$14,Paramètres!$A$1:$I$89,3,0)*0.475*44/12</f>
        <v>0.41286130546474409</v>
      </c>
      <c r="EC163" s="21">
        <f>EXP(-LN(2)/2)*EC162+(1-EXP(-LN(2)/2))/(LN(2)/2)*DW163*DZ163*VLOOKUP('Données projet'!$B$14,Paramètres!$A$1:$I$89,3,0)*0.475*44/12</f>
        <v>6.6848712207734418E-19</v>
      </c>
      <c r="ED163" s="22">
        <f t="shared" si="178"/>
        <v>0.63138813887865397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3.4106051316484809E-13</v>
      </c>
      <c r="EK163" s="17">
        <f>EJ163*VLOOKUP('Données projet'!$B$15,Paramètres!$A$1:$I$89,3,0)*VLOOKUP('Données projet'!$B$15,Paramètres!$A$1:$I$89,5,0)</f>
        <v>1.5074874681886286E-13</v>
      </c>
      <c r="EL163" s="13">
        <f t="shared" si="179"/>
        <v>2.1590218794584103E-12</v>
      </c>
      <c r="EM163" s="20">
        <f t="shared" si="180"/>
        <v>4.0228505074329168E-12</v>
      </c>
      <c r="EN163" s="59">
        <f t="shared" si="128"/>
        <v>293.33333333333735</v>
      </c>
      <c r="EO163" s="59">
        <f ca="1">AVERAGE(OFFSET($EN$3,0,0,'Données projet'!$E$15+1,1))-AVERAGE(OFFSET($H$3,0,0,'Données projet'!$E$15+1,1))</f>
        <v>335.27356627949155</v>
      </c>
      <c r="EP163" s="59">
        <f t="shared" si="154"/>
        <v>322.66829503077247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0.76071467094679468</v>
      </c>
      <c r="EX163" s="21">
        <f>EXP(-LN(2)/2)*EX162+(1-EXP(-LN(2)/2))/(LN(2)/2)*ER163*EU163*VLOOKUP('Données projet'!$B$15,Paramètres!$A$1:$I$89,3,0)*0.475*44/12</f>
        <v>9.5906203590184907E-19</v>
      </c>
      <c r="EY163" s="22">
        <f t="shared" si="181"/>
        <v>0.76071467094679468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-5.6843418860808015E-13</v>
      </c>
      <c r="O164" s="13">
        <f>N164*VLOOKUP('Données projet'!$B$9,Paramètres!$A$1:$I$89,3,0)*VLOOKUP('Données projet'!$B$9,Paramètres!$A$1:$I$89,5,0)</f>
        <v>-5.1431925385259092E-13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319.18811755575183</v>
      </c>
      <c r="T164" s="59">
        <f t="shared" si="142"/>
        <v>234.87694492493506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0.17990528242901743</v>
      </c>
      <c r="AA164" s="21">
        <f>EXP(-LN(2)/25)*AA163+(1-EXP(-LN(2)/25))/(LN(2)/25)*Calculateur!V164*Calculateur!X164*VLOOKUP('Données projet'!$B$9,Paramètres!$A$1:$I$89,3,0)*0.475*44/12</f>
        <v>0.2985522997146659</v>
      </c>
      <c r="AB164" s="21">
        <f>EXP(-LN(2)/2)*AB163+(1-EXP(-LN(2)/2))/(LN(2)/2)*V164*Y164*VLOOKUP('Données projet'!$B$9,Paramètres!$A$1:$I$89,3,0)*0.475*44/12</f>
        <v>4.130948672912181E-19</v>
      </c>
      <c r="AC164" s="22">
        <f t="shared" si="163"/>
        <v>0.47845758214368334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-1.8089849618263545E-13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314.94704727988847</v>
      </c>
      <c r="AO164" s="59">
        <f t="shared" si="144"/>
        <v>366.49199094166454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0.29247232061285167</v>
      </c>
      <c r="AV164" s="21">
        <f>EXP(-LN(2)/25)*AV163+(1-EXP(-LN(2)/25))/(LN(2)/25)*Calculateur!AQ164*Calculateur!AS164*VLOOKUP('Données projet'!$B$10,Paramètres!$A$1:$I$89,3,0)*0.475*44/12</f>
        <v>0.67228648275192293</v>
      </c>
      <c r="AW164" s="21">
        <f>EXP(-LN(2)/2)*AW163+(1-EXP(-LN(2)/2))/(LN(2)/2)*AQ164*AT164*VLOOKUP('Données projet'!$B$10,Paramètres!$A$1:$I$89,3,0)*0.475*44/12</f>
        <v>5.5331262992433341E-19</v>
      </c>
      <c r="AX164" s="21">
        <f t="shared" si="166"/>
        <v>0.9647588033647746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-1.4897523215040565E-13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246.64951465060813</v>
      </c>
      <c r="BJ164" s="59">
        <f t="shared" si="146"/>
        <v>292.64550285216865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0.19541435850048466</v>
      </c>
      <c r="BQ164" s="21">
        <f>EXP(-LN(2)/25)*BQ163+(1-EXP(-LN(2)/25))/(LN(2)/25)*Calculateur!BL164*Calculateur!BN164*VLOOKUP('Données projet'!$B$11,Paramètres!$A$1:$I$89,3,0)*0.475*44/12</f>
        <v>0.44918586305955371</v>
      </c>
      <c r="BR164" s="21">
        <f>EXP(-LN(2)/2)*BR163+(1-EXP(-LN(2)/2))/(LN(2)/2)*BL164*BO164*VLOOKUP('Données projet'!$B$11,Paramètres!$A$1:$I$89,3,0)*0.475*44/12</f>
        <v>4.5566922464356872E-19</v>
      </c>
      <c r="BS164" s="22">
        <f t="shared" si="169"/>
        <v>0.64460022156003838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-1.5252226148732008E-13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254.25222107710192</v>
      </c>
      <c r="CE164" s="59">
        <f t="shared" si="148"/>
        <v>300.86609173447573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0.2465943095363258</v>
      </c>
      <c r="CL164" s="21">
        <f>EXP(-LN(2)/25)*CL163+(1-EXP(-LN(2)/25))/(LN(2)/25)*Calculateur!CG164*Calculateur!CI164*VLOOKUP('Données projet'!$B$12,Paramètres!$A$1:$I$89,3,0)*0.475*44/12</f>
        <v>0.56682977957515057</v>
      </c>
      <c r="CM164" s="21">
        <f>EXP(-LN(2)/2)*CM163+(1-EXP(-LN(2)/2))/(LN(2)/2)*CG164*CJ164*VLOOKUP('Données projet'!$B$12,Paramètres!$A$1:$I$89,3,0)*0.475*44/12</f>
        <v>4.6651849189698728E-19</v>
      </c>
      <c r="CN164" s="22">
        <f t="shared" si="172"/>
        <v>0.81342408911147634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243.38048563215585</v>
      </c>
      <c r="CZ164" s="59">
        <f t="shared" si="150"/>
        <v>372.1604147006675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0.54591947771563976</v>
      </c>
      <c r="DG164" s="21">
        <f>EXP(-LN(2)/25)*DG163+(1-EXP(-LN(2)/25))/(LN(2)/25)*Calculateur!DB164*Calculateur!DD164*VLOOKUP('Données projet'!$B$13,Paramètres!$A$1:$I$89,3,0)*0.475*44/12</f>
        <v>0.51234517492044929</v>
      </c>
      <c r="DH164" s="21">
        <f>EXP(-LN(2)/2)*DH163+(1-EXP(-LN(2)/2))/(LN(2)/2)*DB164*DE164*VLOOKUP('Données projet'!$B$13,Paramètres!$A$1:$I$89,3,0)*0.475*44/12</f>
        <v>5.6185504132518542E-19</v>
      </c>
      <c r="DI164" s="22">
        <f t="shared" si="175"/>
        <v>1.058264652636089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1.1368683772161603E-13</v>
      </c>
      <c r="DP164" s="17">
        <f>DO164*VLOOKUP('Données projet'!$B$14,Paramètres!$A$1:$I$89,3,0)*VLOOKUP('Données projet'!$B$14,Paramètres!$A$1:$I$89,5,0)</f>
        <v>6.5028871176764376E-14</v>
      </c>
      <c r="DQ164" s="13">
        <f t="shared" si="176"/>
        <v>1.0270999702906072E-12</v>
      </c>
      <c r="DR164" s="20">
        <f t="shared" si="177"/>
        <v>1.9021243988890057E-12</v>
      </c>
      <c r="DS164" s="59">
        <f t="shared" si="125"/>
        <v>293.33333333333519</v>
      </c>
      <c r="DT164" s="59">
        <f ca="1">AVERAGE(OFFSET($DS$3,0,0,'Données projet'!$E$14+1,1))-AVERAGE(OFFSET($H$3,0,0,'Données projet'!$E$14+1,1))</f>
        <v>227.99747790451215</v>
      </c>
      <c r="DU164" s="59">
        <f t="shared" si="152"/>
        <v>209.49597700966933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0.21424165549887034</v>
      </c>
      <c r="EB164" s="21">
        <f>EXP(-LN(2)/25)*EB163+(1-EXP(-LN(2)/25))/(LN(2)/25)*Calculateur!DW164*Calculateur!DY164*VLOOKUP('Données projet'!$B$14,Paramètres!$A$1:$I$89,3,0)*0.475*44/12</f>
        <v>0.40157159135537823</v>
      </c>
      <c r="EC164" s="21">
        <f>EXP(-LN(2)/2)*EC163+(1-EXP(-LN(2)/2))/(LN(2)/2)*DW164*DZ164*VLOOKUP('Données projet'!$B$14,Paramètres!$A$1:$I$89,3,0)*0.475*44/12</f>
        <v>4.7269177715676949E-19</v>
      </c>
      <c r="ED164" s="22">
        <f t="shared" si="178"/>
        <v>0.61581324685424854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3.4106051316484809E-13</v>
      </c>
      <c r="EK164" s="17">
        <f>EJ164*VLOOKUP('Données projet'!$B$15,Paramètres!$A$1:$I$89,3,0)*VLOOKUP('Données projet'!$B$15,Paramètres!$A$1:$I$89,5,0)</f>
        <v>1.5074874681886286E-13</v>
      </c>
      <c r="EL164" s="13">
        <f t="shared" si="179"/>
        <v>2.1590218794584103E-12</v>
      </c>
      <c r="EM164" s="20">
        <f t="shared" si="180"/>
        <v>4.0228505074329168E-12</v>
      </c>
      <c r="EN164" s="59">
        <f t="shared" si="128"/>
        <v>293.33333333333735</v>
      </c>
      <c r="EO164" s="59">
        <f ca="1">AVERAGE(OFFSET($EN$3,0,0,'Données projet'!$E$15+1,1))-AVERAGE(OFFSET($H$3,0,0,'Données projet'!$E$15+1,1))</f>
        <v>335.27356627949155</v>
      </c>
      <c r="EP164" s="59">
        <f t="shared" si="154"/>
        <v>322.66829503077247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0.73991288826550872</v>
      </c>
      <c r="EX164" s="21">
        <f>EXP(-LN(2)/2)*EX163+(1-EXP(-LN(2)/2))/(LN(2)/2)*ER164*EU164*VLOOKUP('Données projet'!$B$15,Paramètres!$A$1:$I$89,3,0)*0.475*44/12</f>
        <v>6.7815926916477359E-19</v>
      </c>
      <c r="EY164" s="22">
        <f t="shared" si="181"/>
        <v>0.73991288826550872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-5.6843418860808015E-13</v>
      </c>
      <c r="O165" s="13">
        <f>N165*VLOOKUP('Données projet'!$B$9,Paramètres!$A$1:$I$89,3,0)*VLOOKUP('Données projet'!$B$9,Paramètres!$A$1:$I$89,5,0)</f>
        <v>-5.1431925385259092E-13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319.18811755575183</v>
      </c>
      <c r="T165" s="59">
        <f t="shared" si="142"/>
        <v>234.87694492493506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0.1763774495719716</v>
      </c>
      <c r="AA165" s="21">
        <f>EXP(-LN(2)/25)*AA164+(1-EXP(-LN(2)/25))/(LN(2)/25)*Calculateur!V165*Calculateur!X165*VLOOKUP('Données projet'!$B$9,Paramètres!$A$1:$I$89,3,0)*0.475*44/12</f>
        <v>0.29038837137878526</v>
      </c>
      <c r="AB165" s="21">
        <f>EXP(-LN(2)/2)*AB164+(1-EXP(-LN(2)/2))/(LN(2)/2)*V165*Y165*VLOOKUP('Données projet'!$B$9,Paramètres!$A$1:$I$89,3,0)*0.475*44/12</f>
        <v>2.9210218193497724E-19</v>
      </c>
      <c r="AC165" s="22">
        <f t="shared" si="163"/>
        <v>0.46676582095075686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-1.8089849618263545E-13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314.94704727988847</v>
      </c>
      <c r="AO165" s="59">
        <f t="shared" si="144"/>
        <v>366.49199094166454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0.28673711679613462</v>
      </c>
      <c r="AV165" s="21">
        <f>EXP(-LN(2)/25)*AV164+(1-EXP(-LN(2)/25))/(LN(2)/25)*Calculateur!AQ165*Calculateur!AS165*VLOOKUP('Données projet'!$B$10,Paramètres!$A$1:$I$89,3,0)*0.475*44/12</f>
        <v>0.65390277352706205</v>
      </c>
      <c r="AW165" s="21">
        <f>EXP(-LN(2)/2)*AW164+(1-EXP(-LN(2)/2))/(LN(2)/2)*AQ165*AT165*VLOOKUP('Données projet'!$B$10,Paramètres!$A$1:$I$89,3,0)*0.475*44/12</f>
        <v>3.9125111273565878E-19</v>
      </c>
      <c r="AX165" s="21">
        <f t="shared" si="166"/>
        <v>0.94063989032319673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-1.4897523215040565E-13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246.64951465060813</v>
      </c>
      <c r="BJ165" s="59">
        <f t="shared" si="146"/>
        <v>292.64550285216865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0.19158240212127972</v>
      </c>
      <c r="BQ165" s="21">
        <f>EXP(-LN(2)/25)*BQ164+(1-EXP(-LN(2)/25))/(LN(2)/25)*Calculateur!BL165*Calculateur!BN165*VLOOKUP('Données projet'!$B$11,Paramètres!$A$1:$I$89,3,0)*0.475*44/12</f>
        <v>0.43690285201253232</v>
      </c>
      <c r="BR165" s="21">
        <f>EXP(-LN(2)/2)*BR164+(1-EXP(-LN(2)/2))/(LN(2)/2)*BL165*BO165*VLOOKUP('Données projet'!$B$11,Paramètres!$A$1:$I$89,3,0)*0.475*44/12</f>
        <v>3.2220679872348371E-19</v>
      </c>
      <c r="BS165" s="22">
        <f t="shared" si="169"/>
        <v>0.62848525413381207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-1.5252226148732008E-13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254.25222107710192</v>
      </c>
      <c r="CE165" s="59">
        <f t="shared" si="148"/>
        <v>300.86609173447573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0.24175874553399573</v>
      </c>
      <c r="CL165" s="21">
        <f>EXP(-LN(2)/25)*CL164+(1-EXP(-LN(2)/25))/(LN(2)/25)*Calculateur!CG165*Calculateur!CI165*VLOOKUP('Données projet'!$B$12,Paramètres!$A$1:$I$89,3,0)*0.475*44/12</f>
        <v>0.55132978944438549</v>
      </c>
      <c r="CM165" s="21">
        <f>EXP(-LN(2)/2)*CM164+(1-EXP(-LN(2)/2))/(LN(2)/2)*CG165*CJ165*VLOOKUP('Données projet'!$B$12,Paramètres!$A$1:$I$89,3,0)*0.475*44/12</f>
        <v>3.2987838916928114E-19</v>
      </c>
      <c r="CN165" s="22">
        <f t="shared" si="172"/>
        <v>0.79308853497838117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243.38048563215585</v>
      </c>
      <c r="CZ165" s="59">
        <f t="shared" si="150"/>
        <v>372.1604147006675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0.53521432973563865</v>
      </c>
      <c r="DG165" s="21">
        <f>EXP(-LN(2)/25)*DG164+(1-EXP(-LN(2)/25))/(LN(2)/25)*Calculateur!DB165*Calculateur!DD165*VLOOKUP('Données projet'!$B$13,Paramètres!$A$1:$I$89,3,0)*0.475*44/12</f>
        <v>0.49833506916918785</v>
      </c>
      <c r="DH165" s="21">
        <f>EXP(-LN(2)/2)*DH164+(1-EXP(-LN(2)/2))/(LN(2)/2)*DB165*DE165*VLOOKUP('Données projet'!$B$13,Paramètres!$A$1:$I$89,3,0)*0.475*44/12</f>
        <v>3.9729150976488651E-19</v>
      </c>
      <c r="DI165" s="22">
        <f t="shared" si="175"/>
        <v>1.0335493989048266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1.1368683772161603E-13</v>
      </c>
      <c r="DP165" s="17">
        <f>DO165*VLOOKUP('Données projet'!$B$14,Paramètres!$A$1:$I$89,3,0)*VLOOKUP('Données projet'!$B$14,Paramètres!$A$1:$I$89,5,0)</f>
        <v>6.5028871176764376E-14</v>
      </c>
      <c r="DQ165" s="13">
        <f t="shared" si="176"/>
        <v>1.0270999702906072E-12</v>
      </c>
      <c r="DR165" s="20">
        <f t="shared" si="177"/>
        <v>1.9021243988890057E-12</v>
      </c>
      <c r="DS165" s="59">
        <f t="shared" si="125"/>
        <v>293.33333333333519</v>
      </c>
      <c r="DT165" s="59">
        <f ca="1">AVERAGE(OFFSET($DS$3,0,0,'Données projet'!$E$14+1,1))-AVERAGE(OFFSET($H$3,0,0,'Données projet'!$E$14+1,1))</f>
        <v>227.99747790451215</v>
      </c>
      <c r="DU165" s="59">
        <f t="shared" si="152"/>
        <v>209.49597700966933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0.21004050730904431</v>
      </c>
      <c r="EB165" s="21">
        <f>EXP(-LN(2)/25)*EB164+(1-EXP(-LN(2)/25))/(LN(2)/25)*Calculateur!DW165*Calculateur!DY165*VLOOKUP('Données projet'!$B$14,Paramètres!$A$1:$I$89,3,0)*0.475*44/12</f>
        <v>0.39059059507203325</v>
      </c>
      <c r="EC165" s="21">
        <f>EXP(-LN(2)/2)*EC164+(1-EXP(-LN(2)/2))/(LN(2)/2)*DW165*DZ165*VLOOKUP('Données projet'!$B$14,Paramètres!$A$1:$I$89,3,0)*0.475*44/12</f>
        <v>3.3424356103867209E-19</v>
      </c>
      <c r="ED165" s="22">
        <f t="shared" si="178"/>
        <v>0.60063110238107753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3.4106051316484809E-13</v>
      </c>
      <c r="EK165" s="17">
        <f>EJ165*VLOOKUP('Données projet'!$B$15,Paramètres!$A$1:$I$89,3,0)*VLOOKUP('Données projet'!$B$15,Paramètres!$A$1:$I$89,5,0)</f>
        <v>1.5074874681886286E-13</v>
      </c>
      <c r="EL165" s="13">
        <f t="shared" si="179"/>
        <v>2.1590218794584103E-12</v>
      </c>
      <c r="EM165" s="20">
        <f t="shared" si="180"/>
        <v>4.0228505074329168E-12</v>
      </c>
      <c r="EN165" s="59">
        <f t="shared" si="128"/>
        <v>293.33333333333735</v>
      </c>
      <c r="EO165" s="59">
        <f ca="1">AVERAGE(OFFSET($EN$3,0,0,'Données projet'!$E$15+1,1))-AVERAGE(OFFSET($H$3,0,0,'Données projet'!$E$15+1,1))</f>
        <v>335.27356627949155</v>
      </c>
      <c r="EP165" s="59">
        <f t="shared" si="154"/>
        <v>322.66829503077247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0.71967993142556064</v>
      </c>
      <c r="EX165" s="21">
        <f>EXP(-LN(2)/2)*EX164+(1-EXP(-LN(2)/2))/(LN(2)/2)*ER165*EU165*VLOOKUP('Données projet'!$B$15,Paramètres!$A$1:$I$89,3,0)*0.475*44/12</f>
        <v>4.7953101795092454E-19</v>
      </c>
      <c r="EY165" s="22">
        <f t="shared" si="181"/>
        <v>0.71967993142556064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-5.6843418860808015E-13</v>
      </c>
      <c r="O166" s="13">
        <f>N166*VLOOKUP('Données projet'!$B$9,Paramètres!$A$1:$I$89,3,0)*VLOOKUP('Données projet'!$B$9,Paramètres!$A$1:$I$89,5,0)</f>
        <v>-5.1431925385259092E-13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319.18811755575183</v>
      </c>
      <c r="T166" s="59">
        <f t="shared" si="142"/>
        <v>234.87694492493506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0.17291879536548688</v>
      </c>
      <c r="AA166" s="21">
        <f>EXP(-LN(2)/25)*AA165+(1-EXP(-LN(2)/25))/(LN(2)/25)*Calculateur!V166*Calculateur!X166*VLOOKUP('Données projet'!$B$9,Paramètres!$A$1:$I$89,3,0)*0.475*44/12</f>
        <v>0.28244768609257159</v>
      </c>
      <c r="AB166" s="21">
        <f>EXP(-LN(2)/2)*AB165+(1-EXP(-LN(2)/2))/(LN(2)/2)*V166*Y166*VLOOKUP('Données projet'!$B$9,Paramètres!$A$1:$I$89,3,0)*0.475*44/12</f>
        <v>2.0654743364560905E-19</v>
      </c>
      <c r="AC166" s="22">
        <f t="shared" si="163"/>
        <v>0.45536648145805847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-1.8089849618263545E-13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314.94704727988847</v>
      </c>
      <c r="AO166" s="59">
        <f t="shared" si="144"/>
        <v>366.49199094166454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0.28111437682813445</v>
      </c>
      <c r="AV166" s="21">
        <f>EXP(-LN(2)/25)*AV165+(1-EXP(-LN(2)/25))/(LN(2)/25)*Calculateur!AQ166*Calculateur!AS166*VLOOKUP('Données projet'!$B$10,Paramètres!$A$1:$I$89,3,0)*0.475*44/12</f>
        <v>0.63602176779771225</v>
      </c>
      <c r="AW166" s="21">
        <f>EXP(-LN(2)/2)*AW165+(1-EXP(-LN(2)/2))/(LN(2)/2)*AQ166*AT166*VLOOKUP('Données projet'!$B$10,Paramètres!$A$1:$I$89,3,0)*0.475*44/12</f>
        <v>2.766563149621667E-19</v>
      </c>
      <c r="AX166" s="21">
        <f t="shared" si="166"/>
        <v>0.91713614462584669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-1.4897523215040565E-13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246.64951465060813</v>
      </c>
      <c r="BJ166" s="59">
        <f t="shared" si="146"/>
        <v>292.64550285216865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0.18782558806940838</v>
      </c>
      <c r="BQ166" s="21">
        <f>EXP(-LN(2)/25)*BQ165+(1-EXP(-LN(2)/25))/(LN(2)/25)*Calculateur!BL166*Calculateur!BN166*VLOOKUP('Données projet'!$B$11,Paramètres!$A$1:$I$89,3,0)*0.475*44/12</f>
        <v>0.4249557205485272</v>
      </c>
      <c r="BR166" s="21">
        <f>EXP(-LN(2)/2)*BR165+(1-EXP(-LN(2)/2))/(LN(2)/2)*BL166*BO166*VLOOKUP('Données projet'!$B$11,Paramètres!$A$1:$I$89,3,0)*0.475*44/12</f>
        <v>2.2783461232178436E-19</v>
      </c>
      <c r="BS166" s="22">
        <f t="shared" si="169"/>
        <v>0.61278130861793556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-1.5252226148732008E-13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254.25222107710192</v>
      </c>
      <c r="CE166" s="59">
        <f t="shared" si="148"/>
        <v>300.86609173447573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0.23701800399234857</v>
      </c>
      <c r="CL166" s="21">
        <f>EXP(-LN(2)/25)*CL165+(1-EXP(-LN(2)/25))/(LN(2)/25)*Calculateur!CG166*Calculateur!CI166*VLOOKUP('Données projet'!$B$12,Paramètres!$A$1:$I$89,3,0)*0.475*44/12</f>
        <v>0.53625364735885517</v>
      </c>
      <c r="CM166" s="21">
        <f>EXP(-LN(2)/2)*CM165+(1-EXP(-LN(2)/2))/(LN(2)/2)*CG166*CJ166*VLOOKUP('Données projet'!$B$12,Paramètres!$A$1:$I$89,3,0)*0.475*44/12</f>
        <v>2.3325924594849364E-19</v>
      </c>
      <c r="CN166" s="22">
        <f t="shared" si="172"/>
        <v>0.77327165135120368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243.38048563215585</v>
      </c>
      <c r="CZ166" s="59">
        <f t="shared" si="150"/>
        <v>372.1604147006675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0.52471910317802983</v>
      </c>
      <c r="DG166" s="21">
        <f>EXP(-LN(2)/25)*DG165+(1-EXP(-LN(2)/25))/(LN(2)/25)*Calculateur!DB166*Calculateur!DD166*VLOOKUP('Données projet'!$B$13,Paramètres!$A$1:$I$89,3,0)*0.475*44/12</f>
        <v>0.48470807049645409</v>
      </c>
      <c r="DH166" s="21">
        <f>EXP(-LN(2)/2)*DH165+(1-EXP(-LN(2)/2))/(LN(2)/2)*DB166*DE166*VLOOKUP('Données projet'!$B$13,Paramètres!$A$1:$I$89,3,0)*0.475*44/12</f>
        <v>2.8092752066259271E-19</v>
      </c>
      <c r="DI166" s="22">
        <f t="shared" si="175"/>
        <v>1.009427173674484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1.1368683772161603E-13</v>
      </c>
      <c r="DP166" s="17">
        <f>DO166*VLOOKUP('Données projet'!$B$14,Paramètres!$A$1:$I$89,3,0)*VLOOKUP('Données projet'!$B$14,Paramètres!$A$1:$I$89,5,0)</f>
        <v>6.5028871176764376E-14</v>
      </c>
      <c r="DQ166" s="13">
        <f t="shared" si="176"/>
        <v>1.0270999702906072E-12</v>
      </c>
      <c r="DR166" s="20">
        <f t="shared" si="177"/>
        <v>1.9021243988890057E-12</v>
      </c>
      <c r="DS166" s="59">
        <f t="shared" si="125"/>
        <v>293.33333333333519</v>
      </c>
      <c r="DT166" s="59">
        <f ca="1">AVERAGE(OFFSET($DS$3,0,0,'Données projet'!$E$14+1,1))-AVERAGE(OFFSET($H$3,0,0,'Données projet'!$E$14+1,1))</f>
        <v>227.99747790451215</v>
      </c>
      <c r="DU166" s="59">
        <f t="shared" si="152"/>
        <v>209.49597700966933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0.20592174107277339</v>
      </c>
      <c r="EB166" s="21">
        <f>EXP(-LN(2)/25)*EB165+(1-EXP(-LN(2)/25))/(LN(2)/25)*Calculateur!DW166*Calculateur!DY166*VLOOKUP('Données projet'!$B$14,Paramètres!$A$1:$I$89,3,0)*0.475*44/12</f>
        <v>0.37990987470952181</v>
      </c>
      <c r="EC166" s="21">
        <f>EXP(-LN(2)/2)*EC165+(1-EXP(-LN(2)/2))/(LN(2)/2)*DW166*DZ166*VLOOKUP('Données projet'!$B$14,Paramètres!$A$1:$I$89,3,0)*0.475*44/12</f>
        <v>2.3634588857838474E-19</v>
      </c>
      <c r="ED166" s="22">
        <f t="shared" si="178"/>
        <v>0.58583161578229515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3.4106051316484809E-13</v>
      </c>
      <c r="EK166" s="17">
        <f>EJ166*VLOOKUP('Données projet'!$B$15,Paramètres!$A$1:$I$89,3,0)*VLOOKUP('Données projet'!$B$15,Paramètres!$A$1:$I$89,5,0)</f>
        <v>1.5074874681886286E-13</v>
      </c>
      <c r="EL166" s="13">
        <f t="shared" si="179"/>
        <v>2.1590218794584103E-12</v>
      </c>
      <c r="EM166" s="20">
        <f t="shared" si="180"/>
        <v>4.0228505074329168E-12</v>
      </c>
      <c r="EN166" s="59">
        <f t="shared" si="128"/>
        <v>293.33333333333735</v>
      </c>
      <c r="EO166" s="59">
        <f ca="1">AVERAGE(OFFSET($EN$3,0,0,'Données projet'!$E$15+1,1))-AVERAGE(OFFSET($H$3,0,0,'Données projet'!$E$15+1,1))</f>
        <v>335.27356627949155</v>
      </c>
      <c r="EP166" s="59">
        <f t="shared" si="154"/>
        <v>322.66829503077247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0.7000002458544059</v>
      </c>
      <c r="EX166" s="21">
        <f>EXP(-LN(2)/2)*EX165+(1-EXP(-LN(2)/2))/(LN(2)/2)*ER166*EU166*VLOOKUP('Données projet'!$B$15,Paramètres!$A$1:$I$89,3,0)*0.475*44/12</f>
        <v>3.3907963458238679E-19</v>
      </c>
      <c r="EY166" s="22">
        <f t="shared" si="181"/>
        <v>0.7000002458544059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-5.6843418860808015E-13</v>
      </c>
      <c r="O167" s="13">
        <f>N167*VLOOKUP('Données projet'!$B$9,Paramètres!$A$1:$I$89,3,0)*VLOOKUP('Données projet'!$B$9,Paramètres!$A$1:$I$89,5,0)</f>
        <v>-5.1431925385259092E-13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319.18811755575183</v>
      </c>
      <c r="T167" s="59">
        <f t="shared" si="142"/>
        <v>234.87694492493506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0.16952796325842054</v>
      </c>
      <c r="AA167" s="21">
        <f>EXP(-LN(2)/25)*AA166+(1-EXP(-LN(2)/25))/(LN(2)/25)*Calculateur!V167*Calculateur!X167*VLOOKUP('Données projet'!$B$9,Paramètres!$A$1:$I$89,3,0)*0.475*44/12</f>
        <v>0.27472413926309197</v>
      </c>
      <c r="AB167" s="21">
        <f>EXP(-LN(2)/2)*AB166+(1-EXP(-LN(2)/2))/(LN(2)/2)*V167*Y167*VLOOKUP('Données projet'!$B$9,Paramètres!$A$1:$I$89,3,0)*0.475*44/12</f>
        <v>1.4605109096748862E-19</v>
      </c>
      <c r="AC167" s="22">
        <f t="shared" si="163"/>
        <v>0.44425210252151248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-1.8089849618263545E-13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314.94704727988847</v>
      </c>
      <c r="AO167" s="59">
        <f t="shared" si="144"/>
        <v>366.49199094166454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0.27560189536137403</v>
      </c>
      <c r="AV167" s="21">
        <f>EXP(-LN(2)/25)*AV166+(1-EXP(-LN(2)/25))/(LN(2)/25)*Calculateur!AQ167*Calculateur!AS167*VLOOKUP('Données projet'!$B$10,Paramètres!$A$1:$I$89,3,0)*0.475*44/12</f>
        <v>0.61862971911035269</v>
      </c>
      <c r="AW167" s="21">
        <f>EXP(-LN(2)/2)*AW166+(1-EXP(-LN(2)/2))/(LN(2)/2)*AQ167*AT167*VLOOKUP('Données projet'!$B$10,Paramètres!$A$1:$I$89,3,0)*0.475*44/12</f>
        <v>1.9562555636782939E-19</v>
      </c>
      <c r="AX167" s="21">
        <f t="shared" si="166"/>
        <v>0.89423161447172672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-1.4897523215040565E-13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246.64951465060813</v>
      </c>
      <c r="BJ167" s="59">
        <f t="shared" si="146"/>
        <v>292.64550285216865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0.18414244284966391</v>
      </c>
      <c r="BQ167" s="21">
        <f>EXP(-LN(2)/25)*BQ166+(1-EXP(-LN(2)/25))/(LN(2)/25)*Calculateur!BL167*Calculateur!BN167*VLOOKUP('Données projet'!$B$11,Paramètres!$A$1:$I$89,3,0)*0.475*44/12</f>
        <v>0.41333528402267761</v>
      </c>
      <c r="BR167" s="21">
        <f>EXP(-LN(2)/2)*BR166+(1-EXP(-LN(2)/2))/(LN(2)/2)*BL167*BO167*VLOOKUP('Données projet'!$B$11,Paramètres!$A$1:$I$89,3,0)*0.475*44/12</f>
        <v>1.6110339936174186E-19</v>
      </c>
      <c r="BS167" s="22">
        <f t="shared" si="169"/>
        <v>0.59747772687234146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-1.5252226148732008E-13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254.25222107710192</v>
      </c>
      <c r="CE167" s="59">
        <f t="shared" si="148"/>
        <v>300.86609173447573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0.23237022550076628</v>
      </c>
      <c r="CL167" s="21">
        <f>EXP(-LN(2)/25)*CL166+(1-EXP(-LN(2)/25))/(LN(2)/25)*Calculateur!CG167*Calculateur!CI167*VLOOKUP('Données projet'!$B$12,Paramètres!$A$1:$I$89,3,0)*0.475*44/12</f>
        <v>0.52158976317147354</v>
      </c>
      <c r="CM167" s="21">
        <f>EXP(-LN(2)/2)*CM166+(1-EXP(-LN(2)/2))/(LN(2)/2)*CG167*CJ167*VLOOKUP('Données projet'!$B$12,Paramètres!$A$1:$I$89,3,0)*0.475*44/12</f>
        <v>1.6493919458464057E-19</v>
      </c>
      <c r="CN167" s="22">
        <f t="shared" si="172"/>
        <v>0.75395998867223979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243.38048563215585</v>
      </c>
      <c r="CZ167" s="59">
        <f t="shared" si="150"/>
        <v>372.1604147006675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0.51442968161175961</v>
      </c>
      <c r="DG167" s="21">
        <f>EXP(-LN(2)/25)*DG166+(1-EXP(-LN(2)/25))/(LN(2)/25)*Calculateur!DB167*Calculateur!DD167*VLOOKUP('Données projet'!$B$13,Paramètres!$A$1:$I$89,3,0)*0.475*44/12</f>
        <v>0.47145370281903892</v>
      </c>
      <c r="DH167" s="21">
        <f>EXP(-LN(2)/2)*DH166+(1-EXP(-LN(2)/2))/(LN(2)/2)*DB167*DE167*VLOOKUP('Données projet'!$B$13,Paramètres!$A$1:$I$89,3,0)*0.475*44/12</f>
        <v>1.9864575488244325E-19</v>
      </c>
      <c r="DI167" s="22">
        <f t="shared" si="175"/>
        <v>0.98588338443079859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1.1368683772161603E-13</v>
      </c>
      <c r="DP167" s="17">
        <f>DO167*VLOOKUP('Données projet'!$B$14,Paramètres!$A$1:$I$89,3,0)*VLOOKUP('Données projet'!$B$14,Paramètres!$A$1:$I$89,5,0)</f>
        <v>6.5028871176764376E-14</v>
      </c>
      <c r="DQ167" s="13">
        <f t="shared" si="176"/>
        <v>1.0270999702906072E-12</v>
      </c>
      <c r="DR167" s="20">
        <f t="shared" si="177"/>
        <v>1.9021243988890057E-12</v>
      </c>
      <c r="DS167" s="59">
        <f t="shared" si="125"/>
        <v>293.33333333333519</v>
      </c>
      <c r="DT167" s="59">
        <f ca="1">AVERAGE(OFFSET($DS$3,0,0,'Données projet'!$E$14+1,1))-AVERAGE(OFFSET($H$3,0,0,'Données projet'!$E$14+1,1))</f>
        <v>227.99747790451215</v>
      </c>
      <c r="DU167" s="59">
        <f t="shared" si="152"/>
        <v>209.49597700966933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0.2018837413301964</v>
      </c>
      <c r="EB167" s="21">
        <f>EXP(-LN(2)/25)*EB166+(1-EXP(-LN(2)/25))/(LN(2)/25)*Calculateur!DW167*Calculateur!DY167*VLOOKUP('Données projet'!$B$14,Paramètres!$A$1:$I$89,3,0)*0.475*44/12</f>
        <v>0.36952121920699793</v>
      </c>
      <c r="EC167" s="21">
        <f>EXP(-LN(2)/2)*EC166+(1-EXP(-LN(2)/2))/(LN(2)/2)*DW167*DZ167*VLOOKUP('Données projet'!$B$14,Paramètres!$A$1:$I$89,3,0)*0.475*44/12</f>
        <v>1.6712178051933604E-19</v>
      </c>
      <c r="ED167" s="22">
        <f t="shared" si="178"/>
        <v>0.57140496053719436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3.4106051316484809E-13</v>
      </c>
      <c r="EK167" s="17">
        <f>EJ167*VLOOKUP('Données projet'!$B$15,Paramètres!$A$1:$I$89,3,0)*VLOOKUP('Données projet'!$B$15,Paramètres!$A$1:$I$89,5,0)</f>
        <v>1.5074874681886286E-13</v>
      </c>
      <c r="EL167" s="13">
        <f t="shared" si="179"/>
        <v>2.1590218794584103E-12</v>
      </c>
      <c r="EM167" s="20">
        <f t="shared" si="180"/>
        <v>4.0228505074329168E-12</v>
      </c>
      <c r="EN167" s="59">
        <f t="shared" si="128"/>
        <v>293.33333333333735</v>
      </c>
      <c r="EO167" s="59">
        <f ca="1">AVERAGE(OFFSET($EN$3,0,0,'Données projet'!$E$15+1,1))-AVERAGE(OFFSET($H$3,0,0,'Données projet'!$E$15+1,1))</f>
        <v>335.27356627949155</v>
      </c>
      <c r="EP167" s="59">
        <f t="shared" si="154"/>
        <v>322.66829503077247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0.68085870232010415</v>
      </c>
      <c r="EX167" s="21">
        <f>EXP(-LN(2)/2)*EX166+(1-EXP(-LN(2)/2))/(LN(2)/2)*ER167*EU167*VLOOKUP('Données projet'!$B$15,Paramètres!$A$1:$I$89,3,0)*0.475*44/12</f>
        <v>2.3976550897546227E-19</v>
      </c>
      <c r="EY167" s="22">
        <f t="shared" si="181"/>
        <v>0.68085870232010415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-5.6843418860808015E-13</v>
      </c>
      <c r="O168" s="13">
        <f>N168*VLOOKUP('Données projet'!$B$9,Paramètres!$A$1:$I$89,3,0)*VLOOKUP('Données projet'!$B$9,Paramètres!$A$1:$I$89,5,0)</f>
        <v>-5.1431925385259092E-13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319.18811755575183</v>
      </c>
      <c r="T168" s="59">
        <f t="shared" si="142"/>
        <v>234.87694492493506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0.1662036233007704</v>
      </c>
      <c r="AA168" s="21">
        <f>EXP(-LN(2)/25)*AA167+(1-EXP(-LN(2)/25))/(LN(2)/25)*Calculateur!V168*Calculateur!X168*VLOOKUP('Données projet'!$B$9,Paramètres!$A$1:$I$89,3,0)*0.475*44/12</f>
        <v>0.26721179322782812</v>
      </c>
      <c r="AB168" s="21">
        <f>EXP(-LN(2)/2)*AB167+(1-EXP(-LN(2)/2))/(LN(2)/2)*V168*Y168*VLOOKUP('Données projet'!$B$9,Paramètres!$A$1:$I$89,3,0)*0.475*44/12</f>
        <v>1.0327371682280452E-19</v>
      </c>
      <c r="AC168" s="22">
        <f t="shared" si="163"/>
        <v>0.4334154165285985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-1.8089849618263545E-13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314.94704727988847</v>
      </c>
      <c r="AO168" s="59">
        <f t="shared" si="144"/>
        <v>366.49199094166454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0.2701975102938951</v>
      </c>
      <c r="AV168" s="21">
        <f>EXP(-LN(2)/25)*AV167+(1-EXP(-LN(2)/25))/(LN(2)/25)*Calculateur!AQ168*Calculateur!AS168*VLOOKUP('Données projet'!$B$10,Paramètres!$A$1:$I$89,3,0)*0.475*44/12</f>
        <v>0.60171325690895705</v>
      </c>
      <c r="AW168" s="21">
        <f>EXP(-LN(2)/2)*AW167+(1-EXP(-LN(2)/2))/(LN(2)/2)*AQ168*AT168*VLOOKUP('Données projet'!$B$10,Paramètres!$A$1:$I$89,3,0)*0.475*44/12</f>
        <v>1.3832815748108335E-19</v>
      </c>
      <c r="AX168" s="21">
        <f t="shared" si="166"/>
        <v>0.8719107672028521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-1.4897523215040565E-13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246.64951465060813</v>
      </c>
      <c r="BJ168" s="59">
        <f t="shared" si="146"/>
        <v>292.64550285216865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0.18053152186118188</v>
      </c>
      <c r="BQ168" s="21">
        <f>EXP(-LN(2)/25)*BQ167+(1-EXP(-LN(2)/25))/(LN(2)/25)*Calculateur!BL168*Calculateur!BN168*VLOOKUP('Données projet'!$B$11,Paramètres!$A$1:$I$89,3,0)*0.475*44/12</f>
        <v>0.40203260894471959</v>
      </c>
      <c r="BR168" s="21">
        <f>EXP(-LN(2)/2)*BR167+(1-EXP(-LN(2)/2))/(LN(2)/2)*BL168*BO168*VLOOKUP('Données projet'!$B$11,Paramètres!$A$1:$I$89,3,0)*0.475*44/12</f>
        <v>1.1391730616089218E-19</v>
      </c>
      <c r="BS168" s="22">
        <f t="shared" si="169"/>
        <v>0.58256413080590153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-1.5252226148732008E-13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254.25222107710192</v>
      </c>
      <c r="CE168" s="59">
        <f t="shared" si="148"/>
        <v>300.86609173447573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0.22781358711053895</v>
      </c>
      <c r="CL168" s="21">
        <f>EXP(-LN(2)/25)*CL167+(1-EXP(-LN(2)/25))/(LN(2)/25)*Calculateur!CG168*Calculateur!CI168*VLOOKUP('Données projet'!$B$12,Paramètres!$A$1:$I$89,3,0)*0.475*44/12</f>
        <v>0.50732686366833601</v>
      </c>
      <c r="CM168" s="21">
        <f>EXP(-LN(2)/2)*CM167+(1-EXP(-LN(2)/2))/(LN(2)/2)*CG168*CJ168*VLOOKUP('Données projet'!$B$12,Paramètres!$A$1:$I$89,3,0)*0.475*44/12</f>
        <v>1.1662962297424682E-19</v>
      </c>
      <c r="CN168" s="22">
        <f t="shared" si="172"/>
        <v>0.73514045077887502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243.38048563215585</v>
      </c>
      <c r="CZ168" s="59">
        <f t="shared" si="150"/>
        <v>372.1604147006675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0.50434202932647643</v>
      </c>
      <c r="DG168" s="21">
        <f>EXP(-LN(2)/25)*DG167+(1-EXP(-LN(2)/25))/(LN(2)/25)*Calculateur!DB168*Calculateur!DD168*VLOOKUP('Données projet'!$B$13,Paramètres!$A$1:$I$89,3,0)*0.475*44/12</f>
        <v>0.45856177652277957</v>
      </c>
      <c r="DH168" s="21">
        <f>EXP(-LN(2)/2)*DH167+(1-EXP(-LN(2)/2))/(LN(2)/2)*DB168*DE168*VLOOKUP('Données projet'!$B$13,Paramètres!$A$1:$I$89,3,0)*0.475*44/12</f>
        <v>1.4046376033129635E-19</v>
      </c>
      <c r="DI168" s="22">
        <f t="shared" si="175"/>
        <v>0.96290380584925606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1.1368683772161603E-13</v>
      </c>
      <c r="DP168" s="17">
        <f>DO168*VLOOKUP('Données projet'!$B$14,Paramètres!$A$1:$I$89,3,0)*VLOOKUP('Données projet'!$B$14,Paramètres!$A$1:$I$89,5,0)</f>
        <v>6.5028871176764376E-14</v>
      </c>
      <c r="DQ168" s="13">
        <f t="shared" si="176"/>
        <v>1.0270999702906072E-12</v>
      </c>
      <c r="DR168" s="20">
        <f t="shared" si="177"/>
        <v>1.9021243988890057E-12</v>
      </c>
      <c r="DS168" s="59">
        <f t="shared" si="125"/>
        <v>293.33333333333519</v>
      </c>
      <c r="DT168" s="59">
        <f ca="1">AVERAGE(OFFSET($DS$3,0,0,'Données projet'!$E$14+1,1))-AVERAGE(OFFSET($H$3,0,0,'Données projet'!$E$14+1,1))</f>
        <v>227.99747790451215</v>
      </c>
      <c r="DU168" s="59">
        <f t="shared" si="152"/>
        <v>209.49597700966933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0.19792492429963471</v>
      </c>
      <c r="EB168" s="21">
        <f>EXP(-LN(2)/25)*EB167+(1-EXP(-LN(2)/25))/(LN(2)/25)*Calculateur!DW168*Calculateur!DY168*VLOOKUP('Données projet'!$B$14,Paramètres!$A$1:$I$89,3,0)*0.475*44/12</f>
        <v>0.35941664203550622</v>
      </c>
      <c r="EC168" s="21">
        <f>EXP(-LN(2)/2)*EC167+(1-EXP(-LN(2)/2))/(LN(2)/2)*DW168*DZ168*VLOOKUP('Données projet'!$B$14,Paramètres!$A$1:$I$89,3,0)*0.475*44/12</f>
        <v>1.1817294428919237E-19</v>
      </c>
      <c r="ED168" s="22">
        <f t="shared" si="178"/>
        <v>0.55734156633514087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3.4106051316484809E-13</v>
      </c>
      <c r="EK168" s="17">
        <f>EJ168*VLOOKUP('Données projet'!$B$15,Paramètres!$A$1:$I$89,3,0)*VLOOKUP('Données projet'!$B$15,Paramètres!$A$1:$I$89,5,0)</f>
        <v>1.5074874681886286E-13</v>
      </c>
      <c r="EL168" s="13">
        <f t="shared" si="179"/>
        <v>2.1590218794584103E-12</v>
      </c>
      <c r="EM168" s="20">
        <f t="shared" si="180"/>
        <v>4.0228505074329168E-12</v>
      </c>
      <c r="EN168" s="59">
        <f t="shared" si="128"/>
        <v>293.33333333333735</v>
      </c>
      <c r="EO168" s="59">
        <f ca="1">AVERAGE(OFFSET($EN$3,0,0,'Données projet'!$E$15+1,1))-AVERAGE(OFFSET($H$3,0,0,'Données projet'!$E$15+1,1))</f>
        <v>335.27356627949155</v>
      </c>
      <c r="EP168" s="59">
        <f t="shared" si="154"/>
        <v>322.66829503077247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0.6622405853003579</v>
      </c>
      <c r="EX168" s="21">
        <f>EXP(-LN(2)/2)*EX167+(1-EXP(-LN(2)/2))/(LN(2)/2)*ER168*EU168*VLOOKUP('Données projet'!$B$15,Paramètres!$A$1:$I$89,3,0)*0.475*44/12</f>
        <v>1.695398172911934E-19</v>
      </c>
      <c r="EY168" s="22">
        <f t="shared" si="181"/>
        <v>0.6622405853003579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-5.6843418860808015E-13</v>
      </c>
      <c r="O169" s="13">
        <f>N169*VLOOKUP('Données projet'!$B$9,Paramètres!$A$1:$I$89,3,0)*VLOOKUP('Données projet'!$B$9,Paramètres!$A$1:$I$89,5,0)</f>
        <v>-5.1431925385259092E-13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319.18811755575183</v>
      </c>
      <c r="T169" s="59">
        <f t="shared" si="142"/>
        <v>234.87694492493506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0.16294447162204265</v>
      </c>
      <c r="AA169" s="21">
        <f>EXP(-LN(2)/25)*AA168+(1-EXP(-LN(2)/25))/(LN(2)/25)*Calculateur!V169*Calculateur!X169*VLOOKUP('Données projet'!$B$9,Paramètres!$A$1:$I$89,3,0)*0.475*44/12</f>
        <v>0.25990487268995566</v>
      </c>
      <c r="AB169" s="21">
        <f>EXP(-LN(2)/2)*AB168+(1-EXP(-LN(2)/2))/(LN(2)/2)*V169*Y169*VLOOKUP('Données projet'!$B$9,Paramètres!$A$1:$I$89,3,0)*0.475*44/12</f>
        <v>7.302554548374431E-20</v>
      </c>
      <c r="AC169" s="22">
        <f t="shared" si="163"/>
        <v>0.42284934431199828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-1.8089849618263545E-13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314.94704727988847</v>
      </c>
      <c r="AO169" s="59">
        <f t="shared" si="144"/>
        <v>366.49199094166454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0.26489910192124005</v>
      </c>
      <c r="AV169" s="21">
        <f>EXP(-LN(2)/25)*AV168+(1-EXP(-LN(2)/25))/(LN(2)/25)*Calculateur!AQ169*Calculateur!AS169*VLOOKUP('Données projet'!$B$10,Paramètres!$A$1:$I$89,3,0)*0.475*44/12</f>
        <v>0.58525937625605662</v>
      </c>
      <c r="AW169" s="21">
        <f>EXP(-LN(2)/2)*AW168+(1-EXP(-LN(2)/2))/(LN(2)/2)*AQ169*AT169*VLOOKUP('Données projet'!$B$10,Paramètres!$A$1:$I$89,3,0)*0.475*44/12</f>
        <v>9.7812778183914694E-20</v>
      </c>
      <c r="AX169" s="21">
        <f t="shared" si="166"/>
        <v>0.85015847817729662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-1.4897523215040565E-13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246.64951465060813</v>
      </c>
      <c r="BJ169" s="59">
        <f t="shared" si="146"/>
        <v>292.64550285216865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0.17699140883083964</v>
      </c>
      <c r="BQ169" s="21">
        <f>EXP(-LN(2)/25)*BQ168+(1-EXP(-LN(2)/25))/(LN(2)/25)*Calculateur!BL169*Calculateur!BN169*VLOOKUP('Données projet'!$B$11,Paramètres!$A$1:$I$89,3,0)*0.475*44/12</f>
        <v>0.39103900611115017</v>
      </c>
      <c r="BR169" s="21">
        <f>EXP(-LN(2)/2)*BR168+(1-EXP(-LN(2)/2))/(LN(2)/2)*BL169*BO169*VLOOKUP('Données projet'!$B$11,Paramètres!$A$1:$I$89,3,0)*0.475*44/12</f>
        <v>8.0551699680870929E-20</v>
      </c>
      <c r="BS169" s="22">
        <f t="shared" si="169"/>
        <v>0.5680304149419898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-1.5252226148732008E-13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254.25222107710192</v>
      </c>
      <c r="CE169" s="59">
        <f t="shared" si="148"/>
        <v>300.86609173447573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0.22334630161986899</v>
      </c>
      <c r="CL169" s="21">
        <f>EXP(-LN(2)/25)*CL168+(1-EXP(-LN(2)/25))/(LN(2)/25)*Calculateur!CG169*Calculateur!CI169*VLOOKUP('Données projet'!$B$12,Paramètres!$A$1:$I$89,3,0)*0.475*44/12</f>
        <v>0.49345398390216511</v>
      </c>
      <c r="CM169" s="21">
        <f>EXP(-LN(2)/2)*CM168+(1-EXP(-LN(2)/2))/(LN(2)/2)*CG169*CJ169*VLOOKUP('Données projet'!$B$12,Paramètres!$A$1:$I$89,3,0)*0.475*44/12</f>
        <v>8.2469597292320284E-20</v>
      </c>
      <c r="CN169" s="22">
        <f t="shared" si="172"/>
        <v>0.71680028552203412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243.38048563215585</v>
      </c>
      <c r="CZ169" s="59">
        <f t="shared" si="150"/>
        <v>372.1604147006675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0.49445218974964733</v>
      </c>
      <c r="DG169" s="21">
        <f>EXP(-LN(2)/25)*DG168+(1-EXP(-LN(2)/25))/(LN(2)/25)*Calculateur!DB169*Calculateur!DD169*VLOOKUP('Données projet'!$B$13,Paramètres!$A$1:$I$89,3,0)*0.475*44/12</f>
        <v>0.44602238062904842</v>
      </c>
      <c r="DH169" s="21">
        <f>EXP(-LN(2)/2)*DH168+(1-EXP(-LN(2)/2))/(LN(2)/2)*DB169*DE169*VLOOKUP('Données projet'!$B$13,Paramètres!$A$1:$I$89,3,0)*0.475*44/12</f>
        <v>9.9322877441221627E-20</v>
      </c>
      <c r="DI169" s="22">
        <f t="shared" si="175"/>
        <v>0.94047457037869575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1.1368683772161603E-13</v>
      </c>
      <c r="DP169" s="17">
        <f>DO169*VLOOKUP('Données projet'!$B$14,Paramètres!$A$1:$I$89,3,0)*VLOOKUP('Données projet'!$B$14,Paramètres!$A$1:$I$89,5,0)</f>
        <v>6.5028871176764376E-14</v>
      </c>
      <c r="DQ169" s="13">
        <f t="shared" si="176"/>
        <v>1.0270999702906072E-12</v>
      </c>
      <c r="DR169" s="20">
        <f t="shared" si="177"/>
        <v>1.9021243988890057E-12</v>
      </c>
      <c r="DS169" s="59">
        <f t="shared" si="125"/>
        <v>293.33333333333519</v>
      </c>
      <c r="DT169" s="59">
        <f ca="1">AVERAGE(OFFSET($DS$3,0,0,'Données projet'!$E$14+1,1))-AVERAGE(OFFSET($H$3,0,0,'Données projet'!$E$14+1,1))</f>
        <v>227.99747790451215</v>
      </c>
      <c r="DU169" s="59">
        <f t="shared" si="152"/>
        <v>209.49597700966933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0.19404373725640237</v>
      </c>
      <c r="EB169" s="21">
        <f>EXP(-LN(2)/25)*EB168+(1-EXP(-LN(2)/25))/(LN(2)/25)*Calculateur!DW169*Calculateur!DY169*VLOOKUP('Données projet'!$B$14,Paramètres!$A$1:$I$89,3,0)*0.475*44/12</f>
        <v>0.34958837505814555</v>
      </c>
      <c r="EC169" s="21">
        <f>EXP(-LN(2)/2)*EC168+(1-EXP(-LN(2)/2))/(LN(2)/2)*DW169*DZ169*VLOOKUP('Données projet'!$B$14,Paramètres!$A$1:$I$89,3,0)*0.475*44/12</f>
        <v>8.3560890259668022E-20</v>
      </c>
      <c r="ED169" s="22">
        <f t="shared" si="178"/>
        <v>0.54363211231454789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3.4106051316484809E-13</v>
      </c>
      <c r="EK169" s="17">
        <f>EJ169*VLOOKUP('Données projet'!$B$15,Paramètres!$A$1:$I$89,3,0)*VLOOKUP('Données projet'!$B$15,Paramètres!$A$1:$I$89,5,0)</f>
        <v>1.5074874681886286E-13</v>
      </c>
      <c r="EL169" s="13">
        <f t="shared" si="179"/>
        <v>2.1590218794584103E-12</v>
      </c>
      <c r="EM169" s="20">
        <f t="shared" si="180"/>
        <v>4.0228505074329168E-12</v>
      </c>
      <c r="EN169" s="59">
        <f t="shared" si="128"/>
        <v>293.33333333333735</v>
      </c>
      <c r="EO169" s="59">
        <f ca="1">AVERAGE(OFFSET($EN$3,0,0,'Données projet'!$E$15+1,1))-AVERAGE(OFFSET($H$3,0,0,'Données projet'!$E$15+1,1))</f>
        <v>335.27356627949155</v>
      </c>
      <c r="EP169" s="59">
        <f t="shared" si="154"/>
        <v>322.66829503077247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0.64413158166960083</v>
      </c>
      <c r="EX169" s="21">
        <f>EXP(-LN(2)/2)*EX168+(1-EXP(-LN(2)/2))/(LN(2)/2)*ER169*EU169*VLOOKUP('Données projet'!$B$15,Paramètres!$A$1:$I$89,3,0)*0.475*44/12</f>
        <v>1.1988275448773113E-19</v>
      </c>
      <c r="EY169" s="22">
        <f t="shared" si="181"/>
        <v>0.64413158166960083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-5.6843418860808015E-13</v>
      </c>
      <c r="O170" s="13">
        <f>N170*VLOOKUP('Données projet'!$B$9,Paramètres!$A$1:$I$89,3,0)*VLOOKUP('Données projet'!$B$9,Paramètres!$A$1:$I$89,5,0)</f>
        <v>-5.1431925385259092E-13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319.18811755575183</v>
      </c>
      <c r="T170" s="59">
        <f t="shared" si="142"/>
        <v>234.87694492493506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0.1597492299198485</v>
      </c>
      <c r="AA170" s="21">
        <f>EXP(-LN(2)/25)*AA169+(1-EXP(-LN(2)/25))/(LN(2)/25)*Calculateur!V170*Calculateur!X170*VLOOKUP('Données projet'!$B$9,Paramètres!$A$1:$I$89,3,0)*0.475*44/12</f>
        <v>0.25279776027844558</v>
      </c>
      <c r="AB170" s="21">
        <f>EXP(-LN(2)/2)*AB169+(1-EXP(-LN(2)/2))/(LN(2)/2)*V170*Y170*VLOOKUP('Données projet'!$B$9,Paramètres!$A$1:$I$89,3,0)*0.475*44/12</f>
        <v>5.1636858411402262E-20</v>
      </c>
      <c r="AC170" s="22">
        <f t="shared" si="163"/>
        <v>0.41254699019829411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-1.8089849618263545E-13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314.94704727988847</v>
      </c>
      <c r="AO170" s="59">
        <f t="shared" si="144"/>
        <v>366.49199094166454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0.25970459210506275</v>
      </c>
      <c r="AV170" s="21">
        <f>EXP(-LN(2)/25)*AV169+(1-EXP(-LN(2)/25))/(LN(2)/25)*Calculateur!AQ170*Calculateur!AS170*VLOOKUP('Données projet'!$B$10,Paramètres!$A$1:$I$89,3,0)*0.475*44/12</f>
        <v>0.56925542783488181</v>
      </c>
      <c r="AW170" s="21">
        <f>EXP(-LN(2)/2)*AW169+(1-EXP(-LN(2)/2))/(LN(2)/2)*AQ170*AT170*VLOOKUP('Données projet'!$B$10,Paramètres!$A$1:$I$89,3,0)*0.475*44/12</f>
        <v>6.9164078740541676E-20</v>
      </c>
      <c r="AX170" s="21">
        <f t="shared" si="166"/>
        <v>0.8289600199399445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-1.4897523215040565E-13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246.64951465060813</v>
      </c>
      <c r="BJ170" s="59">
        <f t="shared" si="146"/>
        <v>292.64550285216865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0.17352071525776669</v>
      </c>
      <c r="BQ170" s="21">
        <f>EXP(-LN(2)/25)*BQ169+(1-EXP(-LN(2)/25))/(LN(2)/25)*Calculateur!BL170*Calculateur!BN170*VLOOKUP('Données projet'!$B$11,Paramètres!$A$1:$I$89,3,0)*0.475*44/12</f>
        <v>0.38034602392519318</v>
      </c>
      <c r="BR170" s="21">
        <f>EXP(-LN(2)/2)*BR169+(1-EXP(-LN(2)/2))/(LN(2)/2)*BL170*BO170*VLOOKUP('Données projet'!$B$11,Paramètres!$A$1:$I$89,3,0)*0.475*44/12</f>
        <v>5.6958653080446089E-20</v>
      </c>
      <c r="BS170" s="22">
        <f t="shared" si="169"/>
        <v>0.55386673918295992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-1.5252226148732008E-13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254.25222107710192</v>
      </c>
      <c r="CE170" s="59">
        <f t="shared" si="148"/>
        <v>300.86609173447573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0.21896661687289595</v>
      </c>
      <c r="CL170" s="21">
        <f>EXP(-LN(2)/25)*CL169+(1-EXP(-LN(2)/25))/(LN(2)/25)*Calculateur!CG170*Calculateur!CI170*VLOOKUP('Données projet'!$B$12,Paramètres!$A$1:$I$89,3,0)*0.475*44/12</f>
        <v>0.47996045876274318</v>
      </c>
      <c r="CM170" s="21">
        <f>EXP(-LN(2)/2)*CM169+(1-EXP(-LN(2)/2))/(LN(2)/2)*CG170*CJ170*VLOOKUP('Données projet'!$B$12,Paramètres!$A$1:$I$89,3,0)*0.475*44/12</f>
        <v>5.831481148712341E-20</v>
      </c>
      <c r="CN170" s="22">
        <f t="shared" si="172"/>
        <v>0.69892707563563916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243.38048563215585</v>
      </c>
      <c r="CZ170" s="59">
        <f t="shared" si="150"/>
        <v>372.1604147006675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0.48475628389471337</v>
      </c>
      <c r="DG170" s="21">
        <f>EXP(-LN(2)/25)*DG169+(1-EXP(-LN(2)/25))/(LN(2)/25)*Calculateur!DB170*Calculateur!DD170*VLOOKUP('Données projet'!$B$13,Paramètres!$A$1:$I$89,3,0)*0.475*44/12</f>
        <v>0.43382587517544952</v>
      </c>
      <c r="DH170" s="21">
        <f>EXP(-LN(2)/2)*DH169+(1-EXP(-LN(2)/2))/(LN(2)/2)*DB170*DE170*VLOOKUP('Données projet'!$B$13,Paramètres!$A$1:$I$89,3,0)*0.475*44/12</f>
        <v>7.0231880165648177E-20</v>
      </c>
      <c r="DI170" s="22">
        <f t="shared" si="175"/>
        <v>0.91858215907016283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1.1368683772161603E-13</v>
      </c>
      <c r="DP170" s="17">
        <f>DO170*VLOOKUP('Données projet'!$B$14,Paramètres!$A$1:$I$89,3,0)*VLOOKUP('Données projet'!$B$14,Paramètres!$A$1:$I$89,5,0)</f>
        <v>6.5028871176764376E-14</v>
      </c>
      <c r="DQ170" s="13">
        <f t="shared" si="176"/>
        <v>1.0270999702906072E-12</v>
      </c>
      <c r="DR170" s="20">
        <f t="shared" si="177"/>
        <v>1.9021243988890057E-12</v>
      </c>
      <c r="DS170" s="59">
        <f t="shared" si="125"/>
        <v>293.33333333333519</v>
      </c>
      <c r="DT170" s="59">
        <f ca="1">AVERAGE(OFFSET($DS$3,0,0,'Données projet'!$E$14+1,1))-AVERAGE(OFFSET($H$3,0,0,'Données projet'!$E$14+1,1))</f>
        <v>227.99747790451215</v>
      </c>
      <c r="DU170" s="59">
        <f t="shared" si="152"/>
        <v>209.49597700966933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0.19023865792379746</v>
      </c>
      <c r="EB170" s="21">
        <f>EXP(-LN(2)/25)*EB169+(1-EXP(-LN(2)/25))/(LN(2)/25)*Calculateur!DW170*Calculateur!DY170*VLOOKUP('Données projet'!$B$14,Paramètres!$A$1:$I$89,3,0)*0.475*44/12</f>
        <v>0.34002886255812692</v>
      </c>
      <c r="EC170" s="21">
        <f>EXP(-LN(2)/2)*EC169+(1-EXP(-LN(2)/2))/(LN(2)/2)*DW170*DZ170*VLOOKUP('Données projet'!$B$14,Paramètres!$A$1:$I$89,3,0)*0.475*44/12</f>
        <v>5.9086472144596186E-20</v>
      </c>
      <c r="ED170" s="22">
        <f t="shared" si="178"/>
        <v>0.53026752048192438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3.4106051316484809E-13</v>
      </c>
      <c r="EK170" s="17">
        <f>EJ170*VLOOKUP('Données projet'!$B$15,Paramètres!$A$1:$I$89,3,0)*VLOOKUP('Données projet'!$B$15,Paramètres!$A$1:$I$89,5,0)</f>
        <v>1.5074874681886286E-13</v>
      </c>
      <c r="EL170" s="13">
        <f t="shared" si="179"/>
        <v>2.1590218794584103E-12</v>
      </c>
      <c r="EM170" s="20">
        <f t="shared" si="180"/>
        <v>4.0228505074329168E-12</v>
      </c>
      <c r="EN170" s="59">
        <f t="shared" si="128"/>
        <v>293.33333333333735</v>
      </c>
      <c r="EO170" s="59">
        <f ca="1">AVERAGE(OFFSET($EN$3,0,0,'Données projet'!$E$15+1,1))-AVERAGE(OFFSET($H$3,0,0,'Données projet'!$E$15+1,1))</f>
        <v>335.27356627949155</v>
      </c>
      <c r="EP170" s="59">
        <f t="shared" si="154"/>
        <v>322.66829503077247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0.62651776969543793</v>
      </c>
      <c r="EX170" s="21">
        <f>EXP(-LN(2)/2)*EX169+(1-EXP(-LN(2)/2))/(LN(2)/2)*ER170*EU170*VLOOKUP('Données projet'!$B$15,Paramètres!$A$1:$I$89,3,0)*0.475*44/12</f>
        <v>8.4769908645596699E-20</v>
      </c>
      <c r="EY170" s="22">
        <f t="shared" si="181"/>
        <v>0.62651776969543793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-5.6843418860808015E-13</v>
      </c>
      <c r="O171" s="13">
        <f>N171*VLOOKUP('Données projet'!$B$9,Paramètres!$A$1:$I$89,3,0)*VLOOKUP('Données projet'!$B$9,Paramètres!$A$1:$I$89,5,0)</f>
        <v>-5.1431925385259092E-13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319.18811755575183</v>
      </c>
      <c r="T171" s="59">
        <f t="shared" si="142"/>
        <v>234.87694492493506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0.15661664495852937</v>
      </c>
      <c r="AA171" s="21">
        <f>EXP(-LN(2)/25)*AA170+(1-EXP(-LN(2)/25))/(LN(2)/25)*Calculateur!V171*Calculateur!X171*VLOOKUP('Données projet'!$B$9,Paramètres!$A$1:$I$89,3,0)*0.475*44/12</f>
        <v>0.24588499222957505</v>
      </c>
      <c r="AB171" s="21">
        <f>EXP(-LN(2)/2)*AB170+(1-EXP(-LN(2)/2))/(LN(2)/2)*V171*Y171*VLOOKUP('Données projet'!$B$9,Paramètres!$A$1:$I$89,3,0)*0.475*44/12</f>
        <v>3.6512772741872155E-20</v>
      </c>
      <c r="AC171" s="22">
        <f t="shared" si="163"/>
        <v>0.40250163718810439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-1.8089849618263545E-13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314.94704727988847</v>
      </c>
      <c r="AO171" s="59">
        <f t="shared" si="144"/>
        <v>366.49199094166454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0.25461194345804256</v>
      </c>
      <c r="AV171" s="21">
        <f>EXP(-LN(2)/25)*AV170+(1-EXP(-LN(2)/25))/(LN(2)/25)*Calculateur!AQ171*Calculateur!AS171*VLOOKUP('Données projet'!$B$10,Paramètres!$A$1:$I$89,3,0)*0.475*44/12</f>
        <v>0.55368910822489503</v>
      </c>
      <c r="AW171" s="21">
        <f>EXP(-LN(2)/2)*AW170+(1-EXP(-LN(2)/2))/(LN(2)/2)*AQ171*AT171*VLOOKUP('Données projet'!$B$10,Paramètres!$A$1:$I$89,3,0)*0.475*44/12</f>
        <v>4.8906389091957347E-20</v>
      </c>
      <c r="AX171" s="21">
        <f t="shared" si="166"/>
        <v>0.80830105168293764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-1.4897523215040565E-13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246.64951465060813</v>
      </c>
      <c r="BJ171" s="59">
        <f t="shared" si="146"/>
        <v>292.64550285216865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0.17011807986874763</v>
      </c>
      <c r="BQ171" s="21">
        <f>EXP(-LN(2)/25)*BQ170+(1-EXP(-LN(2)/25))/(LN(2)/25)*Calculateur!BL171*Calculateur!BN171*VLOOKUP('Données projet'!$B$11,Paramètres!$A$1:$I$89,3,0)*0.475*44/12</f>
        <v>0.36994544189943068</v>
      </c>
      <c r="BR171" s="21">
        <f>EXP(-LN(2)/2)*BR170+(1-EXP(-LN(2)/2))/(LN(2)/2)*BL171*BO171*VLOOKUP('Données projet'!$B$11,Paramètres!$A$1:$I$89,3,0)*0.475*44/12</f>
        <v>4.0275849840435464E-20</v>
      </c>
      <c r="BS171" s="22">
        <f t="shared" si="169"/>
        <v>0.54006352176817829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-1.5252226148732008E-13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254.25222107710192</v>
      </c>
      <c r="CE171" s="59">
        <f t="shared" si="148"/>
        <v>300.86609173447573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0.21467281507246716</v>
      </c>
      <c r="CL171" s="21">
        <f>EXP(-LN(2)/25)*CL170+(1-EXP(-LN(2)/25))/(LN(2)/25)*Calculateur!CG171*Calculateur!CI171*VLOOKUP('Données projet'!$B$12,Paramètres!$A$1:$I$89,3,0)*0.475*44/12</f>
        <v>0.46683591477785241</v>
      </c>
      <c r="CM171" s="21">
        <f>EXP(-LN(2)/2)*CM170+(1-EXP(-LN(2)/2))/(LN(2)/2)*CG171*CJ171*VLOOKUP('Données projet'!$B$12,Paramètres!$A$1:$I$89,3,0)*0.475*44/12</f>
        <v>4.1234798646160142E-20</v>
      </c>
      <c r="CN171" s="22">
        <f t="shared" si="172"/>
        <v>0.68150872985031952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243.38048563215585</v>
      </c>
      <c r="CZ171" s="59">
        <f t="shared" si="150"/>
        <v>372.1604147006675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0.47525050883967601</v>
      </c>
      <c r="DG171" s="21">
        <f>EXP(-LN(2)/25)*DG170+(1-EXP(-LN(2)/25))/(LN(2)/25)*Calculateur!DB171*Calculateur!DD171*VLOOKUP('Données projet'!$B$13,Paramètres!$A$1:$I$89,3,0)*0.475*44/12</f>
        <v>0.42196288380486557</v>
      </c>
      <c r="DH171" s="21">
        <f>EXP(-LN(2)/2)*DH170+(1-EXP(-LN(2)/2))/(LN(2)/2)*DB171*DE171*VLOOKUP('Données projet'!$B$13,Paramètres!$A$1:$I$89,3,0)*0.475*44/12</f>
        <v>4.9661438720610813E-20</v>
      </c>
      <c r="DI171" s="22">
        <f t="shared" si="175"/>
        <v>0.89721339264454159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1.1368683772161603E-13</v>
      </c>
      <c r="DP171" s="17">
        <f>DO171*VLOOKUP('Données projet'!$B$14,Paramètres!$A$1:$I$89,3,0)*VLOOKUP('Données projet'!$B$14,Paramètres!$A$1:$I$89,5,0)</f>
        <v>6.5028871176764376E-14</v>
      </c>
      <c r="DQ171" s="13">
        <f t="shared" si="176"/>
        <v>1.0270999702906072E-12</v>
      </c>
      <c r="DR171" s="20">
        <f t="shared" si="177"/>
        <v>1.9021243988890057E-12</v>
      </c>
      <c r="DS171" s="59">
        <f t="shared" si="125"/>
        <v>293.33333333333519</v>
      </c>
      <c r="DT171" s="59">
        <f ca="1">AVERAGE(OFFSET($DS$3,0,0,'Données projet'!$E$14+1,1))-AVERAGE(OFFSET($H$3,0,0,'Données projet'!$E$14+1,1))</f>
        <v>227.99747790451215</v>
      </c>
      <c r="DU171" s="59">
        <f t="shared" si="152"/>
        <v>209.49597700966933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0.1865081938760357</v>
      </c>
      <c r="EB171" s="21">
        <f>EXP(-LN(2)/25)*EB170+(1-EXP(-LN(2)/25))/(LN(2)/25)*Calculateur!DW171*Calculateur!DY171*VLOOKUP('Données projet'!$B$14,Paramètres!$A$1:$I$89,3,0)*0.475*44/12</f>
        <v>0.33073075543013419</v>
      </c>
      <c r="EC171" s="21">
        <f>EXP(-LN(2)/2)*EC170+(1-EXP(-LN(2)/2))/(LN(2)/2)*DW171*DZ171*VLOOKUP('Données projet'!$B$14,Paramètres!$A$1:$I$89,3,0)*0.475*44/12</f>
        <v>4.1780445129834011E-20</v>
      </c>
      <c r="ED171" s="22">
        <f t="shared" si="178"/>
        <v>0.51723894930616987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3.4106051316484809E-13</v>
      </c>
      <c r="EK171" s="17">
        <f>EJ171*VLOOKUP('Données projet'!$B$15,Paramètres!$A$1:$I$89,3,0)*VLOOKUP('Données projet'!$B$15,Paramètres!$A$1:$I$89,5,0)</f>
        <v>1.5074874681886286E-13</v>
      </c>
      <c r="EL171" s="13">
        <f t="shared" si="179"/>
        <v>2.1590218794584103E-12</v>
      </c>
      <c r="EM171" s="20">
        <f t="shared" si="180"/>
        <v>4.0228505074329168E-12</v>
      </c>
      <c r="EN171" s="59">
        <f t="shared" si="128"/>
        <v>293.33333333333735</v>
      </c>
      <c r="EO171" s="59">
        <f ca="1">AVERAGE(OFFSET($EN$3,0,0,'Données projet'!$E$15+1,1))-AVERAGE(OFFSET($H$3,0,0,'Données projet'!$E$15+1,1))</f>
        <v>335.27356627949155</v>
      </c>
      <c r="EP171" s="59">
        <f t="shared" si="154"/>
        <v>322.66829503077247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0.60938560833597855</v>
      </c>
      <c r="EX171" s="21">
        <f>EXP(-LN(2)/2)*EX170+(1-EXP(-LN(2)/2))/(LN(2)/2)*ER171*EU171*VLOOKUP('Données projet'!$B$15,Paramètres!$A$1:$I$89,3,0)*0.475*44/12</f>
        <v>5.9941377243865567E-20</v>
      </c>
      <c r="EY171" s="22">
        <f t="shared" si="181"/>
        <v>0.60938560833597855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-5.6843418860808015E-13</v>
      </c>
      <c r="O172" s="13">
        <f>N172*VLOOKUP('Données projet'!$B$9,Paramètres!$A$1:$I$89,3,0)*VLOOKUP('Données projet'!$B$9,Paramètres!$A$1:$I$89,5,0)</f>
        <v>-5.1431925385259092E-13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319.18811755575183</v>
      </c>
      <c r="T172" s="59">
        <f t="shared" si="142"/>
        <v>234.87694492493506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0.15354548807761356</v>
      </c>
      <c r="AA172" s="21">
        <f>EXP(-LN(2)/25)*AA171+(1-EXP(-LN(2)/25))/(LN(2)/25)*Calculateur!V172*Calculateur!X172*VLOOKUP('Données projet'!$B$9,Paramètres!$A$1:$I$89,3,0)*0.475*44/12</f>
        <v>0.23916125418652756</v>
      </c>
      <c r="AB172" s="21">
        <f>EXP(-LN(2)/2)*AB171+(1-EXP(-LN(2)/2))/(LN(2)/2)*V172*Y172*VLOOKUP('Données projet'!$B$9,Paramètres!$A$1:$I$89,3,0)*0.475*44/12</f>
        <v>2.5818429205701131E-20</v>
      </c>
      <c r="AC172" s="22">
        <f t="shared" si="163"/>
        <v>0.39270674226414115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-1.8089849618263545E-13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314.94704727988847</v>
      </c>
      <c r="AO172" s="59">
        <f t="shared" si="144"/>
        <v>366.49199094166454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0.24961915854478145</v>
      </c>
      <c r="AV172" s="21">
        <f>EXP(-LN(2)/25)*AV171+(1-EXP(-LN(2)/25))/(LN(2)/25)*Calculateur!AQ172*Calculateur!AS172*VLOOKUP('Données projet'!$B$10,Paramètres!$A$1:$I$89,3,0)*0.475*44/12</f>
        <v>0.53854845044324051</v>
      </c>
      <c r="AW172" s="21">
        <f>EXP(-LN(2)/2)*AW171+(1-EXP(-LN(2)/2))/(LN(2)/2)*AQ172*AT172*VLOOKUP('Données projet'!$B$10,Paramètres!$A$1:$I$89,3,0)*0.475*44/12</f>
        <v>3.4582039370270838E-20</v>
      </c>
      <c r="AX172" s="21">
        <f t="shared" si="166"/>
        <v>0.78816760898802196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-1.4897523215040565E-13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246.64951465060813</v>
      </c>
      <c r="BJ172" s="59">
        <f t="shared" si="146"/>
        <v>292.64550285216865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0.1667821680843046</v>
      </c>
      <c r="BQ172" s="21">
        <f>EXP(-LN(2)/25)*BQ171+(1-EXP(-LN(2)/25))/(LN(2)/25)*Calculateur!BL172*Calculateur!BN172*VLOOKUP('Données projet'!$B$11,Paramètres!$A$1:$I$89,3,0)*0.475*44/12</f>
        <v>0.35982926433610546</v>
      </c>
      <c r="BR172" s="21">
        <f>EXP(-LN(2)/2)*BR171+(1-EXP(-LN(2)/2))/(LN(2)/2)*BL172*BO172*VLOOKUP('Données projet'!$B$11,Paramètres!$A$1:$I$89,3,0)*0.475*44/12</f>
        <v>2.8479326540223045E-20</v>
      </c>
      <c r="BS172" s="22">
        <f t="shared" si="169"/>
        <v>0.52661143242041009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-1.5252226148732008E-13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254.25222107710192</v>
      </c>
      <c r="CE172" s="59">
        <f t="shared" si="148"/>
        <v>300.86609173447573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0.21046321210638427</v>
      </c>
      <c r="CL172" s="21">
        <f>EXP(-LN(2)/25)*CL171+(1-EXP(-LN(2)/25))/(LN(2)/25)*Calculateur!CG172*Calculateur!CI172*VLOOKUP('Données projet'!$B$12,Paramètres!$A$1:$I$89,3,0)*0.475*44/12</f>
        <v>0.45407026213841822</v>
      </c>
      <c r="CM172" s="21">
        <f>EXP(-LN(2)/2)*CM171+(1-EXP(-LN(2)/2))/(LN(2)/2)*CG172*CJ172*VLOOKUP('Données projet'!$B$12,Paramètres!$A$1:$I$89,3,0)*0.475*44/12</f>
        <v>2.9157405743561705E-20</v>
      </c>
      <c r="CN172" s="22">
        <f t="shared" si="172"/>
        <v>0.66453347424480247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243.38048563215585</v>
      </c>
      <c r="CZ172" s="59">
        <f t="shared" si="150"/>
        <v>372.1604147006675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0.46593113623551768</v>
      </c>
      <c r="DG172" s="21">
        <f>EXP(-LN(2)/25)*DG171+(1-EXP(-LN(2)/25))/(LN(2)/25)*Calculateur!DB172*Calculateur!DD172*VLOOKUP('Données projet'!$B$13,Paramètres!$A$1:$I$89,3,0)*0.475*44/12</f>
        <v>0.4104242865571579</v>
      </c>
      <c r="DH172" s="21">
        <f>EXP(-LN(2)/2)*DH171+(1-EXP(-LN(2)/2))/(LN(2)/2)*DB172*DE172*VLOOKUP('Données projet'!$B$13,Paramètres!$A$1:$I$89,3,0)*0.475*44/12</f>
        <v>3.5115940082824089E-20</v>
      </c>
      <c r="DI172" s="22">
        <f t="shared" si="175"/>
        <v>0.87635542279267553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1.1368683772161603E-13</v>
      </c>
      <c r="DP172" s="17">
        <f>DO172*VLOOKUP('Données projet'!$B$14,Paramètres!$A$1:$I$89,3,0)*VLOOKUP('Données projet'!$B$14,Paramètres!$A$1:$I$89,5,0)</f>
        <v>6.5028871176764376E-14</v>
      </c>
      <c r="DQ172" s="13">
        <f t="shared" si="176"/>
        <v>1.0270999702906072E-12</v>
      </c>
      <c r="DR172" s="20">
        <f t="shared" si="177"/>
        <v>1.9021243988890057E-12</v>
      </c>
      <c r="DS172" s="59">
        <f t="shared" si="125"/>
        <v>293.33333333333519</v>
      </c>
      <c r="DT172" s="59">
        <f ca="1">AVERAGE(OFFSET($DS$3,0,0,'Données projet'!$E$14+1,1))-AVERAGE(OFFSET($H$3,0,0,'Données projet'!$E$14+1,1))</f>
        <v>227.99747790451215</v>
      </c>
      <c r="DU172" s="59">
        <f t="shared" si="152"/>
        <v>209.49597700966933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0.18285088195289217</v>
      </c>
      <c r="EB172" s="21">
        <f>EXP(-LN(2)/25)*EB171+(1-EXP(-LN(2)/25))/(LN(2)/25)*Calculateur!DW172*Calculateur!DY172*VLOOKUP('Données projet'!$B$14,Paramètres!$A$1:$I$89,3,0)*0.475*44/12</f>
        <v>0.32168690553052265</v>
      </c>
      <c r="EC172" s="21">
        <f>EXP(-LN(2)/2)*EC171+(1-EXP(-LN(2)/2))/(LN(2)/2)*DW172*DZ172*VLOOKUP('Données projet'!$B$14,Paramètres!$A$1:$I$89,3,0)*0.475*44/12</f>
        <v>2.9543236072298093E-20</v>
      </c>
      <c r="ED172" s="22">
        <f t="shared" si="178"/>
        <v>0.50453778748341482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3.4106051316484809E-13</v>
      </c>
      <c r="EK172" s="17">
        <f>EJ172*VLOOKUP('Données projet'!$B$15,Paramètres!$A$1:$I$89,3,0)*VLOOKUP('Données projet'!$B$15,Paramètres!$A$1:$I$89,5,0)</f>
        <v>1.5074874681886286E-13</v>
      </c>
      <c r="EL172" s="13">
        <f t="shared" si="179"/>
        <v>2.1590218794584103E-12</v>
      </c>
      <c r="EM172" s="20">
        <f t="shared" si="180"/>
        <v>4.0228505074329168E-12</v>
      </c>
      <c r="EN172" s="59">
        <f t="shared" si="128"/>
        <v>293.33333333333735</v>
      </c>
      <c r="EO172" s="59">
        <f ca="1">AVERAGE(OFFSET($EN$3,0,0,'Données projet'!$E$15+1,1))-AVERAGE(OFFSET($H$3,0,0,'Données projet'!$E$15+1,1))</f>
        <v>335.27356627949155</v>
      </c>
      <c r="EP172" s="59">
        <f t="shared" si="154"/>
        <v>322.66829503077247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0.59272192682983482</v>
      </c>
      <c r="EX172" s="21">
        <f>EXP(-LN(2)/2)*EX171+(1-EXP(-LN(2)/2))/(LN(2)/2)*ER172*EU172*VLOOKUP('Données projet'!$B$15,Paramètres!$A$1:$I$89,3,0)*0.475*44/12</f>
        <v>4.2384954322798349E-20</v>
      </c>
      <c r="EY172" s="22">
        <f t="shared" si="181"/>
        <v>0.59272192682983482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-5.6843418860808015E-13</v>
      </c>
      <c r="O173" s="13">
        <f>N173*VLOOKUP('Données projet'!$B$9,Paramètres!$A$1:$I$89,3,0)*VLOOKUP('Données projet'!$B$9,Paramètres!$A$1:$I$89,5,0)</f>
        <v>-5.1431925385259092E-13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319.18811755575183</v>
      </c>
      <c r="T173" s="59">
        <f t="shared" si="142"/>
        <v>234.87694492493506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0.15053455470991178</v>
      </c>
      <c r="AA173" s="21">
        <f>EXP(-LN(2)/25)*AA172+(1-EXP(-LN(2)/25))/(LN(2)/25)*Calculateur!V173*Calculateur!X173*VLOOKUP('Données projet'!$B$9,Paramètres!$A$1:$I$89,3,0)*0.475*44/12</f>
        <v>0.23262137711385322</v>
      </c>
      <c r="AB173" s="21">
        <f>EXP(-LN(2)/2)*AB172+(1-EXP(-LN(2)/2))/(LN(2)/2)*V173*Y173*VLOOKUP('Données projet'!$B$9,Paramètres!$A$1:$I$89,3,0)*0.475*44/12</f>
        <v>1.8256386370936077E-20</v>
      </c>
      <c r="AC173" s="22">
        <f t="shared" si="163"/>
        <v>0.38315593182376501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-1.8089849618263545E-13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314.94704727988847</v>
      </c>
      <c r="AO173" s="59">
        <f t="shared" si="144"/>
        <v>366.49199094166454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0.2447242790983713</v>
      </c>
      <c r="AV173" s="21">
        <f>EXP(-LN(2)/25)*AV172+(1-EXP(-LN(2)/25))/(LN(2)/25)*Calculateur!AQ173*Calculateur!AS173*VLOOKUP('Données projet'!$B$10,Paramètres!$A$1:$I$89,3,0)*0.475*44/12</f>
        <v>0.52382181474483791</v>
      </c>
      <c r="AW173" s="21">
        <f>EXP(-LN(2)/2)*AW172+(1-EXP(-LN(2)/2))/(LN(2)/2)*AQ173*AT173*VLOOKUP('Données projet'!$B$10,Paramètres!$A$1:$I$89,3,0)*0.475*44/12</f>
        <v>2.4453194545978673E-20</v>
      </c>
      <c r="AX173" s="21">
        <f t="shared" si="166"/>
        <v>0.76854609384320915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-1.4897523215040565E-13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246.64951465060813</v>
      </c>
      <c r="BJ173" s="59">
        <f t="shared" si="146"/>
        <v>292.64550285216865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0.1635116714952492</v>
      </c>
      <c r="BQ173" s="21">
        <f>EXP(-LN(2)/25)*BQ172+(1-EXP(-LN(2)/25))/(LN(2)/25)*Calculateur!BL173*Calculateur!BN173*VLOOKUP('Données projet'!$B$11,Paramètres!$A$1:$I$89,3,0)*0.475*44/12</f>
        <v>0.34998971418023606</v>
      </c>
      <c r="BR173" s="21">
        <f>EXP(-LN(2)/2)*BR172+(1-EXP(-LN(2)/2))/(LN(2)/2)*BL173*BO173*VLOOKUP('Données projet'!$B$11,Paramètres!$A$1:$I$89,3,0)*0.475*44/12</f>
        <v>2.0137924920217732E-20</v>
      </c>
      <c r="BS173" s="22">
        <f t="shared" si="169"/>
        <v>0.51350138567548531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-1.5252226148732008E-13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254.25222107710192</v>
      </c>
      <c r="CE173" s="59">
        <f t="shared" si="148"/>
        <v>300.86609173447573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0.20633615688686199</v>
      </c>
      <c r="CL173" s="21">
        <f>EXP(-LN(2)/25)*CL172+(1-EXP(-LN(2)/25))/(LN(2)/25)*Calculateur!CG173*Calculateur!CI173*VLOOKUP('Données projet'!$B$12,Paramètres!$A$1:$I$89,3,0)*0.475*44/12</f>
        <v>0.44165368694172591</v>
      </c>
      <c r="CM173" s="21">
        <f>EXP(-LN(2)/2)*CM172+(1-EXP(-LN(2)/2))/(LN(2)/2)*CG173*CJ173*VLOOKUP('Données projet'!$B$12,Paramètres!$A$1:$I$89,3,0)*0.475*44/12</f>
        <v>2.0617399323080071E-20</v>
      </c>
      <c r="CN173" s="22">
        <f t="shared" si="172"/>
        <v>0.64798984382858793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243.38048563215585</v>
      </c>
      <c r="CZ173" s="59">
        <f t="shared" si="150"/>
        <v>372.1604147006675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0.45679451084387085</v>
      </c>
      <c r="DG173" s="21">
        <f>EXP(-LN(2)/25)*DG172+(1-EXP(-LN(2)/25))/(LN(2)/25)*Calculateur!DB173*Calculateur!DD173*VLOOKUP('Données projet'!$B$13,Paramètres!$A$1:$I$89,3,0)*0.475*44/12</f>
        <v>0.39920121285797722</v>
      </c>
      <c r="DH173" s="21">
        <f>EXP(-LN(2)/2)*DH172+(1-EXP(-LN(2)/2))/(LN(2)/2)*DB173*DE173*VLOOKUP('Données projet'!$B$13,Paramètres!$A$1:$I$89,3,0)*0.475*44/12</f>
        <v>2.4830719360305407E-20</v>
      </c>
      <c r="DI173" s="22">
        <f t="shared" si="175"/>
        <v>0.85599572370184807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1.1368683772161603E-13</v>
      </c>
      <c r="DP173" s="17">
        <f>DO173*VLOOKUP('Données projet'!$B$14,Paramètres!$A$1:$I$89,3,0)*VLOOKUP('Données projet'!$B$14,Paramètres!$A$1:$I$89,5,0)</f>
        <v>6.5028871176764376E-14</v>
      </c>
      <c r="DQ173" s="13">
        <f t="shared" si="176"/>
        <v>1.0270999702906072E-12</v>
      </c>
      <c r="DR173" s="20">
        <f t="shared" si="177"/>
        <v>1.9021243988890057E-12</v>
      </c>
      <c r="DS173" s="59">
        <f t="shared" si="125"/>
        <v>293.33333333333519</v>
      </c>
      <c r="DT173" s="59">
        <f ca="1">AVERAGE(OFFSET($DS$3,0,0,'Données projet'!$E$14+1,1))-AVERAGE(OFFSET($H$3,0,0,'Données projet'!$E$14+1,1))</f>
        <v>227.99747790451215</v>
      </c>
      <c r="DU173" s="59">
        <f t="shared" si="152"/>
        <v>209.49597700966933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0.17926528768582148</v>
      </c>
      <c r="EB173" s="21">
        <f>EXP(-LN(2)/25)*EB172+(1-EXP(-LN(2)/25))/(LN(2)/25)*Calculateur!DW173*Calculateur!DY173*VLOOKUP('Données projet'!$B$14,Paramètres!$A$1:$I$89,3,0)*0.475*44/12</f>
        <v>0.31289036018201138</v>
      </c>
      <c r="EC173" s="21">
        <f>EXP(-LN(2)/2)*EC172+(1-EXP(-LN(2)/2))/(LN(2)/2)*DW173*DZ173*VLOOKUP('Données projet'!$B$14,Paramètres!$A$1:$I$89,3,0)*0.475*44/12</f>
        <v>2.0890222564917006E-20</v>
      </c>
      <c r="ED173" s="22">
        <f t="shared" si="178"/>
        <v>0.49215564786783284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3.4106051316484809E-13</v>
      </c>
      <c r="EK173" s="17">
        <f>EJ173*VLOOKUP('Données projet'!$B$15,Paramètres!$A$1:$I$89,3,0)*VLOOKUP('Données projet'!$B$15,Paramètres!$A$1:$I$89,5,0)</f>
        <v>1.5074874681886286E-13</v>
      </c>
      <c r="EL173" s="13">
        <f t="shared" si="179"/>
        <v>2.1590218794584103E-12</v>
      </c>
      <c r="EM173" s="20">
        <f t="shared" si="180"/>
        <v>4.0228505074329168E-12</v>
      </c>
      <c r="EN173" s="59">
        <f t="shared" si="128"/>
        <v>293.33333333333735</v>
      </c>
      <c r="EO173" s="59">
        <f ca="1">AVERAGE(OFFSET($EN$3,0,0,'Données projet'!$E$15+1,1))-AVERAGE(OFFSET($H$3,0,0,'Données projet'!$E$15+1,1))</f>
        <v>335.27356627949155</v>
      </c>
      <c r="EP173" s="59">
        <f t="shared" si="154"/>
        <v>322.66829503077247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0.57651391457078149</v>
      </c>
      <c r="EX173" s="21">
        <f>EXP(-LN(2)/2)*EX172+(1-EXP(-LN(2)/2))/(LN(2)/2)*ER173*EU173*VLOOKUP('Données projet'!$B$15,Paramètres!$A$1:$I$89,3,0)*0.475*44/12</f>
        <v>2.9970688621932783E-20</v>
      </c>
      <c r="EY173" s="22">
        <f t="shared" si="181"/>
        <v>0.57651391457078149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-5.6843418860808015E-13</v>
      </c>
      <c r="O174" s="13">
        <f>N174*VLOOKUP('Données projet'!$B$9,Paramètres!$A$1:$I$89,3,0)*VLOOKUP('Données projet'!$B$9,Paramètres!$A$1:$I$89,5,0)</f>
        <v>-5.1431925385259092E-13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319.18811755575183</v>
      </c>
      <c r="T174" s="59">
        <f t="shared" si="142"/>
        <v>234.87694492493506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0.14758266390906261</v>
      </c>
      <c r="AA174" s="21">
        <f>EXP(-LN(2)/25)*AA173+(1-EXP(-LN(2)/25))/(LN(2)/25)*Calculateur!V174*Calculateur!X174*VLOOKUP('Données projet'!$B$9,Paramètres!$A$1:$I$89,3,0)*0.475*44/12</f>
        <v>0.22626033332364834</v>
      </c>
      <c r="AB174" s="21">
        <f>EXP(-LN(2)/2)*AB173+(1-EXP(-LN(2)/2))/(LN(2)/2)*V174*Y174*VLOOKUP('Données projet'!$B$9,Paramètres!$A$1:$I$89,3,0)*0.475*44/12</f>
        <v>1.2909214602850566E-20</v>
      </c>
      <c r="AC174" s="22">
        <f t="shared" si="163"/>
        <v>0.37384299723271097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-1.8089849618263545E-13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314.94704727988847</v>
      </c>
      <c r="AO174" s="59">
        <f t="shared" si="144"/>
        <v>366.49199094166454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0.2399253852523236</v>
      </c>
      <c r="AV174" s="21">
        <f>EXP(-LN(2)/25)*AV173+(1-EXP(-LN(2)/25))/(LN(2)/25)*Calculateur!AQ174*Calculateur!AS174*VLOOKUP('Données projet'!$B$10,Paramètres!$A$1:$I$89,3,0)*0.475*44/12</f>
        <v>0.50949787967404825</v>
      </c>
      <c r="AW174" s="21">
        <f>EXP(-LN(2)/2)*AW173+(1-EXP(-LN(2)/2))/(LN(2)/2)*AQ174*AT174*VLOOKUP('Données projet'!$B$10,Paramètres!$A$1:$I$89,3,0)*0.475*44/12</f>
        <v>1.7291019685135419E-20</v>
      </c>
      <c r="AX174" s="21">
        <f t="shared" si="166"/>
        <v>0.7494232649263719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-1.4897523215040565E-13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246.64951465060813</v>
      </c>
      <c r="BJ174" s="59">
        <f t="shared" si="146"/>
        <v>292.64550285216865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0.16030530734949924</v>
      </c>
      <c r="BQ174" s="21">
        <f>EXP(-LN(2)/25)*BQ173+(1-EXP(-LN(2)/25))/(LN(2)/25)*Calculateur!BL174*Calculateur!BN174*VLOOKUP('Données projet'!$B$11,Paramètres!$A$1:$I$89,3,0)*0.475*44/12</f>
        <v>0.34041922704081834</v>
      </c>
      <c r="BR174" s="21">
        <f>EXP(-LN(2)/2)*BR173+(1-EXP(-LN(2)/2))/(LN(2)/2)*BL174*BO174*VLOOKUP('Données projet'!$B$11,Paramètres!$A$1:$I$89,3,0)*0.475*44/12</f>
        <v>1.4239663270111522E-20</v>
      </c>
      <c r="BS174" s="22">
        <f t="shared" si="169"/>
        <v>0.50072453439031761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-1.5252226148732008E-13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254.25222107710192</v>
      </c>
      <c r="CE174" s="59">
        <f t="shared" si="148"/>
        <v>300.86609173447573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0.20229003070293941</v>
      </c>
      <c r="CL174" s="21">
        <f>EXP(-LN(2)/25)*CL173+(1-EXP(-LN(2)/25))/(LN(2)/25)*Calculateur!CG174*Calculateur!CI174*VLOOKUP('Données projet'!$B$12,Paramètres!$A$1:$I$89,3,0)*0.475*44/12</f>
        <v>0.42957664364674641</v>
      </c>
      <c r="CM174" s="21">
        <f>EXP(-LN(2)/2)*CM173+(1-EXP(-LN(2)/2))/(LN(2)/2)*CG174*CJ174*VLOOKUP('Données projet'!$B$12,Paramètres!$A$1:$I$89,3,0)*0.475*44/12</f>
        <v>1.4578702871780853E-20</v>
      </c>
      <c r="CN174" s="22">
        <f t="shared" si="172"/>
        <v>0.6318666743496858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243.38048563215585</v>
      </c>
      <c r="CZ174" s="59">
        <f t="shared" si="150"/>
        <v>372.1604147006675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0.44783704910336297</v>
      </c>
      <c r="DG174" s="21">
        <f>EXP(-LN(2)/25)*DG173+(1-EXP(-LN(2)/25))/(LN(2)/25)*Calculateur!DB174*Calculateur!DD174*VLOOKUP('Données projet'!$B$13,Paramètres!$A$1:$I$89,3,0)*0.475*44/12</f>
        <v>0.38828503469929643</v>
      </c>
      <c r="DH174" s="21">
        <f>EXP(-LN(2)/2)*DH173+(1-EXP(-LN(2)/2))/(LN(2)/2)*DB174*DE174*VLOOKUP('Données projet'!$B$13,Paramètres!$A$1:$I$89,3,0)*0.475*44/12</f>
        <v>1.7557970041412044E-20</v>
      </c>
      <c r="DI174" s="22">
        <f t="shared" si="175"/>
        <v>0.8361220838026594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1.1368683772161603E-13</v>
      </c>
      <c r="DP174" s="17">
        <f>DO174*VLOOKUP('Données projet'!$B$14,Paramètres!$A$1:$I$89,3,0)*VLOOKUP('Données projet'!$B$14,Paramètres!$A$1:$I$89,5,0)</f>
        <v>6.5028871176764376E-14</v>
      </c>
      <c r="DQ174" s="13">
        <f t="shared" si="176"/>
        <v>1.0270999702906072E-12</v>
      </c>
      <c r="DR174" s="20">
        <f t="shared" si="177"/>
        <v>1.9021243988890057E-12</v>
      </c>
      <c r="DS174" s="59">
        <f t="shared" si="125"/>
        <v>293.33333333333519</v>
      </c>
      <c r="DT174" s="59">
        <f ca="1">AVERAGE(OFFSET($DS$3,0,0,'Données projet'!$E$14+1,1))-AVERAGE(OFFSET($H$3,0,0,'Données projet'!$E$14+1,1))</f>
        <v>227.99747790451215</v>
      </c>
      <c r="DU174" s="59">
        <f t="shared" si="152"/>
        <v>209.49597700966933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0.17575000473533148</v>
      </c>
      <c r="EB174" s="21">
        <f>EXP(-LN(2)/25)*EB173+(1-EXP(-LN(2)/25))/(LN(2)/25)*Calculateur!DW174*Calculateur!DY174*VLOOKUP('Données projet'!$B$14,Paramètres!$A$1:$I$89,3,0)*0.475*44/12</f>
        <v>0.30433435682864535</v>
      </c>
      <c r="EC174" s="21">
        <f>EXP(-LN(2)/2)*EC173+(1-EXP(-LN(2)/2))/(LN(2)/2)*DW174*DZ174*VLOOKUP('Données projet'!$B$14,Paramètres!$A$1:$I$89,3,0)*0.475*44/12</f>
        <v>1.4771618036149046E-20</v>
      </c>
      <c r="ED174" s="22">
        <f t="shared" si="178"/>
        <v>0.48008436156397682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3.4106051316484809E-13</v>
      </c>
      <c r="EK174" s="17">
        <f>EJ174*VLOOKUP('Données projet'!$B$15,Paramètres!$A$1:$I$89,3,0)*VLOOKUP('Données projet'!$B$15,Paramètres!$A$1:$I$89,5,0)</f>
        <v>1.5074874681886286E-13</v>
      </c>
      <c r="EL174" s="13">
        <f t="shared" si="179"/>
        <v>2.1590218794584103E-12</v>
      </c>
      <c r="EM174" s="20">
        <f t="shared" si="180"/>
        <v>4.0228505074329168E-12</v>
      </c>
      <c r="EN174" s="59">
        <f t="shared" si="128"/>
        <v>293.33333333333735</v>
      </c>
      <c r="EO174" s="59">
        <f ca="1">AVERAGE(OFFSET($EN$3,0,0,'Données projet'!$E$15+1,1))-AVERAGE(OFFSET($H$3,0,0,'Données projet'!$E$15+1,1))</f>
        <v>335.27356627949155</v>
      </c>
      <c r="EP174" s="59">
        <f t="shared" si="154"/>
        <v>322.66829503077247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0.56074911125929439</v>
      </c>
      <c r="EX174" s="21">
        <f>EXP(-LN(2)/2)*EX173+(1-EXP(-LN(2)/2))/(LN(2)/2)*ER174*EU174*VLOOKUP('Données projet'!$B$15,Paramètres!$A$1:$I$89,3,0)*0.475*44/12</f>
        <v>2.1192477161399175E-20</v>
      </c>
      <c r="EY174" s="22">
        <f t="shared" si="181"/>
        <v>0.56074911125929439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-5.6843418860808015E-13</v>
      </c>
      <c r="O175" s="13">
        <f>N175*VLOOKUP('Données projet'!$B$9,Paramètres!$A$1:$I$89,3,0)*VLOOKUP('Données projet'!$B$9,Paramètres!$A$1:$I$89,5,0)</f>
        <v>-5.1431925385259092E-13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319.18811755575183</v>
      </c>
      <c r="T175" s="59">
        <f t="shared" si="142"/>
        <v>234.87694492493506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0.14468865788634247</v>
      </c>
      <c r="AA175" s="21">
        <f>EXP(-LN(2)/25)*AA174+(1-EXP(-LN(2)/25))/(LN(2)/25)*Calculateur!V175*Calculateur!X175*VLOOKUP('Données projet'!$B$9,Paramètres!$A$1:$I$89,3,0)*0.475*44/12</f>
        <v>0.22007323261039938</v>
      </c>
      <c r="AB175" s="21">
        <f>EXP(-LN(2)/2)*AB174+(1-EXP(-LN(2)/2))/(LN(2)/2)*V175*Y175*VLOOKUP('Données projet'!$B$9,Paramètres!$A$1:$I$89,3,0)*0.475*44/12</f>
        <v>9.1281931854680387E-21</v>
      </c>
      <c r="AC175" s="22">
        <f t="shared" si="163"/>
        <v>0.36476189049674185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-1.8089849618263545E-13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314.94704727988847</v>
      </c>
      <c r="AO175" s="59">
        <f t="shared" si="144"/>
        <v>366.49199094166454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0.23522059478756066</v>
      </c>
      <c r="AV175" s="21">
        <f>EXP(-LN(2)/25)*AV174+(1-EXP(-LN(2)/25))/(LN(2)/25)*Calculateur!AQ175*Calculateur!AS175*VLOOKUP('Données projet'!$B$10,Paramètres!$A$1:$I$89,3,0)*0.475*44/12</f>
        <v>0.49556563336103238</v>
      </c>
      <c r="AW175" s="21">
        <f>EXP(-LN(2)/2)*AW174+(1-EXP(-LN(2)/2))/(LN(2)/2)*AQ175*AT175*VLOOKUP('Données projet'!$B$10,Paramètres!$A$1:$I$89,3,0)*0.475*44/12</f>
        <v>1.2226597272989337E-20</v>
      </c>
      <c r="AX175" s="21">
        <f t="shared" si="166"/>
        <v>0.73078622814859306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-1.4897523215040565E-13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246.64951465060813</v>
      </c>
      <c r="BJ175" s="59">
        <f t="shared" si="146"/>
        <v>292.64550285216865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0.1571618180489584</v>
      </c>
      <c r="BQ175" s="21">
        <f>EXP(-LN(2)/25)*BQ174+(1-EXP(-LN(2)/25))/(LN(2)/25)*Calculateur!BL175*Calculateur!BN175*VLOOKUP('Données projet'!$B$11,Paramètres!$A$1:$I$89,3,0)*0.475*44/12</f>
        <v>0.33111044537551804</v>
      </c>
      <c r="BR175" s="21">
        <f>EXP(-LN(2)/2)*BR174+(1-EXP(-LN(2)/2))/(LN(2)/2)*BL175*BO175*VLOOKUP('Données projet'!$B$11,Paramètres!$A$1:$I$89,3,0)*0.475*44/12</f>
        <v>1.0068962460108866E-20</v>
      </c>
      <c r="BS175" s="22">
        <f t="shared" si="169"/>
        <v>0.48827226342447644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-1.5252226148732008E-13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254.25222107710192</v>
      </c>
      <c r="CE175" s="59">
        <f t="shared" si="148"/>
        <v>300.86609173447573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0.19832324658559028</v>
      </c>
      <c r="CL175" s="21">
        <f>EXP(-LN(2)/25)*CL174+(1-EXP(-LN(2)/25))/(LN(2)/25)*Calculateur!CG175*Calculateur!CI175*VLOOKUP('Données projet'!$B$12,Paramètres!$A$1:$I$89,3,0)*0.475*44/12</f>
        <v>0.41782984773577225</v>
      </c>
      <c r="CM175" s="21">
        <f>EXP(-LN(2)/2)*CM174+(1-EXP(-LN(2)/2))/(LN(2)/2)*CG175*CJ175*VLOOKUP('Données projet'!$B$12,Paramètres!$A$1:$I$89,3,0)*0.475*44/12</f>
        <v>1.0308699661540036E-20</v>
      </c>
      <c r="CN175" s="22">
        <f t="shared" si="172"/>
        <v>0.61615309432136256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243.38048563215585</v>
      </c>
      <c r="CZ175" s="59">
        <f t="shared" si="150"/>
        <v>372.1604147006675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0.43905523772407429</v>
      </c>
      <c r="DG175" s="21">
        <f>EXP(-LN(2)/25)*DG174+(1-EXP(-LN(2)/25))/(LN(2)/25)*Calculateur!DB175*Calculateur!DD175*VLOOKUP('Données projet'!$B$13,Paramètres!$A$1:$I$89,3,0)*0.475*44/12</f>
        <v>0.37766736000642165</v>
      </c>
      <c r="DH175" s="21">
        <f>EXP(-LN(2)/2)*DH174+(1-EXP(-LN(2)/2))/(LN(2)/2)*DB175*DE175*VLOOKUP('Données projet'!$B$13,Paramètres!$A$1:$I$89,3,0)*0.475*44/12</f>
        <v>1.2415359680152703E-20</v>
      </c>
      <c r="DI175" s="22">
        <f t="shared" si="175"/>
        <v>0.81672259773049594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1.1368683772161603E-13</v>
      </c>
      <c r="DP175" s="17">
        <f>DO175*VLOOKUP('Données projet'!$B$14,Paramètres!$A$1:$I$89,3,0)*VLOOKUP('Données projet'!$B$14,Paramètres!$A$1:$I$89,5,0)</f>
        <v>6.5028871176764376E-14</v>
      </c>
      <c r="DQ175" s="13">
        <f t="shared" si="176"/>
        <v>1.0270999702906072E-12</v>
      </c>
      <c r="DR175" s="20">
        <f t="shared" si="177"/>
        <v>1.9021243988890057E-12</v>
      </c>
      <c r="DS175" s="59">
        <f t="shared" si="125"/>
        <v>293.33333333333519</v>
      </c>
      <c r="DT175" s="59">
        <f ca="1">AVERAGE(OFFSET($DS$3,0,0,'Données projet'!$E$14+1,1))-AVERAGE(OFFSET($H$3,0,0,'Données projet'!$E$14+1,1))</f>
        <v>227.99747790451215</v>
      </c>
      <c r="DU175" s="59">
        <f t="shared" si="152"/>
        <v>209.49597700966933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0.17230365433938971</v>
      </c>
      <c r="EB175" s="21">
        <f>EXP(-LN(2)/25)*EB174+(1-EXP(-LN(2)/25))/(LN(2)/25)*Calculateur!DW175*Calculateur!DY175*VLOOKUP('Données projet'!$B$14,Paramètres!$A$1:$I$89,3,0)*0.475*44/12</f>
        <v>0.29601231783691778</v>
      </c>
      <c r="EC175" s="21">
        <f>EXP(-LN(2)/2)*EC174+(1-EXP(-LN(2)/2))/(LN(2)/2)*DW175*DZ175*VLOOKUP('Données projet'!$B$14,Paramètres!$A$1:$I$89,3,0)*0.475*44/12</f>
        <v>1.0445111282458503E-20</v>
      </c>
      <c r="ED175" s="22">
        <f t="shared" si="178"/>
        <v>0.46831597217630749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3.4106051316484809E-13</v>
      </c>
      <c r="EK175" s="17">
        <f>EJ175*VLOOKUP('Données projet'!$B$15,Paramètres!$A$1:$I$89,3,0)*VLOOKUP('Données projet'!$B$15,Paramètres!$A$1:$I$89,5,0)</f>
        <v>1.5074874681886286E-13</v>
      </c>
      <c r="EL175" s="13">
        <f t="shared" si="179"/>
        <v>2.1590218794584103E-12</v>
      </c>
      <c r="EM175" s="20">
        <f t="shared" si="180"/>
        <v>4.0228505074329168E-12</v>
      </c>
      <c r="EN175" s="59">
        <f t="shared" si="128"/>
        <v>293.33333333333735</v>
      </c>
      <c r="EO175" s="59">
        <f ca="1">AVERAGE(OFFSET($EN$3,0,0,'Données projet'!$E$15+1,1))-AVERAGE(OFFSET($H$3,0,0,'Données projet'!$E$15+1,1))</f>
        <v>335.27356627949155</v>
      </c>
      <c r="EP175" s="59">
        <f t="shared" si="154"/>
        <v>322.66829503077247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0.54541539732339483</v>
      </c>
      <c r="EX175" s="21">
        <f>EXP(-LN(2)/2)*EX174+(1-EXP(-LN(2)/2))/(LN(2)/2)*ER175*EU175*VLOOKUP('Données projet'!$B$15,Paramètres!$A$1:$I$89,3,0)*0.475*44/12</f>
        <v>1.4985344310966392E-20</v>
      </c>
      <c r="EY175" s="22">
        <f t="shared" si="181"/>
        <v>0.54541539732339483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-5.6843418860808015E-13</v>
      </c>
      <c r="O176" s="13">
        <f>N176*VLOOKUP('Données projet'!$B$9,Paramètres!$A$1:$I$89,3,0)*VLOOKUP('Données projet'!$B$9,Paramètres!$A$1:$I$89,5,0)</f>
        <v>-5.1431925385259092E-13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319.18811755575183</v>
      </c>
      <c r="T176" s="59">
        <f t="shared" si="142"/>
        <v>234.87694492493506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0.14185140155655851</v>
      </c>
      <c r="AA176" s="21">
        <f>EXP(-LN(2)/25)*AA175+(1-EXP(-LN(2)/25))/(LN(2)/25)*Calculateur!V176*Calculateur!X176*VLOOKUP('Données projet'!$B$9,Paramètres!$A$1:$I$89,3,0)*0.475*44/12</f>
        <v>0.21405531849151968</v>
      </c>
      <c r="AB176" s="21">
        <f>EXP(-LN(2)/2)*AB175+(1-EXP(-LN(2)/2))/(LN(2)/2)*V176*Y176*VLOOKUP('Données projet'!$B$9,Paramètres!$A$1:$I$89,3,0)*0.475*44/12</f>
        <v>6.4546073014252828E-21</v>
      </c>
      <c r="AC176" s="22">
        <f t="shared" si="163"/>
        <v>0.35590672004807822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-1.8089849618263545E-13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314.94704727988847</v>
      </c>
      <c r="AO176" s="59">
        <f t="shared" si="144"/>
        <v>366.49199094166454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0.23060806239417289</v>
      </c>
      <c r="AV176" s="21">
        <f>EXP(-LN(2)/25)*AV175+(1-EXP(-LN(2)/25))/(LN(2)/25)*Calculateur!AQ176*Calculateur!AS176*VLOOKUP('Données projet'!$B$10,Paramètres!$A$1:$I$89,3,0)*0.475*44/12</f>
        <v>0.48201436505611089</v>
      </c>
      <c r="AW176" s="21">
        <f>EXP(-LN(2)/2)*AW175+(1-EXP(-LN(2)/2))/(LN(2)/2)*AQ176*AT176*VLOOKUP('Données projet'!$B$10,Paramètres!$A$1:$I$89,3,0)*0.475*44/12</f>
        <v>8.6455098425677095E-21</v>
      </c>
      <c r="AX176" s="21">
        <f t="shared" si="166"/>
        <v>0.71262242745028381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-1.4897523215040565E-13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246.64951465060813</v>
      </c>
      <c r="BJ176" s="59">
        <f t="shared" si="146"/>
        <v>292.64550285216865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0.15407997065626203</v>
      </c>
      <c r="BQ176" s="21">
        <f>EXP(-LN(2)/25)*BQ175+(1-EXP(-LN(2)/25))/(LN(2)/25)*Calculateur!BL176*Calculateur!BN176*VLOOKUP('Données projet'!$B$11,Paramètres!$A$1:$I$89,3,0)*0.475*44/12</f>
        <v>0.32205621283438296</v>
      </c>
      <c r="BR176" s="21">
        <f>EXP(-LN(2)/2)*BR175+(1-EXP(-LN(2)/2))/(LN(2)/2)*BL176*BO176*VLOOKUP('Données projet'!$B$11,Paramètres!$A$1:$I$89,3,0)*0.475*44/12</f>
        <v>7.1198316350557612E-21</v>
      </c>
      <c r="BS176" s="22">
        <f t="shared" si="169"/>
        <v>0.47613618349064502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-1.5252226148732008E-13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254.25222107710192</v>
      </c>
      <c r="CE176" s="59">
        <f t="shared" si="148"/>
        <v>300.86609173447573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0.19443424868528295</v>
      </c>
      <c r="CL176" s="21">
        <f>EXP(-LN(2)/25)*CL175+(1-EXP(-LN(2)/25))/(LN(2)/25)*Calculateur!CG176*Calculateur!CI176*VLOOKUP('Données projet'!$B$12,Paramètres!$A$1:$I$89,3,0)*0.475*44/12</f>
        <v>0.40640426857672085</v>
      </c>
      <c r="CM176" s="21">
        <f>EXP(-LN(2)/2)*CM175+(1-EXP(-LN(2)/2))/(LN(2)/2)*CG176*CJ176*VLOOKUP('Données projet'!$B$12,Paramètres!$A$1:$I$89,3,0)*0.475*44/12</f>
        <v>7.2893514358904263E-21</v>
      </c>
      <c r="CN176" s="22">
        <f t="shared" si="172"/>
        <v>0.60083851726200377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243.38048563215585</v>
      </c>
      <c r="CZ176" s="59">
        <f t="shared" si="150"/>
        <v>372.1604147006675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0.4304456323095574</v>
      </c>
      <c r="DG176" s="21">
        <f>EXP(-LN(2)/25)*DG175+(1-EXP(-LN(2)/25))/(LN(2)/25)*Calculateur!DB176*Calculateur!DD176*VLOOKUP('Données projet'!$B$13,Paramètres!$A$1:$I$89,3,0)*0.475*44/12</f>
        <v>0.36734002618638273</v>
      </c>
      <c r="DH176" s="21">
        <f>EXP(-LN(2)/2)*DH175+(1-EXP(-LN(2)/2))/(LN(2)/2)*DB176*DE176*VLOOKUP('Données projet'!$B$13,Paramètres!$A$1:$I$89,3,0)*0.475*44/12</f>
        <v>8.7789850207060222E-21</v>
      </c>
      <c r="DI176" s="22">
        <f t="shared" si="175"/>
        <v>0.79778565849594019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1.1368683772161603E-13</v>
      </c>
      <c r="DP176" s="17">
        <f>DO176*VLOOKUP('Données projet'!$B$14,Paramètres!$A$1:$I$89,3,0)*VLOOKUP('Données projet'!$B$14,Paramètres!$A$1:$I$89,5,0)</f>
        <v>6.5028871176764376E-14</v>
      </c>
      <c r="DQ176" s="13">
        <f t="shared" si="176"/>
        <v>1.0270999702906072E-12</v>
      </c>
      <c r="DR176" s="20">
        <f t="shared" si="177"/>
        <v>1.9021243988890057E-12</v>
      </c>
      <c r="DS176" s="59">
        <f t="shared" si="125"/>
        <v>293.33333333333519</v>
      </c>
      <c r="DT176" s="59">
        <f ca="1">AVERAGE(OFFSET($DS$3,0,0,'Données projet'!$E$14+1,1))-AVERAGE(OFFSET($H$3,0,0,'Données projet'!$E$14+1,1))</f>
        <v>227.99747790451215</v>
      </c>
      <c r="DU176" s="59">
        <f t="shared" si="152"/>
        <v>209.49597700966933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0.16892488477264617</v>
      </c>
      <c r="EB176" s="21">
        <f>EXP(-LN(2)/25)*EB175+(1-EXP(-LN(2)/25))/(LN(2)/25)*Calculateur!DW176*Calculateur!DY176*VLOOKUP('Données projet'!$B$14,Paramètres!$A$1:$I$89,3,0)*0.475*44/12</f>
        <v>0.28791784543905602</v>
      </c>
      <c r="EC176" s="21">
        <f>EXP(-LN(2)/2)*EC175+(1-EXP(-LN(2)/2))/(LN(2)/2)*DW176*DZ176*VLOOKUP('Données projet'!$B$14,Paramètres!$A$1:$I$89,3,0)*0.475*44/12</f>
        <v>7.3858090180745232E-21</v>
      </c>
      <c r="ED176" s="22">
        <f t="shared" si="178"/>
        <v>0.45684273021170219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3.4106051316484809E-13</v>
      </c>
      <c r="EK176" s="17">
        <f>EJ176*VLOOKUP('Données projet'!$B$15,Paramètres!$A$1:$I$89,3,0)*VLOOKUP('Données projet'!$B$15,Paramètres!$A$1:$I$89,5,0)</f>
        <v>1.5074874681886286E-13</v>
      </c>
      <c r="EL176" s="13">
        <f t="shared" si="179"/>
        <v>2.1590218794584103E-12</v>
      </c>
      <c r="EM176" s="20">
        <f t="shared" si="180"/>
        <v>4.0228505074329168E-12</v>
      </c>
      <c r="EN176" s="59">
        <f t="shared" si="128"/>
        <v>293.33333333333735</v>
      </c>
      <c r="EO176" s="59">
        <f ca="1">AVERAGE(OFFSET($EN$3,0,0,'Données projet'!$E$15+1,1))-AVERAGE(OFFSET($H$3,0,0,'Données projet'!$E$15+1,1))</f>
        <v>335.27356627949155</v>
      </c>
      <c r="EP176" s="59">
        <f t="shared" si="154"/>
        <v>322.66829503077247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0.53050098460143746</v>
      </c>
      <c r="EX176" s="21">
        <f>EXP(-LN(2)/2)*EX175+(1-EXP(-LN(2)/2))/(LN(2)/2)*ER176*EU176*VLOOKUP('Données projet'!$B$15,Paramètres!$A$1:$I$89,3,0)*0.475*44/12</f>
        <v>1.0596238580699587E-20</v>
      </c>
      <c r="EY176" s="22">
        <f t="shared" si="181"/>
        <v>0.53050098460143746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-5.6843418860808015E-13</v>
      </c>
      <c r="O177" s="13">
        <f>N177*VLOOKUP('Données projet'!$B$9,Paramètres!$A$1:$I$89,3,0)*VLOOKUP('Données projet'!$B$9,Paramètres!$A$1:$I$89,5,0)</f>
        <v>-5.1431925385259092E-13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319.18811755575183</v>
      </c>
      <c r="T177" s="59">
        <f t="shared" si="142"/>
        <v>234.87694492493506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0.13906978209284612</v>
      </c>
      <c r="AA177" s="21">
        <f>EXP(-LN(2)/25)*AA176+(1-EXP(-LN(2)/25))/(LN(2)/25)*Calculateur!V177*Calculateur!X177*VLOOKUP('Données projet'!$B$9,Paramètres!$A$1:$I$89,3,0)*0.475*44/12</f>
        <v>0.20820196455068909</v>
      </c>
      <c r="AB177" s="21">
        <f>EXP(-LN(2)/2)*AB176+(1-EXP(-LN(2)/2))/(LN(2)/2)*V177*Y177*VLOOKUP('Données projet'!$B$9,Paramètres!$A$1:$I$89,3,0)*0.475*44/12</f>
        <v>4.5640965927340194E-21</v>
      </c>
      <c r="AC177" s="22">
        <f t="shared" si="163"/>
        <v>0.34727174664353522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-1.8089849618263545E-13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314.94704727988847</v>
      </c>
      <c r="AO177" s="59">
        <f t="shared" si="144"/>
        <v>366.49199094166454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0.22608597894765251</v>
      </c>
      <c r="AV177" s="21">
        <f>EXP(-LN(2)/25)*AV176+(1-EXP(-LN(2)/25))/(LN(2)/25)*Calculateur!AQ177*Calculateur!AS177*VLOOKUP('Données projet'!$B$10,Paramètres!$A$1:$I$89,3,0)*0.475*44/12</f>
        <v>0.46883365689561773</v>
      </c>
      <c r="AW177" s="21">
        <f>EXP(-LN(2)/2)*AW176+(1-EXP(-LN(2)/2))/(LN(2)/2)*AQ177*AT177*VLOOKUP('Données projet'!$B$10,Paramètres!$A$1:$I$89,3,0)*0.475*44/12</f>
        <v>6.1132986364946684E-21</v>
      </c>
      <c r="AX177" s="21">
        <f t="shared" si="166"/>
        <v>0.69491963584327021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-1.4897523215040565E-13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246.64951465060813</v>
      </c>
      <c r="BJ177" s="59">
        <f t="shared" si="146"/>
        <v>292.64550285216865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0.15105855641119512</v>
      </c>
      <c r="BQ177" s="21">
        <f>EXP(-LN(2)/25)*BQ176+(1-EXP(-LN(2)/25))/(LN(2)/25)*Calculateur!BL177*Calculateur!BN177*VLOOKUP('Données projet'!$B$11,Paramètres!$A$1:$I$89,3,0)*0.475*44/12</f>
        <v>0.31324956875822657</v>
      </c>
      <c r="BR177" s="21">
        <f>EXP(-LN(2)/2)*BR176+(1-EXP(-LN(2)/2))/(LN(2)/2)*BL177*BO177*VLOOKUP('Données projet'!$B$11,Paramètres!$A$1:$I$89,3,0)*0.475*44/12</f>
        <v>5.034481230054433E-21</v>
      </c>
      <c r="BS177" s="22">
        <f t="shared" si="169"/>
        <v>0.46430812516942166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-1.5252226148732008E-13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254.25222107710192</v>
      </c>
      <c r="CE177" s="59">
        <f t="shared" si="148"/>
        <v>300.86609173447573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0.19062151166174615</v>
      </c>
      <c r="CL177" s="21">
        <f>EXP(-LN(2)/25)*CL176+(1-EXP(-LN(2)/25))/(LN(2)/25)*Calculateur!CG177*Calculateur!CI177*VLOOKUP('Données projet'!$B$12,Paramètres!$A$1:$I$89,3,0)*0.475*44/12</f>
        <v>0.39529112248061876</v>
      </c>
      <c r="CM177" s="21">
        <f>EXP(-LN(2)/2)*CM176+(1-EXP(-LN(2)/2))/(LN(2)/2)*CG177*CJ177*VLOOKUP('Données projet'!$B$12,Paramètres!$A$1:$I$89,3,0)*0.475*44/12</f>
        <v>5.1543498307700178E-21</v>
      </c>
      <c r="CN177" s="22">
        <f t="shared" si="172"/>
        <v>0.58591263414236494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243.38048563215585</v>
      </c>
      <c r="CZ177" s="59">
        <f t="shared" si="150"/>
        <v>372.1604147006675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0.42200485600587845</v>
      </c>
      <c r="DG177" s="21">
        <f>EXP(-LN(2)/25)*DG176+(1-EXP(-LN(2)/25))/(LN(2)/25)*Calculateur!DB177*Calculateur!DD177*VLOOKUP('Données projet'!$B$13,Paramètres!$A$1:$I$89,3,0)*0.475*44/12</f>
        <v>0.35729509385274366</v>
      </c>
      <c r="DH177" s="21">
        <f>EXP(-LN(2)/2)*DH176+(1-EXP(-LN(2)/2))/(LN(2)/2)*DB177*DE177*VLOOKUP('Données projet'!$B$13,Paramètres!$A$1:$I$89,3,0)*0.475*44/12</f>
        <v>6.2076798400763517E-21</v>
      </c>
      <c r="DI177" s="22">
        <f t="shared" si="175"/>
        <v>0.77929994985862217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1.1368683772161603E-13</v>
      </c>
      <c r="DP177" s="17">
        <f>DO177*VLOOKUP('Données projet'!$B$14,Paramètres!$A$1:$I$89,3,0)*VLOOKUP('Données projet'!$B$14,Paramètres!$A$1:$I$89,5,0)</f>
        <v>6.5028871176764376E-14</v>
      </c>
      <c r="DQ177" s="13">
        <f t="shared" si="176"/>
        <v>1.0270999702906072E-12</v>
      </c>
      <c r="DR177" s="20">
        <f t="shared" si="177"/>
        <v>1.9021243988890057E-12</v>
      </c>
      <c r="DS177" s="59">
        <f t="shared" si="125"/>
        <v>293.33333333333519</v>
      </c>
      <c r="DT177" s="59">
        <f ca="1">AVERAGE(OFFSET($DS$3,0,0,'Données projet'!$E$14+1,1))-AVERAGE(OFFSET($H$3,0,0,'Données projet'!$E$14+1,1))</f>
        <v>227.99747790451215</v>
      </c>
      <c r="DU177" s="59">
        <f t="shared" si="152"/>
        <v>209.49597700966933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0.16561237081626051</v>
      </c>
      <c r="EB177" s="21">
        <f>EXP(-LN(2)/25)*EB176+(1-EXP(-LN(2)/25))/(LN(2)/25)*Calculateur!DW177*Calculateur!DY177*VLOOKUP('Données projet'!$B$14,Paramètres!$A$1:$I$89,3,0)*0.475*44/12</f>
        <v>0.28004471681458359</v>
      </c>
      <c r="EC177" s="21">
        <f>EXP(-LN(2)/2)*EC176+(1-EXP(-LN(2)/2))/(LN(2)/2)*DW177*DZ177*VLOOKUP('Données projet'!$B$14,Paramètres!$A$1:$I$89,3,0)*0.475*44/12</f>
        <v>5.2225556412292514E-21</v>
      </c>
      <c r="ED177" s="22">
        <f t="shared" si="178"/>
        <v>0.44565708763084411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3.4106051316484809E-13</v>
      </c>
      <c r="EK177" s="17">
        <f>EJ177*VLOOKUP('Données projet'!$B$15,Paramètres!$A$1:$I$89,3,0)*VLOOKUP('Données projet'!$B$15,Paramètres!$A$1:$I$89,5,0)</f>
        <v>1.5074874681886286E-13</v>
      </c>
      <c r="EL177" s="13">
        <f t="shared" si="179"/>
        <v>2.1590218794584103E-12</v>
      </c>
      <c r="EM177" s="20">
        <f t="shared" si="180"/>
        <v>4.0228505074329168E-12</v>
      </c>
      <c r="EN177" s="59">
        <f t="shared" si="128"/>
        <v>293.33333333333735</v>
      </c>
      <c r="EO177" s="59">
        <f ca="1">AVERAGE(OFFSET($EN$3,0,0,'Données projet'!$E$15+1,1))-AVERAGE(OFFSET($H$3,0,0,'Données projet'!$E$15+1,1))</f>
        <v>335.27356627949155</v>
      </c>
      <c r="EP177" s="59">
        <f t="shared" si="154"/>
        <v>322.66829503077247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0.51599440727967683</v>
      </c>
      <c r="EX177" s="21">
        <f>EXP(-LN(2)/2)*EX176+(1-EXP(-LN(2)/2))/(LN(2)/2)*ER177*EU177*VLOOKUP('Données projet'!$B$15,Paramètres!$A$1:$I$89,3,0)*0.475*44/12</f>
        <v>7.4926721554831959E-21</v>
      </c>
      <c r="EY177" s="22">
        <f t="shared" si="181"/>
        <v>0.51599440727967683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-5.6843418860808015E-13</v>
      </c>
      <c r="O178" s="13">
        <f>N178*VLOOKUP('Données projet'!$B$9,Paramètres!$A$1:$I$89,3,0)*VLOOKUP('Données projet'!$B$9,Paramètres!$A$1:$I$89,5,0)</f>
        <v>-5.1431925385259092E-13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319.18811755575183</v>
      </c>
      <c r="T178" s="59">
        <f t="shared" si="142"/>
        <v>234.87694492493506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0.13634270849019681</v>
      </c>
      <c r="AA178" s="21">
        <f>EXP(-LN(2)/25)*AA177+(1-EXP(-LN(2)/25))/(LN(2)/25)*Calculateur!V178*Calculateur!X178*VLOOKUP('Données projet'!$B$9,Paramètres!$A$1:$I$89,3,0)*0.475*44/12</f>
        <v>0.20250867088118504</v>
      </c>
      <c r="AB178" s="21">
        <f>EXP(-LN(2)/2)*AB177+(1-EXP(-LN(2)/2))/(LN(2)/2)*V178*Y178*VLOOKUP('Données projet'!$B$9,Paramètres!$A$1:$I$89,3,0)*0.475*44/12</f>
        <v>3.2273036507126414E-21</v>
      </c>
      <c r="AC178" s="22">
        <f t="shared" si="163"/>
        <v>0.33885137937138188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-1.8089849618263545E-13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314.94704727988847</v>
      </c>
      <c r="AO178" s="59">
        <f t="shared" si="144"/>
        <v>366.49199094166454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0.22165257079931983</v>
      </c>
      <c r="AV178" s="21">
        <f>EXP(-LN(2)/25)*AV177+(1-EXP(-LN(2)/25))/(LN(2)/25)*Calculateur!AQ178*Calculateur!AS178*VLOOKUP('Données projet'!$B$10,Paramètres!$A$1:$I$89,3,0)*0.475*44/12</f>
        <v>0.45601337589291657</v>
      </c>
      <c r="AW178" s="21">
        <f>EXP(-LN(2)/2)*AW177+(1-EXP(-LN(2)/2))/(LN(2)/2)*AQ178*AT178*VLOOKUP('Données projet'!$B$10,Paramètres!$A$1:$I$89,3,0)*0.475*44/12</f>
        <v>4.3227549212838547E-21</v>
      </c>
      <c r="AX178" s="21">
        <f t="shared" si="166"/>
        <v>0.67766594669223634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-1.4897523215040565E-13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246.64951465060813</v>
      </c>
      <c r="BJ178" s="59">
        <f t="shared" si="146"/>
        <v>292.64550285216865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0.14809639025659327</v>
      </c>
      <c r="BQ178" s="21">
        <f>EXP(-LN(2)/25)*BQ177+(1-EXP(-LN(2)/25))/(LN(2)/25)*Calculateur!BL178*Calculateur!BN178*VLOOKUP('Données projet'!$B$11,Paramètres!$A$1:$I$89,3,0)*0.475*44/12</f>
        <v>0.30468374282745397</v>
      </c>
      <c r="BR178" s="21">
        <f>EXP(-LN(2)/2)*BR177+(1-EXP(-LN(2)/2))/(LN(2)/2)*BL178*BO178*VLOOKUP('Données projet'!$B$11,Paramètres!$A$1:$I$89,3,0)*0.475*44/12</f>
        <v>3.5599158175278806E-21</v>
      </c>
      <c r="BS178" s="22">
        <f t="shared" si="169"/>
        <v>0.45278013308404724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-1.5252226148732008E-13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254.25222107710192</v>
      </c>
      <c r="CE178" s="59">
        <f t="shared" si="148"/>
        <v>300.86609173447573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0.18688354008570093</v>
      </c>
      <c r="CL178" s="21">
        <f>EXP(-LN(2)/25)*CL177+(1-EXP(-LN(2)/25))/(LN(2)/25)*Calculateur!CG178*Calculateur!CI178*VLOOKUP('Données projet'!$B$12,Paramètres!$A$1:$I$89,3,0)*0.475*44/12</f>
        <v>0.38448186594892958</v>
      </c>
      <c r="CM178" s="21">
        <f>EXP(-LN(2)/2)*CM177+(1-EXP(-LN(2)/2))/(LN(2)/2)*CG178*CJ178*VLOOKUP('Données projet'!$B$12,Paramètres!$A$1:$I$89,3,0)*0.475*44/12</f>
        <v>3.6446757179452131E-21</v>
      </c>
      <c r="CN178" s="22">
        <f t="shared" si="172"/>
        <v>0.57136540603463049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243.38048563215585</v>
      </c>
      <c r="CZ178" s="59">
        <f t="shared" si="150"/>
        <v>372.1604147006675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0.41372959817714944</v>
      </c>
      <c r="DG178" s="21">
        <f>EXP(-LN(2)/25)*DG177+(1-EXP(-LN(2)/25))/(LN(2)/25)*Calculateur!DB178*Calculateur!DD178*VLOOKUP('Données projet'!$B$13,Paramètres!$A$1:$I$89,3,0)*0.475*44/12</f>
        <v>0.34752484072200801</v>
      </c>
      <c r="DH178" s="21">
        <f>EXP(-LN(2)/2)*DH177+(1-EXP(-LN(2)/2))/(LN(2)/2)*DB178*DE178*VLOOKUP('Données projet'!$B$13,Paramètres!$A$1:$I$89,3,0)*0.475*44/12</f>
        <v>4.3894925103530111E-21</v>
      </c>
      <c r="DI178" s="22">
        <f t="shared" si="175"/>
        <v>0.76125443889915745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1.1368683772161603E-13</v>
      </c>
      <c r="DP178" s="17">
        <f>DO178*VLOOKUP('Données projet'!$B$14,Paramètres!$A$1:$I$89,3,0)*VLOOKUP('Données projet'!$B$14,Paramètres!$A$1:$I$89,5,0)</f>
        <v>6.5028871176764376E-14</v>
      </c>
      <c r="DQ178" s="13">
        <f t="shared" si="176"/>
        <v>1.0270999702906072E-12</v>
      </c>
      <c r="DR178" s="20">
        <f t="shared" si="177"/>
        <v>1.9021243988890057E-12</v>
      </c>
      <c r="DS178" s="59">
        <f t="shared" si="125"/>
        <v>293.33333333333519</v>
      </c>
      <c r="DT178" s="59">
        <f ca="1">AVERAGE(OFFSET($DS$3,0,0,'Données projet'!$E$14+1,1))-AVERAGE(OFFSET($H$3,0,0,'Données projet'!$E$14+1,1))</f>
        <v>227.99747790451215</v>
      </c>
      <c r="DU178" s="59">
        <f t="shared" si="152"/>
        <v>209.49597700966933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0.16236481323812557</v>
      </c>
      <c r="EB178" s="21">
        <f>EXP(-LN(2)/25)*EB177+(1-EXP(-LN(2)/25))/(LN(2)/25)*Calculateur!DW178*Calculateur!DY178*VLOOKUP('Données projet'!$B$14,Paramètres!$A$1:$I$89,3,0)*0.475*44/12</f>
        <v>0.27238687930637717</v>
      </c>
      <c r="EC178" s="21">
        <f>EXP(-LN(2)/2)*EC177+(1-EXP(-LN(2)/2))/(LN(2)/2)*DW178*DZ178*VLOOKUP('Données projet'!$B$14,Paramètres!$A$1:$I$89,3,0)*0.475*44/12</f>
        <v>3.6929045090372616E-21</v>
      </c>
      <c r="ED178" s="22">
        <f t="shared" si="178"/>
        <v>0.43475169254450274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3.4106051316484809E-13</v>
      </c>
      <c r="EK178" s="17">
        <f>EJ178*VLOOKUP('Données projet'!$B$15,Paramètres!$A$1:$I$89,3,0)*VLOOKUP('Données projet'!$B$15,Paramètres!$A$1:$I$89,5,0)</f>
        <v>1.5074874681886286E-13</v>
      </c>
      <c r="EL178" s="13">
        <f t="shared" si="179"/>
        <v>2.1590218794584103E-12</v>
      </c>
      <c r="EM178" s="20">
        <f t="shared" si="180"/>
        <v>4.0228505074329168E-12</v>
      </c>
      <c r="EN178" s="59">
        <f t="shared" si="128"/>
        <v>293.33333333333735</v>
      </c>
      <c r="EO178" s="59">
        <f ca="1">AVERAGE(OFFSET($EN$3,0,0,'Données projet'!$E$15+1,1))-AVERAGE(OFFSET($H$3,0,0,'Données projet'!$E$15+1,1))</f>
        <v>335.27356627949155</v>
      </c>
      <c r="EP178" s="59">
        <f t="shared" si="154"/>
        <v>322.66829503077247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0.50188451307764748</v>
      </c>
      <c r="EX178" s="21">
        <f>EXP(-LN(2)/2)*EX177+(1-EXP(-LN(2)/2))/(LN(2)/2)*ER178*EU178*VLOOKUP('Données projet'!$B$15,Paramètres!$A$1:$I$89,3,0)*0.475*44/12</f>
        <v>5.2981192903497937E-21</v>
      </c>
      <c r="EY178" s="22">
        <f t="shared" si="181"/>
        <v>0.50188451307764748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-5.6843418860808015E-13</v>
      </c>
      <c r="O179" s="13">
        <f>N179*VLOOKUP('Données projet'!$B$9,Paramètres!$A$1:$I$89,3,0)*VLOOKUP('Données projet'!$B$9,Paramètres!$A$1:$I$89,5,0)</f>
        <v>-5.1431925385259092E-13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319.18811755575183</v>
      </c>
      <c r="T179" s="59">
        <f t="shared" si="142"/>
        <v>234.87694492493506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0.13366911113754479</v>
      </c>
      <c r="AA179" s="21">
        <f>EXP(-LN(2)/25)*AA178+(1-EXP(-LN(2)/25))/(LN(2)/25)*Calculateur!V179*Calculateur!X179*VLOOKUP('Données projet'!$B$9,Paramètres!$A$1:$I$89,3,0)*0.475*44/12</f>
        <v>0.19697106062647088</v>
      </c>
      <c r="AB179" s="21">
        <f>EXP(-LN(2)/2)*AB178+(1-EXP(-LN(2)/2))/(LN(2)/2)*V179*Y179*VLOOKUP('Données projet'!$B$9,Paramètres!$A$1:$I$89,3,0)*0.475*44/12</f>
        <v>2.2820482963670097E-21</v>
      </c>
      <c r="AC179" s="22">
        <f t="shared" si="163"/>
        <v>0.33064017176401567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-1.8089849618263545E-13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314.94704727988847</v>
      </c>
      <c r="AO179" s="59">
        <f t="shared" si="144"/>
        <v>366.49199094166454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0.21730609908066398</v>
      </c>
      <c r="AV179" s="21">
        <f>EXP(-LN(2)/25)*AV178+(1-EXP(-LN(2)/25))/(LN(2)/25)*Calculateur!AQ179*Calculateur!AS179*VLOOKUP('Données projet'!$B$10,Paramètres!$A$1:$I$89,3,0)*0.475*44/12</f>
        <v>0.44354366614842355</v>
      </c>
      <c r="AW179" s="21">
        <f>EXP(-LN(2)/2)*AW178+(1-EXP(-LN(2)/2))/(LN(2)/2)*AQ179*AT179*VLOOKUP('Données projet'!$B$10,Paramètres!$A$1:$I$89,3,0)*0.475*44/12</f>
        <v>3.0566493182473342E-21</v>
      </c>
      <c r="AX179" s="21">
        <f t="shared" si="166"/>
        <v>0.66084976522908756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-1.4897523215040565E-13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246.64951465060813</v>
      </c>
      <c r="BJ179" s="59">
        <f t="shared" si="146"/>
        <v>292.64550285216865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0.14519231037354019</v>
      </c>
      <c r="BQ179" s="21">
        <f>EXP(-LN(2)/25)*BQ178+(1-EXP(-LN(2)/25))/(LN(2)/25)*Calculateur!BL179*Calculateur!BN179*VLOOKUP('Données projet'!$B$11,Paramètres!$A$1:$I$89,3,0)*0.475*44/12</f>
        <v>0.29635214985721559</v>
      </c>
      <c r="BR179" s="21">
        <f>EXP(-LN(2)/2)*BR178+(1-EXP(-LN(2)/2))/(LN(2)/2)*BL179*BO179*VLOOKUP('Données projet'!$B$11,Paramètres!$A$1:$I$89,3,0)*0.475*44/12</f>
        <v>2.5172406150272165E-21</v>
      </c>
      <c r="BS179" s="22">
        <f t="shared" si="169"/>
        <v>0.44154446023075578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-1.5252226148732008E-13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254.25222107710192</v>
      </c>
      <c r="CE179" s="59">
        <f t="shared" si="148"/>
        <v>300.86609173447573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0.18321886785232444</v>
      </c>
      <c r="CL179" s="21">
        <f>EXP(-LN(2)/25)*CL178+(1-EXP(-LN(2)/25))/(LN(2)/25)*Calculateur!CG179*Calculateur!CI179*VLOOKUP('Données projet'!$B$12,Paramètres!$A$1:$I$89,3,0)*0.475*44/12</f>
        <v>0.37396818910553353</v>
      </c>
      <c r="CM179" s="21">
        <f>EXP(-LN(2)/2)*CM178+(1-EXP(-LN(2)/2))/(LN(2)/2)*CG179*CJ179*VLOOKUP('Données projet'!$B$12,Paramètres!$A$1:$I$89,3,0)*0.475*44/12</f>
        <v>2.5771749153850089E-21</v>
      </c>
      <c r="CN179" s="22">
        <f t="shared" si="172"/>
        <v>0.55718705695785797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243.38048563215585</v>
      </c>
      <c r="CZ179" s="59">
        <f t="shared" si="150"/>
        <v>372.1604147006675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0.4056166131070329</v>
      </c>
      <c r="DG179" s="21">
        <f>EXP(-LN(2)/25)*DG178+(1-EXP(-LN(2)/25))/(LN(2)/25)*Calculateur!DB179*Calculateur!DD179*VLOOKUP('Données projet'!$B$13,Paramètres!$A$1:$I$89,3,0)*0.475*44/12</f>
        <v>0.3380217556769276</v>
      </c>
      <c r="DH179" s="21">
        <f>EXP(-LN(2)/2)*DH178+(1-EXP(-LN(2)/2))/(LN(2)/2)*DB179*DE179*VLOOKUP('Données projet'!$B$13,Paramètres!$A$1:$I$89,3,0)*0.475*44/12</f>
        <v>3.1038399200381758E-21</v>
      </c>
      <c r="DI179" s="22">
        <f t="shared" si="175"/>
        <v>0.7436383687839605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1.1368683772161603E-13</v>
      </c>
      <c r="DP179" s="17">
        <f>DO179*VLOOKUP('Données projet'!$B$14,Paramètres!$A$1:$I$89,3,0)*VLOOKUP('Données projet'!$B$14,Paramètres!$A$1:$I$89,5,0)</f>
        <v>6.5028871176764376E-14</v>
      </c>
      <c r="DQ179" s="13">
        <f t="shared" si="176"/>
        <v>1.0270999702906072E-12</v>
      </c>
      <c r="DR179" s="20">
        <f t="shared" si="177"/>
        <v>1.9021243988890057E-12</v>
      </c>
      <c r="DS179" s="59">
        <f t="shared" si="125"/>
        <v>293.33333333333519</v>
      </c>
      <c r="DT179" s="59">
        <f ca="1">AVERAGE(OFFSET($DS$3,0,0,'Données projet'!$E$14+1,1))-AVERAGE(OFFSET($H$3,0,0,'Données projet'!$E$14+1,1))</f>
        <v>227.99747790451215</v>
      </c>
      <c r="DU179" s="59">
        <f t="shared" si="152"/>
        <v>209.49597700966933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0.15918093828328334</v>
      </c>
      <c r="EB179" s="21">
        <f>EXP(-LN(2)/25)*EB178+(1-EXP(-LN(2)/25))/(LN(2)/25)*Calculateur!DW179*Calculateur!DY179*VLOOKUP('Données projet'!$B$14,Paramètres!$A$1:$I$89,3,0)*0.475*44/12</f>
        <v>0.26493844576754083</v>
      </c>
      <c r="EC179" s="21">
        <f>EXP(-LN(2)/2)*EC178+(1-EXP(-LN(2)/2))/(LN(2)/2)*DW179*DZ179*VLOOKUP('Données projet'!$B$14,Paramètres!$A$1:$I$89,3,0)*0.475*44/12</f>
        <v>2.6112778206146257E-21</v>
      </c>
      <c r="ED179" s="22">
        <f t="shared" si="178"/>
        <v>0.42411938405082417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3.4106051316484809E-13</v>
      </c>
      <c r="EK179" s="17">
        <f>EJ179*VLOOKUP('Données projet'!$B$15,Paramètres!$A$1:$I$89,3,0)*VLOOKUP('Données projet'!$B$15,Paramètres!$A$1:$I$89,5,0)</f>
        <v>1.5074874681886286E-13</v>
      </c>
      <c r="EL179" s="13">
        <f t="shared" si="179"/>
        <v>2.1590218794584103E-12</v>
      </c>
      <c r="EM179" s="20">
        <f t="shared" si="180"/>
        <v>4.0228505074329168E-12</v>
      </c>
      <c r="EN179" s="59">
        <f t="shared" si="128"/>
        <v>293.33333333333735</v>
      </c>
      <c r="EO179" s="59">
        <f ca="1">AVERAGE(OFFSET($EN$3,0,0,'Données projet'!$E$15+1,1))-AVERAGE(OFFSET($H$3,0,0,'Données projet'!$E$15+1,1))</f>
        <v>335.27356627949155</v>
      </c>
      <c r="EP179" s="59">
        <f t="shared" si="154"/>
        <v>322.66829503077247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0.48816045467457975</v>
      </c>
      <c r="EX179" s="21">
        <f>EXP(-LN(2)/2)*EX178+(1-EXP(-LN(2)/2))/(LN(2)/2)*ER179*EU179*VLOOKUP('Données projet'!$B$15,Paramètres!$A$1:$I$89,3,0)*0.475*44/12</f>
        <v>3.7463360777415979E-21</v>
      </c>
      <c r="EY179" s="22">
        <f t="shared" si="181"/>
        <v>0.48816045467457975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-5.6843418860808015E-13</v>
      </c>
      <c r="O180" s="13">
        <f>N180*VLOOKUP('Données projet'!$B$9,Paramètres!$A$1:$I$89,3,0)*VLOOKUP('Données projet'!$B$9,Paramètres!$A$1:$I$89,5,0)</f>
        <v>-5.1431925385259092E-13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319.18811755575183</v>
      </c>
      <c r="T180" s="59">
        <f t="shared" si="142"/>
        <v>234.87694492493506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0.13104794139824491</v>
      </c>
      <c r="AA180" s="21">
        <f>EXP(-LN(2)/25)*AA179+(1-EXP(-LN(2)/25))/(LN(2)/25)*Calculateur!V180*Calculateur!X180*VLOOKUP('Données projet'!$B$9,Paramètres!$A$1:$I$89,3,0)*0.475*44/12</f>
        <v>0.19158487661538215</v>
      </c>
      <c r="AB180" s="21">
        <f>EXP(-LN(2)/2)*AB179+(1-EXP(-LN(2)/2))/(LN(2)/2)*V180*Y180*VLOOKUP('Données projet'!$B$9,Paramètres!$A$1:$I$89,3,0)*0.475*44/12</f>
        <v>1.6136518253563207E-21</v>
      </c>
      <c r="AC180" s="22">
        <f t="shared" si="163"/>
        <v>0.32263281801362709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-1.8089849618263545E-13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314.94704727988847</v>
      </c>
      <c r="AO180" s="59">
        <f t="shared" si="144"/>
        <v>366.49199094166454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0.213044859021325</v>
      </c>
      <c r="AV180" s="21">
        <f>EXP(-LN(2)/25)*AV179+(1-EXP(-LN(2)/25))/(LN(2)/25)*Calculateur!AQ180*Calculateur!AS180*VLOOKUP('Données projet'!$B$10,Paramètres!$A$1:$I$89,3,0)*0.475*44/12</f>
        <v>0.43141494127264723</v>
      </c>
      <c r="AW180" s="21">
        <f>EXP(-LN(2)/2)*AW179+(1-EXP(-LN(2)/2))/(LN(2)/2)*AQ180*AT180*VLOOKUP('Données projet'!$B$10,Paramètres!$A$1:$I$89,3,0)*0.475*44/12</f>
        <v>2.1613774606419274E-21</v>
      </c>
      <c r="AX180" s="21">
        <f t="shared" si="166"/>
        <v>0.64445980029397221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-1.4897523215040565E-13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246.64951465060813</v>
      </c>
      <c r="BJ180" s="59">
        <f t="shared" si="146"/>
        <v>292.64550285216865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0.14234517772567995</v>
      </c>
      <c r="BQ180" s="21">
        <f>EXP(-LN(2)/25)*BQ179+(1-EXP(-LN(2)/25))/(LN(2)/25)*Calculateur!BL180*Calculateur!BN180*VLOOKUP('Données projet'!$B$11,Paramètres!$A$1:$I$89,3,0)*0.475*44/12</f>
        <v>0.28824838473488779</v>
      </c>
      <c r="BR180" s="21">
        <f>EXP(-LN(2)/2)*BR179+(1-EXP(-LN(2)/2))/(LN(2)/2)*BL180*BO180*VLOOKUP('Données projet'!$B$11,Paramètres!$A$1:$I$89,3,0)*0.475*44/12</f>
        <v>1.7799579087639403E-21</v>
      </c>
      <c r="BS180" s="22">
        <f t="shared" si="169"/>
        <v>0.43059356246056774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-1.5252226148732008E-13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254.25222107710192</v>
      </c>
      <c r="CE180" s="59">
        <f t="shared" si="148"/>
        <v>300.86609173447573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0.17962605760621511</v>
      </c>
      <c r="CL180" s="21">
        <f>EXP(-LN(2)/25)*CL179+(1-EXP(-LN(2)/25))/(LN(2)/25)*Calculateur!CG180*Calculateur!CI180*VLOOKUP('Données projet'!$B$12,Paramètres!$A$1:$I$89,3,0)*0.475*44/12</f>
        <v>0.36374200930831035</v>
      </c>
      <c r="CM180" s="21">
        <f>EXP(-LN(2)/2)*CM179+(1-EXP(-LN(2)/2))/(LN(2)/2)*CG180*CJ180*VLOOKUP('Données projet'!$B$12,Paramètres!$A$1:$I$89,3,0)*0.475*44/12</f>
        <v>1.8223378589726066E-21</v>
      </c>
      <c r="CN180" s="22">
        <f t="shared" si="172"/>
        <v>0.54336806691452544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243.38048563215585</v>
      </c>
      <c r="CZ180" s="59">
        <f t="shared" si="150"/>
        <v>372.1604147006675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0.39766271872570907</v>
      </c>
      <c r="DG180" s="21">
        <f>EXP(-LN(2)/25)*DG179+(1-EXP(-LN(2)/25))/(LN(2)/25)*Calculateur!DB180*Calculateur!DD180*VLOOKUP('Données projet'!$B$13,Paramètres!$A$1:$I$89,3,0)*0.475*44/12</f>
        <v>0.32877853299215043</v>
      </c>
      <c r="DH180" s="21">
        <f>EXP(-LN(2)/2)*DH179+(1-EXP(-LN(2)/2))/(LN(2)/2)*DB180*DE180*VLOOKUP('Données projet'!$B$13,Paramètres!$A$1:$I$89,3,0)*0.475*44/12</f>
        <v>2.1947462551765055E-21</v>
      </c>
      <c r="DI180" s="22">
        <f t="shared" si="175"/>
        <v>0.72644125171785956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1.1368683772161603E-13</v>
      </c>
      <c r="DP180" s="17">
        <f>DO180*VLOOKUP('Données projet'!$B$14,Paramètres!$A$1:$I$89,3,0)*VLOOKUP('Données projet'!$B$14,Paramètres!$A$1:$I$89,5,0)</f>
        <v>6.5028871176764376E-14</v>
      </c>
      <c r="DQ180" s="13">
        <f t="shared" si="176"/>
        <v>1.0270999702906072E-12</v>
      </c>
      <c r="DR180" s="20">
        <f t="shared" si="177"/>
        <v>1.9021243988890057E-12</v>
      </c>
      <c r="DS180" s="59">
        <f t="shared" si="125"/>
        <v>293.33333333333519</v>
      </c>
      <c r="DT180" s="59">
        <f ca="1">AVERAGE(OFFSET($DS$3,0,0,'Données projet'!$E$14+1,1))-AVERAGE(OFFSET($H$3,0,0,'Données projet'!$E$14+1,1))</f>
        <v>227.99747790451215</v>
      </c>
      <c r="DU180" s="59">
        <f t="shared" si="152"/>
        <v>209.49597700966933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0.15605949717433359</v>
      </c>
      <c r="EB180" s="21">
        <f>EXP(-LN(2)/25)*EB179+(1-EXP(-LN(2)/25))/(LN(2)/25)*Calculateur!DW180*Calculateur!DY180*VLOOKUP('Données projet'!$B$14,Paramètres!$A$1:$I$89,3,0)*0.475*44/12</f>
        <v>0.25769369003552006</v>
      </c>
      <c r="EC180" s="21">
        <f>EXP(-LN(2)/2)*EC179+(1-EXP(-LN(2)/2))/(LN(2)/2)*DW180*DZ180*VLOOKUP('Données projet'!$B$14,Paramètres!$A$1:$I$89,3,0)*0.475*44/12</f>
        <v>1.8464522545186308E-21</v>
      </c>
      <c r="ED180" s="22">
        <f t="shared" si="178"/>
        <v>0.41375318720985366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3.4106051316484809E-13</v>
      </c>
      <c r="EK180" s="17">
        <f>EJ180*VLOOKUP('Données projet'!$B$15,Paramètres!$A$1:$I$89,3,0)*VLOOKUP('Données projet'!$B$15,Paramètres!$A$1:$I$89,5,0)</f>
        <v>1.5074874681886286E-13</v>
      </c>
      <c r="EL180" s="13">
        <f t="shared" si="179"/>
        <v>2.1590218794584103E-12</v>
      </c>
      <c r="EM180" s="20">
        <f t="shared" si="180"/>
        <v>4.0228505074329168E-12</v>
      </c>
      <c r="EN180" s="59">
        <f t="shared" si="128"/>
        <v>293.33333333333735</v>
      </c>
      <c r="EO180" s="59">
        <f ca="1">AVERAGE(OFFSET($EN$3,0,0,'Données projet'!$E$15+1,1))-AVERAGE(OFFSET($H$3,0,0,'Données projet'!$E$15+1,1))</f>
        <v>335.27356627949155</v>
      </c>
      <c r="EP180" s="59">
        <f t="shared" si="154"/>
        <v>322.66829503077247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0.47481168137026075</v>
      </c>
      <c r="EX180" s="21">
        <f>EXP(-LN(2)/2)*EX179+(1-EXP(-LN(2)/2))/(LN(2)/2)*ER180*EU180*VLOOKUP('Données projet'!$B$15,Paramètres!$A$1:$I$89,3,0)*0.475*44/12</f>
        <v>2.6490596451748968E-21</v>
      </c>
      <c r="EY180" s="22">
        <f t="shared" si="181"/>
        <v>0.47481168137026075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-5.6843418860808015E-13</v>
      </c>
      <c r="O181" s="13">
        <f>N181*VLOOKUP('Données projet'!$B$9,Paramètres!$A$1:$I$89,3,0)*VLOOKUP('Données projet'!$B$9,Paramètres!$A$1:$I$89,5,0)</f>
        <v>-5.1431925385259092E-13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319.18811755575183</v>
      </c>
      <c r="T181" s="59">
        <f t="shared" si="142"/>
        <v>234.87694492493506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0.12847817119877702</v>
      </c>
      <c r="AA181" s="21">
        <f>EXP(-LN(2)/25)*AA180+(1-EXP(-LN(2)/25))/(LN(2)/25)*Calculateur!V181*Calculateur!X181*VLOOKUP('Données projet'!$B$9,Paramètres!$A$1:$I$89,3,0)*0.475*44/12</f>
        <v>0.18634597808932374</v>
      </c>
      <c r="AB181" s="21">
        <f>EXP(-LN(2)/2)*AB180+(1-EXP(-LN(2)/2))/(LN(2)/2)*V181*Y181*VLOOKUP('Données projet'!$B$9,Paramètres!$A$1:$I$89,3,0)*0.475*44/12</f>
        <v>1.1410241481835048E-21</v>
      </c>
      <c r="AC181" s="22">
        <f t="shared" si="163"/>
        <v>0.31482414928810076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-1.8089849618263545E-13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314.94704727988847</v>
      </c>
      <c r="AO181" s="59">
        <f t="shared" si="144"/>
        <v>366.49199094166454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0.20886717928044987</v>
      </c>
      <c r="AV181" s="21">
        <f>EXP(-LN(2)/25)*AV180+(1-EXP(-LN(2)/25))/(LN(2)/25)*Calculateur!AQ181*Calculateur!AS181*VLOOKUP('Données projet'!$B$10,Paramètres!$A$1:$I$89,3,0)*0.475*44/12</f>
        <v>0.41961787701642095</v>
      </c>
      <c r="AW181" s="21">
        <f>EXP(-LN(2)/2)*AW180+(1-EXP(-LN(2)/2))/(LN(2)/2)*AQ181*AT181*VLOOKUP('Données projet'!$B$10,Paramètres!$A$1:$I$89,3,0)*0.475*44/12</f>
        <v>1.5283246591236671E-21</v>
      </c>
      <c r="AX181" s="21">
        <f t="shared" si="166"/>
        <v>0.62848505629687079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-1.4897523215040565E-13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246.64951465060813</v>
      </c>
      <c r="BJ181" s="59">
        <f t="shared" si="146"/>
        <v>292.64550285216865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0.13955387561246482</v>
      </c>
      <c r="BQ181" s="21">
        <f>EXP(-LN(2)/25)*BQ180+(1-EXP(-LN(2)/25))/(LN(2)/25)*Calculateur!BL181*Calculateur!BN181*VLOOKUP('Données projet'!$B$11,Paramètres!$A$1:$I$89,3,0)*0.475*44/12</f>
        <v>0.2803662174959885</v>
      </c>
      <c r="BR181" s="21">
        <f>EXP(-LN(2)/2)*BR180+(1-EXP(-LN(2)/2))/(LN(2)/2)*BL181*BO181*VLOOKUP('Données projet'!$B$11,Paramètres!$A$1:$I$89,3,0)*0.475*44/12</f>
        <v>1.2586203075136083E-21</v>
      </c>
      <c r="BS181" s="22">
        <f t="shared" si="169"/>
        <v>0.41992009310845335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-1.5252226148732008E-13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254.25222107710192</v>
      </c>
      <c r="CE181" s="59">
        <f t="shared" si="148"/>
        <v>300.86609173447573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0.1761037001776341</v>
      </c>
      <c r="CL181" s="21">
        <f>EXP(-LN(2)/25)*CL180+(1-EXP(-LN(2)/25))/(LN(2)/25)*Calculateur!CG181*Calculateur!CI181*VLOOKUP('Données projet'!$B$12,Paramètres!$A$1:$I$89,3,0)*0.475*44/12</f>
        <v>0.35379546493541369</v>
      </c>
      <c r="CM181" s="21">
        <f>EXP(-LN(2)/2)*CM180+(1-EXP(-LN(2)/2))/(LN(2)/2)*CG181*CJ181*VLOOKUP('Données projet'!$B$12,Paramètres!$A$1:$I$89,3,0)*0.475*44/12</f>
        <v>1.2885874576925044E-21</v>
      </c>
      <c r="CN181" s="22">
        <f t="shared" si="172"/>
        <v>0.5298991651130478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243.38048563215585</v>
      </c>
      <c r="CZ181" s="59">
        <f t="shared" si="150"/>
        <v>372.1604147006675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0.38986479536180652</v>
      </c>
      <c r="DG181" s="21">
        <f>EXP(-LN(2)/25)*DG180+(1-EXP(-LN(2)/25))/(LN(2)/25)*Calculateur!DB181*Calculateur!DD181*VLOOKUP('Données projet'!$B$13,Paramètres!$A$1:$I$89,3,0)*0.475*44/12</f>
        <v>0.31978806671776844</v>
      </c>
      <c r="DH181" s="21">
        <f>EXP(-LN(2)/2)*DH180+(1-EXP(-LN(2)/2))/(LN(2)/2)*DB181*DE181*VLOOKUP('Données projet'!$B$13,Paramètres!$A$1:$I$89,3,0)*0.475*44/12</f>
        <v>1.5519199600190879E-21</v>
      </c>
      <c r="DI181" s="22">
        <f t="shared" si="175"/>
        <v>0.70965286207957501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1.1368683772161603E-13</v>
      </c>
      <c r="DP181" s="17">
        <f>DO181*VLOOKUP('Données projet'!$B$14,Paramètres!$A$1:$I$89,3,0)*VLOOKUP('Données projet'!$B$14,Paramètres!$A$1:$I$89,5,0)</f>
        <v>6.5028871176764376E-14</v>
      </c>
      <c r="DQ181" s="13">
        <f t="shared" si="176"/>
        <v>1.0270999702906072E-12</v>
      </c>
      <c r="DR181" s="20">
        <f t="shared" si="177"/>
        <v>1.9021243988890057E-12</v>
      </c>
      <c r="DS181" s="59">
        <f t="shared" si="125"/>
        <v>293.33333333333519</v>
      </c>
      <c r="DT181" s="59">
        <f ca="1">AVERAGE(OFFSET($DS$3,0,0,'Données projet'!$E$14+1,1))-AVERAGE(OFFSET($H$3,0,0,'Données projet'!$E$14+1,1))</f>
        <v>227.99747790451215</v>
      </c>
      <c r="DU181" s="59">
        <f t="shared" si="152"/>
        <v>209.49597700966933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0.15299926562163926</v>
      </c>
      <c r="EB181" s="21">
        <f>EXP(-LN(2)/25)*EB180+(1-EXP(-LN(2)/25))/(LN(2)/25)*Calculateur!DW181*Calculateur!DY181*VLOOKUP('Données projet'!$B$14,Paramètres!$A$1:$I$89,3,0)*0.475*44/12</f>
        <v>0.25064704252997655</v>
      </c>
      <c r="EC181" s="21">
        <f>EXP(-LN(2)/2)*EC180+(1-EXP(-LN(2)/2))/(LN(2)/2)*DW181*DZ181*VLOOKUP('Données projet'!$B$14,Paramètres!$A$1:$I$89,3,0)*0.475*44/12</f>
        <v>1.3056389103073129E-21</v>
      </c>
      <c r="ED181" s="22">
        <f t="shared" si="178"/>
        <v>0.40364630815161584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3.4106051316484809E-13</v>
      </c>
      <c r="EK181" s="17">
        <f>EJ181*VLOOKUP('Données projet'!$B$15,Paramètres!$A$1:$I$89,3,0)*VLOOKUP('Données projet'!$B$15,Paramètres!$A$1:$I$89,5,0)</f>
        <v>1.5074874681886286E-13</v>
      </c>
      <c r="EL181" s="13">
        <f t="shared" si="179"/>
        <v>2.1590218794584103E-12</v>
      </c>
      <c r="EM181" s="20">
        <f t="shared" si="180"/>
        <v>4.0228505074329168E-12</v>
      </c>
      <c r="EN181" s="59">
        <f t="shared" si="128"/>
        <v>293.33333333333735</v>
      </c>
      <c r="EO181" s="59">
        <f ca="1">AVERAGE(OFFSET($EN$3,0,0,'Données projet'!$E$15+1,1))-AVERAGE(OFFSET($H$3,0,0,'Données projet'!$E$15+1,1))</f>
        <v>335.27356627949155</v>
      </c>
      <c r="EP181" s="59">
        <f t="shared" si="154"/>
        <v>322.66829503077247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0.46182793097392982</v>
      </c>
      <c r="EX181" s="21">
        <f>EXP(-LN(2)/2)*EX180+(1-EXP(-LN(2)/2))/(LN(2)/2)*ER181*EU181*VLOOKUP('Données projet'!$B$15,Paramètres!$A$1:$I$89,3,0)*0.475*44/12</f>
        <v>1.873168038870799E-21</v>
      </c>
      <c r="EY181" s="22">
        <f t="shared" si="181"/>
        <v>0.46182793097392982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-5.6843418860808015E-13</v>
      </c>
      <c r="O182" s="13">
        <f>N182*VLOOKUP('Données projet'!$B$9,Paramètres!$A$1:$I$89,3,0)*VLOOKUP('Données projet'!$B$9,Paramètres!$A$1:$I$89,5,0)</f>
        <v>-5.1431925385259092E-13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319.18811755575183</v>
      </c>
      <c r="T182" s="59">
        <f t="shared" si="142"/>
        <v>234.87694492493506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0.12595879262551565</v>
      </c>
      <c r="AA182" s="21">
        <f>EXP(-LN(2)/25)*AA181+(1-EXP(-LN(2)/25))/(LN(2)/25)*Calculateur!V182*Calculateur!X182*VLOOKUP('Données projet'!$B$9,Paramètres!$A$1:$I$89,3,0)*0.475*44/12</f>
        <v>0.18125033751896208</v>
      </c>
      <c r="AB182" s="21">
        <f>EXP(-LN(2)/2)*AB181+(1-EXP(-LN(2)/2))/(LN(2)/2)*V182*Y182*VLOOKUP('Données projet'!$B$9,Paramètres!$A$1:$I$89,3,0)*0.475*44/12</f>
        <v>8.0682591267816035E-22</v>
      </c>
      <c r="AC182" s="22">
        <f t="shared" si="163"/>
        <v>0.3072091301444777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-1.8089849618263545E-13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314.94704727988847</v>
      </c>
      <c r="AO182" s="59">
        <f t="shared" si="144"/>
        <v>366.49199094166454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0.20477142129116027</v>
      </c>
      <c r="AV182" s="21">
        <f>EXP(-LN(2)/25)*AV181+(1-EXP(-LN(2)/25))/(LN(2)/25)*Calculateur!AQ182*Calculateur!AS182*VLOOKUP('Données projet'!$B$10,Paramètres!$A$1:$I$89,3,0)*0.475*44/12</f>
        <v>0.40814340410266181</v>
      </c>
      <c r="AW182" s="21">
        <f>EXP(-LN(2)/2)*AW181+(1-EXP(-LN(2)/2))/(LN(2)/2)*AQ182*AT182*VLOOKUP('Données projet'!$B$10,Paramètres!$A$1:$I$89,3,0)*0.475*44/12</f>
        <v>1.0806887303209637E-21</v>
      </c>
      <c r="AX182" s="21">
        <f t="shared" si="166"/>
        <v>0.61291482539382214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-1.4897523215040565E-13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246.64951465060813</v>
      </c>
      <c r="BJ182" s="59">
        <f t="shared" si="146"/>
        <v>292.64550285216865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0.13681730923116367</v>
      </c>
      <c r="BQ182" s="21">
        <f>EXP(-LN(2)/25)*BQ181+(1-EXP(-LN(2)/25))/(LN(2)/25)*Calculateur!BL182*Calculateur!BN182*VLOOKUP('Données projet'!$B$11,Paramètres!$A$1:$I$89,3,0)*0.475*44/12</f>
        <v>0.27269958853474208</v>
      </c>
      <c r="BR182" s="21">
        <f>EXP(-LN(2)/2)*BR181+(1-EXP(-LN(2)/2))/(LN(2)/2)*BL182*BO182*VLOOKUP('Données projet'!$B$11,Paramètres!$A$1:$I$89,3,0)*0.475*44/12</f>
        <v>8.8997895438197015E-22</v>
      </c>
      <c r="BS182" s="22">
        <f t="shared" si="169"/>
        <v>0.40951689776590572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-1.5252226148732008E-13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254.25222107710192</v>
      </c>
      <c r="CE182" s="59">
        <f t="shared" si="148"/>
        <v>300.86609173447573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0.17265041402980169</v>
      </c>
      <c r="CL182" s="21">
        <f>EXP(-LN(2)/25)*CL181+(1-EXP(-LN(2)/25))/(LN(2)/25)*Calculateur!CG182*Calculateur!CI182*VLOOKUP('Données projet'!$B$12,Paramètres!$A$1:$I$89,3,0)*0.475*44/12</f>
        <v>0.34412090934145989</v>
      </c>
      <c r="CM182" s="21">
        <f>EXP(-LN(2)/2)*CM181+(1-EXP(-LN(2)/2))/(LN(2)/2)*CG182*CJ182*VLOOKUP('Données projet'!$B$12,Paramètres!$A$1:$I$89,3,0)*0.475*44/12</f>
        <v>9.1116892948630328E-22</v>
      </c>
      <c r="CN182" s="22">
        <f t="shared" si="172"/>
        <v>0.51677132337126164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243.38048563215585</v>
      </c>
      <c r="CZ182" s="59">
        <f t="shared" si="150"/>
        <v>372.1604147006675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0.38221978451880645</v>
      </c>
      <c r="DG182" s="21">
        <f>EXP(-LN(2)/25)*DG181+(1-EXP(-LN(2)/25))/(LN(2)/25)*Calculateur!DB182*Calculateur!DD182*VLOOKUP('Données projet'!$B$13,Paramètres!$A$1:$I$89,3,0)*0.475*44/12</f>
        <v>0.3110434452164475</v>
      </c>
      <c r="DH182" s="21">
        <f>EXP(-LN(2)/2)*DH181+(1-EXP(-LN(2)/2))/(LN(2)/2)*DB182*DE182*VLOOKUP('Données projet'!$B$13,Paramètres!$A$1:$I$89,3,0)*0.475*44/12</f>
        <v>1.0973731275882528E-21</v>
      </c>
      <c r="DI182" s="22">
        <f t="shared" si="175"/>
        <v>0.69326322973525389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1.1368683772161603E-13</v>
      </c>
      <c r="DP182" s="17">
        <f>DO182*VLOOKUP('Données projet'!$B$14,Paramètres!$A$1:$I$89,3,0)*VLOOKUP('Données projet'!$B$14,Paramètres!$A$1:$I$89,5,0)</f>
        <v>6.5028871176764376E-14</v>
      </c>
      <c r="DQ182" s="13">
        <f t="shared" si="176"/>
        <v>1.0270999702906072E-12</v>
      </c>
      <c r="DR182" s="20">
        <f t="shared" si="177"/>
        <v>1.9021243988890057E-12</v>
      </c>
      <c r="DS182" s="59">
        <f t="shared" si="125"/>
        <v>293.33333333333519</v>
      </c>
      <c r="DT182" s="59">
        <f ca="1">AVERAGE(OFFSET($DS$3,0,0,'Données projet'!$E$14+1,1))-AVERAGE(OFFSET($H$3,0,0,'Données projet'!$E$14+1,1))</f>
        <v>227.99747790451215</v>
      </c>
      <c r="DU182" s="59">
        <f t="shared" si="152"/>
        <v>209.49597700966933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0.14999904334313632</v>
      </c>
      <c r="EB182" s="21">
        <f>EXP(-LN(2)/25)*EB181+(1-EXP(-LN(2)/25))/(LN(2)/25)*Calculateur!DW182*Calculateur!DY182*VLOOKUP('Données projet'!$B$14,Paramètres!$A$1:$I$89,3,0)*0.475*44/12</f>
        <v>0.24379308597103924</v>
      </c>
      <c r="EC182" s="21">
        <f>EXP(-LN(2)/2)*EC181+(1-EXP(-LN(2)/2))/(LN(2)/2)*DW182*DZ182*VLOOKUP('Données projet'!$B$14,Paramètres!$A$1:$I$89,3,0)*0.475*44/12</f>
        <v>9.232261272593154E-22</v>
      </c>
      <c r="ED182" s="22">
        <f t="shared" si="178"/>
        <v>0.39379212931417557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3.4106051316484809E-13</v>
      </c>
      <c r="EK182" s="17">
        <f>EJ182*VLOOKUP('Données projet'!$B$15,Paramètres!$A$1:$I$89,3,0)*VLOOKUP('Données projet'!$B$15,Paramètres!$A$1:$I$89,5,0)</f>
        <v>1.5074874681886286E-13</v>
      </c>
      <c r="EL182" s="13">
        <f t="shared" si="179"/>
        <v>2.1590218794584103E-12</v>
      </c>
      <c r="EM182" s="20">
        <f t="shared" si="180"/>
        <v>4.0228505074329168E-12</v>
      </c>
      <c r="EN182" s="59">
        <f t="shared" si="128"/>
        <v>293.33333333333735</v>
      </c>
      <c r="EO182" s="59">
        <f ca="1">AVERAGE(OFFSET($EN$3,0,0,'Données projet'!$E$15+1,1))-AVERAGE(OFFSET($H$3,0,0,'Données projet'!$E$15+1,1))</f>
        <v>335.27356627949155</v>
      </c>
      <c r="EP182" s="59">
        <f t="shared" si="154"/>
        <v>322.66829503077247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0.44919922191497236</v>
      </c>
      <c r="EX182" s="21">
        <f>EXP(-LN(2)/2)*EX181+(1-EXP(-LN(2)/2))/(LN(2)/2)*ER182*EU182*VLOOKUP('Données projet'!$B$15,Paramètres!$A$1:$I$89,3,0)*0.475*44/12</f>
        <v>1.3245298225874484E-21</v>
      </c>
      <c r="EY182" s="22">
        <f t="shared" si="181"/>
        <v>0.44919922191497236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-5.6843418860808015E-13</v>
      </c>
      <c r="O183" s="13">
        <f>N183*VLOOKUP('Données projet'!$B$9,Paramètres!$A$1:$I$89,3,0)*VLOOKUP('Données projet'!$B$9,Paramètres!$A$1:$I$89,5,0)</f>
        <v>-5.1431925385259092E-13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319.18811755575183</v>
      </c>
      <c r="T183" s="59">
        <f t="shared" si="142"/>
        <v>234.87694492493506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0.12348881752940673</v>
      </c>
      <c r="AA183" s="21">
        <f>EXP(-LN(2)/25)*AA182+(1-EXP(-LN(2)/25))/(LN(2)/25)*Calculateur!V183*Calculateur!X183*VLOOKUP('Données projet'!$B$9,Paramètres!$A$1:$I$89,3,0)*0.475*44/12</f>
        <v>0.17629403750796507</v>
      </c>
      <c r="AB183" s="21">
        <f>EXP(-LN(2)/2)*AB182+(1-EXP(-LN(2)/2))/(LN(2)/2)*V183*Y183*VLOOKUP('Données projet'!$B$9,Paramètres!$A$1:$I$89,3,0)*0.475*44/12</f>
        <v>5.7051207409175242E-22</v>
      </c>
      <c r="AC183" s="22">
        <f t="shared" si="163"/>
        <v>0.29978285503737179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-1.8089849618263545E-13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314.94704727988847</v>
      </c>
      <c r="AO183" s="59">
        <f t="shared" si="144"/>
        <v>366.49199094166454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0.20075597861787492</v>
      </c>
      <c r="AV183" s="21">
        <f>EXP(-LN(2)/25)*AV182+(1-EXP(-LN(2)/25))/(LN(2)/25)*Calculateur!AQ183*Calculateur!AS183*VLOOKUP('Données projet'!$B$10,Paramètres!$A$1:$I$89,3,0)*0.475*44/12</f>
        <v>0.39698270125414575</v>
      </c>
      <c r="AW183" s="21">
        <f>EXP(-LN(2)/2)*AW182+(1-EXP(-LN(2)/2))/(LN(2)/2)*AQ183*AT183*VLOOKUP('Données projet'!$B$10,Paramètres!$A$1:$I$89,3,0)*0.475*44/12</f>
        <v>7.6416232956183355E-22</v>
      </c>
      <c r="AX183" s="21">
        <f t="shared" si="166"/>
        <v>0.59773867987202067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-1.4897523215040565E-13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246.64951465060813</v>
      </c>
      <c r="BJ183" s="59">
        <f t="shared" si="146"/>
        <v>292.64550285216865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0.13413440524745915</v>
      </c>
      <c r="BQ183" s="21">
        <f>EXP(-LN(2)/25)*BQ182+(1-EXP(-LN(2)/25))/(LN(2)/25)*Calculateur!BL183*Calculateur!BN183*VLOOKUP('Données projet'!$B$11,Paramètres!$A$1:$I$89,3,0)*0.475*44/12</f>
        <v>0.26524260394561144</v>
      </c>
      <c r="BR183" s="21">
        <f>EXP(-LN(2)/2)*BR182+(1-EXP(-LN(2)/2))/(LN(2)/2)*BL183*BO183*VLOOKUP('Données projet'!$B$11,Paramètres!$A$1:$I$89,3,0)*0.475*44/12</f>
        <v>6.2931015375680413E-22</v>
      </c>
      <c r="BS183" s="22">
        <f t="shared" si="169"/>
        <v>0.39937700919307062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-1.5252226148732008E-13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254.25222107710192</v>
      </c>
      <c r="CE183" s="59">
        <f t="shared" si="148"/>
        <v>300.86609173447573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0.16926484471703171</v>
      </c>
      <c r="CL183" s="21">
        <f>EXP(-LN(2)/25)*CL182+(1-EXP(-LN(2)/25))/(LN(2)/25)*Calculateur!CG183*Calculateur!CI183*VLOOKUP('Données projet'!$B$12,Paramètres!$A$1:$I$89,3,0)*0.475*44/12</f>
        <v>0.33471090497898554</v>
      </c>
      <c r="CM183" s="21">
        <f>EXP(-LN(2)/2)*CM182+(1-EXP(-LN(2)/2))/(LN(2)/2)*CG183*CJ183*VLOOKUP('Données projet'!$B$12,Paramètres!$A$1:$I$89,3,0)*0.475*44/12</f>
        <v>6.4429372884625222E-22</v>
      </c>
      <c r="CN183" s="22">
        <f t="shared" si="172"/>
        <v>0.50397574969601722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243.38048563215585</v>
      </c>
      <c r="CZ183" s="59">
        <f t="shared" si="150"/>
        <v>372.1604147006675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0.37472468767544143</v>
      </c>
      <c r="DG183" s="21">
        <f>EXP(-LN(2)/25)*DG182+(1-EXP(-LN(2)/25))/(LN(2)/25)*Calculateur!DB183*Calculateur!DD183*VLOOKUP('Données projet'!$B$13,Paramètres!$A$1:$I$89,3,0)*0.475*44/12</f>
        <v>0.30253794584993987</v>
      </c>
      <c r="DH183" s="21">
        <f>EXP(-LN(2)/2)*DH182+(1-EXP(-LN(2)/2))/(LN(2)/2)*DB183*DE183*VLOOKUP('Données projet'!$B$13,Paramètres!$A$1:$I$89,3,0)*0.475*44/12</f>
        <v>7.7595998000954396E-22</v>
      </c>
      <c r="DI183" s="22">
        <f t="shared" si="175"/>
        <v>0.6772626335253813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1.1368683772161603E-13</v>
      </c>
      <c r="DP183" s="17">
        <f>DO183*VLOOKUP('Données projet'!$B$14,Paramètres!$A$1:$I$89,3,0)*VLOOKUP('Données projet'!$B$14,Paramètres!$A$1:$I$89,5,0)</f>
        <v>6.5028871176764376E-14</v>
      </c>
      <c r="DQ183" s="13">
        <f t="shared" si="176"/>
        <v>1.0270999702906072E-12</v>
      </c>
      <c r="DR183" s="20">
        <f t="shared" si="177"/>
        <v>1.9021243988890057E-12</v>
      </c>
      <c r="DS183" s="59">
        <f t="shared" si="125"/>
        <v>293.33333333333519</v>
      </c>
      <c r="DT183" s="59">
        <f ca="1">AVERAGE(OFFSET($DS$3,0,0,'Données projet'!$E$14+1,1))-AVERAGE(OFFSET($H$3,0,0,'Données projet'!$E$14+1,1))</f>
        <v>227.99747790451215</v>
      </c>
      <c r="DU183" s="59">
        <f t="shared" si="152"/>
        <v>209.49597700966933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0.14705765359355993</v>
      </c>
      <c r="EB183" s="21">
        <f>EXP(-LN(2)/25)*EB182+(1-EXP(-LN(2)/25))/(LN(2)/25)*Calculateur!DW183*Calculateur!DY183*VLOOKUP('Données projet'!$B$14,Paramètres!$A$1:$I$89,3,0)*0.475*44/12</f>
        <v>0.23712655121463999</v>
      </c>
      <c r="EC183" s="21">
        <f>EXP(-LN(2)/2)*EC182+(1-EXP(-LN(2)/2))/(LN(2)/2)*DW183*DZ183*VLOOKUP('Données projet'!$B$14,Paramètres!$A$1:$I$89,3,0)*0.475*44/12</f>
        <v>6.5281945515365643E-22</v>
      </c>
      <c r="ED183" s="22">
        <f t="shared" si="178"/>
        <v>0.38418420480819993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3.4106051316484809E-13</v>
      </c>
      <c r="EK183" s="17">
        <f>EJ183*VLOOKUP('Données projet'!$B$15,Paramètres!$A$1:$I$89,3,0)*VLOOKUP('Données projet'!$B$15,Paramètres!$A$1:$I$89,5,0)</f>
        <v>1.5074874681886286E-13</v>
      </c>
      <c r="EL183" s="13">
        <f t="shared" si="179"/>
        <v>2.1590218794584103E-12</v>
      </c>
      <c r="EM183" s="20">
        <f t="shared" si="180"/>
        <v>4.0228505074329168E-12</v>
      </c>
      <c r="EN183" s="59">
        <f t="shared" si="128"/>
        <v>293.33333333333735</v>
      </c>
      <c r="EO183" s="59">
        <f ca="1">AVERAGE(OFFSET($EN$3,0,0,'Données projet'!$E$15+1,1))-AVERAGE(OFFSET($H$3,0,0,'Données projet'!$E$15+1,1))</f>
        <v>335.27356627949155</v>
      </c>
      <c r="EP183" s="59">
        <f t="shared" si="154"/>
        <v>322.66829503077247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0.43691584556934704</v>
      </c>
      <c r="EX183" s="21">
        <f>EXP(-LN(2)/2)*EX182+(1-EXP(-LN(2)/2))/(LN(2)/2)*ER183*EU183*VLOOKUP('Données projet'!$B$15,Paramètres!$A$1:$I$89,3,0)*0.475*44/12</f>
        <v>9.3658401943539948E-22</v>
      </c>
      <c r="EY183" s="22">
        <f t="shared" si="181"/>
        <v>0.43691584556934704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-5.6843418860808015E-13</v>
      </c>
      <c r="O184" s="13">
        <f>N184*VLOOKUP('Données projet'!$B$9,Paramètres!$A$1:$I$89,3,0)*VLOOKUP('Données projet'!$B$9,Paramètres!$A$1:$I$89,5,0)</f>
        <v>-5.1431925385259092E-13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319.18811755575183</v>
      </c>
      <c r="T184" s="59">
        <f t="shared" si="142"/>
        <v>234.87694492493506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0.12106727713839645</v>
      </c>
      <c r="AA184" s="21">
        <f>EXP(-LN(2)/25)*AA183+(1-EXP(-LN(2)/25))/(LN(2)/25)*Calculateur!V184*Calculateur!X184*VLOOKUP('Données projet'!$B$9,Paramètres!$A$1:$I$89,3,0)*0.475*44/12</f>
        <v>0.17147326778140926</v>
      </c>
      <c r="AB184" s="21">
        <f>EXP(-LN(2)/2)*AB183+(1-EXP(-LN(2)/2))/(LN(2)/2)*V184*Y184*VLOOKUP('Données projet'!$B$9,Paramètres!$A$1:$I$89,3,0)*0.475*44/12</f>
        <v>4.0341295633908017E-22</v>
      </c>
      <c r="AC184" s="22">
        <f t="shared" si="163"/>
        <v>0.29254054491980569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-1.8089849618263545E-13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314.94704727988847</v>
      </c>
      <c r="AO184" s="59">
        <f t="shared" si="144"/>
        <v>366.49199094166454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0.1968192763262345</v>
      </c>
      <c r="AV184" s="21">
        <f>EXP(-LN(2)/25)*AV183+(1-EXP(-LN(2)/25))/(LN(2)/25)*Calculateur!AQ184*Calculateur!AS184*VLOOKUP('Données projet'!$B$10,Paramètres!$A$1:$I$89,3,0)*0.475*44/12</f>
        <v>0.38612718841193822</v>
      </c>
      <c r="AW184" s="21">
        <f>EXP(-LN(2)/2)*AW183+(1-EXP(-LN(2)/2))/(LN(2)/2)*AQ184*AT184*VLOOKUP('Données projet'!$B$10,Paramètres!$A$1:$I$89,3,0)*0.475*44/12</f>
        <v>5.4034436516048184E-22</v>
      </c>
      <c r="AX184" s="21">
        <f t="shared" si="166"/>
        <v>0.58294646473817269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-1.4897523215040565E-13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246.64951465060813</v>
      </c>
      <c r="BJ184" s="59">
        <f t="shared" si="146"/>
        <v>292.64550285216865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0.13150411137446522</v>
      </c>
      <c r="BQ184" s="21">
        <f>EXP(-LN(2)/25)*BQ183+(1-EXP(-LN(2)/25))/(LN(2)/25)*Calculateur!BL184*Calculateur!BN184*VLOOKUP('Données projet'!$B$11,Paramètres!$A$1:$I$89,3,0)*0.475*44/12</f>
        <v>0.25798953099221639</v>
      </c>
      <c r="BR184" s="21">
        <f>EXP(-LN(2)/2)*BR183+(1-EXP(-LN(2)/2))/(LN(2)/2)*BL184*BO184*VLOOKUP('Données projet'!$B$11,Paramètres!$A$1:$I$89,3,0)*0.475*44/12</f>
        <v>4.4498947719098507E-22</v>
      </c>
      <c r="BS184" s="22">
        <f t="shared" si="169"/>
        <v>0.3894936423666816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-1.5252226148732008E-13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254.25222107710192</v>
      </c>
      <c r="CE184" s="59">
        <f t="shared" si="148"/>
        <v>300.86609173447573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0.16594566435349176</v>
      </c>
      <c r="CL184" s="21">
        <f>EXP(-LN(2)/25)*CL183+(1-EXP(-LN(2)/25))/(LN(2)/25)*Calculateur!CG184*Calculateur!CI184*VLOOKUP('Données projet'!$B$12,Paramètres!$A$1:$I$89,3,0)*0.475*44/12</f>
        <v>0.32555821768065368</v>
      </c>
      <c r="CM184" s="21">
        <f>EXP(-LN(2)/2)*CM183+(1-EXP(-LN(2)/2))/(LN(2)/2)*CG184*CJ184*VLOOKUP('Données projet'!$B$12,Paramètres!$A$1:$I$89,3,0)*0.475*44/12</f>
        <v>4.5558446474315164E-22</v>
      </c>
      <c r="CN184" s="22">
        <f t="shared" si="172"/>
        <v>0.49150388203414541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243.38048563215585</v>
      </c>
      <c r="CZ184" s="59">
        <f t="shared" si="150"/>
        <v>372.1604147006675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0.36737656510961714</v>
      </c>
      <c r="DG184" s="21">
        <f>EXP(-LN(2)/25)*DG183+(1-EXP(-LN(2)/25))/(LN(2)/25)*Calculateur!DB184*Calculateur!DD184*VLOOKUP('Données projet'!$B$13,Paramètres!$A$1:$I$89,3,0)*0.475*44/12</f>
        <v>0.29426502981089414</v>
      </c>
      <c r="DH184" s="21">
        <f>EXP(-LN(2)/2)*DH183+(1-EXP(-LN(2)/2))/(LN(2)/2)*DB184*DE184*VLOOKUP('Données projet'!$B$13,Paramètres!$A$1:$I$89,3,0)*0.475*44/12</f>
        <v>5.4868656379412638E-22</v>
      </c>
      <c r="DI184" s="22">
        <f t="shared" si="175"/>
        <v>0.66164159492051122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1.1368683772161603E-13</v>
      </c>
      <c r="DP184" s="17">
        <f>DO184*VLOOKUP('Données projet'!$B$14,Paramètres!$A$1:$I$89,3,0)*VLOOKUP('Données projet'!$B$14,Paramètres!$A$1:$I$89,5,0)</f>
        <v>6.5028871176764376E-14</v>
      </c>
      <c r="DQ184" s="13">
        <f t="shared" si="176"/>
        <v>1.0270999702906072E-12</v>
      </c>
      <c r="DR184" s="20">
        <f t="shared" si="177"/>
        <v>1.9021243988890057E-12</v>
      </c>
      <c r="DS184" s="59">
        <f t="shared" si="125"/>
        <v>293.33333333333519</v>
      </c>
      <c r="DT184" s="59">
        <f ca="1">AVERAGE(OFFSET($DS$3,0,0,'Données projet'!$E$14+1,1))-AVERAGE(OFFSET($H$3,0,0,'Données projet'!$E$14+1,1))</f>
        <v>227.99747790451215</v>
      </c>
      <c r="DU184" s="59">
        <f t="shared" si="152"/>
        <v>209.49597700966933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0.14417394270290215</v>
      </c>
      <c r="EB184" s="21">
        <f>EXP(-LN(2)/25)*EB183+(1-EXP(-LN(2)/25))/(LN(2)/25)*Calculateur!DW184*Calculateur!DY184*VLOOKUP('Données projet'!$B$14,Paramètres!$A$1:$I$89,3,0)*0.475*44/12</f>
        <v>0.23064231320173229</v>
      </c>
      <c r="EC184" s="21">
        <f>EXP(-LN(2)/2)*EC183+(1-EXP(-LN(2)/2))/(LN(2)/2)*DW184*DZ184*VLOOKUP('Données projet'!$B$14,Paramètres!$A$1:$I$89,3,0)*0.475*44/12</f>
        <v>4.616130636296577E-22</v>
      </c>
      <c r="ED184" s="22">
        <f t="shared" si="178"/>
        <v>0.37481625590463441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3.4106051316484809E-13</v>
      </c>
      <c r="EK184" s="17">
        <f>EJ184*VLOOKUP('Données projet'!$B$15,Paramètres!$A$1:$I$89,3,0)*VLOOKUP('Données projet'!$B$15,Paramètres!$A$1:$I$89,5,0)</f>
        <v>1.5074874681886286E-13</v>
      </c>
      <c r="EL184" s="13">
        <f t="shared" si="179"/>
        <v>2.1590218794584103E-12</v>
      </c>
      <c r="EM184" s="20">
        <f t="shared" si="180"/>
        <v>4.0228505074329168E-12</v>
      </c>
      <c r="EN184" s="59">
        <f t="shared" si="128"/>
        <v>293.33333333333735</v>
      </c>
      <c r="EO184" s="59">
        <f ca="1">AVERAGE(OFFSET($EN$3,0,0,'Données projet'!$E$15+1,1))-AVERAGE(OFFSET($H$3,0,0,'Données projet'!$E$15+1,1))</f>
        <v>335.27356627949155</v>
      </c>
      <c r="EP184" s="59">
        <f t="shared" si="154"/>
        <v>322.66829503077247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0.42496835879584749</v>
      </c>
      <c r="EX184" s="21">
        <f>EXP(-LN(2)/2)*EX183+(1-EXP(-LN(2)/2))/(LN(2)/2)*ER184*EU184*VLOOKUP('Données projet'!$B$15,Paramètres!$A$1:$I$89,3,0)*0.475*44/12</f>
        <v>6.6226491129372421E-22</v>
      </c>
      <c r="EY184" s="22">
        <f t="shared" si="181"/>
        <v>0.42496835879584749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-5.6843418860808015E-13</v>
      </c>
      <c r="O185" s="13">
        <f>N185*VLOOKUP('Données projet'!$B$9,Paramètres!$A$1:$I$89,3,0)*VLOOKUP('Données projet'!$B$9,Paramètres!$A$1:$I$89,5,0)</f>
        <v>-5.1431925385259092E-13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319.18811755575183</v>
      </c>
      <c r="T185" s="59">
        <f t="shared" si="142"/>
        <v>234.87694492493506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0.11869322167746009</v>
      </c>
      <c r="AA185" s="21">
        <f>EXP(-LN(2)/25)*AA184+(1-EXP(-LN(2)/25))/(LN(2)/25)*Calculateur!V185*Calculateur!X185*VLOOKUP('Données projet'!$B$9,Paramètres!$A$1:$I$89,3,0)*0.475*44/12</f>
        <v>0.16678432225653939</v>
      </c>
      <c r="AB185" s="21">
        <f>EXP(-LN(2)/2)*AB184+(1-EXP(-LN(2)/2))/(LN(2)/2)*V185*Y185*VLOOKUP('Données projet'!$B$9,Paramètres!$A$1:$I$89,3,0)*0.475*44/12</f>
        <v>2.8525603704587621E-22</v>
      </c>
      <c r="AC185" s="22">
        <f t="shared" si="163"/>
        <v>0.28547754393399949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-1.8089849618263545E-13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314.94704727988847</v>
      </c>
      <c r="AO185" s="59">
        <f t="shared" si="144"/>
        <v>366.49199094166454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0.19295977036538187</v>
      </c>
      <c r="AV185" s="21">
        <f>EXP(-LN(2)/25)*AV184+(1-EXP(-LN(2)/25))/(LN(2)/25)*Calculateur!AQ185*Calculateur!AS185*VLOOKUP('Données projet'!$B$10,Paramètres!$A$1:$I$89,3,0)*0.475*44/12</f>
        <v>0.37556852013926745</v>
      </c>
      <c r="AW185" s="21">
        <f>EXP(-LN(2)/2)*AW184+(1-EXP(-LN(2)/2))/(LN(2)/2)*AQ185*AT185*VLOOKUP('Données projet'!$B$10,Paramètres!$A$1:$I$89,3,0)*0.475*44/12</f>
        <v>3.8208116478091677E-22</v>
      </c>
      <c r="AX185" s="21">
        <f t="shared" si="166"/>
        <v>0.56852829050464937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-1.4897523215040565E-13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246.64951465060813</v>
      </c>
      <c r="BJ185" s="59">
        <f t="shared" si="146"/>
        <v>292.64550285216865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0.12892539595999986</v>
      </c>
      <c r="BQ185" s="21">
        <f>EXP(-LN(2)/25)*BQ184+(1-EXP(-LN(2)/25))/(LN(2)/25)*Calculateur!BL185*Calculateur!BN185*VLOOKUP('Données projet'!$B$11,Paramètres!$A$1:$I$89,3,0)*0.475*44/12</f>
        <v>0.25093479370015442</v>
      </c>
      <c r="BR185" s="21">
        <f>EXP(-LN(2)/2)*BR184+(1-EXP(-LN(2)/2))/(LN(2)/2)*BL185*BO185*VLOOKUP('Données projet'!$B$11,Paramètres!$A$1:$I$89,3,0)*0.475*44/12</f>
        <v>3.1465507687840207E-22</v>
      </c>
      <c r="BS185" s="22">
        <f t="shared" si="169"/>
        <v>0.37986018966015428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-1.5252226148732008E-13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254.25222107710192</v>
      </c>
      <c r="CE185" s="59">
        <f t="shared" si="148"/>
        <v>300.86609173447573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0.16269157109238069</v>
      </c>
      <c r="CL185" s="21">
        <f>EXP(-LN(2)/25)*CL184+(1-EXP(-LN(2)/25))/(LN(2)/25)*Calculateur!CG185*Calculateur!CI185*VLOOKUP('Données projet'!$B$12,Paramètres!$A$1:$I$89,3,0)*0.475*44/12</f>
        <v>0.3166558110978136</v>
      </c>
      <c r="CM185" s="21">
        <f>EXP(-LN(2)/2)*CM184+(1-EXP(-LN(2)/2))/(LN(2)/2)*CG185*CJ185*VLOOKUP('Données projet'!$B$12,Paramètres!$A$1:$I$89,3,0)*0.475*44/12</f>
        <v>3.2214686442312611E-22</v>
      </c>
      <c r="CN185" s="22">
        <f t="shared" si="172"/>
        <v>0.47934738219019429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243.38048563215585</v>
      </c>
      <c r="CZ185" s="59">
        <f t="shared" si="150"/>
        <v>372.1604147006675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0.36017253474539646</v>
      </c>
      <c r="DG185" s="21">
        <f>EXP(-LN(2)/25)*DG184+(1-EXP(-LN(2)/25))/(LN(2)/25)*Calculateur!DB185*Calculateur!DD185*VLOOKUP('Données projet'!$B$13,Paramètres!$A$1:$I$89,3,0)*0.475*44/12</f>
        <v>0.28621833709598987</v>
      </c>
      <c r="DH185" s="21">
        <f>EXP(-LN(2)/2)*DH184+(1-EXP(-LN(2)/2))/(LN(2)/2)*DB185*DE185*VLOOKUP('Données projet'!$B$13,Paramètres!$A$1:$I$89,3,0)*0.475*44/12</f>
        <v>3.8797999000477198E-22</v>
      </c>
      <c r="DI185" s="22">
        <f t="shared" si="175"/>
        <v>0.64639087184138633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1.1368683772161603E-13</v>
      </c>
      <c r="DP185" s="17">
        <f>DO185*VLOOKUP('Données projet'!$B$14,Paramètres!$A$1:$I$89,3,0)*VLOOKUP('Données projet'!$B$14,Paramètres!$A$1:$I$89,5,0)</f>
        <v>6.5028871176764376E-14</v>
      </c>
      <c r="DQ185" s="13">
        <f t="shared" si="176"/>
        <v>1.0270999702906072E-12</v>
      </c>
      <c r="DR185" s="20">
        <f t="shared" si="177"/>
        <v>1.9021243988890057E-12</v>
      </c>
      <c r="DS185" s="59">
        <f t="shared" si="125"/>
        <v>293.33333333333519</v>
      </c>
      <c r="DT185" s="59">
        <f ca="1">AVERAGE(OFFSET($DS$3,0,0,'Données projet'!$E$14+1,1))-AVERAGE(OFFSET($H$3,0,0,'Données projet'!$E$14+1,1))</f>
        <v>227.99747790451215</v>
      </c>
      <c r="DU185" s="59">
        <f t="shared" si="152"/>
        <v>209.49597700966933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0.1413467796239202</v>
      </c>
      <c r="EB185" s="21">
        <f>EXP(-LN(2)/25)*EB184+(1-EXP(-LN(2)/25))/(LN(2)/25)*Calculateur!DW185*Calculateur!DY185*VLOOKUP('Données projet'!$B$14,Paramètres!$A$1:$I$89,3,0)*0.475*44/12</f>
        <v>0.22433538701827879</v>
      </c>
      <c r="EC185" s="21">
        <f>EXP(-LN(2)/2)*EC184+(1-EXP(-LN(2)/2))/(LN(2)/2)*DW185*DZ185*VLOOKUP('Données projet'!$B$14,Paramètres!$A$1:$I$89,3,0)*0.475*44/12</f>
        <v>3.2640972757682821E-22</v>
      </c>
      <c r="ED185" s="22">
        <f t="shared" si="178"/>
        <v>0.36568216664219899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3.4106051316484809E-13</v>
      </c>
      <c r="EK185" s="17">
        <f>EJ185*VLOOKUP('Données projet'!$B$15,Paramètres!$A$1:$I$89,3,0)*VLOOKUP('Données projet'!$B$15,Paramètres!$A$1:$I$89,5,0)</f>
        <v>1.5074874681886286E-13</v>
      </c>
      <c r="EL185" s="13">
        <f t="shared" si="179"/>
        <v>2.1590218794584103E-12</v>
      </c>
      <c r="EM185" s="20">
        <f t="shared" si="180"/>
        <v>4.0228505074329168E-12</v>
      </c>
      <c r="EN185" s="59">
        <f t="shared" si="128"/>
        <v>293.33333333333735</v>
      </c>
      <c r="EO185" s="59">
        <f ca="1">AVERAGE(OFFSET($EN$3,0,0,'Données projet'!$E$15+1,1))-AVERAGE(OFFSET($H$3,0,0,'Données projet'!$E$15+1,1))</f>
        <v>335.27356627949155</v>
      </c>
      <c r="EP185" s="59">
        <f t="shared" si="154"/>
        <v>322.66829503077247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0.41334757667646033</v>
      </c>
      <c r="EX185" s="21">
        <f>EXP(-LN(2)/2)*EX184+(1-EXP(-LN(2)/2))/(LN(2)/2)*ER185*EU185*VLOOKUP('Données projet'!$B$15,Paramètres!$A$1:$I$89,3,0)*0.475*44/12</f>
        <v>4.6829200971769974E-22</v>
      </c>
      <c r="EY185" s="22">
        <f t="shared" si="181"/>
        <v>0.41334757667646033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-5.6843418860808015E-13</v>
      </c>
      <c r="O186" s="13">
        <f>N186*VLOOKUP('Données projet'!$B$9,Paramètres!$A$1:$I$89,3,0)*VLOOKUP('Données projet'!$B$9,Paramètres!$A$1:$I$89,5,0)</f>
        <v>-5.1431925385259092E-13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319.18811755575183</v>
      </c>
      <c r="T186" s="59">
        <f t="shared" si="142"/>
        <v>234.87694492493506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0.11636571999608183</v>
      </c>
      <c r="AA186" s="21">
        <f>EXP(-LN(2)/25)*AA185+(1-EXP(-LN(2)/25))/(LN(2)/25)*Calculateur!V186*Calculateur!X186*VLOOKUP('Données projet'!$B$9,Paramètres!$A$1:$I$89,3,0)*0.475*44/12</f>
        <v>0.162223596193628</v>
      </c>
      <c r="AB186" s="21">
        <f>EXP(-LN(2)/2)*AB185+(1-EXP(-LN(2)/2))/(LN(2)/2)*V186*Y186*VLOOKUP('Données projet'!$B$9,Paramètres!$A$1:$I$89,3,0)*0.475*44/12</f>
        <v>2.0170647816954009E-22</v>
      </c>
      <c r="AC186" s="22">
        <f t="shared" si="163"/>
        <v>0.27858931618970983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-1.8089849618263545E-13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314.94704727988847</v>
      </c>
      <c r="AO186" s="59">
        <f t="shared" si="144"/>
        <v>366.49199094166454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0.18917594696235535</v>
      </c>
      <c r="AV186" s="21">
        <f>EXP(-LN(2)/25)*AV185+(1-EXP(-LN(2)/25))/(LN(2)/25)*Calculateur!AQ186*Calculateur!AS186*VLOOKUP('Données projet'!$B$10,Paramètres!$A$1:$I$89,3,0)*0.475*44/12</f>
        <v>0.36529857920576908</v>
      </c>
      <c r="AW186" s="21">
        <f>EXP(-LN(2)/2)*AW185+(1-EXP(-LN(2)/2))/(LN(2)/2)*AQ186*AT186*VLOOKUP('Données projet'!$B$10,Paramètres!$A$1:$I$89,3,0)*0.475*44/12</f>
        <v>2.7017218258024092E-22</v>
      </c>
      <c r="AX186" s="21">
        <f t="shared" si="166"/>
        <v>0.55447452616812443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-1.4897523215040565E-13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246.64951465060813</v>
      </c>
      <c r="BJ186" s="59">
        <f t="shared" si="146"/>
        <v>292.64550285216865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0.12639724758195106</v>
      </c>
      <c r="BQ186" s="21">
        <f>EXP(-LN(2)/25)*BQ185+(1-EXP(-LN(2)/25))/(LN(2)/25)*Calculateur!BL186*Calculateur!BN186*VLOOKUP('Données projet'!$B$11,Paramètres!$A$1:$I$89,3,0)*0.475*44/12</f>
        <v>0.24407296857033642</v>
      </c>
      <c r="BR186" s="21">
        <f>EXP(-LN(2)/2)*BR185+(1-EXP(-LN(2)/2))/(LN(2)/2)*BL186*BO186*VLOOKUP('Données projet'!$B$11,Paramètres!$A$1:$I$89,3,0)*0.475*44/12</f>
        <v>2.2249473859549254E-22</v>
      </c>
      <c r="BS186" s="22">
        <f t="shared" si="169"/>
        <v>0.37047021615228748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-1.5252226148732008E-13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254.25222107710192</v>
      </c>
      <c r="CE186" s="59">
        <f t="shared" si="148"/>
        <v>300.86609173447573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0.15950128861531912</v>
      </c>
      <c r="CL186" s="21">
        <f>EXP(-LN(2)/25)*CL185+(1-EXP(-LN(2)/25))/(LN(2)/25)*Calculateur!CG186*Calculateur!CI186*VLOOKUP('Données projet'!$B$12,Paramètres!$A$1:$I$89,3,0)*0.475*44/12</f>
        <v>0.30799684129113852</v>
      </c>
      <c r="CM186" s="21">
        <f>EXP(-LN(2)/2)*CM185+(1-EXP(-LN(2)/2))/(LN(2)/2)*CG186*CJ186*VLOOKUP('Données projet'!$B$12,Paramètres!$A$1:$I$89,3,0)*0.475*44/12</f>
        <v>2.2779223237157582E-22</v>
      </c>
      <c r="CN186" s="22">
        <f t="shared" si="172"/>
        <v>0.46749812990645767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243.38048563215585</v>
      </c>
      <c r="CZ186" s="59">
        <f t="shared" si="150"/>
        <v>372.1604147006675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0.3531097710225935</v>
      </c>
      <c r="DG186" s="21">
        <f>EXP(-LN(2)/25)*DG185+(1-EXP(-LN(2)/25))/(LN(2)/25)*Calculateur!DB186*Calculateur!DD186*VLOOKUP('Données projet'!$B$13,Paramètres!$A$1:$I$89,3,0)*0.475*44/12</f>
        <v>0.27839168161653183</v>
      </c>
      <c r="DH186" s="21">
        <f>EXP(-LN(2)/2)*DH185+(1-EXP(-LN(2)/2))/(LN(2)/2)*DB186*DE186*VLOOKUP('Données projet'!$B$13,Paramètres!$A$1:$I$89,3,0)*0.475*44/12</f>
        <v>2.7434328189706319E-22</v>
      </c>
      <c r="DI186" s="22">
        <f t="shared" si="175"/>
        <v>0.63150145263912538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1.1368683772161603E-13</v>
      </c>
      <c r="DP186" s="17">
        <f>DO186*VLOOKUP('Données projet'!$B$14,Paramètres!$A$1:$I$89,3,0)*VLOOKUP('Données projet'!$B$14,Paramètres!$A$1:$I$89,5,0)</f>
        <v>6.5028871176764376E-14</v>
      </c>
      <c r="DQ186" s="13">
        <f t="shared" si="176"/>
        <v>1.0270999702906072E-12</v>
      </c>
      <c r="DR186" s="20">
        <f t="shared" si="177"/>
        <v>1.9021243988890057E-12</v>
      </c>
      <c r="DS186" s="59">
        <f t="shared" si="125"/>
        <v>293.33333333333519</v>
      </c>
      <c r="DT186" s="59">
        <f ca="1">AVERAGE(OFFSET($DS$3,0,0,'Données projet'!$E$14+1,1))-AVERAGE(OFFSET($H$3,0,0,'Données projet'!$E$14+1,1))</f>
        <v>227.99747790451215</v>
      </c>
      <c r="DU186" s="59">
        <f t="shared" si="152"/>
        <v>209.49597700966933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0.13857505548851787</v>
      </c>
      <c r="EB186" s="21">
        <f>EXP(-LN(2)/25)*EB185+(1-EXP(-LN(2)/25))/(LN(2)/25)*Calculateur!DW186*Calculateur!DY186*VLOOKUP('Données projet'!$B$14,Paramètres!$A$1:$I$89,3,0)*0.475*44/12</f>
        <v>0.21820092406297867</v>
      </c>
      <c r="EC186" s="21">
        <f>EXP(-LN(2)/2)*EC185+(1-EXP(-LN(2)/2))/(LN(2)/2)*DW186*DZ186*VLOOKUP('Données projet'!$B$14,Paramètres!$A$1:$I$89,3,0)*0.475*44/12</f>
        <v>2.3080653181482885E-22</v>
      </c>
      <c r="ED186" s="22">
        <f t="shared" si="178"/>
        <v>0.35677597955149654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3.4106051316484809E-13</v>
      </c>
      <c r="EK186" s="17">
        <f>EJ186*VLOOKUP('Données projet'!$B$15,Paramètres!$A$1:$I$89,3,0)*VLOOKUP('Données projet'!$B$15,Paramètres!$A$1:$I$89,5,0)</f>
        <v>1.5074874681886286E-13</v>
      </c>
      <c r="EL186" s="13">
        <f t="shared" si="179"/>
        <v>2.1590218794584103E-12</v>
      </c>
      <c r="EM186" s="20">
        <f t="shared" si="180"/>
        <v>4.0228505074329168E-12</v>
      </c>
      <c r="EN186" s="59">
        <f t="shared" si="128"/>
        <v>293.33333333333735</v>
      </c>
      <c r="EO186" s="59">
        <f ca="1">AVERAGE(OFFSET($EN$3,0,0,'Données projet'!$E$15+1,1))-AVERAGE(OFFSET($H$3,0,0,'Données projet'!$E$15+1,1))</f>
        <v>335.27356627949155</v>
      </c>
      <c r="EP186" s="59">
        <f t="shared" si="154"/>
        <v>322.66829503077247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0.4020445654552382</v>
      </c>
      <c r="EX186" s="21">
        <f>EXP(-LN(2)/2)*EX185+(1-EXP(-LN(2)/2))/(LN(2)/2)*ER186*EU186*VLOOKUP('Données projet'!$B$15,Paramètres!$A$1:$I$89,3,0)*0.475*44/12</f>
        <v>3.311324556468621E-22</v>
      </c>
      <c r="EY186" s="22">
        <f t="shared" si="181"/>
        <v>0.4020445654552382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-5.6843418860808015E-13</v>
      </c>
      <c r="O187" s="13">
        <f>N187*VLOOKUP('Données projet'!$B$9,Paramètres!$A$1:$I$89,3,0)*VLOOKUP('Données projet'!$B$9,Paramètres!$A$1:$I$89,5,0)</f>
        <v>-5.1431925385259092E-13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319.18811755575183</v>
      </c>
      <c r="T187" s="59">
        <f t="shared" si="142"/>
        <v>234.87694492493506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0.11408385920303957</v>
      </c>
      <c r="AA187" s="21">
        <f>EXP(-LN(2)/25)*AA186+(1-EXP(-LN(2)/25))/(LN(2)/25)*Calculateur!V187*Calculateur!X187*VLOOKUP('Données projet'!$B$9,Paramètres!$A$1:$I$89,3,0)*0.475*44/12</f>
        <v>0.15778758342474508</v>
      </c>
      <c r="AB187" s="21">
        <f>EXP(-LN(2)/2)*AB186+(1-EXP(-LN(2)/2))/(LN(2)/2)*V187*Y187*VLOOKUP('Données projet'!$B$9,Paramètres!$A$1:$I$89,3,0)*0.475*44/12</f>
        <v>1.4262801852293811E-22</v>
      </c>
      <c r="AC187" s="22">
        <f t="shared" si="163"/>
        <v>0.27187144262778462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-1.8089849618263545E-13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314.94704727988847</v>
      </c>
      <c r="AO187" s="59">
        <f t="shared" si="144"/>
        <v>366.49199094166454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0.18546632202835778</v>
      </c>
      <c r="AV187" s="21">
        <f>EXP(-LN(2)/25)*AV186+(1-EXP(-LN(2)/25))/(LN(2)/25)*Calculateur!AQ187*Calculateur!AS187*VLOOKUP('Données projet'!$B$10,Paramètres!$A$1:$I$89,3,0)*0.475*44/12</f>
        <v>0.35530947034716992</v>
      </c>
      <c r="AW187" s="21">
        <f>EXP(-LN(2)/2)*AW186+(1-EXP(-LN(2)/2))/(LN(2)/2)*AQ187*AT187*VLOOKUP('Données projet'!$B$10,Paramètres!$A$1:$I$89,3,0)*0.475*44/12</f>
        <v>1.9104058239045839E-22</v>
      </c>
      <c r="AX187" s="21">
        <f t="shared" si="166"/>
        <v>0.54077579237552764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-1.4897523215040565E-13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246.64951465060813</v>
      </c>
      <c r="BJ187" s="59">
        <f t="shared" si="146"/>
        <v>292.64550285216865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0.12391867465157756</v>
      </c>
      <c r="BQ187" s="21">
        <f>EXP(-LN(2)/25)*BQ186+(1-EXP(-LN(2)/25))/(LN(2)/25)*Calculateur!BL187*Calculateur!BN187*VLOOKUP('Données projet'!$B$11,Paramètres!$A$1:$I$89,3,0)*0.475*44/12</f>
        <v>0.23739878040954099</v>
      </c>
      <c r="BR187" s="21">
        <f>EXP(-LN(2)/2)*BR186+(1-EXP(-LN(2)/2))/(LN(2)/2)*BL187*BO187*VLOOKUP('Données projet'!$B$11,Paramètres!$A$1:$I$89,3,0)*0.475*44/12</f>
        <v>1.5732753843920103E-22</v>
      </c>
      <c r="BS187" s="22">
        <f t="shared" si="169"/>
        <v>0.36131745506111856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-1.5252226148732008E-13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254.25222107710192</v>
      </c>
      <c r="CE187" s="59">
        <f t="shared" si="148"/>
        <v>300.86609173447573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0.15637356563175256</v>
      </c>
      <c r="CL187" s="21">
        <f>EXP(-LN(2)/25)*CL186+(1-EXP(-LN(2)/25))/(LN(2)/25)*Calculateur!CG187*Calculateur!CI187*VLOOKUP('Données projet'!$B$12,Paramètres!$A$1:$I$89,3,0)*0.475*44/12</f>
        <v>0.29957465146918238</v>
      </c>
      <c r="CM187" s="21">
        <f>EXP(-LN(2)/2)*CM186+(1-EXP(-LN(2)/2))/(LN(2)/2)*CG187*CJ187*VLOOKUP('Données projet'!$B$12,Paramètres!$A$1:$I$89,3,0)*0.475*44/12</f>
        <v>1.6107343221156305E-22</v>
      </c>
      <c r="CN187" s="22">
        <f t="shared" si="172"/>
        <v>0.45594821710093492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243.38048563215585</v>
      </c>
      <c r="CZ187" s="59">
        <f t="shared" si="150"/>
        <v>372.1604147006675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0.34618550378853419</v>
      </c>
      <c r="DG187" s="21">
        <f>EXP(-LN(2)/25)*DG186+(1-EXP(-LN(2)/25))/(LN(2)/25)*Calculateur!DB187*Calculateur!DD187*VLOOKUP('Données projet'!$B$13,Paramètres!$A$1:$I$89,3,0)*0.475*44/12</f>
        <v>0.27077904644274547</v>
      </c>
      <c r="DH187" s="21">
        <f>EXP(-LN(2)/2)*DH186+(1-EXP(-LN(2)/2))/(LN(2)/2)*DB187*DE187*VLOOKUP('Données projet'!$B$13,Paramètres!$A$1:$I$89,3,0)*0.475*44/12</f>
        <v>1.9398999500238599E-22</v>
      </c>
      <c r="DI187" s="22">
        <f t="shared" si="175"/>
        <v>0.61696455023127972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1.1368683772161603E-13</v>
      </c>
      <c r="DP187" s="17">
        <f>DO187*VLOOKUP('Données projet'!$B$14,Paramètres!$A$1:$I$89,3,0)*VLOOKUP('Données projet'!$B$14,Paramètres!$A$1:$I$89,5,0)</f>
        <v>6.5028871176764376E-14</v>
      </c>
      <c r="DQ187" s="13">
        <f t="shared" si="176"/>
        <v>1.0270999702906072E-12</v>
      </c>
      <c r="DR187" s="20">
        <f t="shared" si="177"/>
        <v>1.9021243988890057E-12</v>
      </c>
      <c r="DS187" s="59">
        <f t="shared" si="125"/>
        <v>293.33333333333519</v>
      </c>
      <c r="DT187" s="59">
        <f ca="1">AVERAGE(OFFSET($DS$3,0,0,'Données projet'!$E$14+1,1))-AVERAGE(OFFSET($H$3,0,0,'Données projet'!$E$14+1,1))</f>
        <v>227.99747790451215</v>
      </c>
      <c r="DU187" s="59">
        <f t="shared" si="152"/>
        <v>209.49597700966933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0.13585768317282598</v>
      </c>
      <c r="EB187" s="21">
        <f>EXP(-LN(2)/25)*EB186+(1-EXP(-LN(2)/25))/(LN(2)/25)*Calculateur!DW187*Calculateur!DY187*VLOOKUP('Données projet'!$B$14,Paramètres!$A$1:$I$89,3,0)*0.475*44/12</f>
        <v>0.21223420831978862</v>
      </c>
      <c r="EC187" s="21">
        <f>EXP(-LN(2)/2)*EC186+(1-EXP(-LN(2)/2))/(LN(2)/2)*DW187*DZ187*VLOOKUP('Données projet'!$B$14,Paramètres!$A$1:$I$89,3,0)*0.475*44/12</f>
        <v>1.6320486378841411E-22</v>
      </c>
      <c r="ED187" s="22">
        <f t="shared" si="178"/>
        <v>0.3480918914926146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3.4106051316484809E-13</v>
      </c>
      <c r="EK187" s="17">
        <f>EJ187*VLOOKUP('Données projet'!$B$15,Paramètres!$A$1:$I$89,3,0)*VLOOKUP('Données projet'!$B$15,Paramètres!$A$1:$I$89,5,0)</f>
        <v>1.5074874681886286E-13</v>
      </c>
      <c r="EL187" s="13">
        <f t="shared" si="179"/>
        <v>2.1590218794584103E-12</v>
      </c>
      <c r="EM187" s="20">
        <f t="shared" si="180"/>
        <v>4.0228505074329168E-12</v>
      </c>
      <c r="EN187" s="59">
        <f t="shared" si="128"/>
        <v>293.33333333333735</v>
      </c>
      <c r="EO187" s="59">
        <f ca="1">AVERAGE(OFFSET($EN$3,0,0,'Données projet'!$E$15+1,1))-AVERAGE(OFFSET($H$3,0,0,'Données projet'!$E$15+1,1))</f>
        <v>335.27356627949155</v>
      </c>
      <c r="EP187" s="59">
        <f t="shared" si="154"/>
        <v>322.66829503077247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0.39105063567025988</v>
      </c>
      <c r="EX187" s="21">
        <f>EXP(-LN(2)/2)*EX186+(1-EXP(-LN(2)/2))/(LN(2)/2)*ER187*EU187*VLOOKUP('Données projet'!$B$15,Paramètres!$A$1:$I$89,3,0)*0.475*44/12</f>
        <v>2.3414600485884987E-22</v>
      </c>
      <c r="EY187" s="22">
        <f t="shared" si="181"/>
        <v>0.39105063567025988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-5.6843418860808015E-13</v>
      </c>
      <c r="O188" s="13">
        <f>N188*VLOOKUP('Données projet'!$B$9,Paramètres!$A$1:$I$89,3,0)*VLOOKUP('Données projet'!$B$9,Paramètres!$A$1:$I$89,5,0)</f>
        <v>-5.1431925385259092E-13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319.18811755575183</v>
      </c>
      <c r="T188" s="59">
        <f t="shared" si="142"/>
        <v>234.87694492493506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0.1118467443083512</v>
      </c>
      <c r="AA188" s="21">
        <f>EXP(-LN(2)/25)*AA187+(1-EXP(-LN(2)/25))/(LN(2)/25)*Calculateur!V188*Calculateur!X188*VLOOKUP('Données projet'!$B$9,Paramètres!$A$1:$I$89,3,0)*0.475*44/12</f>
        <v>0.15347287365830703</v>
      </c>
      <c r="AB188" s="21">
        <f>EXP(-LN(2)/2)*AB187+(1-EXP(-LN(2)/2))/(LN(2)/2)*V188*Y188*VLOOKUP('Données projet'!$B$9,Paramètres!$A$1:$I$89,3,0)*0.475*44/12</f>
        <v>1.0085323908477004E-22</v>
      </c>
      <c r="AC188" s="22">
        <f t="shared" si="163"/>
        <v>0.26531961796665826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-1.8089849618263545E-13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314.94704727988847</v>
      </c>
      <c r="AO188" s="59">
        <f t="shared" si="144"/>
        <v>366.49199094166454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0.18182944057666811</v>
      </c>
      <c r="AV188" s="21">
        <f>EXP(-LN(2)/25)*AV187+(1-EXP(-LN(2)/25))/(LN(2)/25)*Calculateur!AQ188*Calculateur!AS188*VLOOKUP('Données projet'!$B$10,Paramètres!$A$1:$I$89,3,0)*0.475*44/12</f>
        <v>0.34559351419561357</v>
      </c>
      <c r="AW188" s="21">
        <f>EXP(-LN(2)/2)*AW187+(1-EXP(-LN(2)/2))/(LN(2)/2)*AQ188*AT188*VLOOKUP('Données projet'!$B$10,Paramètres!$A$1:$I$89,3,0)*0.475*44/12</f>
        <v>1.3508609129012046E-22</v>
      </c>
      <c r="AX188" s="21">
        <f t="shared" si="166"/>
        <v>0.52742295477228174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-1.4897523215040565E-13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246.64951465060813</v>
      </c>
      <c r="BJ188" s="59">
        <f t="shared" si="146"/>
        <v>292.64550285216865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0.12148870502458847</v>
      </c>
      <c r="BQ188" s="21">
        <f>EXP(-LN(2)/25)*BQ187+(1-EXP(-LN(2)/25))/(LN(2)/25)*Calculateur!BL188*Calculateur!BN188*VLOOKUP('Données projet'!$B$11,Paramètres!$A$1:$I$89,3,0)*0.475*44/12</f>
        <v>0.23090709827498282</v>
      </c>
      <c r="BR188" s="21">
        <f>EXP(-LN(2)/2)*BR187+(1-EXP(-LN(2)/2))/(LN(2)/2)*BL188*BO188*VLOOKUP('Données projet'!$B$11,Paramètres!$A$1:$I$89,3,0)*0.475*44/12</f>
        <v>1.1124736929774627E-22</v>
      </c>
      <c r="BS188" s="22">
        <f t="shared" si="169"/>
        <v>0.35239580329957132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-1.5252226148732008E-13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254.25222107710192</v>
      </c>
      <c r="CE188" s="59">
        <f t="shared" si="148"/>
        <v>300.86609173447573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0.1533071753881711</v>
      </c>
      <c r="CL188" s="21">
        <f>EXP(-LN(2)/25)*CL187+(1-EXP(-LN(2)/25))/(LN(2)/25)*Calculateur!CG188*Calculateur!CI188*VLOOKUP('Données projet'!$B$12,Paramètres!$A$1:$I$89,3,0)*0.475*44/12</f>
        <v>0.29138276687081138</v>
      </c>
      <c r="CM188" s="21">
        <f>EXP(-LN(2)/2)*CM187+(1-EXP(-LN(2)/2))/(LN(2)/2)*CG188*CJ188*VLOOKUP('Données projet'!$B$12,Paramètres!$A$1:$I$89,3,0)*0.475*44/12</f>
        <v>1.1389611618578791E-22</v>
      </c>
      <c r="CN188" s="22">
        <f t="shared" si="172"/>
        <v>0.44468994225898251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243.38048563215585</v>
      </c>
      <c r="CZ188" s="59">
        <f t="shared" si="150"/>
        <v>372.1604147006675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0.3393970172115488</v>
      </c>
      <c r="DG188" s="21">
        <f>EXP(-LN(2)/25)*DG187+(1-EXP(-LN(2)/25))/(LN(2)/25)*Calculateur!DB188*Calculateur!DD188*VLOOKUP('Données projet'!$B$13,Paramètres!$A$1:$I$89,3,0)*0.475*44/12</f>
        <v>0.26337457917811741</v>
      </c>
      <c r="DH188" s="21">
        <f>EXP(-LN(2)/2)*DH187+(1-EXP(-LN(2)/2))/(LN(2)/2)*DB188*DE188*VLOOKUP('Données projet'!$B$13,Paramètres!$A$1:$I$89,3,0)*0.475*44/12</f>
        <v>1.371716409485316E-22</v>
      </c>
      <c r="DI188" s="22">
        <f t="shared" si="175"/>
        <v>0.60277159638966626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1.1368683772161603E-13</v>
      </c>
      <c r="DP188" s="17">
        <f>DO188*VLOOKUP('Données projet'!$B$14,Paramètres!$A$1:$I$89,3,0)*VLOOKUP('Données projet'!$B$14,Paramètres!$A$1:$I$89,5,0)</f>
        <v>6.5028871176764376E-14</v>
      </c>
      <c r="DQ188" s="13">
        <f t="shared" si="176"/>
        <v>1.0270999702906072E-12</v>
      </c>
      <c r="DR188" s="20">
        <f t="shared" si="177"/>
        <v>1.9021243988890057E-12</v>
      </c>
      <c r="DS188" s="59">
        <f t="shared" si="125"/>
        <v>293.33333333333519</v>
      </c>
      <c r="DT188" s="59">
        <f ca="1">AVERAGE(OFFSET($DS$3,0,0,'Données projet'!$E$14+1,1))-AVERAGE(OFFSET($H$3,0,0,'Données projet'!$E$14+1,1))</f>
        <v>227.99747790451215</v>
      </c>
      <c r="DU188" s="59">
        <f t="shared" si="152"/>
        <v>209.49597700966933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0.13319359687081136</v>
      </c>
      <c r="EB188" s="21">
        <f>EXP(-LN(2)/25)*EB187+(1-EXP(-LN(2)/25))/(LN(2)/25)*Calculateur!DW188*Calculateur!DY188*VLOOKUP('Données projet'!$B$14,Paramètres!$A$1:$I$89,3,0)*0.475*44/12</f>
        <v>0.20643065273237204</v>
      </c>
      <c r="EC188" s="21">
        <f>EXP(-LN(2)/2)*EC187+(1-EXP(-LN(2)/2))/(LN(2)/2)*DW188*DZ188*VLOOKUP('Données projet'!$B$14,Paramètres!$A$1:$I$89,3,0)*0.475*44/12</f>
        <v>1.1540326590741443E-22</v>
      </c>
      <c r="ED188" s="22">
        <f t="shared" si="178"/>
        <v>0.33962424960318338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3.4106051316484809E-13</v>
      </c>
      <c r="EK188" s="17">
        <f>EJ188*VLOOKUP('Données projet'!$B$15,Paramètres!$A$1:$I$89,3,0)*VLOOKUP('Données projet'!$B$15,Paramètres!$A$1:$I$89,5,0)</f>
        <v>1.5074874681886286E-13</v>
      </c>
      <c r="EL188" s="13">
        <f t="shared" si="179"/>
        <v>2.1590218794584103E-12</v>
      </c>
      <c r="EM188" s="20">
        <f t="shared" si="180"/>
        <v>4.0228505074329168E-12</v>
      </c>
      <c r="EN188" s="59">
        <f t="shared" si="128"/>
        <v>293.33333333333735</v>
      </c>
      <c r="EO188" s="59">
        <f ca="1">AVERAGE(OFFSET($EN$3,0,0,'Données projet'!$E$15+1,1))-AVERAGE(OFFSET($H$3,0,0,'Données projet'!$E$15+1,1))</f>
        <v>335.27356627949155</v>
      </c>
      <c r="EP188" s="59">
        <f t="shared" si="154"/>
        <v>322.66829503077247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0.38035733547339745</v>
      </c>
      <c r="EX188" s="21">
        <f>EXP(-LN(2)/2)*EX187+(1-EXP(-LN(2)/2))/(LN(2)/2)*ER188*EU188*VLOOKUP('Données projet'!$B$15,Paramètres!$A$1:$I$89,3,0)*0.475*44/12</f>
        <v>1.6556622782343105E-22</v>
      </c>
      <c r="EY188" s="22">
        <f t="shared" si="181"/>
        <v>0.38035733547339745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-5.6843418860808015E-13</v>
      </c>
      <c r="O189" s="13">
        <f>N189*VLOOKUP('Données projet'!$B$9,Paramètres!$A$1:$I$89,3,0)*VLOOKUP('Données projet'!$B$9,Paramètres!$A$1:$I$89,5,0)</f>
        <v>-5.1431925385259092E-13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319.18811755575183</v>
      </c>
      <c r="T189" s="59">
        <f t="shared" si="142"/>
        <v>234.87694492493506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0.10965349787224232</v>
      </c>
      <c r="AA189" s="21">
        <f>EXP(-LN(2)/25)*AA188+(1-EXP(-LN(2)/25))/(LN(2)/25)*Calculateur!V189*Calculateur!X189*VLOOKUP('Données projet'!$B$9,Paramètres!$A$1:$I$89,3,0)*0.475*44/12</f>
        <v>0.14927614985733295</v>
      </c>
      <c r="AB189" s="21">
        <f>EXP(-LN(2)/2)*AB188+(1-EXP(-LN(2)/2))/(LN(2)/2)*V189*Y189*VLOOKUP('Données projet'!$B$9,Paramètres!$A$1:$I$89,3,0)*0.475*44/12</f>
        <v>7.1314009261469053E-23</v>
      </c>
      <c r="AC189" s="22">
        <f t="shared" si="163"/>
        <v>0.25892964772957527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-1.8089849618263545E-13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314.94704727988847</v>
      </c>
      <c r="AO189" s="59">
        <f t="shared" si="144"/>
        <v>366.49199094166454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0.17826387615196745</v>
      </c>
      <c r="AV189" s="21">
        <f>EXP(-LN(2)/25)*AV188+(1-EXP(-LN(2)/25))/(LN(2)/25)*Calculateur!AQ189*Calculateur!AS189*VLOOKUP('Données projet'!$B$10,Paramètres!$A$1:$I$89,3,0)*0.475*44/12</f>
        <v>0.33614324137596147</v>
      </c>
      <c r="AW189" s="21">
        <f>EXP(-LN(2)/2)*AW188+(1-EXP(-LN(2)/2))/(LN(2)/2)*AQ189*AT189*VLOOKUP('Données projet'!$B$10,Paramètres!$A$1:$I$89,3,0)*0.475*44/12</f>
        <v>9.5520291195229193E-23</v>
      </c>
      <c r="AX189" s="21">
        <f t="shared" si="166"/>
        <v>0.51440711752792889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-1.4897523215040565E-13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246.64951465060813</v>
      </c>
      <c r="BJ189" s="59">
        <f t="shared" si="146"/>
        <v>292.64550285216865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0.11910638561984951</v>
      </c>
      <c r="BQ189" s="21">
        <f>EXP(-LN(2)/25)*BQ188+(1-EXP(-LN(2)/25))/(LN(2)/25)*Calculateur!BL189*Calculateur!BN189*VLOOKUP('Données projet'!$B$11,Paramètres!$A$1:$I$89,3,0)*0.475*44/12</f>
        <v>0.22459293152977686</v>
      </c>
      <c r="BR189" s="21">
        <f>EXP(-LN(2)/2)*BR188+(1-EXP(-LN(2)/2))/(LN(2)/2)*BL189*BO189*VLOOKUP('Données projet'!$B$11,Paramètres!$A$1:$I$89,3,0)*0.475*44/12</f>
        <v>7.8663769219600516E-23</v>
      </c>
      <c r="BS189" s="22">
        <f t="shared" si="169"/>
        <v>0.34369931714962637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-1.5252226148732008E-13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254.25222107710192</v>
      </c>
      <c r="CE189" s="59">
        <f t="shared" si="148"/>
        <v>300.86609173447573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0.15030091518695288</v>
      </c>
      <c r="CL189" s="21">
        <f>EXP(-LN(2)/25)*CL188+(1-EXP(-LN(2)/25))/(LN(2)/25)*Calculateur!CG189*Calculateur!CI189*VLOOKUP('Données projet'!$B$12,Paramètres!$A$1:$I$89,3,0)*0.475*44/12</f>
        <v>0.28341488978757529</v>
      </c>
      <c r="CM189" s="21">
        <f>EXP(-LN(2)/2)*CM188+(1-EXP(-LN(2)/2))/(LN(2)/2)*CG189*CJ189*VLOOKUP('Données projet'!$B$12,Paramètres!$A$1:$I$89,3,0)*0.475*44/12</f>
        <v>8.0536716105781527E-23</v>
      </c>
      <c r="CN189" s="22">
        <f t="shared" si="172"/>
        <v>0.43371580497452816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243.38048563215585</v>
      </c>
      <c r="CZ189" s="59">
        <f t="shared" si="150"/>
        <v>372.1604147006675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0.33274164871577011</v>
      </c>
      <c r="DG189" s="21">
        <f>EXP(-LN(2)/25)*DG188+(1-EXP(-LN(2)/25))/(LN(2)/25)*Calculateur!DB189*Calculateur!DD189*VLOOKUP('Données projet'!$B$13,Paramètres!$A$1:$I$89,3,0)*0.475*44/12</f>
        <v>0.25617258746022464</v>
      </c>
      <c r="DH189" s="21">
        <f>EXP(-LN(2)/2)*DH188+(1-EXP(-LN(2)/2))/(LN(2)/2)*DB189*DE189*VLOOKUP('Données projet'!$B$13,Paramètres!$A$1:$I$89,3,0)*0.475*44/12</f>
        <v>9.6994997501192995E-23</v>
      </c>
      <c r="DI189" s="22">
        <f t="shared" si="175"/>
        <v>0.5889142361759947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1.1368683772161603E-13</v>
      </c>
      <c r="DP189" s="17">
        <f>DO189*VLOOKUP('Données projet'!$B$14,Paramètres!$A$1:$I$89,3,0)*VLOOKUP('Données projet'!$B$14,Paramètres!$A$1:$I$89,5,0)</f>
        <v>6.5028871176764376E-14</v>
      </c>
      <c r="DQ189" s="13">
        <f t="shared" si="176"/>
        <v>1.0270999702906072E-12</v>
      </c>
      <c r="DR189" s="20">
        <f t="shared" si="177"/>
        <v>1.9021243988890057E-12</v>
      </c>
      <c r="DS189" s="59">
        <f t="shared" si="125"/>
        <v>293.33333333333519</v>
      </c>
      <c r="DT189" s="59">
        <f ca="1">AVERAGE(OFFSET($DS$3,0,0,'Données projet'!$E$14+1,1))-AVERAGE(OFFSET($H$3,0,0,'Données projet'!$E$14+1,1))</f>
        <v>227.99747790451215</v>
      </c>
      <c r="DU189" s="59">
        <f t="shared" si="152"/>
        <v>209.49597700966933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0.13058175167624705</v>
      </c>
      <c r="EB189" s="21">
        <f>EXP(-LN(2)/25)*EB188+(1-EXP(-LN(2)/25))/(LN(2)/25)*Calculateur!DW189*Calculateur!DY189*VLOOKUP('Données projet'!$B$14,Paramètres!$A$1:$I$89,3,0)*0.475*44/12</f>
        <v>0.20078579567768912</v>
      </c>
      <c r="EC189" s="21">
        <f>EXP(-LN(2)/2)*EC188+(1-EXP(-LN(2)/2))/(LN(2)/2)*DW189*DZ189*VLOOKUP('Données projet'!$B$14,Paramètres!$A$1:$I$89,3,0)*0.475*44/12</f>
        <v>8.1602431894207053E-23</v>
      </c>
      <c r="ED189" s="22">
        <f t="shared" si="178"/>
        <v>0.33136754735393614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3.4106051316484809E-13</v>
      </c>
      <c r="EK189" s="17">
        <f>EJ189*VLOOKUP('Données projet'!$B$15,Paramètres!$A$1:$I$89,3,0)*VLOOKUP('Données projet'!$B$15,Paramètres!$A$1:$I$89,5,0)</f>
        <v>1.5074874681886286E-13</v>
      </c>
      <c r="EL189" s="13">
        <f t="shared" si="179"/>
        <v>2.1590218794584103E-12</v>
      </c>
      <c r="EM189" s="20">
        <f t="shared" si="180"/>
        <v>4.0228505074329168E-12</v>
      </c>
      <c r="EN189" s="59">
        <f t="shared" si="128"/>
        <v>293.33333333333735</v>
      </c>
      <c r="EO189" s="59">
        <f ca="1">AVERAGE(OFFSET($EN$3,0,0,'Données projet'!$E$15+1,1))-AVERAGE(OFFSET($H$3,0,0,'Données projet'!$E$15+1,1))</f>
        <v>335.27356627949155</v>
      </c>
      <c r="EP189" s="59">
        <f t="shared" si="154"/>
        <v>322.66829503077247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0.36995644413275447</v>
      </c>
      <c r="EX189" s="21">
        <f>EXP(-LN(2)/2)*EX188+(1-EXP(-LN(2)/2))/(LN(2)/2)*ER189*EU189*VLOOKUP('Données projet'!$B$15,Paramètres!$A$1:$I$89,3,0)*0.475*44/12</f>
        <v>1.1707300242942494E-22</v>
      </c>
      <c r="EY189" s="22">
        <f t="shared" si="181"/>
        <v>0.36995644413275447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-5.6843418860808015E-13</v>
      </c>
      <c r="O190" s="13">
        <f>N190*VLOOKUP('Données projet'!$B$9,Paramètres!$A$1:$I$89,3,0)*VLOOKUP('Données projet'!$B$9,Paramètres!$A$1:$I$89,5,0)</f>
        <v>-5.1431925385259092E-13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319.18811755575183</v>
      </c>
      <c r="T190" s="59">
        <f t="shared" si="142"/>
        <v>234.87694492493506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0.1075032596609973</v>
      </c>
      <c r="AA190" s="21">
        <f>EXP(-LN(2)/25)*AA189+(1-EXP(-LN(2)/25))/(LN(2)/25)*Calculateur!V190*Calculateur!X190*VLOOKUP('Données projet'!$B$9,Paramètres!$A$1:$I$89,3,0)*0.475*44/12</f>
        <v>0.14519418568939263</v>
      </c>
      <c r="AB190" s="21">
        <f>EXP(-LN(2)/2)*AB189+(1-EXP(-LN(2)/2))/(LN(2)/2)*V190*Y190*VLOOKUP('Données projet'!$B$9,Paramètres!$A$1:$I$89,3,0)*0.475*44/12</f>
        <v>5.0426619542385022E-23</v>
      </c>
      <c r="AC190" s="22">
        <f t="shared" si="163"/>
        <v>0.25269744535038996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-1.8089849618263545E-13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314.94704727988847</v>
      </c>
      <c r="AO190" s="59">
        <f t="shared" si="144"/>
        <v>366.49199094166454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0.17476823027085561</v>
      </c>
      <c r="AV190" s="21">
        <f>EXP(-LN(2)/25)*AV189+(1-EXP(-LN(2)/25))/(LN(2)/25)*Calculateur!AQ190*Calculateur!AS190*VLOOKUP('Données projet'!$B$10,Paramètres!$A$1:$I$89,3,0)*0.475*44/12</f>
        <v>0.32695138676353103</v>
      </c>
      <c r="AW190" s="21">
        <f>EXP(-LN(2)/2)*AW189+(1-EXP(-LN(2)/2))/(LN(2)/2)*AQ190*AT190*VLOOKUP('Données projet'!$B$10,Paramètres!$A$1:$I$89,3,0)*0.475*44/12</f>
        <v>6.754304564506023E-23</v>
      </c>
      <c r="AX190" s="21">
        <f t="shared" si="166"/>
        <v>0.50171961703438661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-1.4897523215040565E-13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246.64951465060813</v>
      </c>
      <c r="BJ190" s="59">
        <f t="shared" si="146"/>
        <v>292.64550285216865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0.11677078204556612</v>
      </c>
      <c r="BQ190" s="21">
        <f>EXP(-LN(2)/25)*BQ189+(1-EXP(-LN(2)/25))/(LN(2)/25)*Calculateur!BL190*Calculateur!BN190*VLOOKUP('Données projet'!$B$11,Paramètres!$A$1:$I$89,3,0)*0.475*44/12</f>
        <v>0.21845142600626616</v>
      </c>
      <c r="BR190" s="21">
        <f>EXP(-LN(2)/2)*BR189+(1-EXP(-LN(2)/2))/(LN(2)/2)*BL190*BO190*VLOOKUP('Données projet'!$B$11,Paramètres!$A$1:$I$89,3,0)*0.475*44/12</f>
        <v>5.5623684648873134E-23</v>
      </c>
      <c r="BS190" s="22">
        <f t="shared" si="169"/>
        <v>0.33522220805183228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-1.5252226148732008E-13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254.25222107710192</v>
      </c>
      <c r="CE190" s="59">
        <f t="shared" si="148"/>
        <v>300.86609173447573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0.14735360591464289</v>
      </c>
      <c r="CL190" s="21">
        <f>EXP(-LN(2)/25)*CL189+(1-EXP(-LN(2)/25))/(LN(2)/25)*Calculateur!CG190*Calculateur!CI190*VLOOKUP('Données projet'!$B$12,Paramètres!$A$1:$I$89,3,0)*0.475*44/12</f>
        <v>0.27566489472219274</v>
      </c>
      <c r="CM190" s="21">
        <f>EXP(-LN(2)/2)*CM189+(1-EXP(-LN(2)/2))/(LN(2)/2)*CG190*CJ190*VLOOKUP('Données projet'!$B$12,Paramètres!$A$1:$I$89,3,0)*0.475*44/12</f>
        <v>5.6948058092893955E-23</v>
      </c>
      <c r="CN190" s="22">
        <f t="shared" si="172"/>
        <v>0.42301850063683566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243.38048563215585</v>
      </c>
      <c r="CZ190" s="59">
        <f t="shared" si="150"/>
        <v>372.1604147006675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0.32621678793681969</v>
      </c>
      <c r="DG190" s="21">
        <f>EXP(-LN(2)/25)*DG189+(1-EXP(-LN(2)/25))/(LN(2)/25)*Calculateur!DB190*Calculateur!DD190*VLOOKUP('Données projet'!$B$13,Paramètres!$A$1:$I$89,3,0)*0.475*44/12</f>
        <v>0.24916753458459392</v>
      </c>
      <c r="DH190" s="21">
        <f>EXP(-LN(2)/2)*DH189+(1-EXP(-LN(2)/2))/(LN(2)/2)*DB190*DE190*VLOOKUP('Données projet'!$B$13,Paramètres!$A$1:$I$89,3,0)*0.475*44/12</f>
        <v>6.8585820474265798E-23</v>
      </c>
      <c r="DI190" s="22">
        <f t="shared" si="175"/>
        <v>0.57538432252141358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1.1368683772161603E-13</v>
      </c>
      <c r="DP190" s="17">
        <f>DO190*VLOOKUP('Données projet'!$B$14,Paramètres!$A$1:$I$89,3,0)*VLOOKUP('Données projet'!$B$14,Paramètres!$A$1:$I$89,5,0)</f>
        <v>6.5028871176764376E-14</v>
      </c>
      <c r="DQ190" s="13">
        <f t="shared" si="176"/>
        <v>1.0270999702906072E-12</v>
      </c>
      <c r="DR190" s="20">
        <f t="shared" si="177"/>
        <v>1.9021243988890057E-12</v>
      </c>
      <c r="DS190" s="59">
        <f t="shared" si="125"/>
        <v>293.33333333333519</v>
      </c>
      <c r="DT190" s="59">
        <f ca="1">AVERAGE(OFFSET($DS$3,0,0,'Données projet'!$E$14+1,1))-AVERAGE(OFFSET($H$3,0,0,'Données projet'!$E$14+1,1))</f>
        <v>227.99747790451215</v>
      </c>
      <c r="DU190" s="59">
        <f t="shared" si="152"/>
        <v>209.49597700966933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0.12802112317287989</v>
      </c>
      <c r="EB190" s="21">
        <f>EXP(-LN(2)/25)*EB189+(1-EXP(-LN(2)/25))/(LN(2)/25)*Calculateur!DW190*Calculateur!DY190*VLOOKUP('Données projet'!$B$14,Paramètres!$A$1:$I$89,3,0)*0.475*44/12</f>
        <v>0.19529529753601663</v>
      </c>
      <c r="EC190" s="21">
        <f>EXP(-LN(2)/2)*EC189+(1-EXP(-LN(2)/2))/(LN(2)/2)*DW190*DZ190*VLOOKUP('Données projet'!$B$14,Paramètres!$A$1:$I$89,3,0)*0.475*44/12</f>
        <v>5.7701632953707213E-23</v>
      </c>
      <c r="ED190" s="22">
        <f t="shared" si="178"/>
        <v>0.32331642070889655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3.4106051316484809E-13</v>
      </c>
      <c r="EK190" s="17">
        <f>EJ190*VLOOKUP('Données projet'!$B$15,Paramètres!$A$1:$I$89,3,0)*VLOOKUP('Données projet'!$B$15,Paramètres!$A$1:$I$89,5,0)</f>
        <v>1.5074874681886286E-13</v>
      </c>
      <c r="EL190" s="13">
        <f t="shared" si="179"/>
        <v>2.1590218794584103E-12</v>
      </c>
      <c r="EM190" s="20">
        <f t="shared" si="180"/>
        <v>4.0228505074329168E-12</v>
      </c>
      <c r="EN190" s="59">
        <f t="shared" si="128"/>
        <v>293.33333333333735</v>
      </c>
      <c r="EO190" s="59">
        <f ca="1">AVERAGE(OFFSET($EN$3,0,0,'Données projet'!$E$15+1,1))-AVERAGE(OFFSET($H$3,0,0,'Données projet'!$E$15+1,1))</f>
        <v>335.27356627949155</v>
      </c>
      <c r="EP190" s="59">
        <f t="shared" si="154"/>
        <v>322.66829503077247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0.35983996571278043</v>
      </c>
      <c r="EX190" s="21">
        <f>EXP(-LN(2)/2)*EX189+(1-EXP(-LN(2)/2))/(LN(2)/2)*ER190*EU190*VLOOKUP('Données projet'!$B$15,Paramètres!$A$1:$I$89,3,0)*0.475*44/12</f>
        <v>8.2783113911715526E-23</v>
      </c>
      <c r="EY190" s="22">
        <f t="shared" si="181"/>
        <v>0.35983996571278043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-5.6843418860808015E-13</v>
      </c>
      <c r="O191" s="13">
        <f>N191*VLOOKUP('Données projet'!$B$9,Paramètres!$A$1:$I$89,3,0)*VLOOKUP('Données projet'!$B$9,Paramètres!$A$1:$I$89,5,0)</f>
        <v>-5.1431925385259092E-13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319.18811755575183</v>
      </c>
      <c r="T191" s="59">
        <f t="shared" si="142"/>
        <v>234.87694492493506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0.10539518630955899</v>
      </c>
      <c r="AA191" s="21">
        <f>EXP(-LN(2)/25)*AA190+(1-EXP(-LN(2)/25))/(LN(2)/25)*Calculateur!V191*Calculateur!X191*VLOOKUP('Données projet'!$B$9,Paramètres!$A$1:$I$89,3,0)*0.475*44/12</f>
        <v>0.1412238430462858</v>
      </c>
      <c r="AB191" s="21">
        <f>EXP(-LN(2)/2)*AB190+(1-EXP(-LN(2)/2))/(LN(2)/2)*V191*Y191*VLOOKUP('Données projet'!$B$9,Paramètres!$A$1:$I$89,3,0)*0.475*44/12</f>
        <v>3.5657004630734526E-23</v>
      </c>
      <c r="AC191" s="22">
        <f t="shared" si="163"/>
        <v>0.24661902935584479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-1.8089849618263545E-13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314.94704727988847</v>
      </c>
      <c r="AO191" s="59">
        <f t="shared" si="144"/>
        <v>366.49199094166454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0.17134113187333891</v>
      </c>
      <c r="AV191" s="21">
        <f>EXP(-LN(2)/25)*AV190+(1-EXP(-LN(2)/25))/(LN(2)/25)*Calculateur!AQ191*Calculateur!AS191*VLOOKUP('Données projet'!$B$10,Paramètres!$A$1:$I$89,3,0)*0.475*44/12</f>
        <v>0.31801088389885612</v>
      </c>
      <c r="AW191" s="21">
        <f>EXP(-LN(2)/2)*AW190+(1-EXP(-LN(2)/2))/(LN(2)/2)*AQ191*AT191*VLOOKUP('Données projet'!$B$10,Paramètres!$A$1:$I$89,3,0)*0.475*44/12</f>
        <v>4.7760145597614597E-23</v>
      </c>
      <c r="AX191" s="21">
        <f t="shared" si="166"/>
        <v>0.489352015772195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-1.4897523215040565E-13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246.64951465060813</v>
      </c>
      <c r="BJ191" s="59">
        <f t="shared" si="146"/>
        <v>292.64550285216865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0.11448097823279692</v>
      </c>
      <c r="BQ191" s="21">
        <f>EXP(-LN(2)/25)*BQ190+(1-EXP(-LN(2)/25))/(LN(2)/25)*Calculateur!BL191*Calculateur!BN191*VLOOKUP('Données projet'!$B$11,Paramètres!$A$1:$I$89,3,0)*0.475*44/12</f>
        <v>0.2124778602742636</v>
      </c>
      <c r="BR191" s="21">
        <f>EXP(-LN(2)/2)*BR190+(1-EXP(-LN(2)/2))/(LN(2)/2)*BL191*BO191*VLOOKUP('Données projet'!$B$11,Paramètres!$A$1:$I$89,3,0)*0.475*44/12</f>
        <v>3.9331884609800258E-23</v>
      </c>
      <c r="BS191" s="22">
        <f t="shared" si="169"/>
        <v>0.32695883850706053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-1.5252226148732008E-13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254.25222107710192</v>
      </c>
      <c r="CE191" s="59">
        <f t="shared" si="148"/>
        <v>300.86609173447573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0.14446409157948176</v>
      </c>
      <c r="CL191" s="21">
        <f>EXP(-LN(2)/25)*CL190+(1-EXP(-LN(2)/25))/(LN(2)/25)*Calculateur!CG191*Calculateur!CI191*VLOOKUP('Données projet'!$B$12,Paramètres!$A$1:$I$89,3,0)*0.475*44/12</f>
        <v>0.26812682367942758</v>
      </c>
      <c r="CM191" s="21">
        <f>EXP(-LN(2)/2)*CM190+(1-EXP(-LN(2)/2))/(LN(2)/2)*CG191*CJ191*VLOOKUP('Données projet'!$B$12,Paramètres!$A$1:$I$89,3,0)*0.475*44/12</f>
        <v>4.0268358052890764E-23</v>
      </c>
      <c r="CN191" s="22">
        <f t="shared" si="172"/>
        <v>0.41259091525890934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243.38048563215585</v>
      </c>
      <c r="CZ191" s="59">
        <f t="shared" si="150"/>
        <v>372.1604147006675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0.31981987569797238</v>
      </c>
      <c r="DG191" s="21">
        <f>EXP(-LN(2)/25)*DG190+(1-EXP(-LN(2)/25))/(LN(2)/25)*Calculateur!DB191*Calculateur!DD191*VLOOKUP('Données projet'!$B$13,Paramètres!$A$1:$I$89,3,0)*0.475*44/12</f>
        <v>0.24235403524822705</v>
      </c>
      <c r="DH191" s="21">
        <f>EXP(-LN(2)/2)*DH190+(1-EXP(-LN(2)/2))/(LN(2)/2)*DB191*DE191*VLOOKUP('Données projet'!$B$13,Paramètres!$A$1:$I$89,3,0)*0.475*44/12</f>
        <v>4.8497498750596497E-23</v>
      </c>
      <c r="DI191" s="22">
        <f t="shared" si="175"/>
        <v>0.5621739109461994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1.1368683772161603E-13</v>
      </c>
      <c r="DP191" s="17">
        <f>DO191*VLOOKUP('Données projet'!$B$14,Paramètres!$A$1:$I$89,3,0)*VLOOKUP('Données projet'!$B$14,Paramètres!$A$1:$I$89,5,0)</f>
        <v>6.5028871176764376E-14</v>
      </c>
      <c r="DQ191" s="13">
        <f t="shared" si="176"/>
        <v>1.0270999702906072E-12</v>
      </c>
      <c r="DR191" s="20">
        <f t="shared" si="177"/>
        <v>1.9021243988890057E-12</v>
      </c>
      <c r="DS191" s="59">
        <f t="shared" si="125"/>
        <v>293.33333333333519</v>
      </c>
      <c r="DT191" s="59">
        <f ca="1">AVERAGE(OFFSET($DS$3,0,0,'Données projet'!$E$14+1,1))-AVERAGE(OFFSET($H$3,0,0,'Données projet'!$E$14+1,1))</f>
        <v>227.99747790451215</v>
      </c>
      <c r="DU191" s="59">
        <f t="shared" si="152"/>
        <v>209.49597700966933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0.12551070703263459</v>
      </c>
      <c r="EB191" s="21">
        <f>EXP(-LN(2)/25)*EB190+(1-EXP(-LN(2)/25))/(LN(2)/25)*Calculateur!DW191*Calculateur!DY191*VLOOKUP('Données projet'!$B$14,Paramètres!$A$1:$I$89,3,0)*0.475*44/12</f>
        <v>0.18995493735476091</v>
      </c>
      <c r="EC191" s="21">
        <f>EXP(-LN(2)/2)*EC190+(1-EXP(-LN(2)/2))/(LN(2)/2)*DW191*DZ191*VLOOKUP('Données projet'!$B$14,Paramètres!$A$1:$I$89,3,0)*0.475*44/12</f>
        <v>4.0801215947103527E-23</v>
      </c>
      <c r="ED191" s="22">
        <f t="shared" si="178"/>
        <v>0.31546564438739549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3.4106051316484809E-13</v>
      </c>
      <c r="EK191" s="17">
        <f>EJ191*VLOOKUP('Données projet'!$B$15,Paramètres!$A$1:$I$89,3,0)*VLOOKUP('Données projet'!$B$15,Paramètres!$A$1:$I$89,5,0)</f>
        <v>1.5074874681886286E-13</v>
      </c>
      <c r="EL191" s="13">
        <f t="shared" si="179"/>
        <v>2.1590218794584103E-12</v>
      </c>
      <c r="EM191" s="20">
        <f t="shared" si="180"/>
        <v>4.0228505074329168E-12</v>
      </c>
      <c r="EN191" s="59">
        <f t="shared" si="128"/>
        <v>293.33333333333735</v>
      </c>
      <c r="EO191" s="59">
        <f ca="1">AVERAGE(OFFSET($EN$3,0,0,'Données projet'!$E$15+1,1))-AVERAGE(OFFSET($H$3,0,0,'Données projet'!$E$15+1,1))</f>
        <v>335.27356627949155</v>
      </c>
      <c r="EP191" s="59">
        <f t="shared" si="154"/>
        <v>322.66829503077247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0.35000012292720306</v>
      </c>
      <c r="EX191" s="21">
        <f>EXP(-LN(2)/2)*EX190+(1-EXP(-LN(2)/2))/(LN(2)/2)*ER191*EU191*VLOOKUP('Données projet'!$B$15,Paramètres!$A$1:$I$89,3,0)*0.475*44/12</f>
        <v>5.8536501214712468E-23</v>
      </c>
      <c r="EY191" s="22">
        <f t="shared" si="181"/>
        <v>0.35000012292720306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-5.6843418860808015E-13</v>
      </c>
      <c r="O192" s="13">
        <f>N192*VLOOKUP('Données projet'!$B$9,Paramètres!$A$1:$I$89,3,0)*VLOOKUP('Données projet'!$B$9,Paramètres!$A$1:$I$89,5,0)</f>
        <v>-5.1431925385259092E-13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319.18811755575183</v>
      </c>
      <c r="T192" s="59">
        <f t="shared" si="142"/>
        <v>234.87694492493506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0.1033284509907446</v>
      </c>
      <c r="AA192" s="21">
        <f>EXP(-LN(2)/25)*AA191+(1-EXP(-LN(2)/25))/(LN(2)/25)*Calculateur!V192*Calculateur!X192*VLOOKUP('Données projet'!$B$9,Paramètres!$A$1:$I$89,3,0)*0.475*44/12</f>
        <v>0.13736206963154599</v>
      </c>
      <c r="AB192" s="21">
        <f>EXP(-LN(2)/2)*AB191+(1-EXP(-LN(2)/2))/(LN(2)/2)*V192*Y192*VLOOKUP('Données projet'!$B$9,Paramètres!$A$1:$I$89,3,0)*0.475*44/12</f>
        <v>2.5213309771192511E-23</v>
      </c>
      <c r="AC192" s="22">
        <f t="shared" si="163"/>
        <v>0.24069052062229057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-1.8089849618263545E-13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314.94704727988847</v>
      </c>
      <c r="AO192" s="59">
        <f t="shared" si="144"/>
        <v>366.49199094166454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0.1679812367850739</v>
      </c>
      <c r="AV192" s="21">
        <f>EXP(-LN(2)/25)*AV191+(1-EXP(-LN(2)/25))/(LN(2)/25)*Calculateur!AQ192*Calculateur!AS192*VLOOKUP('Données projet'!$B$10,Paramètres!$A$1:$I$89,3,0)*0.475*44/12</f>
        <v>0.30931485955517635</v>
      </c>
      <c r="AW192" s="21">
        <f>EXP(-LN(2)/2)*AW191+(1-EXP(-LN(2)/2))/(LN(2)/2)*AQ192*AT192*VLOOKUP('Données projet'!$B$10,Paramètres!$A$1:$I$89,3,0)*0.475*44/12</f>
        <v>3.3771522822530115E-23</v>
      </c>
      <c r="AX192" s="21">
        <f t="shared" si="166"/>
        <v>0.47729609634025028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-1.4897523215040565E-13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246.64951465060813</v>
      </c>
      <c r="BJ192" s="59">
        <f t="shared" si="146"/>
        <v>292.64550285216865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0.1122360760761537</v>
      </c>
      <c r="BQ192" s="21">
        <f>EXP(-LN(2)/25)*BQ191+(1-EXP(-LN(2)/25))/(LN(2)/25)*Calculateur!BL192*Calculateur!BN192*VLOOKUP('Données projet'!$B$11,Paramètres!$A$1:$I$89,3,0)*0.475*44/12</f>
        <v>0.2066676420113388</v>
      </c>
      <c r="BR192" s="21">
        <f>EXP(-LN(2)/2)*BR191+(1-EXP(-LN(2)/2))/(LN(2)/2)*BL192*BO192*VLOOKUP('Données projet'!$B$11,Paramètres!$A$1:$I$89,3,0)*0.475*44/12</f>
        <v>2.7811842324436567E-23</v>
      </c>
      <c r="BS192" s="22">
        <f t="shared" si="169"/>
        <v>0.31890371808749252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-1.5252226148732008E-13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254.25222107710192</v>
      </c>
      <c r="CE192" s="59">
        <f t="shared" si="148"/>
        <v>300.86609173447573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0.14163123885800341</v>
      </c>
      <c r="CL192" s="21">
        <f>EXP(-LN(2)/25)*CL191+(1-EXP(-LN(2)/25))/(LN(2)/25)*Calculateur!CG192*Calculateur!CI192*VLOOKUP('Données projet'!$B$12,Paramètres!$A$1:$I$89,3,0)*0.475*44/12</f>
        <v>0.26079488158573677</v>
      </c>
      <c r="CM192" s="21">
        <f>EXP(-LN(2)/2)*CM191+(1-EXP(-LN(2)/2))/(LN(2)/2)*CG192*CJ192*VLOOKUP('Données projet'!$B$12,Paramètres!$A$1:$I$89,3,0)*0.475*44/12</f>
        <v>2.8474029046446978E-23</v>
      </c>
      <c r="CN192" s="22">
        <f t="shared" si="172"/>
        <v>0.40242612044374015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243.38048563215585</v>
      </c>
      <c r="CZ192" s="59">
        <f t="shared" si="150"/>
        <v>372.1604147006675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0.31354840300639769</v>
      </c>
      <c r="DG192" s="21">
        <f>EXP(-LN(2)/25)*DG191+(1-EXP(-LN(2)/25))/(LN(2)/25)*Calculateur!DB192*Calculateur!DD192*VLOOKUP('Données projet'!$B$13,Paramètres!$A$1:$I$89,3,0)*0.475*44/12</f>
        <v>0.23572685140951946</v>
      </c>
      <c r="DH192" s="21">
        <f>EXP(-LN(2)/2)*DH191+(1-EXP(-LN(2)/2))/(LN(2)/2)*DB192*DE192*VLOOKUP('Données projet'!$B$13,Paramètres!$A$1:$I$89,3,0)*0.475*44/12</f>
        <v>3.4292910237132899E-23</v>
      </c>
      <c r="DI192" s="22">
        <f t="shared" si="175"/>
        <v>0.54927525441591718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1.1368683772161603E-13</v>
      </c>
      <c r="DP192" s="17">
        <f>DO192*VLOOKUP('Données projet'!$B$14,Paramètres!$A$1:$I$89,3,0)*VLOOKUP('Données projet'!$B$14,Paramètres!$A$1:$I$89,5,0)</f>
        <v>6.5028871176764376E-14</v>
      </c>
      <c r="DQ192" s="13">
        <f t="shared" si="176"/>
        <v>1.0270999702906072E-12</v>
      </c>
      <c r="DR192" s="20">
        <f t="shared" si="177"/>
        <v>1.9021243988890057E-12</v>
      </c>
      <c r="DS192" s="59">
        <f t="shared" si="125"/>
        <v>293.33333333333519</v>
      </c>
      <c r="DT192" s="59">
        <f ca="1">AVERAGE(OFFSET($DS$3,0,0,'Données projet'!$E$14+1,1))-AVERAGE(OFFSET($H$3,0,0,'Données projet'!$E$14+1,1))</f>
        <v>227.99747790451215</v>
      </c>
      <c r="DU192" s="59">
        <f t="shared" si="152"/>
        <v>209.49597700966933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0.12304951862169684</v>
      </c>
      <c r="EB192" s="21">
        <f>EXP(-LN(2)/25)*EB191+(1-EXP(-LN(2)/25))/(LN(2)/25)*Calculateur!DW192*Calculateur!DY192*VLOOKUP('Données projet'!$B$14,Paramètres!$A$1:$I$89,3,0)*0.475*44/12</f>
        <v>0.18476060960349897</v>
      </c>
      <c r="EC192" s="21">
        <f>EXP(-LN(2)/2)*EC191+(1-EXP(-LN(2)/2))/(LN(2)/2)*DW192*DZ192*VLOOKUP('Données projet'!$B$14,Paramètres!$A$1:$I$89,3,0)*0.475*44/12</f>
        <v>2.8850816476853606E-23</v>
      </c>
      <c r="ED192" s="22">
        <f t="shared" si="178"/>
        <v>0.30781012822519582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3.4106051316484809E-13</v>
      </c>
      <c r="EK192" s="17">
        <f>EJ192*VLOOKUP('Données projet'!$B$15,Paramètres!$A$1:$I$89,3,0)*VLOOKUP('Données projet'!$B$15,Paramètres!$A$1:$I$89,5,0)</f>
        <v>1.5074874681886286E-13</v>
      </c>
      <c r="EL192" s="13">
        <f t="shared" si="179"/>
        <v>2.1590218794584103E-12</v>
      </c>
      <c r="EM192" s="20">
        <f t="shared" si="180"/>
        <v>4.0228505074329168E-12</v>
      </c>
      <c r="EN192" s="59">
        <f t="shared" si="128"/>
        <v>293.33333333333735</v>
      </c>
      <c r="EO192" s="59">
        <f ca="1">AVERAGE(OFFSET($EN$3,0,0,'Données projet'!$E$15+1,1))-AVERAGE(OFFSET($H$3,0,0,'Données projet'!$E$15+1,1))</f>
        <v>335.27356627949155</v>
      </c>
      <c r="EP192" s="59">
        <f t="shared" si="154"/>
        <v>322.66829503077247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0.34042935116005218</v>
      </c>
      <c r="EX192" s="21">
        <f>EXP(-LN(2)/2)*EX191+(1-EXP(-LN(2)/2))/(LN(2)/2)*ER192*EU192*VLOOKUP('Données projet'!$B$15,Paramètres!$A$1:$I$89,3,0)*0.475*44/12</f>
        <v>4.1391556955857763E-23</v>
      </c>
      <c r="EY192" s="22">
        <f t="shared" si="181"/>
        <v>0.34042935116005218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-5.6843418860808015E-13</v>
      </c>
      <c r="O193" s="13">
        <f>N193*VLOOKUP('Données projet'!$B$9,Paramètres!$A$1:$I$89,3,0)*VLOOKUP('Données projet'!$B$9,Paramètres!$A$1:$I$89,5,0)</f>
        <v>-5.1431925385259092E-13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319.18811755575183</v>
      </c>
      <c r="T193" s="59">
        <f t="shared" si="142"/>
        <v>234.87694492493506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0.10130224309094808</v>
      </c>
      <c r="AA193" s="21">
        <f>EXP(-LN(2)/25)*AA192+(1-EXP(-LN(2)/25))/(LN(2)/25)*Calculateur!V193*Calculateur!X193*VLOOKUP('Données projet'!$B$9,Paramètres!$A$1:$I$89,3,0)*0.475*44/12</f>
        <v>0.13360589661391406</v>
      </c>
      <c r="AB193" s="21">
        <f>EXP(-LN(2)/2)*AB192+(1-EXP(-LN(2)/2))/(LN(2)/2)*V193*Y193*VLOOKUP('Données projet'!$B$9,Paramètres!$A$1:$I$89,3,0)*0.475*44/12</f>
        <v>1.7828502315367263E-23</v>
      </c>
      <c r="AC193" s="22">
        <f t="shared" si="163"/>
        <v>0.23490813970486213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-1.8089849618263545E-13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314.94704727988847</v>
      </c>
      <c r="AO193" s="59">
        <f t="shared" si="144"/>
        <v>366.49199094166454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0.1646872271901561</v>
      </c>
      <c r="AV193" s="21">
        <f>EXP(-LN(2)/25)*AV192+(1-EXP(-LN(2)/25))/(LN(2)/25)*Calculateur!AQ193*Calculateur!AS193*VLOOKUP('Données projet'!$B$10,Paramètres!$A$1:$I$89,3,0)*0.475*44/12</f>
        <v>0.30085662845447853</v>
      </c>
      <c r="AW193" s="21">
        <f>EXP(-LN(2)/2)*AW192+(1-EXP(-LN(2)/2))/(LN(2)/2)*AQ193*AT193*VLOOKUP('Données projet'!$B$10,Paramètres!$A$1:$I$89,3,0)*0.475*44/12</f>
        <v>2.3880072798807298E-23</v>
      </c>
      <c r="AX193" s="21">
        <f t="shared" si="166"/>
        <v>0.46554385564463463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-1.4897523215040565E-13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246.64951465060813</v>
      </c>
      <c r="BJ193" s="59">
        <f t="shared" si="146"/>
        <v>292.64550285216865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0.11003519508154713</v>
      </c>
      <c r="BQ193" s="21">
        <f>EXP(-LN(2)/25)*BQ192+(1-EXP(-LN(2)/25))/(LN(2)/25)*Calculateur!BL193*Calculateur!BN193*VLOOKUP('Données projet'!$B$11,Paramètres!$A$1:$I$89,3,0)*0.475*44/12</f>
        <v>0.2010163044723598</v>
      </c>
      <c r="BR193" s="21">
        <f>EXP(-LN(2)/2)*BR192+(1-EXP(-LN(2)/2))/(LN(2)/2)*BL193*BO193*VLOOKUP('Données projet'!$B$11,Paramètres!$A$1:$I$89,3,0)*0.475*44/12</f>
        <v>1.9665942304900129E-23</v>
      </c>
      <c r="BS193" s="22">
        <f t="shared" si="169"/>
        <v>0.31105149955390693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-1.5252226148732008E-13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254.25222107710192</v>
      </c>
      <c r="CE193" s="59">
        <f t="shared" si="148"/>
        <v>300.86609173447573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0.1388539366505237</v>
      </c>
      <c r="CL193" s="21">
        <f>EXP(-LN(2)/25)*CL192+(1-EXP(-LN(2)/25))/(LN(2)/25)*Calculateur!CG193*Calculateur!CI193*VLOOKUP('Données projet'!$B$12,Paramètres!$A$1:$I$89,3,0)*0.475*44/12</f>
        <v>0.25366343183416801</v>
      </c>
      <c r="CM193" s="21">
        <f>EXP(-LN(2)/2)*CM192+(1-EXP(-LN(2)/2))/(LN(2)/2)*CG193*CJ193*VLOOKUP('Données projet'!$B$12,Paramètres!$A$1:$I$89,3,0)*0.475*44/12</f>
        <v>2.0134179026445382E-23</v>
      </c>
      <c r="CN193" s="22">
        <f t="shared" si="172"/>
        <v>0.39251736848469171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243.38048563215585</v>
      </c>
      <c r="CZ193" s="59">
        <f t="shared" si="150"/>
        <v>372.1604147006675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0.30739991006908413</v>
      </c>
      <c r="DG193" s="21">
        <f>EXP(-LN(2)/25)*DG192+(1-EXP(-LN(2)/25))/(LN(2)/25)*Calculateur!DB193*Calculateur!DD193*VLOOKUP('Données projet'!$B$13,Paramètres!$A$1:$I$89,3,0)*0.475*44/12</f>
        <v>0.22928088826138979</v>
      </c>
      <c r="DH193" s="21">
        <f>EXP(-LN(2)/2)*DH192+(1-EXP(-LN(2)/2))/(LN(2)/2)*DB193*DE193*VLOOKUP('Données projet'!$B$13,Paramètres!$A$1:$I$89,3,0)*0.475*44/12</f>
        <v>2.4248749375298249E-23</v>
      </c>
      <c r="DI193" s="22">
        <f t="shared" si="175"/>
        <v>0.53668079833047388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1.1368683772161603E-13</v>
      </c>
      <c r="DP193" s="17">
        <f>DO193*VLOOKUP('Données projet'!$B$14,Paramètres!$A$1:$I$89,3,0)*VLOOKUP('Données projet'!$B$14,Paramètres!$A$1:$I$89,5,0)</f>
        <v>6.5028871176764376E-14</v>
      </c>
      <c r="DQ193" s="13">
        <f t="shared" si="176"/>
        <v>1.0270999702906072E-12</v>
      </c>
      <c r="DR193" s="20">
        <f t="shared" si="177"/>
        <v>1.9021243988890057E-12</v>
      </c>
      <c r="DS193" s="59">
        <f t="shared" si="125"/>
        <v>293.33333333333519</v>
      </c>
      <c r="DT193" s="59">
        <f ca="1">AVERAGE(OFFSET($DS$3,0,0,'Données projet'!$E$14+1,1))-AVERAGE(OFFSET($H$3,0,0,'Données projet'!$E$14+1,1))</f>
        <v>227.99747790451215</v>
      </c>
      <c r="DU193" s="59">
        <f t="shared" si="152"/>
        <v>209.49597700966933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0.12063659261432087</v>
      </c>
      <c r="EB193" s="21">
        <f>EXP(-LN(2)/25)*EB192+(1-EXP(-LN(2)/25))/(LN(2)/25)*Calculateur!DW193*Calculateur!DY193*VLOOKUP('Données projet'!$B$14,Paramètres!$A$1:$I$89,3,0)*0.475*44/12</f>
        <v>0.17970832101775311</v>
      </c>
      <c r="EC193" s="21">
        <f>EXP(-LN(2)/2)*EC192+(1-EXP(-LN(2)/2))/(LN(2)/2)*DW193*DZ193*VLOOKUP('Données projet'!$B$14,Paramètres!$A$1:$I$89,3,0)*0.475*44/12</f>
        <v>2.0400607973551763E-23</v>
      </c>
      <c r="ED193" s="22">
        <f t="shared" si="178"/>
        <v>0.300344913632074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3.4106051316484809E-13</v>
      </c>
      <c r="EK193" s="17">
        <f>EJ193*VLOOKUP('Données projet'!$B$15,Paramètres!$A$1:$I$89,3,0)*VLOOKUP('Données projet'!$B$15,Paramètres!$A$1:$I$89,5,0)</f>
        <v>1.5074874681886286E-13</v>
      </c>
      <c r="EL193" s="13">
        <f t="shared" si="179"/>
        <v>2.1590218794584103E-12</v>
      </c>
      <c r="EM193" s="20">
        <f t="shared" si="180"/>
        <v>4.0228505074329168E-12</v>
      </c>
      <c r="EN193" s="59">
        <f t="shared" si="128"/>
        <v>293.33333333333735</v>
      </c>
      <c r="EO193" s="59">
        <f ca="1">AVERAGE(OFFSET($EN$3,0,0,'Données projet'!$E$15+1,1))-AVERAGE(OFFSET($H$3,0,0,'Données projet'!$E$15+1,1))</f>
        <v>335.27356627949155</v>
      </c>
      <c r="EP193" s="59">
        <f t="shared" si="154"/>
        <v>322.66829503077247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0.33112029265017906</v>
      </c>
      <c r="EX193" s="21">
        <f>EXP(-LN(2)/2)*EX192+(1-EXP(-LN(2)/2))/(LN(2)/2)*ER193*EU193*VLOOKUP('Données projet'!$B$15,Paramètres!$A$1:$I$89,3,0)*0.475*44/12</f>
        <v>2.9268250607356234E-23</v>
      </c>
      <c r="EY193" s="22">
        <f t="shared" si="181"/>
        <v>0.33112029265017906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-5.6843418860808015E-13</v>
      </c>
      <c r="O194" s="13">
        <f>N194*VLOOKUP('Données projet'!$B$9,Paramètres!$A$1:$I$89,3,0)*VLOOKUP('Données projet'!$B$9,Paramètres!$A$1:$I$89,5,0)</f>
        <v>-5.1431925385259092E-13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319.18811755575183</v>
      </c>
      <c r="T194" s="59">
        <f t="shared" si="142"/>
        <v>234.87694492493506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9.9315767892201798E-2</v>
      </c>
      <c r="AA194" s="21">
        <f>EXP(-LN(2)/25)*AA193+(1-EXP(-LN(2)/25))/(LN(2)/25)*Calculateur!V194*Calculateur!X194*VLOOKUP('Données projet'!$B$9,Paramètres!$A$1:$I$89,3,0)*0.475*44/12</f>
        <v>0.12995243634497783</v>
      </c>
      <c r="AB194" s="21">
        <f>EXP(-LN(2)/2)*AB193+(1-EXP(-LN(2)/2))/(LN(2)/2)*V194*Y194*VLOOKUP('Données projet'!$B$9,Paramètres!$A$1:$I$89,3,0)*0.475*44/12</f>
        <v>1.2606654885596255E-23</v>
      </c>
      <c r="AC194" s="22">
        <f t="shared" si="163"/>
        <v>0.22926820423717964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-1.8089849618263545E-13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314.94704727988847</v>
      </c>
      <c r="AO194" s="59">
        <f t="shared" si="144"/>
        <v>366.49199094166454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0.16145781111424717</v>
      </c>
      <c r="AV194" s="21">
        <f>EXP(-LN(2)/25)*AV193+(1-EXP(-LN(2)/25))/(LN(2)/25)*Calculateur!AQ194*Calculateur!AS194*VLOOKUP('Données projet'!$B$10,Paramètres!$A$1:$I$89,3,0)*0.475*44/12</f>
        <v>0.29262968812802831</v>
      </c>
      <c r="AW194" s="21">
        <f>EXP(-LN(2)/2)*AW193+(1-EXP(-LN(2)/2))/(LN(2)/2)*AQ194*AT194*VLOOKUP('Données projet'!$B$10,Paramètres!$A$1:$I$89,3,0)*0.475*44/12</f>
        <v>1.6885761411265058E-23</v>
      </c>
      <c r="AX194" s="21">
        <f t="shared" si="166"/>
        <v>0.45408749924227548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-1.4897523215040565E-13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246.64951465060813</v>
      </c>
      <c r="BJ194" s="59">
        <f t="shared" si="146"/>
        <v>292.64550285216865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0.10787747202083996</v>
      </c>
      <c r="BQ194" s="21">
        <f>EXP(-LN(2)/25)*BQ193+(1-EXP(-LN(2)/25))/(LN(2)/25)*Calculateur!BL194*Calculateur!BN194*VLOOKUP('Données projet'!$B$11,Paramètres!$A$1:$I$89,3,0)*0.475*44/12</f>
        <v>0.19551950305557508</v>
      </c>
      <c r="BR194" s="21">
        <f>EXP(-LN(2)/2)*BR193+(1-EXP(-LN(2)/2))/(LN(2)/2)*BL194*BO194*VLOOKUP('Données projet'!$B$11,Paramètres!$A$1:$I$89,3,0)*0.475*44/12</f>
        <v>1.3905921162218284E-23</v>
      </c>
      <c r="BS194" s="22">
        <f t="shared" si="169"/>
        <v>0.30339697507641505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-1.5252226148732008E-13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254.25222107710192</v>
      </c>
      <c r="CE194" s="59">
        <f t="shared" si="148"/>
        <v>300.86609173447573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0.13613109564534559</v>
      </c>
      <c r="CL194" s="21">
        <f>EXP(-LN(2)/25)*CL193+(1-EXP(-LN(2)/25))/(LN(2)/25)*Calculateur!CG194*Calculateur!CI194*VLOOKUP('Données projet'!$B$12,Paramètres!$A$1:$I$89,3,0)*0.475*44/12</f>
        <v>0.24672699195108255</v>
      </c>
      <c r="CM194" s="21">
        <f>EXP(-LN(2)/2)*CM193+(1-EXP(-LN(2)/2))/(LN(2)/2)*CG194*CJ194*VLOOKUP('Données projet'!$B$12,Paramètres!$A$1:$I$89,3,0)*0.475*44/12</f>
        <v>1.4237014523223489E-23</v>
      </c>
      <c r="CN194" s="22">
        <f t="shared" si="172"/>
        <v>0.38285808759642814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243.38048563215585</v>
      </c>
      <c r="CZ194" s="59">
        <f t="shared" si="150"/>
        <v>372.1604147006675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0.30137198532806087</v>
      </c>
      <c r="DG194" s="21">
        <f>EXP(-LN(2)/25)*DG193+(1-EXP(-LN(2)/25))/(LN(2)/25)*Calculateur!DB194*Calculateur!DD194*VLOOKUP('Données projet'!$B$13,Paramètres!$A$1:$I$89,3,0)*0.475*44/12</f>
        <v>0.22301119031452421</v>
      </c>
      <c r="DH194" s="21">
        <f>EXP(-LN(2)/2)*DH193+(1-EXP(-LN(2)/2))/(LN(2)/2)*DB194*DE194*VLOOKUP('Données projet'!$B$13,Paramètres!$A$1:$I$89,3,0)*0.475*44/12</f>
        <v>1.714645511856645E-23</v>
      </c>
      <c r="DI194" s="22">
        <f t="shared" si="175"/>
        <v>0.52438317564258508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1.1368683772161603E-13</v>
      </c>
      <c r="DP194" s="17">
        <f>DO194*VLOOKUP('Données projet'!$B$14,Paramètres!$A$1:$I$89,3,0)*VLOOKUP('Données projet'!$B$14,Paramètres!$A$1:$I$89,5,0)</f>
        <v>6.5028871176764376E-14</v>
      </c>
      <c r="DQ194" s="13">
        <f t="shared" si="176"/>
        <v>1.0270999702906072E-12</v>
      </c>
      <c r="DR194" s="20">
        <f t="shared" si="177"/>
        <v>1.9021243988890057E-12</v>
      </c>
      <c r="DS194" s="59">
        <f t="shared" si="125"/>
        <v>293.33333333333519</v>
      </c>
      <c r="DT194" s="59">
        <f ca="1">AVERAGE(OFFSET($DS$3,0,0,'Données projet'!$E$14+1,1))-AVERAGE(OFFSET($H$3,0,0,'Données projet'!$E$14+1,1))</f>
        <v>227.99747790451215</v>
      </c>
      <c r="DU194" s="59">
        <f t="shared" si="152"/>
        <v>209.49597700966933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0.11827098261421001</v>
      </c>
      <c r="EB194" s="21">
        <f>EXP(-LN(2)/25)*EB193+(1-EXP(-LN(2)/25))/(LN(2)/25)*Calculateur!DW194*Calculateur!DY194*VLOOKUP('Données projet'!$B$14,Paramètres!$A$1:$I$89,3,0)*0.475*44/12</f>
        <v>0.17479418752907278</v>
      </c>
      <c r="EC194" s="21">
        <f>EXP(-LN(2)/2)*EC193+(1-EXP(-LN(2)/2))/(LN(2)/2)*DW194*DZ194*VLOOKUP('Données projet'!$B$14,Paramètres!$A$1:$I$89,3,0)*0.475*44/12</f>
        <v>1.4425408238426803E-23</v>
      </c>
      <c r="ED194" s="22">
        <f t="shared" si="178"/>
        <v>0.29306517014328282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3.4106051316484809E-13</v>
      </c>
      <c r="EK194" s="17">
        <f>EJ194*VLOOKUP('Données projet'!$B$15,Paramètres!$A$1:$I$89,3,0)*VLOOKUP('Données projet'!$B$15,Paramètres!$A$1:$I$89,5,0)</f>
        <v>1.5074874681886286E-13</v>
      </c>
      <c r="EL194" s="13">
        <f t="shared" si="179"/>
        <v>2.1590218794584103E-12</v>
      </c>
      <c r="EM194" s="20">
        <f t="shared" si="180"/>
        <v>4.0228505074329168E-12</v>
      </c>
      <c r="EN194" s="59">
        <f t="shared" si="128"/>
        <v>293.33333333333735</v>
      </c>
      <c r="EO194" s="59">
        <f ca="1">AVERAGE(OFFSET($EN$3,0,0,'Données projet'!$E$15+1,1))-AVERAGE(OFFSET($H$3,0,0,'Données projet'!$E$15+1,1))</f>
        <v>335.27356627949155</v>
      </c>
      <c r="EP194" s="59">
        <f t="shared" si="154"/>
        <v>322.66829503077247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0.32206579083480052</v>
      </c>
      <c r="EX194" s="21">
        <f>EXP(-LN(2)/2)*EX193+(1-EXP(-LN(2)/2))/(LN(2)/2)*ER194*EU194*VLOOKUP('Données projet'!$B$15,Paramètres!$A$1:$I$89,3,0)*0.475*44/12</f>
        <v>2.0695778477928881E-23</v>
      </c>
      <c r="EY194" s="22">
        <f t="shared" si="181"/>
        <v>0.32206579083480052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-5.6843418860808015E-13</v>
      </c>
      <c r="O195" s="13">
        <f>N195*VLOOKUP('Données projet'!$B$9,Paramètres!$A$1:$I$89,3,0)*VLOOKUP('Données projet'!$B$9,Paramètres!$A$1:$I$89,5,0)</f>
        <v>-5.1431925385259092E-13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319.18811755575183</v>
      </c>
      <c r="T195" s="59">
        <f t="shared" si="142"/>
        <v>234.87694492493506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9.7368246260472691E-2</v>
      </c>
      <c r="AA195" s="21">
        <f>EXP(-LN(2)/25)*AA194+(1-EXP(-LN(2)/25))/(LN(2)/25)*Calculateur!V195*Calculateur!X195*VLOOKUP('Données projet'!$B$9,Paramètres!$A$1:$I$89,3,0)*0.475*44/12</f>
        <v>0.12639888013922279</v>
      </c>
      <c r="AB195" s="21">
        <f>EXP(-LN(2)/2)*AB194+(1-EXP(-LN(2)/2))/(LN(2)/2)*V195*Y195*VLOOKUP('Données projet'!$B$9,Paramètres!$A$1:$I$89,3,0)*0.475*44/12</f>
        <v>8.9142511576836316E-24</v>
      </c>
      <c r="AC195" s="22">
        <f t="shared" si="163"/>
        <v>0.22376712639969548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-1.8089849618263545E-13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314.94704727988847</v>
      </c>
      <c r="AO195" s="59">
        <f t="shared" si="144"/>
        <v>366.49199094166454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0.15829172191783752</v>
      </c>
      <c r="AV195" s="21">
        <f>EXP(-LN(2)/25)*AV194+(1-EXP(-LN(2)/25))/(LN(2)/25)*Calculateur!AQ195*Calculateur!AS195*VLOOKUP('Données projet'!$B$10,Paramètres!$A$1:$I$89,3,0)*0.475*44/12</f>
        <v>0.28462771391744091</v>
      </c>
      <c r="AW195" s="21">
        <f>EXP(-LN(2)/2)*AW194+(1-EXP(-LN(2)/2))/(LN(2)/2)*AQ195*AT195*VLOOKUP('Données projet'!$B$10,Paramètres!$A$1:$I$89,3,0)*0.475*44/12</f>
        <v>1.1940036399403649E-23</v>
      </c>
      <c r="AX195" s="21">
        <f t="shared" si="166"/>
        <v>0.44291943583527843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-1.4897523215040565E-13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246.64951465060813</v>
      </c>
      <c r="BJ195" s="59">
        <f t="shared" si="146"/>
        <v>292.64550285216865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0.10576206059327213</v>
      </c>
      <c r="BQ195" s="21">
        <f>EXP(-LN(2)/25)*BQ194+(1-EXP(-LN(2)/25))/(LN(2)/25)*Calculateur!BL195*Calculateur!BN195*VLOOKUP('Données projet'!$B$11,Paramètres!$A$1:$I$89,3,0)*0.475*44/12</f>
        <v>0.19017301196259659</v>
      </c>
      <c r="BR195" s="21">
        <f>EXP(-LN(2)/2)*BR194+(1-EXP(-LN(2)/2))/(LN(2)/2)*BL195*BO195*VLOOKUP('Données projet'!$B$11,Paramètres!$A$1:$I$89,3,0)*0.475*44/12</f>
        <v>9.8329711524500645E-24</v>
      </c>
      <c r="BS195" s="22">
        <f t="shared" si="169"/>
        <v>0.29593507255586871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-1.5252226148732008E-13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254.25222107710192</v>
      </c>
      <c r="CE195" s="59">
        <f t="shared" si="148"/>
        <v>300.86609173447573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0.13346164789150999</v>
      </c>
      <c r="CL195" s="21">
        <f>EXP(-LN(2)/25)*CL194+(1-EXP(-LN(2)/25))/(LN(2)/25)*Calculateur!CG195*Calculateur!CI195*VLOOKUP('Données projet'!$B$12,Paramètres!$A$1:$I$89,3,0)*0.475*44/12</f>
        <v>0.23998022938137159</v>
      </c>
      <c r="CM195" s="21">
        <f>EXP(-LN(2)/2)*CM194+(1-EXP(-LN(2)/2))/(LN(2)/2)*CG195*CJ195*VLOOKUP('Données projet'!$B$12,Paramètres!$A$1:$I$89,3,0)*0.475*44/12</f>
        <v>1.0067089513222691E-23</v>
      </c>
      <c r="CN195" s="22">
        <f t="shared" si="172"/>
        <v>0.37344187727288158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243.38048563215585</v>
      </c>
      <c r="CZ195" s="59">
        <f t="shared" si="150"/>
        <v>372.1604147006675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0.29546226451453805</v>
      </c>
      <c r="DG195" s="21">
        <f>EXP(-LN(2)/25)*DG194+(1-EXP(-LN(2)/25))/(LN(2)/25)*Calculateur!DB195*Calculateur!DD195*VLOOKUP('Données projet'!$B$13,Paramètres!$A$1:$I$89,3,0)*0.475*44/12</f>
        <v>0.21691293758772476</v>
      </c>
      <c r="DH195" s="21">
        <f>EXP(-LN(2)/2)*DH194+(1-EXP(-LN(2)/2))/(LN(2)/2)*DB195*DE195*VLOOKUP('Données projet'!$B$13,Paramètres!$A$1:$I$89,3,0)*0.475*44/12</f>
        <v>1.2124374687649124E-23</v>
      </c>
      <c r="DI195" s="22">
        <f t="shared" si="175"/>
        <v>0.51237520210226284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1.1368683772161603E-13</v>
      </c>
      <c r="DP195" s="17">
        <f>DO195*VLOOKUP('Données projet'!$B$14,Paramètres!$A$1:$I$89,3,0)*VLOOKUP('Données projet'!$B$14,Paramètres!$A$1:$I$89,5,0)</f>
        <v>6.5028871176764376E-14</v>
      </c>
      <c r="DQ195" s="13">
        <f t="shared" si="176"/>
        <v>1.0270999702906072E-12</v>
      </c>
      <c r="DR195" s="20">
        <f t="shared" si="177"/>
        <v>1.9021243988890057E-12</v>
      </c>
      <c r="DS195" s="59">
        <f t="shared" si="125"/>
        <v>293.33333333333519</v>
      </c>
      <c r="DT195" s="59">
        <f ca="1">AVERAGE(OFFSET($DS$3,0,0,'Données projet'!$E$14+1,1))-AVERAGE(OFFSET($H$3,0,0,'Données projet'!$E$14+1,1))</f>
        <v>227.99747790451215</v>
      </c>
      <c r="DU195" s="59">
        <f t="shared" si="152"/>
        <v>209.49597700966933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0.1159517607833217</v>
      </c>
      <c r="EB195" s="21">
        <f>EXP(-LN(2)/25)*EB194+(1-EXP(-LN(2)/25))/(LN(2)/25)*Calculateur!DW195*Calculateur!DY195*VLOOKUP('Données projet'!$B$14,Paramètres!$A$1:$I$89,3,0)*0.475*44/12</f>
        <v>0.17001443127906346</v>
      </c>
      <c r="EC195" s="21">
        <f>EXP(-LN(2)/2)*EC194+(1-EXP(-LN(2)/2))/(LN(2)/2)*DW195*DZ195*VLOOKUP('Données projet'!$B$14,Paramètres!$A$1:$I$89,3,0)*0.475*44/12</f>
        <v>1.0200303986775882E-23</v>
      </c>
      <c r="ED195" s="22">
        <f t="shared" si="178"/>
        <v>0.28596619206238516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3.4106051316484809E-13</v>
      </c>
      <c r="EK195" s="17">
        <f>EJ195*VLOOKUP('Données projet'!$B$15,Paramètres!$A$1:$I$89,3,0)*VLOOKUP('Données projet'!$B$15,Paramètres!$A$1:$I$89,5,0)</f>
        <v>1.5074874681886286E-13</v>
      </c>
      <c r="EL195" s="13">
        <f t="shared" si="179"/>
        <v>2.1590218794584103E-12</v>
      </c>
      <c r="EM195" s="20">
        <f t="shared" si="180"/>
        <v>4.0228505074329168E-12</v>
      </c>
      <c r="EN195" s="59">
        <f t="shared" si="128"/>
        <v>293.33333333333735</v>
      </c>
      <c r="EO195" s="59">
        <f ca="1">AVERAGE(OFFSET($EN$3,0,0,'Données projet'!$E$15+1,1))-AVERAGE(OFFSET($H$3,0,0,'Données projet'!$E$15+1,1))</f>
        <v>335.27356627949155</v>
      </c>
      <c r="EP195" s="59">
        <f t="shared" si="154"/>
        <v>322.66829503077247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0.31325888484771908</v>
      </c>
      <c r="EX195" s="21">
        <f>EXP(-LN(2)/2)*EX194+(1-EXP(-LN(2)/2))/(LN(2)/2)*ER195*EU195*VLOOKUP('Données projet'!$B$15,Paramètres!$A$1:$I$89,3,0)*0.475*44/12</f>
        <v>1.4634125303678117E-23</v>
      </c>
      <c r="EY195" s="22">
        <f t="shared" si="181"/>
        <v>0.31325888484771908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-5.6843418860808015E-13</v>
      </c>
      <c r="O196" s="13">
        <f>N196*VLOOKUP('Données projet'!$B$9,Paramètres!$A$1:$I$89,3,0)*VLOOKUP('Données projet'!$B$9,Paramètres!$A$1:$I$89,5,0)</f>
        <v>-5.1431925385259092E-13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319.18811755575183</v>
      </c>
      <c r="T196" s="59">
        <f t="shared" si="142"/>
        <v>234.87694492493506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9.545891434007088E-2</v>
      </c>
      <c r="AA196" s="21">
        <f>EXP(-LN(2)/25)*AA195+(1-EXP(-LN(2)/25))/(LN(2)/25)*Calculateur!V196*Calculateur!X196*VLOOKUP('Données projet'!$B$9,Paramètres!$A$1:$I$89,3,0)*0.475*44/12</f>
        <v>0.12294249611478753</v>
      </c>
      <c r="AB196" s="21">
        <f>EXP(-LN(2)/2)*AB195+(1-EXP(-LN(2)/2))/(LN(2)/2)*V196*Y196*VLOOKUP('Données projet'!$B$9,Paramètres!$A$1:$I$89,3,0)*0.475*44/12</f>
        <v>6.3033274427981277E-24</v>
      </c>
      <c r="AC196" s="22">
        <f t="shared" si="163"/>
        <v>0.21840141045485839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-1.8089849618263545E-13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314.94704727988847</v>
      </c>
      <c r="AO196" s="59">
        <f t="shared" si="144"/>
        <v>366.49199094166454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0.15518771779944573</v>
      </c>
      <c r="AV196" s="21">
        <f>EXP(-LN(2)/25)*AV195+(1-EXP(-LN(2)/25))/(LN(2)/25)*Calculateur!AQ196*Calculateur!AS196*VLOOKUP('Données projet'!$B$10,Paramètres!$A$1:$I$89,3,0)*0.475*44/12</f>
        <v>0.27684455411244752</v>
      </c>
      <c r="AW196" s="21">
        <f>EXP(-LN(2)/2)*AW195+(1-EXP(-LN(2)/2))/(LN(2)/2)*AQ196*AT196*VLOOKUP('Données projet'!$B$10,Paramètres!$A$1:$I$89,3,0)*0.475*44/12</f>
        <v>8.4428807056325288E-24</v>
      </c>
      <c r="AX196" s="21">
        <f t="shared" si="166"/>
        <v>0.43203227191189325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-1.4897523215040565E-13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246.64951465060813</v>
      </c>
      <c r="BJ196" s="59">
        <f t="shared" si="146"/>
        <v>292.64550285216865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0.10368813109352534</v>
      </c>
      <c r="BQ196" s="21">
        <f>EXP(-LN(2)/25)*BQ195+(1-EXP(-LN(2)/25))/(LN(2)/25)*Calculateur!BL196*Calculateur!BN196*VLOOKUP('Données projet'!$B$11,Paramètres!$A$1:$I$89,3,0)*0.475*44/12</f>
        <v>0.18497272094971534</v>
      </c>
      <c r="BR196" s="21">
        <f>EXP(-LN(2)/2)*BR195+(1-EXP(-LN(2)/2))/(LN(2)/2)*BL196*BO196*VLOOKUP('Données projet'!$B$11,Paramètres!$A$1:$I$89,3,0)*0.475*44/12</f>
        <v>6.9529605811091418E-24</v>
      </c>
      <c r="BS196" s="22">
        <f t="shared" si="169"/>
        <v>0.28866085204324066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-1.5252226148732008E-13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254.25222107710192</v>
      </c>
      <c r="CE196" s="59">
        <f t="shared" si="148"/>
        <v>300.86609173447573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0.13084454637992476</v>
      </c>
      <c r="CL196" s="21">
        <f>EXP(-LN(2)/25)*CL195+(1-EXP(-LN(2)/25))/(LN(2)/25)*Calculateur!CG196*Calculateur!CI196*VLOOKUP('Données projet'!$B$12,Paramètres!$A$1:$I$89,3,0)*0.475*44/12</f>
        <v>0.23341795738892621</v>
      </c>
      <c r="CM196" s="21">
        <f>EXP(-LN(2)/2)*CM195+(1-EXP(-LN(2)/2))/(LN(2)/2)*CG196*CJ196*VLOOKUP('Données projet'!$B$12,Paramètres!$A$1:$I$89,3,0)*0.475*44/12</f>
        <v>7.1185072616117444E-24</v>
      </c>
      <c r="CN196" s="22">
        <f t="shared" si="172"/>
        <v>0.36426250376885094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243.38048563215585</v>
      </c>
      <c r="CZ196" s="59">
        <f t="shared" si="150"/>
        <v>372.1604147006675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0.28966842972159462</v>
      </c>
      <c r="DG196" s="21">
        <f>EXP(-LN(2)/25)*DG195+(1-EXP(-LN(2)/25))/(LN(2)/25)*Calculateur!DB196*Calculateur!DD196*VLOOKUP('Données projet'!$B$13,Paramètres!$A$1:$I$89,3,0)*0.475*44/12</f>
        <v>0.21098144190243279</v>
      </c>
      <c r="DH196" s="21">
        <f>EXP(-LN(2)/2)*DH195+(1-EXP(-LN(2)/2))/(LN(2)/2)*DB196*DE196*VLOOKUP('Données projet'!$B$13,Paramètres!$A$1:$I$89,3,0)*0.475*44/12</f>
        <v>8.5732275592832248E-24</v>
      </c>
      <c r="DI196" s="22">
        <f t="shared" si="175"/>
        <v>0.50064987162402741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1.1368683772161603E-13</v>
      </c>
      <c r="DP196" s="17">
        <f>DO196*VLOOKUP('Données projet'!$B$14,Paramètres!$A$1:$I$89,3,0)*VLOOKUP('Données projet'!$B$14,Paramètres!$A$1:$I$89,5,0)</f>
        <v>6.5028871176764376E-14</v>
      </c>
      <c r="DQ196" s="13">
        <f t="shared" si="176"/>
        <v>1.0270999702906072E-12</v>
      </c>
      <c r="DR196" s="20">
        <f t="shared" si="177"/>
        <v>1.9021243988890057E-12</v>
      </c>
      <c r="DS196" s="59">
        <f t="shared" ref="DS196:DS203" si="197">DR196+(DJ196+DK196)*44/12</f>
        <v>293.33333333333519</v>
      </c>
      <c r="DT196" s="59">
        <f ca="1">AVERAGE(OFFSET($DS$3,0,0,'Données projet'!$E$14+1,1))-AVERAGE(OFFSET($H$3,0,0,'Données projet'!$E$14+1,1))</f>
        <v>227.99747790451215</v>
      </c>
      <c r="DU196" s="59">
        <f t="shared" si="152"/>
        <v>209.49597700966933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0.11367801747795146</v>
      </c>
      <c r="EB196" s="21">
        <f>EXP(-LN(2)/25)*EB195+(1-EXP(-LN(2)/25))/(LN(2)/25)*Calculateur!DW196*Calculateur!DY196*VLOOKUP('Données projet'!$B$14,Paramètres!$A$1:$I$89,3,0)*0.475*44/12</f>
        <v>0.1653653777150671</v>
      </c>
      <c r="EC196" s="21">
        <f>EXP(-LN(2)/2)*EC195+(1-EXP(-LN(2)/2))/(LN(2)/2)*DW196*DZ196*VLOOKUP('Données projet'!$B$14,Paramètres!$A$1:$I$89,3,0)*0.475*44/12</f>
        <v>7.2127041192134016E-24</v>
      </c>
      <c r="ED196" s="22">
        <f t="shared" si="178"/>
        <v>0.27904339519301857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3.4106051316484809E-13</v>
      </c>
      <c r="EK196" s="17">
        <f>EJ196*VLOOKUP('Données projet'!$B$15,Paramètres!$A$1:$I$89,3,0)*VLOOKUP('Données projet'!$B$15,Paramètres!$A$1:$I$89,5,0)</f>
        <v>1.5074874681886286E-13</v>
      </c>
      <c r="EL196" s="13">
        <f t="shared" si="179"/>
        <v>2.1590218794584103E-12</v>
      </c>
      <c r="EM196" s="20">
        <f t="shared" si="180"/>
        <v>4.0228505074329168E-12</v>
      </c>
      <c r="EN196" s="59">
        <f t="shared" ref="EN196:EN203" si="198">EM196+(EE196+EF196)*44/12</f>
        <v>293.33333333333735</v>
      </c>
      <c r="EO196" s="59">
        <f ca="1">AVERAGE(OFFSET($EN$3,0,0,'Données projet'!$E$15+1,1))-AVERAGE(OFFSET($H$3,0,0,'Données projet'!$E$15+1,1))</f>
        <v>335.27356627949155</v>
      </c>
      <c r="EP196" s="59">
        <f t="shared" si="154"/>
        <v>322.66829503077247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0.30469280416798938</v>
      </c>
      <c r="EX196" s="21">
        <f>EXP(-LN(2)/2)*EX195+(1-EXP(-LN(2)/2))/(LN(2)/2)*ER196*EU196*VLOOKUP('Données projet'!$B$15,Paramètres!$A$1:$I$89,3,0)*0.475*44/12</f>
        <v>1.0347889238964441E-23</v>
      </c>
      <c r="EY196" s="22">
        <f t="shared" si="181"/>
        <v>0.30469280416798938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-5.6843418860808015E-13</v>
      </c>
      <c r="O197" s="13">
        <f>N197*VLOOKUP('Données projet'!$B$9,Paramètres!$A$1:$I$89,3,0)*VLOOKUP('Données projet'!$B$9,Paramètres!$A$1:$I$89,5,0)</f>
        <v>-5.1431925385259092E-13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319.18811755575183</v>
      </c>
      <c r="T197" s="59">
        <f t="shared" ref="T197:T203" si="204">$T$3</f>
        <v>234.87694492493506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9.3587023254050675E-2</v>
      </c>
      <c r="AA197" s="21">
        <f>EXP(-LN(2)/25)*AA196+(1-EXP(-LN(2)/25))/(LN(2)/25)*Calculateur!V197*Calculateur!X197*VLOOKUP('Données projet'!$B$9,Paramètres!$A$1:$I$89,3,0)*0.475*44/12</f>
        <v>0.11958062709326378</v>
      </c>
      <c r="AB197" s="21">
        <f>EXP(-LN(2)/2)*AB196+(1-EXP(-LN(2)/2))/(LN(2)/2)*V197*Y197*VLOOKUP('Données projet'!$B$9,Paramètres!$A$1:$I$89,3,0)*0.475*44/12</f>
        <v>4.4571255788418158E-24</v>
      </c>
      <c r="AC197" s="22">
        <f t="shared" si="163"/>
        <v>0.21316765034731444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-1.8089849618263545E-13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314.94704727988847</v>
      </c>
      <c r="AO197" s="59">
        <f t="shared" ref="AO197:AO203" si="205">$AO$3</f>
        <v>366.49199094166454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0.15214458130856004</v>
      </c>
      <c r="AV197" s="21">
        <f>EXP(-LN(2)/25)*AV196+(1-EXP(-LN(2)/25))/(LN(2)/25)*Calculateur!AQ197*Calculateur!AS197*VLOOKUP('Données projet'!$B$10,Paramètres!$A$1:$I$89,3,0)*0.475*44/12</f>
        <v>0.26927422522162026</v>
      </c>
      <c r="AW197" s="21">
        <f>EXP(-LN(2)/2)*AW196+(1-EXP(-LN(2)/2))/(LN(2)/2)*AQ197*AT197*VLOOKUP('Données projet'!$B$10,Paramètres!$A$1:$I$89,3,0)*0.475*44/12</f>
        <v>5.9700181997018246E-24</v>
      </c>
      <c r="AX197" s="21">
        <f t="shared" si="166"/>
        <v>0.42141880653018027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-1.4897523215040565E-13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246.64951465060813</v>
      </c>
      <c r="BJ197" s="59">
        <f t="shared" ref="BJ197:BJ203" si="206">$BJ$3</f>
        <v>292.64550285216865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0.10165487008629651</v>
      </c>
      <c r="BQ197" s="21">
        <f>EXP(-LN(2)/25)*BQ196+(1-EXP(-LN(2)/25))/(LN(2)/25)*Calculateur!BL197*Calculateur!BN197*VLOOKUP('Données projet'!$B$11,Paramètres!$A$1:$I$89,3,0)*0.475*44/12</f>
        <v>0.17991463216805273</v>
      </c>
      <c r="BR197" s="21">
        <f>EXP(-LN(2)/2)*BR196+(1-EXP(-LN(2)/2))/(LN(2)/2)*BL197*BO197*VLOOKUP('Données projet'!$B$11,Paramètres!$A$1:$I$89,3,0)*0.475*44/12</f>
        <v>4.9164855762250323E-24</v>
      </c>
      <c r="BS197" s="22">
        <f t="shared" si="169"/>
        <v>0.28156950225434924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-1.5252226148732008E-13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254.25222107710192</v>
      </c>
      <c r="CE197" s="59">
        <f t="shared" ref="CE197:CE203" si="207">$CE$3</f>
        <v>300.86609173447573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0.1282787646327074</v>
      </c>
      <c r="CL197" s="21">
        <f>EXP(-LN(2)/25)*CL196+(1-EXP(-LN(2)/25))/(LN(2)/25)*Calculateur!CG197*Calculateur!CI197*VLOOKUP('Données projet'!$B$12,Paramètres!$A$1:$I$89,3,0)*0.475*44/12</f>
        <v>0.22703513106920911</v>
      </c>
      <c r="CM197" s="21">
        <f>EXP(-LN(2)/2)*CM196+(1-EXP(-LN(2)/2))/(LN(2)/2)*CG197*CJ197*VLOOKUP('Données projet'!$B$12,Paramètres!$A$1:$I$89,3,0)*0.475*44/12</f>
        <v>5.0335447566113455E-24</v>
      </c>
      <c r="CN197" s="22">
        <f t="shared" si="172"/>
        <v>0.35531389570191652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243.38048563215585</v>
      </c>
      <c r="CZ197" s="59">
        <f t="shared" ref="CZ197:CZ203" si="208">$CZ$3</f>
        <v>372.1604147006675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0.28398820849505058</v>
      </c>
      <c r="DG197" s="21">
        <f>EXP(-LN(2)/25)*DG196+(1-EXP(-LN(2)/25))/(LN(2)/25)*Calculateur!DB197*Calculateur!DD197*VLOOKUP('Données projet'!$B$13,Paramètres!$A$1:$I$89,3,0)*0.475*44/12</f>
        <v>0.20521214327857895</v>
      </c>
      <c r="DH197" s="21">
        <f>EXP(-LN(2)/2)*DH196+(1-EXP(-LN(2)/2))/(LN(2)/2)*DB197*DE197*VLOOKUP('Données projet'!$B$13,Paramètres!$A$1:$I$89,3,0)*0.475*44/12</f>
        <v>6.0621873438245622E-24</v>
      </c>
      <c r="DI197" s="22">
        <f t="shared" si="175"/>
        <v>0.48920035177362953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1.1368683772161603E-13</v>
      </c>
      <c r="DP197" s="17">
        <f>DO197*VLOOKUP('Données projet'!$B$14,Paramètres!$A$1:$I$89,3,0)*VLOOKUP('Données projet'!$B$14,Paramètres!$A$1:$I$89,5,0)</f>
        <v>6.5028871176764376E-14</v>
      </c>
      <c r="DQ197" s="13">
        <f t="shared" si="176"/>
        <v>1.0270999702906072E-12</v>
      </c>
      <c r="DR197" s="20">
        <f t="shared" si="177"/>
        <v>1.9021243988890057E-12</v>
      </c>
      <c r="DS197" s="59">
        <f t="shared" si="197"/>
        <v>293.33333333333519</v>
      </c>
      <c r="DT197" s="59">
        <f ca="1">AVERAGE(OFFSET($DS$3,0,0,'Données projet'!$E$14+1,1))-AVERAGE(OFFSET($H$3,0,0,'Données projet'!$E$14+1,1))</f>
        <v>227.99747790451215</v>
      </c>
      <c r="DU197" s="59">
        <f t="shared" ref="DU197:DU203" si="209">$DU$3</f>
        <v>209.49597700966933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0.11144886089195306</v>
      </c>
      <c r="EB197" s="21">
        <f>EXP(-LN(2)/25)*EB196+(1-EXP(-LN(2)/25))/(LN(2)/25)*Calculateur!DW197*Calculateur!DY197*VLOOKUP('Données projet'!$B$14,Paramètres!$A$1:$I$89,3,0)*0.475*44/12</f>
        <v>0.16084345276526132</v>
      </c>
      <c r="EC197" s="21">
        <f>EXP(-LN(2)/2)*EC196+(1-EXP(-LN(2)/2))/(LN(2)/2)*DW197*DZ197*VLOOKUP('Données projet'!$B$14,Paramètres!$A$1:$I$89,3,0)*0.475*44/12</f>
        <v>5.1001519933879408E-24</v>
      </c>
      <c r="ED197" s="22">
        <f t="shared" si="178"/>
        <v>0.2722923136572144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3.4106051316484809E-13</v>
      </c>
      <c r="EK197" s="17">
        <f>EJ197*VLOOKUP('Données projet'!$B$15,Paramètres!$A$1:$I$89,3,0)*VLOOKUP('Données projet'!$B$15,Paramètres!$A$1:$I$89,5,0)</f>
        <v>1.5074874681886286E-13</v>
      </c>
      <c r="EL197" s="13">
        <f t="shared" si="179"/>
        <v>2.1590218794584103E-12</v>
      </c>
      <c r="EM197" s="20">
        <f t="shared" si="180"/>
        <v>4.0228505074329168E-12</v>
      </c>
      <c r="EN197" s="59">
        <f t="shared" si="198"/>
        <v>293.33333333333735</v>
      </c>
      <c r="EO197" s="59">
        <f ca="1">AVERAGE(OFFSET($EN$3,0,0,'Données projet'!$E$15+1,1))-AVERAGE(OFFSET($H$3,0,0,'Données projet'!$E$15+1,1))</f>
        <v>335.27356627949155</v>
      </c>
      <c r="EP197" s="59">
        <f t="shared" ref="EP197:EP203" si="210">$EP$3</f>
        <v>322.66829503077247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0.29636096341491752</v>
      </c>
      <c r="EX197" s="21">
        <f>EXP(-LN(2)/2)*EX196+(1-EXP(-LN(2)/2))/(LN(2)/2)*ER197*EU197*VLOOKUP('Données projet'!$B$15,Paramètres!$A$1:$I$89,3,0)*0.475*44/12</f>
        <v>7.3170626518390585E-24</v>
      </c>
      <c r="EY197" s="22">
        <f t="shared" si="181"/>
        <v>0.29636096341491752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-5.6843418860808015E-13</v>
      </c>
      <c r="O198" s="13">
        <f>N198*VLOOKUP('Données projet'!$B$9,Paramètres!$A$1:$I$89,3,0)*VLOOKUP('Données projet'!$B$9,Paramètres!$A$1:$I$89,5,0)</f>
        <v>-5.1431925385259092E-13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319.18811755575183</v>
      </c>
      <c r="T198" s="59">
        <f t="shared" si="204"/>
        <v>234.87694492493506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9.17518388104865E-2</v>
      </c>
      <c r="AA198" s="21">
        <f>EXP(-LN(2)/25)*AA197+(1-EXP(-LN(2)/25))/(LN(2)/25)*Calculateur!V198*Calculateur!X198*VLOOKUP('Données projet'!$B$9,Paramètres!$A$1:$I$89,3,0)*0.475*44/12</f>
        <v>0.11631068855692661</v>
      </c>
      <c r="AB198" s="21">
        <f>EXP(-LN(2)/2)*AB197+(1-EXP(-LN(2)/2))/(LN(2)/2)*V198*Y198*VLOOKUP('Données projet'!$B$9,Paramètres!$A$1:$I$89,3,0)*0.475*44/12</f>
        <v>3.1516637213990639E-24</v>
      </c>
      <c r="AC198" s="22">
        <f t="shared" si="163"/>
        <v>0.2080625273674131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-1.8089849618263545E-13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314.94704727988847</v>
      </c>
      <c r="AO198" s="59">
        <f t="shared" si="205"/>
        <v>366.49199094166454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0.14916111886813063</v>
      </c>
      <c r="AV198" s="21">
        <f>EXP(-LN(2)/25)*AV197+(1-EXP(-LN(2)/25))/(LN(2)/25)*Calculateur!AQ198*Calculateur!AS198*VLOOKUP('Données projet'!$B$10,Paramètres!$A$1:$I$89,3,0)*0.475*44/12</f>
        <v>0.26191090737241896</v>
      </c>
      <c r="AW198" s="21">
        <f>EXP(-LN(2)/2)*AW197+(1-EXP(-LN(2)/2))/(LN(2)/2)*AQ198*AT198*VLOOKUP('Données projet'!$B$10,Paramètres!$A$1:$I$89,3,0)*0.475*44/12</f>
        <v>4.2214403528162644E-24</v>
      </c>
      <c r="AX198" s="21">
        <f t="shared" si="166"/>
        <v>0.41107202624054962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-1.4897523215040565E-13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246.64951465060813</v>
      </c>
      <c r="BJ198" s="59">
        <f t="shared" si="206"/>
        <v>292.64550285216865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9.966148008725266E-2</v>
      </c>
      <c r="BQ198" s="21">
        <f>EXP(-LN(2)/25)*BQ197+(1-EXP(-LN(2)/25))/(LN(2)/25)*Calculateur!BL198*Calculateur!BN198*VLOOKUP('Données projet'!$B$11,Paramètres!$A$1:$I$89,3,0)*0.475*44/12</f>
        <v>0.17499485709011803</v>
      </c>
      <c r="BR198" s="21">
        <f>EXP(-LN(2)/2)*BR197+(1-EXP(-LN(2)/2))/(LN(2)/2)*BL198*BO198*VLOOKUP('Données projet'!$B$11,Paramètres!$A$1:$I$89,3,0)*0.475*44/12</f>
        <v>3.4764802905545709E-24</v>
      </c>
      <c r="BS198" s="22">
        <f t="shared" si="169"/>
        <v>0.2746563371773707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-1.5252226148732008E-13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254.25222107710192</v>
      </c>
      <c r="CE198" s="59">
        <f t="shared" si="207"/>
        <v>300.86609173447573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0.12576329630058064</v>
      </c>
      <c r="CL198" s="21">
        <f>EXP(-LN(2)/25)*CL197+(1-EXP(-LN(2)/25))/(LN(2)/25)*Calculateur!CG198*Calculateur!CI198*VLOOKUP('Données projet'!$B$12,Paramètres!$A$1:$I$89,3,0)*0.475*44/12</f>
        <v>0.22082684347086295</v>
      </c>
      <c r="CM198" s="21">
        <f>EXP(-LN(2)/2)*CM197+(1-EXP(-LN(2)/2))/(LN(2)/2)*CG198*CJ198*VLOOKUP('Données projet'!$B$12,Paramètres!$A$1:$I$89,3,0)*0.475*44/12</f>
        <v>3.5592536308058722E-24</v>
      </c>
      <c r="CN198" s="22">
        <f t="shared" si="172"/>
        <v>0.34659013977144359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243.38048563215585</v>
      </c>
      <c r="CZ198" s="59">
        <f t="shared" si="208"/>
        <v>372.1604147006675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0.27841937294216618</v>
      </c>
      <c r="DG198" s="21">
        <f>EXP(-LN(2)/25)*DG197+(1-EXP(-LN(2)/25))/(LN(2)/25)*Calculateur!DB198*Calculateur!DD198*VLOOKUP('Données projet'!$B$13,Paramètres!$A$1:$I$89,3,0)*0.475*44/12</f>
        <v>0.19960060642898861</v>
      </c>
      <c r="DH198" s="21">
        <f>EXP(-LN(2)/2)*DH197+(1-EXP(-LN(2)/2))/(LN(2)/2)*DB198*DE198*VLOOKUP('Données projet'!$B$13,Paramètres!$A$1:$I$89,3,0)*0.475*44/12</f>
        <v>4.2866137796416124E-24</v>
      </c>
      <c r="DI198" s="22">
        <f t="shared" si="175"/>
        <v>0.47801997937115481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1.1368683772161603E-13</v>
      </c>
      <c r="DP198" s="17">
        <f>DO198*VLOOKUP('Données projet'!$B$14,Paramètres!$A$1:$I$89,3,0)*VLOOKUP('Données projet'!$B$14,Paramètres!$A$1:$I$89,5,0)</f>
        <v>6.5028871176764376E-14</v>
      </c>
      <c r="DQ198" s="13">
        <f t="shared" si="176"/>
        <v>1.0270999702906072E-12</v>
      </c>
      <c r="DR198" s="20">
        <f t="shared" si="177"/>
        <v>1.9021243988890057E-12</v>
      </c>
      <c r="DS198" s="59">
        <f t="shared" si="197"/>
        <v>293.33333333333519</v>
      </c>
      <c r="DT198" s="59">
        <f ca="1">AVERAGE(OFFSET($DS$3,0,0,'Données projet'!$E$14+1,1))-AVERAGE(OFFSET($H$3,0,0,'Données projet'!$E$14+1,1))</f>
        <v>227.99747790451215</v>
      </c>
      <c r="DU198" s="59">
        <f t="shared" si="209"/>
        <v>209.49597700966933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0.10926341670695483</v>
      </c>
      <c r="EB198" s="21">
        <f>EXP(-LN(2)/25)*EB197+(1-EXP(-LN(2)/25))/(LN(2)/25)*Calculateur!DW198*Calculateur!DY198*VLOOKUP('Données projet'!$B$14,Paramètres!$A$1:$I$89,3,0)*0.475*44/12</f>
        <v>0.15644518009100569</v>
      </c>
      <c r="EC198" s="21">
        <f>EXP(-LN(2)/2)*EC197+(1-EXP(-LN(2)/2))/(LN(2)/2)*DW198*DZ198*VLOOKUP('Données projet'!$B$14,Paramètres!$A$1:$I$89,3,0)*0.475*44/12</f>
        <v>3.6063520596067008E-24</v>
      </c>
      <c r="ED198" s="22">
        <f t="shared" si="178"/>
        <v>0.26570859679796055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3.4106051316484809E-13</v>
      </c>
      <c r="EK198" s="17">
        <f>EJ198*VLOOKUP('Données projet'!$B$15,Paramètres!$A$1:$I$89,3,0)*VLOOKUP('Données projet'!$B$15,Paramètres!$A$1:$I$89,5,0)</f>
        <v>1.5074874681886286E-13</v>
      </c>
      <c r="EL198" s="13">
        <f t="shared" si="179"/>
        <v>2.1590218794584103E-12</v>
      </c>
      <c r="EM198" s="20">
        <f t="shared" si="180"/>
        <v>4.0228505074329168E-12</v>
      </c>
      <c r="EN198" s="59">
        <f t="shared" si="198"/>
        <v>293.33333333333735</v>
      </c>
      <c r="EO198" s="59">
        <f ca="1">AVERAGE(OFFSET($EN$3,0,0,'Données projet'!$E$15+1,1))-AVERAGE(OFFSET($H$3,0,0,'Données projet'!$E$15+1,1))</f>
        <v>335.27356627949155</v>
      </c>
      <c r="EP198" s="59">
        <f t="shared" si="210"/>
        <v>322.66829503077247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0.28825695728539086</v>
      </c>
      <c r="EX198" s="21">
        <f>EXP(-LN(2)/2)*EX197+(1-EXP(-LN(2)/2))/(LN(2)/2)*ER198*EU198*VLOOKUP('Données projet'!$B$15,Paramètres!$A$1:$I$89,3,0)*0.475*44/12</f>
        <v>5.1739446194822204E-24</v>
      </c>
      <c r="EY198" s="22">
        <f t="shared" si="181"/>
        <v>0.28825695728539086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-5.6843418860808015E-13</v>
      </c>
      <c r="O199" s="13">
        <f>N199*VLOOKUP('Données projet'!$B$9,Paramètres!$A$1:$I$89,3,0)*VLOOKUP('Données projet'!$B$9,Paramètres!$A$1:$I$89,5,0)</f>
        <v>-5.1431925385259092E-13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319.18811755575183</v>
      </c>
      <c r="T199" s="59">
        <f t="shared" si="204"/>
        <v>234.87694492493506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8.9952641214508633E-2</v>
      </c>
      <c r="AA199" s="21">
        <f>EXP(-LN(2)/25)*AA198+(1-EXP(-LN(2)/25))/(LN(2)/25)*Calculateur!V199*Calculateur!X199*VLOOKUP('Données projet'!$B$9,Paramètres!$A$1:$I$89,3,0)*0.475*44/12</f>
        <v>0.11313016666182417</v>
      </c>
      <c r="AB199" s="21">
        <f>EXP(-LN(2)/2)*AB198+(1-EXP(-LN(2)/2))/(LN(2)/2)*V199*Y199*VLOOKUP('Données projet'!$B$9,Paramètres!$A$1:$I$89,3,0)*0.475*44/12</f>
        <v>2.2285627894209079E-24</v>
      </c>
      <c r="AC199" s="22">
        <f t="shared" si="163"/>
        <v>0.20308280787633282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-1.8089849618263545E-13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314.94704727988847</v>
      </c>
      <c r="AO199" s="59">
        <f t="shared" si="205"/>
        <v>366.49199094166454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0.14623616030642564</v>
      </c>
      <c r="AV199" s="21">
        <f>EXP(-LN(2)/25)*AV198+(1-EXP(-LN(2)/25))/(LN(2)/25)*Calculateur!AQ199*Calculateur!AS199*VLOOKUP('Données projet'!$B$10,Paramètres!$A$1:$I$89,3,0)*0.475*44/12</f>
        <v>0.25474893983702412</v>
      </c>
      <c r="AW199" s="21">
        <f>EXP(-LN(2)/2)*AW198+(1-EXP(-LN(2)/2))/(LN(2)/2)*AQ199*AT199*VLOOKUP('Données projet'!$B$10,Paramètres!$A$1:$I$89,3,0)*0.475*44/12</f>
        <v>2.9850090998509123E-24</v>
      </c>
      <c r="AX199" s="21">
        <f t="shared" si="166"/>
        <v>0.40098510014344979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-1.4897523215040565E-13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246.64951465060813</v>
      </c>
      <c r="BJ199" s="59">
        <f t="shared" si="206"/>
        <v>292.64550285216865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9.7707179250242221E-2</v>
      </c>
      <c r="BQ199" s="21">
        <f>EXP(-LN(2)/25)*BQ198+(1-EXP(-LN(2)/25))/(LN(2)/25)*Calculateur!BL199*Calculateur!BN199*VLOOKUP('Données projet'!$B$11,Paramètres!$A$1:$I$89,3,0)*0.475*44/12</f>
        <v>0.17020961352040917</v>
      </c>
      <c r="BR199" s="21">
        <f>EXP(-LN(2)/2)*BR198+(1-EXP(-LN(2)/2))/(LN(2)/2)*BL199*BO199*VLOOKUP('Données projet'!$B$11,Paramètres!$A$1:$I$89,3,0)*0.475*44/12</f>
        <v>2.4582427881125161E-24</v>
      </c>
      <c r="BS199" s="22">
        <f t="shared" si="169"/>
        <v>0.26791679277065139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-1.5252226148732008E-13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254.25222107710192</v>
      </c>
      <c r="CE199" s="59">
        <f t="shared" si="207"/>
        <v>300.86609173447573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0.12329715476816271</v>
      </c>
      <c r="CL199" s="21">
        <f>EXP(-LN(2)/25)*CL198+(1-EXP(-LN(2)/25))/(LN(2)/25)*Calculateur!CG199*Calculateur!CI199*VLOOKUP('Données projet'!$B$12,Paramètres!$A$1:$I$89,3,0)*0.475*44/12</f>
        <v>0.21478832182337321</v>
      </c>
      <c r="CM199" s="21">
        <f>EXP(-LN(2)/2)*CM198+(1-EXP(-LN(2)/2))/(LN(2)/2)*CG199*CJ199*VLOOKUP('Données projet'!$B$12,Paramètres!$A$1:$I$89,3,0)*0.475*44/12</f>
        <v>2.5167723783056727E-24</v>
      </c>
      <c r="CN199" s="22">
        <f t="shared" si="172"/>
        <v>0.33808547659153593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243.38048563215585</v>
      </c>
      <c r="CZ199" s="59">
        <f t="shared" si="208"/>
        <v>372.1604147006675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0.27295973885781954</v>
      </c>
      <c r="DG199" s="21">
        <f>EXP(-LN(2)/25)*DG198+(1-EXP(-LN(2)/25))/(LN(2)/25)*Calculateur!DB199*Calculateur!DD199*VLOOKUP('Données projet'!$B$13,Paramètres!$A$1:$I$89,3,0)*0.475*44/12</f>
        <v>0.19414251734964821</v>
      </c>
      <c r="DH199" s="21">
        <f>EXP(-LN(2)/2)*DH198+(1-EXP(-LN(2)/2))/(LN(2)/2)*DB199*DE199*VLOOKUP('Données projet'!$B$13,Paramètres!$A$1:$I$89,3,0)*0.475*44/12</f>
        <v>3.0310936719122811E-24</v>
      </c>
      <c r="DI199" s="22">
        <f t="shared" si="175"/>
        <v>0.46710225620746776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1.1368683772161603E-13</v>
      </c>
      <c r="DP199" s="17">
        <f>DO199*VLOOKUP('Données projet'!$B$14,Paramètres!$A$1:$I$89,3,0)*VLOOKUP('Données projet'!$B$14,Paramètres!$A$1:$I$89,5,0)</f>
        <v>6.5028871176764376E-14</v>
      </c>
      <c r="DQ199" s="13">
        <f t="shared" si="176"/>
        <v>1.0270999702906072E-12</v>
      </c>
      <c r="DR199" s="20">
        <f t="shared" si="177"/>
        <v>1.9021243988890057E-12</v>
      </c>
      <c r="DS199" s="59">
        <f t="shared" si="197"/>
        <v>293.33333333333519</v>
      </c>
      <c r="DT199" s="59">
        <f ca="1">AVERAGE(OFFSET($DS$3,0,0,'Données projet'!$E$14+1,1))-AVERAGE(OFFSET($H$3,0,0,'Données projet'!$E$14+1,1))</f>
        <v>227.99747790451215</v>
      </c>
      <c r="DU199" s="59">
        <f t="shared" si="209"/>
        <v>209.49597700966933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0.10712082774943509</v>
      </c>
      <c r="EB199" s="21">
        <f>EXP(-LN(2)/25)*EB198+(1-EXP(-LN(2)/25))/(LN(2)/25)*Calculateur!DW199*Calculateur!DY199*VLOOKUP('Données projet'!$B$14,Paramètres!$A$1:$I$89,3,0)*0.475*44/12</f>
        <v>0.15216717841432267</v>
      </c>
      <c r="EC199" s="21">
        <f>EXP(-LN(2)/2)*EC198+(1-EXP(-LN(2)/2))/(LN(2)/2)*DW199*DZ199*VLOOKUP('Données projet'!$B$14,Paramètres!$A$1:$I$89,3,0)*0.475*44/12</f>
        <v>2.5500759966939704E-24</v>
      </c>
      <c r="ED199" s="22">
        <f t="shared" si="178"/>
        <v>0.25928800616375774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3.4106051316484809E-13</v>
      </c>
      <c r="EK199" s="17">
        <f>EJ199*VLOOKUP('Données projet'!$B$15,Paramètres!$A$1:$I$89,3,0)*VLOOKUP('Données projet'!$B$15,Paramètres!$A$1:$I$89,5,0)</f>
        <v>1.5074874681886286E-13</v>
      </c>
      <c r="EL199" s="13">
        <f t="shared" si="179"/>
        <v>2.1590218794584103E-12</v>
      </c>
      <c r="EM199" s="20">
        <f t="shared" si="180"/>
        <v>4.0228505074329168E-12</v>
      </c>
      <c r="EN199" s="59">
        <f t="shared" si="198"/>
        <v>293.33333333333735</v>
      </c>
      <c r="EO199" s="59">
        <f ca="1">AVERAGE(OFFSET($EN$3,0,0,'Données projet'!$E$15+1,1))-AVERAGE(OFFSET($H$3,0,0,'Données projet'!$E$15+1,1))</f>
        <v>335.27356627949155</v>
      </c>
      <c r="EP199" s="59">
        <f t="shared" si="210"/>
        <v>322.66829503077247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0.2803745556296473</v>
      </c>
      <c r="EX199" s="21">
        <f>EXP(-LN(2)/2)*EX198+(1-EXP(-LN(2)/2))/(LN(2)/2)*ER199*EU199*VLOOKUP('Données projet'!$B$15,Paramètres!$A$1:$I$89,3,0)*0.475*44/12</f>
        <v>3.6585313259195292E-24</v>
      </c>
      <c r="EY199" s="22">
        <f t="shared" si="181"/>
        <v>0.2803745556296473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-5.6843418860808015E-13</v>
      </c>
      <c r="O200" s="13">
        <f>N200*VLOOKUP('Données projet'!$B$9,Paramètres!$A$1:$I$89,3,0)*VLOOKUP('Données projet'!$B$9,Paramètres!$A$1:$I$89,5,0)</f>
        <v>-5.1431925385259092E-13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319.18811755575183</v>
      </c>
      <c r="T200" s="59">
        <f t="shared" si="204"/>
        <v>234.87694492493506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8.8188724785985717E-2</v>
      </c>
      <c r="AA200" s="21">
        <f>EXP(-LN(2)/25)*AA199+(1-EXP(-LN(2)/25))/(LN(2)/25)*Calculateur!V200*Calculateur!X200*VLOOKUP('Données projet'!$B$9,Paramètres!$A$1:$I$89,3,0)*0.475*44/12</f>
        <v>0.11003661630519969</v>
      </c>
      <c r="AB200" s="21">
        <f>EXP(-LN(2)/2)*AB199+(1-EXP(-LN(2)/2))/(LN(2)/2)*V200*Y200*VLOOKUP('Données projet'!$B$9,Paramètres!$A$1:$I$89,3,0)*0.475*44/12</f>
        <v>1.5758318606995319E-24</v>
      </c>
      <c r="AC200" s="22">
        <f t="shared" si="163"/>
        <v>0.19822534109118539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-1.8089849618263545E-13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314.94704727988847</v>
      </c>
      <c r="AO200" s="59">
        <f t="shared" si="205"/>
        <v>366.49199094166454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0.14336855839806711</v>
      </c>
      <c r="AV200" s="21">
        <f>EXP(-LN(2)/25)*AV199+(1-EXP(-LN(2)/25))/(LN(2)/25)*Calculateur!AQ200*Calculateur!AS200*VLOOKUP('Données projet'!$B$10,Paramètres!$A$1:$I$89,3,0)*0.475*44/12</f>
        <v>0.24778281668051619</v>
      </c>
      <c r="AW200" s="21">
        <f>EXP(-LN(2)/2)*AW199+(1-EXP(-LN(2)/2))/(LN(2)/2)*AQ200*AT200*VLOOKUP('Données projet'!$B$10,Paramètres!$A$1:$I$89,3,0)*0.475*44/12</f>
        <v>2.1107201764081322E-24</v>
      </c>
      <c r="AX200" s="21">
        <f t="shared" si="166"/>
        <v>0.39115137507858333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-1.4897523215040565E-13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246.64951465060813</v>
      </c>
      <c r="BJ200" s="59">
        <f t="shared" si="206"/>
        <v>292.64550285216865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9.579120106063975E-2</v>
      </c>
      <c r="BQ200" s="21">
        <f>EXP(-LN(2)/25)*BQ199+(1-EXP(-LN(2)/25))/(LN(2)/25)*Calculateur!BL200*Calculateur!BN200*VLOOKUP('Données projet'!$B$11,Paramètres!$A$1:$I$89,3,0)*0.475*44/12</f>
        <v>0.16555522268775902</v>
      </c>
      <c r="BR200" s="21">
        <f>EXP(-LN(2)/2)*BR199+(1-EXP(-LN(2)/2))/(LN(2)/2)*BL200*BO200*VLOOKUP('Données projet'!$B$11,Paramètres!$A$1:$I$89,3,0)*0.475*44/12</f>
        <v>1.7382401452772854E-24</v>
      </c>
      <c r="BS200" s="22">
        <f t="shared" si="169"/>
        <v>0.26134642374839878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-1.5252226148732008E-13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254.25222107710192</v>
      </c>
      <c r="CE200" s="59">
        <f t="shared" si="207"/>
        <v>300.86609173447573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0.12087937276699769</v>
      </c>
      <c r="CL200" s="21">
        <f>EXP(-LN(2)/25)*CL199+(1-EXP(-LN(2)/25))/(LN(2)/25)*Calculateur!CG200*Calculateur!CI200*VLOOKUP('Données projet'!$B$12,Paramètres!$A$1:$I$89,3,0)*0.475*44/12</f>
        <v>0.20891492386788613</v>
      </c>
      <c r="CM200" s="21">
        <f>EXP(-LN(2)/2)*CM199+(1-EXP(-LN(2)/2))/(LN(2)/2)*CG200*CJ200*VLOOKUP('Données projet'!$B$12,Paramètres!$A$1:$I$89,3,0)*0.475*44/12</f>
        <v>1.7796268154029361E-24</v>
      </c>
      <c r="CN200" s="22">
        <f t="shared" si="172"/>
        <v>0.3297942966348838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243.38048563215585</v>
      </c>
      <c r="CZ200" s="59">
        <f t="shared" si="208"/>
        <v>372.1604147006675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0.26760716486781899</v>
      </c>
      <c r="DG200" s="21">
        <f>EXP(-LN(2)/25)*DG199+(1-EXP(-LN(2)/25))/(LN(2)/25)*Calculateur!DB200*Calculateur!DD200*VLOOKUP('Données projet'!$B$13,Paramètres!$A$1:$I$89,3,0)*0.475*44/12</f>
        <v>0.18883368000321082</v>
      </c>
      <c r="DH200" s="21">
        <f>EXP(-LN(2)/2)*DH199+(1-EXP(-LN(2)/2))/(LN(2)/2)*DB200*DE200*VLOOKUP('Données projet'!$B$13,Paramètres!$A$1:$I$89,3,0)*0.475*44/12</f>
        <v>2.1433068898208062E-24</v>
      </c>
      <c r="DI200" s="22">
        <f t="shared" si="175"/>
        <v>0.45644084487102982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1.1368683772161603E-13</v>
      </c>
      <c r="DP200" s="17">
        <f>DO200*VLOOKUP('Données projet'!$B$14,Paramètres!$A$1:$I$89,3,0)*VLOOKUP('Données projet'!$B$14,Paramètres!$A$1:$I$89,5,0)</f>
        <v>6.5028871176764376E-14</v>
      </c>
      <c r="DQ200" s="13">
        <f t="shared" si="176"/>
        <v>1.0270999702906072E-12</v>
      </c>
      <c r="DR200" s="20">
        <f t="shared" si="177"/>
        <v>1.9021243988890057E-12</v>
      </c>
      <c r="DS200" s="59">
        <f t="shared" si="197"/>
        <v>293.33333333333519</v>
      </c>
      <c r="DT200" s="59">
        <f ca="1">AVERAGE(OFFSET($DS$3,0,0,'Données projet'!$E$14+1,1))-AVERAGE(OFFSET($H$3,0,0,'Données projet'!$E$14+1,1))</f>
        <v>227.99747790451215</v>
      </c>
      <c r="DU200" s="59">
        <f t="shared" si="209"/>
        <v>209.49597700966933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0.10502025365452207</v>
      </c>
      <c r="EB200" s="21">
        <f>EXP(-LN(2)/25)*EB199+(1-EXP(-LN(2)/25))/(LN(2)/25)*Calculateur!DW200*Calculateur!DY200*VLOOKUP('Données projet'!$B$14,Paramètres!$A$1:$I$89,3,0)*0.475*44/12</f>
        <v>0.14800615891845889</v>
      </c>
      <c r="EC200" s="21">
        <f>EXP(-LN(2)/2)*EC199+(1-EXP(-LN(2)/2))/(LN(2)/2)*DW200*DZ200*VLOOKUP('Données projet'!$B$14,Paramètres!$A$1:$I$89,3,0)*0.475*44/12</f>
        <v>1.8031760298033504E-24</v>
      </c>
      <c r="ED200" s="22">
        <f t="shared" si="178"/>
        <v>0.25302641257298097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3.4106051316484809E-13</v>
      </c>
      <c r="EK200" s="17">
        <f>EJ200*VLOOKUP('Données projet'!$B$15,Paramètres!$A$1:$I$89,3,0)*VLOOKUP('Données projet'!$B$15,Paramètres!$A$1:$I$89,5,0)</f>
        <v>1.5074874681886286E-13</v>
      </c>
      <c r="EL200" s="13">
        <f t="shared" si="179"/>
        <v>2.1590218794584103E-12</v>
      </c>
      <c r="EM200" s="20">
        <f t="shared" si="180"/>
        <v>4.0228505074329168E-12</v>
      </c>
      <c r="EN200" s="59">
        <f t="shared" si="198"/>
        <v>293.33333333333735</v>
      </c>
      <c r="EO200" s="59">
        <f ca="1">AVERAGE(OFFSET($EN$3,0,0,'Données projet'!$E$15+1,1))-AVERAGE(OFFSET($H$3,0,0,'Données projet'!$E$15+1,1))</f>
        <v>335.27356627949155</v>
      </c>
      <c r="EP200" s="59">
        <f t="shared" si="210"/>
        <v>322.66829503077247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0.27270769866169753</v>
      </c>
      <c r="EX200" s="21">
        <f>EXP(-LN(2)/2)*EX199+(1-EXP(-LN(2)/2))/(LN(2)/2)*ER200*EU200*VLOOKUP('Données projet'!$B$15,Paramètres!$A$1:$I$89,3,0)*0.475*44/12</f>
        <v>2.5869723097411102E-24</v>
      </c>
      <c r="EY200" s="22">
        <f t="shared" si="181"/>
        <v>0.27270769866169753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-5.6843418860808015E-13</v>
      </c>
      <c r="O201" s="13">
        <f>N201*VLOOKUP('Données projet'!$B$9,Paramètres!$A$1:$I$89,3,0)*VLOOKUP('Données projet'!$B$9,Paramètres!$A$1:$I$89,5,0)</f>
        <v>-5.1431925385259092E-13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319.18811755575183</v>
      </c>
      <c r="T201" s="59">
        <f t="shared" si="204"/>
        <v>234.87694492493506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8.6459397682743355E-2</v>
      </c>
      <c r="AA201" s="21">
        <f>EXP(-LN(2)/25)*AA200+(1-EXP(-LN(2)/25))/(LN(2)/25)*Calculateur!V201*Calculateur!X201*VLOOKUP('Données projet'!$B$9,Paramètres!$A$1:$I$89,3,0)*0.475*44/12</f>
        <v>0.10702765924575984</v>
      </c>
      <c r="AB201" s="21">
        <f>EXP(-LN(2)/2)*AB200+(1-EXP(-LN(2)/2))/(LN(2)/2)*V201*Y201*VLOOKUP('Données projet'!$B$9,Paramètres!$A$1:$I$89,3,0)*0.475*44/12</f>
        <v>1.1142813947104539E-24</v>
      </c>
      <c r="AC201" s="22">
        <f t="shared" si="163"/>
        <v>0.19348705692850321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-1.8089849618263545E-13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314.94704727988847</v>
      </c>
      <c r="AO201" s="59">
        <f t="shared" si="205"/>
        <v>366.49199094166454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0.14055718841406706</v>
      </c>
      <c r="AV201" s="21">
        <f>EXP(-LN(2)/25)*AV200+(1-EXP(-LN(2)/25))/(LN(2)/25)*Calculateur!AQ201*Calculateur!AS201*VLOOKUP('Données projet'!$B$10,Paramètres!$A$1:$I$89,3,0)*0.475*44/12</f>
        <v>0.24100718252805545</v>
      </c>
      <c r="AW201" s="21">
        <f>EXP(-LN(2)/2)*AW200+(1-EXP(-LN(2)/2))/(LN(2)/2)*AQ201*AT201*VLOOKUP('Données projet'!$B$10,Paramètres!$A$1:$I$89,3,0)*0.475*44/12</f>
        <v>1.4925045499254561E-24</v>
      </c>
      <c r="AX201" s="21">
        <f t="shared" si="166"/>
        <v>0.38156437094212248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-1.4897523215040565E-13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246.64951465060813</v>
      </c>
      <c r="BJ201" s="59">
        <f t="shared" si="206"/>
        <v>292.64550285216865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9.3912794034704081E-2</v>
      </c>
      <c r="BQ201" s="21">
        <f>EXP(-LN(2)/25)*BQ200+(1-EXP(-LN(2)/25))/(LN(2)/25)*Calculateur!BL201*Calculateur!BN201*VLOOKUP('Données projet'!$B$11,Paramètres!$A$1:$I$89,3,0)*0.475*44/12</f>
        <v>0.16102810641719148</v>
      </c>
      <c r="BR201" s="21">
        <f>EXP(-LN(2)/2)*BR200+(1-EXP(-LN(2)/2))/(LN(2)/2)*BL201*BO201*VLOOKUP('Données projet'!$B$11,Paramètres!$A$1:$I$89,3,0)*0.475*44/12</f>
        <v>1.2291213940562581E-24</v>
      </c>
      <c r="BS201" s="22">
        <f t="shared" si="169"/>
        <v>0.25494090045189555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-1.5252226148732008E-13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254.25222107710192</v>
      </c>
      <c r="CE201" s="59">
        <f t="shared" si="207"/>
        <v>300.86609173447573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0.1185090019961741</v>
      </c>
      <c r="CL201" s="21">
        <f>EXP(-LN(2)/25)*CL200+(1-EXP(-LN(2)/25))/(LN(2)/25)*Calculateur!CG201*Calculateur!CI201*VLOOKUP('Données projet'!$B$12,Paramètres!$A$1:$I$89,3,0)*0.475*44/12</f>
        <v>0.20320213428836043</v>
      </c>
      <c r="CM201" s="21">
        <f>EXP(-LN(2)/2)*CM200+(1-EXP(-LN(2)/2))/(LN(2)/2)*CG201*CJ201*VLOOKUP('Données projet'!$B$12,Paramètres!$A$1:$I$89,3,0)*0.475*44/12</f>
        <v>1.2583861891528364E-24</v>
      </c>
      <c r="CN201" s="22">
        <f t="shared" si="172"/>
        <v>0.32171113628453452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243.38048563215585</v>
      </c>
      <c r="CZ201" s="59">
        <f t="shared" si="208"/>
        <v>372.1604147006675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0.26235955158901458</v>
      </c>
      <c r="DG201" s="21">
        <f>EXP(-LN(2)/25)*DG200+(1-EXP(-LN(2)/25))/(LN(2)/25)*Calculateur!DB201*Calculateur!DD201*VLOOKUP('Données projet'!$B$13,Paramètres!$A$1:$I$89,3,0)*0.475*44/12</f>
        <v>0.18367001309319136</v>
      </c>
      <c r="DH201" s="21">
        <f>EXP(-LN(2)/2)*DH200+(1-EXP(-LN(2)/2))/(LN(2)/2)*DB201*DE201*VLOOKUP('Données projet'!$B$13,Paramètres!$A$1:$I$89,3,0)*0.475*44/12</f>
        <v>1.5155468359561405E-24</v>
      </c>
      <c r="DI201" s="22">
        <f t="shared" si="175"/>
        <v>0.44602956468220595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1.1368683772161603E-13</v>
      </c>
      <c r="DP201" s="17">
        <f>DO201*VLOOKUP('Données projet'!$B$14,Paramètres!$A$1:$I$89,3,0)*VLOOKUP('Données projet'!$B$14,Paramètres!$A$1:$I$89,5,0)</f>
        <v>6.5028871176764376E-14</v>
      </c>
      <c r="DQ201" s="13">
        <f t="shared" si="176"/>
        <v>1.0270999702906072E-12</v>
      </c>
      <c r="DR201" s="20">
        <f t="shared" si="177"/>
        <v>1.9021243988890057E-12</v>
      </c>
      <c r="DS201" s="59">
        <f t="shared" si="197"/>
        <v>293.33333333333519</v>
      </c>
      <c r="DT201" s="59">
        <f ca="1">AVERAGE(OFFSET($DS$3,0,0,'Données projet'!$E$14+1,1))-AVERAGE(OFFSET($H$3,0,0,'Données projet'!$E$14+1,1))</f>
        <v>227.99747790451215</v>
      </c>
      <c r="DU201" s="59">
        <f t="shared" si="209"/>
        <v>209.49597700966933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0.10296087053638661</v>
      </c>
      <c r="EB201" s="21">
        <f>EXP(-LN(2)/25)*EB200+(1-EXP(-LN(2)/25))/(LN(2)/25)*Calculateur!DW201*Calculateur!DY201*VLOOKUP('Données projet'!$B$14,Paramètres!$A$1:$I$89,3,0)*0.475*44/12</f>
        <v>0.14395892271952801</v>
      </c>
      <c r="EC201" s="21">
        <f>EXP(-LN(2)/2)*EC200+(1-EXP(-LN(2)/2))/(LN(2)/2)*DW201*DZ201*VLOOKUP('Données projet'!$B$14,Paramètres!$A$1:$I$89,3,0)*0.475*44/12</f>
        <v>1.2750379983469852E-24</v>
      </c>
      <c r="ED201" s="22">
        <f t="shared" si="178"/>
        <v>0.24691979325591462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3.4106051316484809E-13</v>
      </c>
      <c r="EK201" s="17">
        <f>EJ201*VLOOKUP('Données projet'!$B$15,Paramètres!$A$1:$I$89,3,0)*VLOOKUP('Données projet'!$B$15,Paramètres!$A$1:$I$89,5,0)</f>
        <v>1.5074874681886286E-13</v>
      </c>
      <c r="EL201" s="13">
        <f t="shared" si="179"/>
        <v>2.1590218794584103E-12</v>
      </c>
      <c r="EM201" s="20">
        <f t="shared" si="180"/>
        <v>4.0228505074329168E-12</v>
      </c>
      <c r="EN201" s="59">
        <f t="shared" si="198"/>
        <v>293.33333333333735</v>
      </c>
      <c r="EO201" s="59">
        <f ca="1">AVERAGE(OFFSET($EN$3,0,0,'Données projet'!$E$15+1,1))-AVERAGE(OFFSET($H$3,0,0,'Données projet'!$E$15+1,1))</f>
        <v>335.27356627949155</v>
      </c>
      <c r="EP201" s="59">
        <f t="shared" si="210"/>
        <v>322.66829503077247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0.26525049230071884</v>
      </c>
      <c r="EX201" s="21">
        <f>EXP(-LN(2)/2)*EX200+(1-EXP(-LN(2)/2))/(LN(2)/2)*ER201*EU201*VLOOKUP('Données projet'!$B$15,Paramètres!$A$1:$I$89,3,0)*0.475*44/12</f>
        <v>1.8292656629597646E-24</v>
      </c>
      <c r="EY201" s="22">
        <f t="shared" si="181"/>
        <v>0.26525049230071884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-5.6843418860808015E-13</v>
      </c>
      <c r="O202" s="13">
        <f>N202*VLOOKUP('Données projet'!$B$9,Paramètres!$A$1:$I$89,3,0)*VLOOKUP('Données projet'!$B$9,Paramètres!$A$1:$I$89,5,0)</f>
        <v>-5.1431925385259092E-13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319.18811755575183</v>
      </c>
      <c r="T202" s="59">
        <f t="shared" si="204"/>
        <v>234.87694492493506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8.47639816292102E-2</v>
      </c>
      <c r="AA202" s="21">
        <f>EXP(-LN(2)/25)*AA201+(1-EXP(-LN(2)/25))/(LN(2)/25)*Calculateur!V202*Calculateur!X202*VLOOKUP('Données projet'!$B$9,Paramètres!$A$1:$I$89,3,0)*0.475*44/12</f>
        <v>0.10410098227534455</v>
      </c>
      <c r="AB202" s="21">
        <f>EXP(-LN(2)/2)*AB201+(1-EXP(-LN(2)/2))/(LN(2)/2)*V202*Y202*VLOOKUP('Données projet'!$B$9,Paramètres!$A$1:$I$89,3,0)*0.475*44/12</f>
        <v>7.8791593034976596E-25</v>
      </c>
      <c r="AC202" s="22">
        <f t="shared" si="163"/>
        <v>0.18886496390455476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-1.8089849618263545E-13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314.94704727988847</v>
      </c>
      <c r="AO202" s="59">
        <f t="shared" si="205"/>
        <v>366.49199094166454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0.13780094768068685</v>
      </c>
      <c r="AV202" s="21">
        <f>EXP(-LN(2)/25)*AV201+(1-EXP(-LN(2)/25))/(LN(2)/25)*Calculateur!AQ202*Calculateur!AS202*VLOOKUP('Données projet'!$B$10,Paramètres!$A$1:$I$89,3,0)*0.475*44/12</f>
        <v>0.23441682844780887</v>
      </c>
      <c r="AW202" s="21">
        <f>EXP(-LN(2)/2)*AW201+(1-EXP(-LN(2)/2))/(LN(2)/2)*AQ202*AT202*VLOOKUP('Données projet'!$B$10,Paramètres!$A$1:$I$89,3,0)*0.475*44/12</f>
        <v>1.0553600882040661E-24</v>
      </c>
      <c r="AX202" s="21">
        <f t="shared" si="166"/>
        <v>0.37221777612849571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-1.4897523215040565E-13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246.64951465060813</v>
      </c>
      <c r="BJ202" s="59">
        <f t="shared" si="206"/>
        <v>292.64550285216865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9.2071221424831845E-2</v>
      </c>
      <c r="BQ202" s="21">
        <f>EXP(-LN(2)/25)*BQ201+(1-EXP(-LN(2)/25))/(LN(2)/25)*Calculateur!BL202*Calculateur!BN202*VLOOKUP('Données projet'!$B$11,Paramètres!$A$1:$I$89,3,0)*0.475*44/12</f>
        <v>0.15662478437911329</v>
      </c>
      <c r="BR202" s="21">
        <f>EXP(-LN(2)/2)*BR201+(1-EXP(-LN(2)/2))/(LN(2)/2)*BL202*BO202*VLOOKUP('Données projet'!$B$11,Paramètres!$A$1:$I$89,3,0)*0.475*44/12</f>
        <v>8.6912007263864272E-25</v>
      </c>
      <c r="BS202" s="22">
        <f t="shared" si="169"/>
        <v>0.24869600580394513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-1.5252226148732008E-13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254.25222107710192</v>
      </c>
      <c r="CE202" s="59">
        <f t="shared" si="207"/>
        <v>300.86609173447573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0.11618511275038296</v>
      </c>
      <c r="CL202" s="21">
        <f>EXP(-LN(2)/25)*CL201+(1-EXP(-LN(2)/25))/(LN(2)/25)*Calculateur!CG202*Calculateur!CI202*VLOOKUP('Données projet'!$B$12,Paramètres!$A$1:$I$89,3,0)*0.475*44/12</f>
        <v>0.19764556124030938</v>
      </c>
      <c r="CM202" s="21">
        <f>EXP(-LN(2)/2)*CM201+(1-EXP(-LN(2)/2))/(LN(2)/2)*CG202*CJ202*VLOOKUP('Données projet'!$B$12,Paramètres!$A$1:$I$89,3,0)*0.475*44/12</f>
        <v>8.8981340770146805E-25</v>
      </c>
      <c r="CN202" s="22">
        <f t="shared" si="172"/>
        <v>0.31383067399069231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243.38048563215585</v>
      </c>
      <c r="CZ202" s="59">
        <f t="shared" si="208"/>
        <v>372.1604147006675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0.25721484080587947</v>
      </c>
      <c r="DG202" s="21">
        <f>EXP(-LN(2)/25)*DG201+(1-EXP(-LN(2)/25))/(LN(2)/25)*Calculateur!DB202*Calculateur!DD202*VLOOKUP('Données projet'!$B$13,Paramètres!$A$1:$I$89,3,0)*0.475*44/12</f>
        <v>0.17864754692637183</v>
      </c>
      <c r="DH202" s="21">
        <f>EXP(-LN(2)/2)*DH201+(1-EXP(-LN(2)/2))/(LN(2)/2)*DB202*DE202*VLOOKUP('Données projet'!$B$13,Paramètres!$A$1:$I$89,3,0)*0.475*44/12</f>
        <v>1.0716534449104031E-24</v>
      </c>
      <c r="DI202" s="22">
        <f t="shared" si="175"/>
        <v>0.43586238773225128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1.1368683772161603E-13</v>
      </c>
      <c r="DP202" s="17">
        <f>DO202*VLOOKUP('Données projet'!$B$14,Paramètres!$A$1:$I$89,3,0)*VLOOKUP('Données projet'!$B$14,Paramètres!$A$1:$I$89,5,0)</f>
        <v>6.5028871176764376E-14</v>
      </c>
      <c r="DQ202" s="13">
        <f t="shared" si="176"/>
        <v>1.0270999702906072E-12</v>
      </c>
      <c r="DR202" s="20">
        <f t="shared" si="177"/>
        <v>1.9021243988890057E-12</v>
      </c>
      <c r="DS202" s="59">
        <f t="shared" si="197"/>
        <v>293.33333333333519</v>
      </c>
      <c r="DT202" s="59">
        <f ca="1">AVERAGE(OFFSET($DS$3,0,0,'Données projet'!$E$14+1,1))-AVERAGE(OFFSET($H$3,0,0,'Données projet'!$E$14+1,1))</f>
        <v>227.99747790451215</v>
      </c>
      <c r="DU202" s="59">
        <f t="shared" si="209"/>
        <v>209.49597700966933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0.10094187066509812</v>
      </c>
      <c r="EB202" s="21">
        <f>EXP(-LN(2)/25)*EB201+(1-EXP(-LN(2)/25))/(LN(2)/25)*Calculateur!DW202*Calculateur!DY202*VLOOKUP('Données projet'!$B$14,Paramètres!$A$1:$I$89,3,0)*0.475*44/12</f>
        <v>0.1400223584072918</v>
      </c>
      <c r="EC202" s="21">
        <f>EXP(-LN(2)/2)*EC201+(1-EXP(-LN(2)/2))/(LN(2)/2)*DW202*DZ202*VLOOKUP('Données projet'!$B$14,Paramètres!$A$1:$I$89,3,0)*0.475*44/12</f>
        <v>9.015880149016752E-25</v>
      </c>
      <c r="ED202" s="22">
        <f t="shared" si="178"/>
        <v>0.2409642290723899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3.4106051316484809E-13</v>
      </c>
      <c r="EK202" s="17">
        <f>EJ202*VLOOKUP('Données projet'!$B$15,Paramètres!$A$1:$I$89,3,0)*VLOOKUP('Données projet'!$B$15,Paramètres!$A$1:$I$89,5,0)</f>
        <v>1.5074874681886286E-13</v>
      </c>
      <c r="EL202" s="13">
        <f t="shared" si="179"/>
        <v>2.1590218794584103E-12</v>
      </c>
      <c r="EM202" s="20">
        <f t="shared" si="180"/>
        <v>4.0228505074329168E-12</v>
      </c>
      <c r="EN202" s="59">
        <f t="shared" si="198"/>
        <v>293.33333333333735</v>
      </c>
      <c r="EO202" s="59">
        <f ca="1">AVERAGE(OFFSET($EN$3,0,0,'Données projet'!$E$15+1,1))-AVERAGE(OFFSET($H$3,0,0,'Données projet'!$E$15+1,1))</f>
        <v>335.27356627949155</v>
      </c>
      <c r="EP202" s="59">
        <f t="shared" si="210"/>
        <v>322.66829503077247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0.25799720363983852</v>
      </c>
      <c r="EX202" s="21">
        <f>EXP(-LN(2)/2)*EX201+(1-EXP(-LN(2)/2))/(LN(2)/2)*ER202*EU202*VLOOKUP('Données projet'!$B$15,Paramètres!$A$1:$I$89,3,0)*0.475*44/12</f>
        <v>1.2934861548705551E-24</v>
      </c>
      <c r="EY202" s="22">
        <f t="shared" si="181"/>
        <v>0.25799720363983852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-5.6843418860808015E-13</v>
      </c>
      <c r="O203" s="13">
        <f>N203*VLOOKUP('Données projet'!$B$9,Paramètres!$A$1:$I$89,3,0)*VLOOKUP('Données projet'!$B$9,Paramètres!$A$1:$I$89,5,0)</f>
        <v>-5.1431925385259092E-13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319.18811755575183</v>
      </c>
      <c r="T203" s="59">
        <f t="shared" si="204"/>
        <v>234.87694492493506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8.3101811650385146E-2</v>
      </c>
      <c r="AA203" s="21">
        <f>EXP(-LN(2)/25)*AA202+(1-EXP(-LN(2)/25))/(LN(2)/25)*Calculateur!V203*Calculateur!X203*VLOOKUP('Données projet'!$B$9,Paramètres!$A$1:$I$89,3,0)*0.475*44/12</f>
        <v>0.10125433544059252</v>
      </c>
      <c r="AB203" s="21">
        <f>EXP(-LN(2)/2)*AB202+(1-EXP(-LN(2)/2))/(LN(2)/2)*V203*Y203*VLOOKUP('Données projet'!$B$9,Paramètres!$A$1:$I$89,3,0)*0.475*44/12</f>
        <v>5.5714069735522697E-25</v>
      </c>
      <c r="AC203" s="22">
        <f t="shared" si="163"/>
        <v>0.18435614709097767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-1.8089849618263545E-13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314.94704727988847</v>
      </c>
      <c r="AO203" s="59">
        <f t="shared" si="205"/>
        <v>366.49199094166454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0.13509875514694739</v>
      </c>
      <c r="AV203" s="21">
        <f>EXP(-LN(2)/25)*AV202+(1-EXP(-LN(2)/25))/(LN(2)/25)*Calculateur!AQ203*Calculateur!AS203*VLOOKUP('Données projet'!$B$10,Paramètres!$A$1:$I$89,3,0)*0.475*44/12</f>
        <v>0.22800668794645829</v>
      </c>
      <c r="AW203" s="21">
        <f>EXP(-LN(2)/2)*AW202+(1-EXP(-LN(2)/2))/(LN(2)/2)*AQ203*AT203*VLOOKUP('Données projet'!$B$10,Paramètres!$A$1:$I$89,3,0)*0.475*44/12</f>
        <v>7.4625227496272807E-25</v>
      </c>
      <c r="AX203" s="21">
        <f t="shared" si="166"/>
        <v>0.36310544309340564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-1.4897523215040565E-13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246.64951465060813</v>
      </c>
      <c r="BJ203" s="59">
        <f t="shared" si="206"/>
        <v>292.64550285216865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9.0265760930590827E-2</v>
      </c>
      <c r="BQ203" s="21">
        <f>EXP(-LN(2)/25)*BQ202+(1-EXP(-LN(2)/25))/(LN(2)/25)*Calculateur!BL203*Calculateur!BN203*VLOOKUP('Données projet'!$B$11,Paramètres!$A$1:$I$89,3,0)*0.475*44/12</f>
        <v>0.15234187141372699</v>
      </c>
      <c r="BR203" s="21">
        <f>EXP(-LN(2)/2)*BR202+(1-EXP(-LN(2)/2))/(LN(2)/2)*BL203*BO203*VLOOKUP('Données projet'!$B$11,Paramètres!$A$1:$I$89,3,0)*0.475*44/12</f>
        <v>6.1456069702812903E-25</v>
      </c>
      <c r="BS203" s="22">
        <f t="shared" si="169"/>
        <v>0.24260763234431781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-1.5252226148732008E-13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254.25222107710192</v>
      </c>
      <c r="CE203" s="59">
        <f t="shared" si="207"/>
        <v>300.86609173447573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0.1139067935552693</v>
      </c>
      <c r="CL203" s="21">
        <f>EXP(-LN(2)/25)*CL202+(1-EXP(-LN(2)/25))/(LN(2)/25)*Calculateur!CG203*Calculateur!CI203*VLOOKUP('Données projet'!$B$12,Paramètres!$A$1:$I$89,3,0)*0.475*44/12</f>
        <v>0.19224093297446479</v>
      </c>
      <c r="CM203" s="21">
        <f>EXP(-LN(2)/2)*CM202+(1-EXP(-LN(2)/2))/(LN(2)/2)*CG203*CJ203*VLOOKUP('Données projet'!$B$12,Paramètres!$A$1:$I$89,3,0)*0.475*44/12</f>
        <v>6.2919309457641818E-25</v>
      </c>
      <c r="CN203" s="22">
        <f t="shared" si="172"/>
        <v>0.3061477265297341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243.38048563215585</v>
      </c>
      <c r="CZ203" s="59">
        <f t="shared" si="208"/>
        <v>372.1604147006675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0.25217101466323788</v>
      </c>
      <c r="DG203" s="21">
        <f>EXP(-LN(2)/25)*DG202+(1-EXP(-LN(2)/25))/(LN(2)/25)*Calculateur!DB203*Calculateur!DD203*VLOOKUP('Données projet'!$B$13,Paramètres!$A$1:$I$89,3,0)*0.475*44/12</f>
        <v>0.17376242036100401</v>
      </c>
      <c r="DH203" s="21">
        <f>EXP(-LN(2)/2)*DH202+(1-EXP(-LN(2)/2))/(LN(2)/2)*DB203*DE203*VLOOKUP('Données projet'!$B$13,Paramètres!$A$1:$I$89,3,0)*0.475*44/12</f>
        <v>7.5777341797807027E-25</v>
      </c>
      <c r="DI203" s="22">
        <f t="shared" si="175"/>
        <v>0.42593343502424186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1.1368683772161603E-13</v>
      </c>
      <c r="DP203" s="17">
        <f>DO203*VLOOKUP('Données projet'!$B$14,Paramètres!$A$1:$I$89,3,0)*VLOOKUP('Données projet'!$B$14,Paramètres!$A$1:$I$89,5,0)</f>
        <v>6.5028871176764376E-14</v>
      </c>
      <c r="DQ203" s="13">
        <f t="shared" si="176"/>
        <v>1.0270999702906072E-12</v>
      </c>
      <c r="DR203" s="20">
        <f t="shared" si="177"/>
        <v>1.9021243988890057E-12</v>
      </c>
      <c r="DS203" s="59">
        <f t="shared" si="197"/>
        <v>293.33333333333519</v>
      </c>
      <c r="DT203" s="59">
        <f ca="1">AVERAGE(OFFSET($DS$3,0,0,'Données projet'!$E$14+1,1))-AVERAGE(OFFSET($H$3,0,0,'Données projet'!$E$14+1,1))</f>
        <v>227.99747790451215</v>
      </c>
      <c r="DU203" s="59">
        <f t="shared" si="209"/>
        <v>209.49597700966933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9.8962462149817271E-2</v>
      </c>
      <c r="EB203" s="21">
        <f>EXP(-LN(2)/25)*EB202+(1-EXP(-LN(2)/25))/(LN(2)/25)*Calculateur!DW203*Calculateur!DY203*VLOOKUP('Données projet'!$B$14,Paramètres!$A$1:$I$89,3,0)*0.475*44/12</f>
        <v>0.13619343965318859</v>
      </c>
      <c r="EC203" s="21">
        <f>EXP(-LN(2)/2)*EC202+(1-EXP(-LN(2)/2))/(LN(2)/2)*DW203*DZ203*VLOOKUP('Données projet'!$B$14,Paramètres!$A$1:$I$89,3,0)*0.475*44/12</f>
        <v>6.375189991734926E-25</v>
      </c>
      <c r="ED203" s="22">
        <f t="shared" si="178"/>
        <v>0.23515590180300586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3.4106051316484809E-13</v>
      </c>
      <c r="EK203" s="17">
        <f>EJ203*VLOOKUP('Données projet'!$B$15,Paramètres!$A$1:$I$89,3,0)*VLOOKUP('Données projet'!$B$15,Paramètres!$A$1:$I$89,5,0)</f>
        <v>1.5074874681886286E-13</v>
      </c>
      <c r="EL203" s="13">
        <f t="shared" si="179"/>
        <v>2.1590218794584103E-12</v>
      </c>
      <c r="EM203" s="20">
        <f t="shared" si="180"/>
        <v>4.0228505074329168E-12</v>
      </c>
      <c r="EN203" s="59">
        <f t="shared" si="198"/>
        <v>293.33333333333735</v>
      </c>
      <c r="EO203" s="59">
        <f ca="1">AVERAGE(OFFSET($EN$3,0,0,'Données projet'!$E$15+1,1))-AVERAGE(OFFSET($H$3,0,0,'Données projet'!$E$15+1,1))</f>
        <v>335.27356627949155</v>
      </c>
      <c r="EP203" s="59">
        <f t="shared" si="210"/>
        <v>322.66829503077247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0.25094225653882385</v>
      </c>
      <c r="EX203" s="21">
        <f>EXP(-LN(2)/2)*EX202+(1-EXP(-LN(2)/2))/(LN(2)/2)*ER203*EU203*VLOOKUP('Données projet'!$B$15,Paramètres!$A$1:$I$89,3,0)*0.475*44/12</f>
        <v>9.1463283147988231E-25</v>
      </c>
      <c r="EY203" s="22">
        <f t="shared" si="181"/>
        <v>0.25094225653882385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1.3423796509621049</v>
      </c>
      <c r="BA205" s="82">
        <f>EXP(LN('Données projet'!B88)/'Données projet'!A88)</f>
        <v>1.3423796509621049</v>
      </c>
      <c r="BV205" s="82">
        <f>EXP(LN('Données projet'!B114)/'Données projet'!A114)</f>
        <v>1.3423796509621049</v>
      </c>
      <c r="CQ205" s="82">
        <f>EXP(LN('Données projet'!B140)/'Données projet'!A140)</f>
        <v>1.3467943429205997</v>
      </c>
      <c r="DL205" s="82">
        <f>EXP(LN('Données projet'!B166)/'Données projet'!A166)</f>
        <v>1.2563584400948855</v>
      </c>
      <c r="EG205" s="82">
        <f>EXP(LN('Données projet'!B192)/'Données projet'!A192)</f>
        <v>1.2834113234941327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K26" sqref="K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6.8398399999999997</v>
      </c>
      <c r="C6" s="147">
        <f ca="1">IF(OR('Données projet'!B9="",'Données projet'!C9="",'Données projet'!C9=0%),0,Calculateur!S3)</f>
        <v>319.18811755575183</v>
      </c>
      <c r="D6" s="147">
        <f>IF(OR('Données projet'!B9="",'Données projet'!C9="",'Données projet'!C9=0%),0,Calculateur!T3)</f>
        <v>234.87694492493506</v>
      </c>
      <c r="E6" s="147">
        <f ca="1">MIN(C6,D6)</f>
        <v>234.87694492493506</v>
      </c>
      <c r="F6" s="147">
        <f ca="1">E6*B6</f>
        <v>1606.5207229753678</v>
      </c>
      <c r="G6" s="147">
        <f ca="1">F6*(100%-'Données projet'!$C$24)*(100%-'Données projet'!$C$25)*(100%-'Données projet'!$C$26)*(100%-'Données projet'!$C$27)</f>
        <v>1445.8686506778311</v>
      </c>
      <c r="H6" s="148">
        <f>IF(OR('Données projet'!B9="",'Données projet'!C9="",'Données projet'!C9=0%),0,AVERAGE(Calculateur!$AC$3:$AC$33)*B6)</f>
        <v>9.9664170382800403</v>
      </c>
      <c r="I6" s="149">
        <f>H6*(100%-'Données projet'!$C$24)*(100%-'Données projet'!$C$25)*(100%-'Données projet'!$C$26)*(100%-'Données projet'!$C$27)</f>
        <v>8.9697753344520361</v>
      </c>
      <c r="J6" s="150">
        <f>IF(OR('Données projet'!B9="",'Données projet'!C9="",'Données projet'!C9=0%),0,SUM(Calculateur!$V$3:$V$33)*VLOOKUP('Données projet'!$B$9,Paramètres!$A$1:$I$89,9,0)*B6)</f>
        <v>106.01751999999999</v>
      </c>
      <c r="K6" s="151">
        <f>J6*(100%-'Données projet'!$C$24)*(100%-'Données projet'!$C$25)*(100%-'Données projet'!$C$26)*(100%-'Données projet'!$C$27)</f>
        <v>95.415768</v>
      </c>
      <c r="L6" s="152">
        <f ca="1">G6+I6+K6</f>
        <v>1550.2541940122831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Erable plane</v>
      </c>
      <c r="B7" s="154">
        <f>'Données projet'!D10</f>
        <v>0.9790899999999999</v>
      </c>
      <c r="C7" s="147">
        <f ca="1">IF(OR('Données projet'!B10="",'Données projet'!C10="",'Données projet'!C10=0%),0,Calculateur!AN3)</f>
        <v>314.94704727988847</v>
      </c>
      <c r="D7" s="147">
        <f>IF(OR('Données projet'!B10="",'Données projet'!C10="",'Données projet'!C10=0%),0,Calculateur!AO3)</f>
        <v>366.49199094166454</v>
      </c>
      <c r="E7" s="147">
        <f t="shared" ref="E7:E15" ca="1" si="0">MIN(C7,D7)</f>
        <v>314.94704727988847</v>
      </c>
      <c r="F7" s="147">
        <f t="shared" ref="F7:F15" ca="1" si="1">E7*B7</f>
        <v>308.36150452126594</v>
      </c>
      <c r="G7" s="147">
        <f ca="1">F7*(100%-'Données projet'!$C$24)*(100%-'Données projet'!$C$25)*(100%-'Données projet'!$C$26)*(100%-'Données projet'!$C$27)</f>
        <v>277.52535406913938</v>
      </c>
      <c r="H7" s="155">
        <f>IF(OR('Données projet'!B10="",'Données projet'!C10="",'Données projet'!C10=0%),0,AVERAGE(Calculateur!$AX$3:$AX$33)*B7)</f>
        <v>6.7525886988083732</v>
      </c>
      <c r="I7" s="149">
        <f>H7*(100%-'Données projet'!$C$24)*(100%-'Données projet'!$C$25)*(100%-'Données projet'!$C$26)*(100%-'Données projet'!$C$27)</f>
        <v>6.0773298289275361</v>
      </c>
      <c r="J7" s="150">
        <f>IF(OR('Données projet'!B10="",'Données projet'!C10="",'Données projet'!C10=0%),0,SUM(Calculateur!$AQ$3:$AQ$33)*VLOOKUP('Données projet'!$B$10,Paramètres!$A$1:$I$89,9,0)*B7)</f>
        <v>42.835187499999996</v>
      </c>
      <c r="K7" s="151">
        <f>J7*(100%-'Données projet'!$C$24)*(100%-'Données projet'!$C$25)*(100%-'Données projet'!$C$26)*(100%-'Données projet'!$C$27)</f>
        <v>38.551668749999997</v>
      </c>
      <c r="L7" s="152">
        <f t="shared" ref="L7:L15" ca="1" si="2">G7+I7+K7</f>
        <v>322.15435264806689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Aulne glutineux</v>
      </c>
      <c r="B8" s="154">
        <f>'Données projet'!D11</f>
        <v>0.9790899999999999</v>
      </c>
      <c r="C8" s="147">
        <f ca="1">IF(OR('Données projet'!B11="",'Données projet'!C11="",'Données projet'!C11=0%),0,Calculateur!BI3)</f>
        <v>246.64951465060813</v>
      </c>
      <c r="D8" s="147">
        <f>IF(OR('Données projet'!B11="",'Données projet'!C11="",'Données projet'!C11=0%),0,Calculateur!BJ3)</f>
        <v>292.64550285216865</v>
      </c>
      <c r="E8" s="147">
        <f t="shared" ca="1" si="0"/>
        <v>246.64951465060813</v>
      </c>
      <c r="F8" s="147">
        <f t="shared" ca="1" si="1"/>
        <v>241.49207329926389</v>
      </c>
      <c r="G8" s="147">
        <f ca="1">F8*(100%-'Données projet'!$C$24)*(100%-'Données projet'!$C$25)*(100%-'Données projet'!$C$26)*(100%-'Données projet'!$C$27)</f>
        <v>217.34286596933751</v>
      </c>
      <c r="H8" s="155">
        <f>IF(OR('Données projet'!B11="",'Données projet'!C11="",'Données projet'!C11=0%),0,AVERAGE(Calculateur!$BS$3:$BS$33)*B8)</f>
        <v>4.9312643501902578</v>
      </c>
      <c r="I8" s="149">
        <f>H8*(100%-'Données projet'!$C$24)*(100%-'Données projet'!$C$25)*(100%-'Données projet'!$C$26)*(100%-'Données projet'!$C$27)</f>
        <v>4.4381379151712324</v>
      </c>
      <c r="J8" s="150">
        <f>IF(OR('Données projet'!B11="",'Données projet'!C11="",'Données projet'!C11=0%),0,SUM(Calculateur!$BL$3:$BL$33)*VLOOKUP('Données projet'!$B$11,Paramètres!$A$1:$I$89,9,0)*B8)</f>
        <v>42.835187499999996</v>
      </c>
      <c r="K8" s="151">
        <f>J8*(100%-'Données projet'!$C$24)*(100%-'Données projet'!$C$25)*(100%-'Données projet'!$C$26)*(100%-'Données projet'!$C$27)</f>
        <v>38.551668749999997</v>
      </c>
      <c r="L8" s="152">
        <f t="shared" ca="1" si="2"/>
        <v>260.33267263450875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Tilleul</v>
      </c>
      <c r="B9" s="154">
        <f>'Données projet'!D12</f>
        <v>0.9790899999999999</v>
      </c>
      <c r="C9" s="147">
        <f ca="1">IF(OR('Données projet'!B12="",'Données projet'!C12="",'Données projet'!C12=0%),0,Calculateur!CD3)</f>
        <v>254.25222107710192</v>
      </c>
      <c r="D9" s="147">
        <f>IF(OR('Données projet'!B12="",'Données projet'!C12="",'Données projet'!C12=0%),0,Calculateur!CE3)</f>
        <v>300.86609173447573</v>
      </c>
      <c r="E9" s="147">
        <f t="shared" ca="1" si="0"/>
        <v>254.25222107710192</v>
      </c>
      <c r="F9" s="147">
        <f t="shared" ca="1" si="1"/>
        <v>248.9358071343797</v>
      </c>
      <c r="G9" s="147">
        <f ca="1">F9*(100%-'Données projet'!$C$24)*(100%-'Données projet'!$C$25)*(100%-'Données projet'!$C$26)*(100%-'Données projet'!$C$27)</f>
        <v>224.04222642094174</v>
      </c>
      <c r="H9" s="155">
        <f>IF(OR('Données projet'!B12="",'Données projet'!C12="",'Données projet'!C12=0%),0,AVERAGE(Calculateur!$CN$3:$CN$33)*B9)</f>
        <v>5.6933590989952956</v>
      </c>
      <c r="I9" s="149">
        <f>H9*(100%-'Données projet'!$C$24)*(100%-'Données projet'!$C$25)*(100%-'Données projet'!$C$26)*(100%-'Données projet'!$C$27)</f>
        <v>5.1240231890957659</v>
      </c>
      <c r="J9" s="150">
        <f>IF(OR('Données projet'!B12="",'Données projet'!C12="",'Données projet'!C12=0%),0,SUM(Calculateur!$CG$3:$CG$33)*VLOOKUP('Données projet'!$B$12,Paramètres!$A$1:$I$89,9,0)*B9)</f>
        <v>42.835187499999996</v>
      </c>
      <c r="K9" s="151">
        <f>J9*(100%-'Données projet'!$C$24)*(100%-'Données projet'!$C$25)*(100%-'Données projet'!$C$26)*(100%-'Données projet'!$C$27)</f>
        <v>38.551668749999997</v>
      </c>
      <c r="L9" s="152">
        <f t="shared" ca="1" si="2"/>
        <v>267.71791836003752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rouge d'Amérique</v>
      </c>
      <c r="B10" s="154">
        <f>'Données projet'!D13</f>
        <v>1.8478600000000001</v>
      </c>
      <c r="C10" s="147">
        <f ca="1">IF(OR('Données projet'!B13="",'Données projet'!C13="",'Données projet'!C13=0%),0,Calculateur!CY3)</f>
        <v>243.38048563215585</v>
      </c>
      <c r="D10" s="147">
        <f>IF(OR('Données projet'!B13="",'Données projet'!C13="",'Données projet'!C13=0%),0,Calculateur!CZ3)</f>
        <v>372.1604147006675</v>
      </c>
      <c r="E10" s="147">
        <f t="shared" ca="1" si="0"/>
        <v>243.38048563215585</v>
      </c>
      <c r="F10" s="147">
        <f t="shared" ca="1" si="1"/>
        <v>449.73306418023554</v>
      </c>
      <c r="G10" s="147">
        <f ca="1">F10*(100%-'Données projet'!$C$24)*(100%-'Données projet'!$C$25)*(100%-'Données projet'!$C$26)*(100%-'Données projet'!$C$27)</f>
        <v>404.75975776221202</v>
      </c>
      <c r="H10" s="155">
        <f>IF(OR('Données projet'!B13="",'Données projet'!C13="",'Données projet'!C13=0%),0,AVERAGE(Calculateur!$DI$3:$DI$33)*B10)</f>
        <v>9.9177117497289924</v>
      </c>
      <c r="I10" s="149">
        <f>H10*(100%-'Données projet'!$C$24)*(100%-'Données projet'!$C$25)*(100%-'Données projet'!$C$26)*(100%-'Données projet'!$C$27)</f>
        <v>8.925940574756094</v>
      </c>
      <c r="J10" s="150">
        <f>IF(OR('Données projet'!B13="",'Données projet'!C13="",'Données projet'!C13=0%),0,SUM(Calculateur!$DB$3:$DB$33)*VLOOKUP('Données projet'!$B$13,Paramètres!$A$1:$I$89,9,0)*B10)</f>
        <v>70.218680000000006</v>
      </c>
      <c r="K10" s="151">
        <f>J10*(100%-'Données projet'!$C$24)*(100%-'Données projet'!$C$25)*(100%-'Données projet'!$C$26)*(100%-'Données projet'!$C$27)</f>
        <v>63.196812000000008</v>
      </c>
      <c r="L10" s="152">
        <f t="shared" ca="1" si="2"/>
        <v>476.88251033696815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Pin sylvestre</v>
      </c>
      <c r="B11" s="154">
        <f>'Données projet'!D14</f>
        <v>1.6685899999999998</v>
      </c>
      <c r="C11" s="147">
        <f ca="1">IF(OR('Données projet'!B14="",'Données projet'!C14="",'Données projet'!C14=0%),0,Calculateur!DT3)</f>
        <v>227.99747790451215</v>
      </c>
      <c r="D11" s="147">
        <f>IF(OR('Données projet'!B14="",'Données projet'!C14="",'Données projet'!C14=0%),0,Calculateur!DU3)</f>
        <v>209.49597700966933</v>
      </c>
      <c r="E11" s="147">
        <f t="shared" ca="1" si="0"/>
        <v>209.49597700966933</v>
      </c>
      <c r="F11" s="147">
        <f t="shared" ca="1" si="1"/>
        <v>349.56289227856411</v>
      </c>
      <c r="G11" s="147">
        <f ca="1">F11*(100%-'Données projet'!$C$24)*(100%-'Données projet'!$C$25)*(100%-'Données projet'!$C$26)*(100%-'Données projet'!$C$27)</f>
        <v>314.60660305070769</v>
      </c>
      <c r="H11" s="155">
        <f>IF(OR('Données projet'!B14="",'Données projet'!C14="",'Données projet'!C14=0%),0,AVERAGE(Calculateur!$ED$3:$ED$33)*B11)</f>
        <v>4.7953810882963328</v>
      </c>
      <c r="I11" s="149">
        <f>H11*(100%-'Données projet'!$C$24)*(100%-'Données projet'!$C$25)*(100%-'Données projet'!$C$26)*(100%-'Données projet'!$C$27)</f>
        <v>4.3158429794666997</v>
      </c>
      <c r="J11" s="150">
        <f>IF(OR('Données projet'!B14="",'Données projet'!C14="",'Données projet'!C14=0%),0,SUM(Calculateur!$DW$3:$DW$33)*VLOOKUP('Données projet'!$B$14,Paramètres!$A$1:$I$89,9,0)*B11)</f>
        <v>73.184357399999996</v>
      </c>
      <c r="K11" s="151">
        <f>J11*(100%-'Données projet'!$C$24)*(100%-'Données projet'!$C$25)*(100%-'Données projet'!$C$26)*(100%-'Données projet'!$C$27)</f>
        <v>65.865921659999998</v>
      </c>
      <c r="L11" s="152">
        <f t="shared" ca="1" si="2"/>
        <v>384.78836769017437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Séquoia toujours vert</v>
      </c>
      <c r="B12" s="154">
        <f>'Données projet'!D15</f>
        <v>0.49643999999999994</v>
      </c>
      <c r="C12" s="147">
        <f ca="1">IF(OR('Données projet'!B15="",'Données projet'!C15="",'Données projet'!C15=0%),0,Calculateur!EO3)</f>
        <v>335.27356627949155</v>
      </c>
      <c r="D12" s="147">
        <f>IF(OR('Données projet'!B15="",'Données projet'!C15="",'Données projet'!C15=0%),0,Calculateur!EP3)</f>
        <v>322.66829503077247</v>
      </c>
      <c r="E12" s="147">
        <f t="shared" ca="1" si="0"/>
        <v>322.66829503077247</v>
      </c>
      <c r="F12" s="147">
        <f t="shared" ca="1" si="1"/>
        <v>160.18544838507665</v>
      </c>
      <c r="G12" s="147">
        <f ca="1">F12*(100%-'Données projet'!$C$24)*(100%-'Données projet'!$C$25)*(100%-'Données projet'!$C$26)*(100%-'Données projet'!$C$27)</f>
        <v>144.16690354656899</v>
      </c>
      <c r="H12" s="155">
        <f>IF(OR('Données projet'!B15="",'Données projet'!C15="",'Données projet'!C15=0%),0,AVERAGE(Calculateur!$EY$3:$EY$33)*B12)</f>
        <v>2.6357378928091024</v>
      </c>
      <c r="I12" s="149">
        <f>H12*(100%-'Données projet'!$C$24)*(100%-'Données projet'!$C$25)*(100%-'Données projet'!$C$26)*(100%-'Données projet'!$C$27)</f>
        <v>2.3721641035281924</v>
      </c>
      <c r="J12" s="150">
        <f>IF(OR('Données projet'!B15="",'Données projet'!C15="",'Données projet'!C15=0%),0,SUM(Calculateur!$ER$3:$ER$33)*VLOOKUP('Données projet'!$B$15,Paramètres!$A$1:$I$89,9,0)*B12)</f>
        <v>39.491801999999993</v>
      </c>
      <c r="K12" s="151">
        <f>J12*(100%-'Données projet'!$C$24)*(100%-'Données projet'!$C$25)*(100%-'Données projet'!$C$26)*(100%-'Données projet'!$C$27)</f>
        <v>35.542621799999992</v>
      </c>
      <c r="L12" s="152">
        <f t="shared" ca="1" si="2"/>
        <v>182.0816894500972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3364.791512774153</v>
      </c>
      <c r="G16" s="166">
        <f t="shared" ca="1" si="3"/>
        <v>3028.312361496738</v>
      </c>
      <c r="H16" s="167">
        <f t="shared" si="3"/>
        <v>44.692459917108394</v>
      </c>
      <c r="I16" s="167">
        <f t="shared" si="3"/>
        <v>40.223213925397559</v>
      </c>
      <c r="J16" s="168">
        <f t="shared" si="3"/>
        <v>417.41792189999995</v>
      </c>
      <c r="K16" s="168">
        <f t="shared" si="3"/>
        <v>375.67612971000005</v>
      </c>
      <c r="L16" s="169">
        <f t="shared" ca="1" si="3"/>
        <v>3444.2117051321356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Erable plane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Aulne glutineux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Tilleul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Pin sylvestre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Séquoia toujours vert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fitToPage="1"/>
  </sheetPr>
  <dimension ref="A1:BL552"/>
  <sheetViews>
    <sheetView zoomScale="80" zoomScaleNormal="80" workbookViewId="0">
      <selection activeCell="I26" sqref="I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-2429.6674086542594</v>
      </c>
      <c r="U10" s="178">
        <f>'Données projet'!D9</f>
        <v>6.8398399999999997</v>
      </c>
      <c r="V10" s="177">
        <f>U10*T10</f>
        <v>-16618.536328409748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plane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-706.84270233707912</v>
      </c>
      <c r="U11" s="178">
        <f>'Données projet'!D10</f>
        <v>0.9790899999999999</v>
      </c>
      <c r="V11" s="177">
        <f t="shared" ref="V11" si="0">U11*T11</f>
        <v>-692.06262143121069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Aulne glutineux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-694.75137436365742</v>
      </c>
      <c r="U12" s="178">
        <f>'Données projet'!D11</f>
        <v>0.9790899999999999</v>
      </c>
      <c r="V12" s="177">
        <f t="shared" ref="V12:V19" si="1">U12*T12</f>
        <v>-680.22412312571328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Tilleul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-1744.7513743636578</v>
      </c>
      <c r="U13" s="178">
        <f>'Données projet'!D12</f>
        <v>0.9790899999999999</v>
      </c>
      <c r="V13" s="177">
        <f t="shared" si="1"/>
        <v>-1708.2686231257135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rouge d'Amérique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-627.82571553576418</v>
      </c>
      <c r="U14" s="178">
        <f>'Données projet'!D13</f>
        <v>1.8478600000000001</v>
      </c>
      <c r="V14" s="177">
        <f t="shared" si="1"/>
        <v>-1160.1340267099172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sylvestre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-719.44263431154423</v>
      </c>
      <c r="U15" s="178">
        <f>'Données projet'!D14</f>
        <v>1.6685899999999998</v>
      </c>
      <c r="V15" s="177">
        <f t="shared" si="1"/>
        <v>-1200.4547851858995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>Séquoia toujours vert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1428.3248357209018</v>
      </c>
      <c r="U16" s="178">
        <f>'Données projet'!D15</f>
        <v>0.49643999999999994</v>
      </c>
      <c r="V16" s="177">
        <f t="shared" si="1"/>
        <v>709.07758144528441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3563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149.99999999999997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960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250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0</v>
      </c>
      <c r="I22" s="191">
        <f>(I21+I20)*0.1</f>
        <v>121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6</v>
      </c>
      <c r="C23" s="193">
        <v>8</v>
      </c>
      <c r="D23" s="182">
        <f>B23*C23</f>
        <v>48</v>
      </c>
      <c r="E23" s="193"/>
      <c r="F23" s="230"/>
      <c r="H23" s="190">
        <v>1</v>
      </c>
      <c r="I23" s="191">
        <v>350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-72791.488642773867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56</v>
      </c>
      <c r="C24" s="193">
        <v>12</v>
      </c>
      <c r="D24" s="182">
        <f t="shared" ref="D24:D42" si="2">B24*C24</f>
        <v>672</v>
      </c>
      <c r="E24" s="193"/>
      <c r="F24" s="233"/>
      <c r="H24" s="190">
        <v>1</v>
      </c>
      <c r="I24" s="191">
        <v>450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552.28953207623567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56</v>
      </c>
      <c r="C25" s="193">
        <v>15</v>
      </c>
      <c r="D25" s="182">
        <f t="shared" si="2"/>
        <v>840</v>
      </c>
      <c r="E25" s="193"/>
      <c r="F25" s="233"/>
      <c r="H25" s="190">
        <v>1</v>
      </c>
      <c r="I25" s="191">
        <f>(I24+I23)*0.1</f>
        <v>80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-73343.7781748501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56</v>
      </c>
      <c r="C26" s="193">
        <v>20</v>
      </c>
      <c r="D26" s="182">
        <f t="shared" si="2"/>
        <v>1120</v>
      </c>
      <c r="E26" s="193"/>
      <c r="F26" s="233"/>
      <c r="G26" s="229"/>
      <c r="H26" s="190">
        <v>2</v>
      </c>
      <c r="I26" s="191">
        <v>450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56</v>
      </c>
      <c r="C27" s="193">
        <v>25</v>
      </c>
      <c r="D27" s="182">
        <f t="shared" si="2"/>
        <v>1400</v>
      </c>
      <c r="E27" s="193"/>
      <c r="F27" s="233"/>
      <c r="G27" s="229"/>
      <c r="H27" s="190">
        <v>2</v>
      </c>
      <c r="I27" s="191">
        <f>I26*0.1</f>
        <v>45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56</v>
      </c>
      <c r="C28" s="193">
        <v>30</v>
      </c>
      <c r="D28" s="182">
        <f t="shared" si="2"/>
        <v>1680</v>
      </c>
      <c r="E28" s="193"/>
      <c r="F28" s="233"/>
      <c r="G28" s="205"/>
      <c r="H28" s="190">
        <v>3</v>
      </c>
      <c r="I28" s="191">
        <v>550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56</v>
      </c>
      <c r="C29" s="193">
        <v>35</v>
      </c>
      <c r="D29" s="182">
        <f t="shared" si="2"/>
        <v>1960</v>
      </c>
      <c r="E29" s="193"/>
      <c r="F29" s="233"/>
      <c r="G29" s="203"/>
      <c r="H29" s="190">
        <v>3</v>
      </c>
      <c r="I29" s="191">
        <f>I28*0.1</f>
        <v>55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56</v>
      </c>
      <c r="C30" s="193">
        <v>40</v>
      </c>
      <c r="D30" s="182">
        <f t="shared" si="2"/>
        <v>2240</v>
      </c>
      <c r="E30" s="193"/>
      <c r="F30" s="233"/>
      <c r="G30" s="203"/>
      <c r="H30" s="190">
        <v>5</v>
      </c>
      <c r="I30" s="191">
        <v>650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55</v>
      </c>
      <c r="C31" s="193">
        <v>50</v>
      </c>
      <c r="D31" s="182">
        <f t="shared" si="2"/>
        <v>2750</v>
      </c>
      <c r="E31" s="193"/>
      <c r="F31" s="233"/>
      <c r="G31" s="203"/>
      <c r="H31" s="190">
        <v>5</v>
      </c>
      <c r="I31" s="191">
        <f>I30*0.1</f>
        <v>65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51</v>
      </c>
      <c r="C32" s="193">
        <v>60</v>
      </c>
      <c r="D32" s="182">
        <f t="shared" si="2"/>
        <v>3060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361</v>
      </c>
      <c r="C33" s="193">
        <v>180</v>
      </c>
      <c r="D33" s="182">
        <f t="shared" si="2"/>
        <v>64980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Erable plane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2850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7</v>
      </c>
      <c r="C54" s="191">
        <v>8</v>
      </c>
      <c r="D54" s="179">
        <f>B54*C54</f>
        <v>56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84</v>
      </c>
      <c r="C55" s="191">
        <v>10</v>
      </c>
      <c r="D55" s="179">
        <f t="shared" ref="D55:D73" si="4">B55*C55</f>
        <v>840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84</v>
      </c>
      <c r="C56" s="191">
        <v>20</v>
      </c>
      <c r="D56" s="179">
        <f t="shared" si="4"/>
        <v>1680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82</v>
      </c>
      <c r="C57" s="191">
        <v>30</v>
      </c>
      <c r="D57" s="179">
        <f t="shared" si="4"/>
        <v>2460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47</v>
      </c>
      <c r="C58" s="191">
        <v>40</v>
      </c>
      <c r="D58" s="179">
        <f t="shared" si="4"/>
        <v>1880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35</v>
      </c>
      <c r="C59" s="191">
        <v>50</v>
      </c>
      <c r="D59" s="179">
        <f t="shared" si="4"/>
        <v>1750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31</v>
      </c>
      <c r="C60" s="191">
        <v>60</v>
      </c>
      <c r="D60" s="179">
        <f t="shared" si="4"/>
        <v>1860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395</v>
      </c>
      <c r="C61" s="191">
        <v>70</v>
      </c>
      <c r="D61" s="179">
        <f t="shared" si="4"/>
        <v>27650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Aulne glutineux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2063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7</v>
      </c>
      <c r="C85" s="191">
        <v>8</v>
      </c>
      <c r="D85" s="179">
        <f>B85*C85</f>
        <v>56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84</v>
      </c>
      <c r="C86" s="191">
        <v>8</v>
      </c>
      <c r="D86" s="179">
        <f t="shared" ref="D86:D104" si="6">B86*C86</f>
        <v>672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84</v>
      </c>
      <c r="C87" s="191">
        <v>10</v>
      </c>
      <c r="D87" s="179">
        <f t="shared" si="6"/>
        <v>840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82</v>
      </c>
      <c r="C88" s="191">
        <v>15</v>
      </c>
      <c r="D88" s="179">
        <f t="shared" si="6"/>
        <v>1230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47</v>
      </c>
      <c r="C89" s="191">
        <v>20</v>
      </c>
      <c r="D89" s="179">
        <f t="shared" si="6"/>
        <v>940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35</v>
      </c>
      <c r="C90" s="191">
        <v>25</v>
      </c>
      <c r="D90" s="179">
        <f t="shared" si="6"/>
        <v>875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31</v>
      </c>
      <c r="C91" s="191">
        <v>30</v>
      </c>
      <c r="D91" s="179">
        <f t="shared" si="6"/>
        <v>930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395</v>
      </c>
      <c r="C92" s="191">
        <v>35</v>
      </c>
      <c r="D92" s="179">
        <f t="shared" si="6"/>
        <v>13825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Tilleul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3113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7</v>
      </c>
      <c r="C116" s="191">
        <v>8</v>
      </c>
      <c r="D116" s="179">
        <f>B116*C116</f>
        <v>56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84</v>
      </c>
      <c r="C117" s="191">
        <v>8</v>
      </c>
      <c r="D117" s="179">
        <f t="shared" ref="D117:D135" si="8">B117*C117</f>
        <v>672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84</v>
      </c>
      <c r="C118" s="191">
        <v>10</v>
      </c>
      <c r="D118" s="179">
        <f t="shared" si="8"/>
        <v>840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82</v>
      </c>
      <c r="C119" s="191">
        <v>15</v>
      </c>
      <c r="D119" s="179">
        <f t="shared" si="8"/>
        <v>1230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47</v>
      </c>
      <c r="C120" s="191">
        <v>20</v>
      </c>
      <c r="D120" s="179">
        <f t="shared" si="8"/>
        <v>940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35</v>
      </c>
      <c r="C121" s="191">
        <v>25</v>
      </c>
      <c r="D121" s="179">
        <f t="shared" si="8"/>
        <v>875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31</v>
      </c>
      <c r="C122" s="191">
        <v>30</v>
      </c>
      <c r="D122" s="179">
        <f t="shared" si="8"/>
        <v>930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395</v>
      </c>
      <c r="C123" s="191">
        <v>35</v>
      </c>
      <c r="D123" s="179">
        <f t="shared" si="8"/>
        <v>13825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rouge d'Amérique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2719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15</v>
      </c>
      <c r="B147" s="175">
        <f>'Données projet'!D140</f>
        <v>21</v>
      </c>
      <c r="C147" s="191">
        <v>10</v>
      </c>
      <c r="D147" s="182">
        <f>B147*C147</f>
        <v>210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43</v>
      </c>
      <c r="C148" s="191">
        <v>12</v>
      </c>
      <c r="D148" s="182">
        <f t="shared" ref="D148:D166" si="10">B148*C148</f>
        <v>516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88</v>
      </c>
      <c r="C149" s="191">
        <v>15</v>
      </c>
      <c r="D149" s="182">
        <f t="shared" si="10"/>
        <v>1320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81</v>
      </c>
      <c r="C150" s="191">
        <v>25</v>
      </c>
      <c r="D150" s="182">
        <f t="shared" si="10"/>
        <v>2025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50</v>
      </c>
      <c r="B151" s="175">
        <f>'Données projet'!D144</f>
        <v>69</v>
      </c>
      <c r="C151" s="191">
        <v>35</v>
      </c>
      <c r="D151" s="182">
        <f t="shared" si="10"/>
        <v>2415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60</v>
      </c>
      <c r="B152" s="175">
        <f>'Données projet'!D145</f>
        <v>55</v>
      </c>
      <c r="C152" s="191">
        <v>45</v>
      </c>
      <c r="D152" s="182">
        <f t="shared" si="10"/>
        <v>2475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70</v>
      </c>
      <c r="B153" s="175">
        <f>'Données projet'!D146</f>
        <v>272</v>
      </c>
      <c r="C153" s="191">
        <v>50</v>
      </c>
      <c r="D153" s="182">
        <f t="shared" si="10"/>
        <v>13600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Pin sylvestre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1969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18</v>
      </c>
      <c r="C178" s="193">
        <v>6</v>
      </c>
      <c r="D178" s="179">
        <f>B178*C178</f>
        <v>108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84</v>
      </c>
      <c r="C179" s="193">
        <v>8</v>
      </c>
      <c r="D179" s="179">
        <f t="shared" ref="D179:D197" si="11">B179*C179</f>
        <v>672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84</v>
      </c>
      <c r="C180" s="193">
        <v>10</v>
      </c>
      <c r="D180" s="179">
        <f t="shared" si="11"/>
        <v>840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84</v>
      </c>
      <c r="C181" s="193">
        <v>15</v>
      </c>
      <c r="D181" s="179">
        <f t="shared" si="11"/>
        <v>1260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82</v>
      </c>
      <c r="C182" s="193">
        <v>20</v>
      </c>
      <c r="D182" s="179">
        <f t="shared" si="11"/>
        <v>1640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70</v>
      </c>
      <c r="C183" s="193">
        <v>25</v>
      </c>
      <c r="D183" s="179">
        <f t="shared" si="11"/>
        <v>1750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526</v>
      </c>
      <c r="C184" s="193">
        <v>35</v>
      </c>
      <c r="D184" s="179">
        <f t="shared" si="11"/>
        <v>18410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Séquoia toujours vert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4275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45</v>
      </c>
      <c r="C209" s="191">
        <v>12</v>
      </c>
      <c r="D209" s="179">
        <f>B209*C209</f>
        <v>540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140</v>
      </c>
      <c r="C210" s="191">
        <v>35</v>
      </c>
      <c r="D210" s="179">
        <f t="shared" ref="D210:D228" si="12">B210*C210</f>
        <v>4900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140</v>
      </c>
      <c r="C211" s="191">
        <v>45</v>
      </c>
      <c r="D211" s="179">
        <f t="shared" si="12"/>
        <v>6300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111</v>
      </c>
      <c r="C212" s="191">
        <v>50</v>
      </c>
      <c r="D212" s="179">
        <f t="shared" si="12"/>
        <v>5550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83</v>
      </c>
      <c r="C213" s="191">
        <v>55</v>
      </c>
      <c r="D213" s="179">
        <f t="shared" si="12"/>
        <v>4565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63</v>
      </c>
      <c r="C214" s="191">
        <v>60</v>
      </c>
      <c r="D214" s="179">
        <f t="shared" si="12"/>
        <v>3780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835</v>
      </c>
      <c r="C215" s="191">
        <v>80</v>
      </c>
      <c r="D215" s="179">
        <f t="shared" si="12"/>
        <v>66800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scale="1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François Legron</cp:lastModifiedBy>
  <cp:lastPrinted>2023-01-30T11:23:57Z</cp:lastPrinted>
  <dcterms:created xsi:type="dcterms:W3CDTF">2021-02-01T08:22:39Z</dcterms:created>
  <dcterms:modified xsi:type="dcterms:W3CDTF">2023-05-09T15:52:47Z</dcterms:modified>
</cp:coreProperties>
</file>