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Auxerre\2 - Saint Andre\DDP_Novembre2022\"/>
    </mc:Choice>
  </mc:AlternateContent>
  <xr:revisionPtr revIDLastSave="0" documentId="13_ncr:1_{262A56FC-B545-4E4D-B247-6869B1445D0A}" xr6:coauthVersionLast="47" xr6:coauthVersionMax="47" xr10:uidLastSave="{00000000-0000-0000-0000-000000000000}"/>
  <bookViews>
    <workbookView xWindow="-120" yWindow="-120" windowWidth="23280" windowHeight="1275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2" i="6" l="1"/>
  <c r="E141" i="6"/>
  <c r="E110" i="6"/>
  <c r="E17" i="6"/>
  <c r="E79" i="6"/>
  <c r="E48" i="6"/>
  <c r="I23" i="6" l="1"/>
  <c r="I22" i="6"/>
  <c r="I21" i="6"/>
  <c r="I20" i="6"/>
  <c r="B90" i="1" l="1"/>
  <c r="B147" i="1"/>
  <c r="D147" i="1" s="1"/>
  <c r="D146" i="1"/>
  <c r="D145" i="1"/>
  <c r="D144" i="1"/>
  <c r="D143" i="1"/>
  <c r="D142" i="1"/>
  <c r="D141" i="1"/>
  <c r="D173" i="1"/>
  <c r="B173" i="1"/>
  <c r="D172" i="1"/>
  <c r="D171" i="1"/>
  <c r="D170" i="1"/>
  <c r="D169" i="1"/>
  <c r="D168" i="1"/>
  <c r="D167" i="1"/>
  <c r="B68" i="1"/>
  <c r="D68" i="1" s="1"/>
  <c r="D42" i="1"/>
  <c r="B121" i="1"/>
  <c r="D121" i="1" s="1"/>
  <c r="D120" i="1"/>
  <c r="D119" i="1"/>
  <c r="D118" i="1"/>
  <c r="D117" i="1"/>
  <c r="D116" i="1"/>
  <c r="D11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FS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HH33" i="2"/>
  <c r="HG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A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AB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A161" i="2"/>
  <c r="ED160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EY163" i="2" s="1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EA164" i="2"/>
  <c r="EX164" i="2"/>
  <c r="EV164" i="2"/>
  <c r="FR164" i="2"/>
  <c r="DI163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DG167" i="2"/>
  <c r="EA167" i="2"/>
  <c r="HH167" i="2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HI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EW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HH186" i="2"/>
  <c r="FR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A192" i="2"/>
  <c r="EW192" i="2"/>
  <c r="HI192" i="2"/>
  <c r="EV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D194" i="2"/>
  <c r="DH195" i="2"/>
  <c r="EX195" i="2"/>
  <c r="HG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A201" i="2"/>
  <c r="EB201" i="2"/>
  <c r="HH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47" i="2" a="1"/>
  <c r="BC47" i="2" s="1"/>
  <c r="BC82" i="2" a="1"/>
  <c r="BC82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BC68" i="2" l="1" a="1"/>
  <c r="BC68" i="2" s="1"/>
  <c r="BC117" i="2" a="1"/>
  <c r="BC117" i="2" s="1"/>
  <c r="BC181" i="2" a="1"/>
  <c r="BC181" i="2" s="1"/>
  <c r="BC58" i="2" a="1"/>
  <c r="BC58" i="2" s="1"/>
  <c r="BC34" i="2" a="1"/>
  <c r="BC34" i="2" s="1"/>
  <c r="BC126" i="2" a="1"/>
  <c r="BC126" i="2" s="1"/>
  <c r="FD107" i="2" a="1"/>
  <c r="FD107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44" i="2" a="1"/>
  <c r="FD44" i="2" s="1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<sst xmlns="http://schemas.openxmlformats.org/spreadsheetml/2006/main" count="1180" uniqueCount="329">
  <si>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</si>
  <si>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</si>
  <si>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</si>
  <si>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</si>
  <si>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</si>
  <si>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</si>
  <si>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</si>
  <si>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</si>
  <si>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</si>
  <si>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</si>
  <si>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</si>
  <si>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</si>
  <si>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</si>
  <si>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</si>
  <si>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</si>
  <si>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</si>
  <si>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</si>
  <si>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</si>
  <si>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</si>
  <si>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</si>
  <si>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</si>
  <si>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</si>
  <si>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</si>
  <si>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</si>
  <si>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</si>
  <si>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</si>
  <si>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</si>
  <si>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</si>
  <si>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</si>
  <si>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</si>
  <si>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</si>
  <si>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</si>
  <si>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</si>
  <si>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</si>
  <si>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</si>
  <si>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</si>
  <si>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</si>
  <si>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</si>
  <si>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</si>
  <si>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</si>
  <si>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</si>
  <si>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</si>
  <si>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</si>
  <si>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</si>
  <si>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</si>
  <si>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</si>
  <si>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</si>
  <si>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</si>
  <si>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</si>
  <si>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</si>
  <si>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</si>
  <si>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</si>
  <si>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</si>
  <si>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</si>
  <si>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</si>
  <si>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</si>
  <si>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</si>
  <si>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</si>
  <si>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</si>
  <si>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</si>
  <si>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</si>
  <si>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</si>
  <si>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</si>
  <si>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</si>
  <si>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</si>
  <si>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</si>
  <si>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</si>
  <si>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</si>
  <si>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</si>
  <si>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</si>
  <si>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</si>
  <si>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</si>
  <si>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</si>
  <si>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</si>
  <si>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</si>
  <si>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</si>
  <si>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</si>
  <si>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</si>
  <si>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</si>
  <si>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</si>
  <si>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</si>
  <si>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</si>
  <si>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</si>
  <si>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</si>
  <si>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</si>
  <si>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</si>
  <si>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</si>
  <si>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</si>
  <si>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</si>
  <si>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</si>
  <si>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</si>
  <si>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</si>
  <si>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</si>
  <si>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</si>
  <si>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</si>
  <si>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</si>
  <si>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</si>
  <si>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</si>
  <si>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</si>
  <si>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</si>
  <si>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</si>
  <si>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</si>
  <si>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</si>
  <si>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</si>
  <si>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</si>
  <si>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</si>
  <si>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</si>
  <si>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</si>
  <si>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</si>
  <si>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</si>
  <si>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</si>
  <si>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</si>
  <si>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</si>
  <si>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</si>
  <si>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</si>
  <si>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</si>
  <si>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</si>
  <si>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</si>
  <si>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</si>
  <si>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</si>
  <si>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</si>
  <si>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</si>
  <si>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</si>
  <si>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</si>
  <si>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</si>
  <si>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</si>
  <si>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</si>
  <si>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</si>
  <si>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</si>
  <si>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</si>
  <si>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</si>
  <si>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</si>
  <si>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</si>
  <si>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</si>
  <si>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</si>
  <si>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</si>
  <si>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</si>
  <si>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</si>
  <si>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</si>
  <si>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</si>
  <si>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</si>
  <si>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</si>
  <si>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</si>
  <si>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</si>
  <si>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</si>
  <si>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</si>
  <si>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</si>
  <si>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</si>
  <si>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</si>
  <si>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</si>
  <si>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</si>
  <si>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</si>
  <si>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</si>
  <si>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</si>
  <si>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</si>
  <si>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</si>
  <si>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</si>
  <si>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</si>
  <si>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</si>
  <si>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</si>
  <si>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</si>
  <si>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</si>
  <si>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</si>
  <si>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</si>
  <si>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</si>
  <si>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</si>
  <si>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</si>
  <si>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</si>
  <si>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</si>
  <si>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</si>
  <si>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</si>
  <si>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</si>
  <si>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</si>
  <si>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</si>
  <si>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</si>
  <si>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</si>
  <si>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</si>
  <si>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</si>
  <si>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</si>
  <si>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</si>
  <si>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</si>
  <si>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</si>
  <si>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</si>
  <si>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</si>
  <si>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</si>
  <si>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</si>
  <si>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</si>
  <si>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</si>
  <si>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</si>
  <si>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</si>
  <si>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</si>
  <si>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</si>
  <si>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</si>
  <si>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</si>
  <si>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</si>
  <si>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</si>
  <si>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</si>
  <si>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</si>
  <si>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</si>
  <si>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</si>
  <si>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</si>
  <si>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</si>
  <si>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</si>
  <si>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</si>
  <si>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</si>
  <si>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</si>
  <si>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</si>
  <si>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</si>
  <si>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</si>
  <si>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</si>
  <si>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</si>
  <si>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</si>
  <si>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</si>
  <si>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</si>
  <si>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</si>
  <si>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</si>
  <si>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</si>
  <si>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</si>
  <si>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</si>
  <si>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</si>
  <si>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</si>
  <si>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</si>
  <si>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</si>
  <si>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</si>
  <si>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</si>
  <si>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</si>
  <si>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</si>
  <si>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</si>
  <si>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</si>
  <si>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</si>
  <si>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</si>
  <si>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</si>
  <si>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</si>
  <si>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</si>
  <si>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</si>
  <si>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</si>
  <si>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</si>
  <si>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</si>
  <si>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</si>
  <si>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</si>
  <si>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</si>
  <si>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</si>
  <si>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</si>
  <si>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</si>
  <si>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</si>
  <si>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</si>
  <si>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</si>
  <si>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</si>
  <si>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</si>
  <si>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</si>
  <si>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</si>
  <si>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</si>
  <si>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</si>
  <si>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</si>
  <si>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</si>
  <si>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</si>
  <si>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</si>
  <si>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</si>
  <si>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</si>
  <si>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</si>
  <si>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</si>
  <si>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</si>
  <si>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</si>
  <si>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</si>
  <si>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</si>
  <si>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</si>
  <si>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</si>
  <si>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</si>
  <si>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</si>
  <si>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</si>
  <si>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</si>
  <si>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</si>
  <si>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</si>
  <si>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</si>
  <si>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</si>
  <si>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</si>
  <si>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</si>
  <si>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</si>
  <si>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</si>
  <si>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</si>
  <si>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</si>
  <si>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</si>
  <si>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</si>
  <si>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</si>
  <si>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</si>
  <si>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</si>
  <si>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</si>
  <si>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</si>
  <si>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</si>
  <si>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</si>
  <si>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</si>
  <si>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</si>
  <si>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</si>
  <si>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</si>
  <si>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</si>
  <si>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</si>
  <si>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</si>
  <si>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</si>
  <si>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</si>
  <si>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</si>
  <si>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</si>
  <si>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</si>
  <si>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</si>
  <si>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</si>
  <si>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</si>
  <si>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</si>
  <si>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</si>
  <si>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</si>
  <si>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</si>
  <si>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</si>
  <si>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</si>
  <si>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</si>
  <si>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</si>
  <si>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</si>
  <si>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</si>
  <si>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</si>
  <si>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</si>
  <si>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</si>
  <si>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</si>
  <si>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</si>
  <si>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</si>
  <si>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</si>
  <si>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</si>
  <si>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</si>
  <si>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0 = préparation de sol</t>
  </si>
  <si>
    <t>1 = entretiens + frais fixes (assurances, gestion…)</t>
  </si>
  <si>
    <t>2 = entretien complet + frais fixes</t>
  </si>
  <si>
    <t>4 = frais fixes</t>
  </si>
  <si>
    <t>3 = entretien complet+ frais fixes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</si>
</sst>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1.9543588281869109</c:v>
                </c:pt>
                <c:pt idx="2">
                  <c:v>2.4628876456233901</c:v>
                </c:pt>
                <c:pt idx="3">
                  <c:v>3.1042616099614975</c:v>
                </c:pt>
                <c:pt idx="4">
                  <c:v>3.9133138862196657</c:v>
                </c:pt>
                <c:pt idx="5">
                  <c:v>4.9340430157436925</c:v>
                </c:pt>
                <c:pt idx="6">
                  <c:v>6.2220323185627997</c:v>
                </c:pt>
                <c:pt idx="7">
                  <c:v>7.8475098505036698</c:v>
                </c:pt>
                <c:pt idx="8">
                  <c:v>9.8992189688558234</c:v>
                </c:pt>
                <c:pt idx="9">
                  <c:v>12.489314818142381</c:v>
                </c:pt>
                <c:pt idx="10">
                  <c:v>15.759559377214282</c:v>
                </c:pt>
                <c:pt idx="11">
                  <c:v>19.889160337009255</c:v>
                </c:pt>
                <c:pt idx="12">
                  <c:v>25.10469109541539</c:v>
                </c:pt>
                <c:pt idx="13">
                  <c:v>31.692645747947029</c:v>
                </c:pt>
                <c:pt idx="14">
                  <c:v>40.015330696204671</c:v>
                </c:pt>
                <c:pt idx="15">
                  <c:v>50.530981728738816</c:v>
                </c:pt>
                <c:pt idx="16">
                  <c:v>63.819232725076979</c:v>
                </c:pt>
                <c:pt idx="17">
                  <c:v>80.613362903460484</c:v>
                </c:pt>
                <c:pt idx="18">
                  <c:v>101.8411307842499</c:v>
                </c:pt>
                <c:pt idx="19">
                  <c:v>128.67648634641287</c:v>
                </c:pt>
                <c:pt idx="20">
                  <c:v>162.60506557753638</c:v>
                </c:pt>
                <c:pt idx="21">
                  <c:v>153.24633362321308</c:v>
                </c:pt>
                <c:pt idx="22">
                  <c:v>173.76692305521752</c:v>
                </c:pt>
                <c:pt idx="23">
                  <c:v>194.23052863625438</c:v>
                </c:pt>
                <c:pt idx="24">
                  <c:v>214.64400130887782</c:v>
                </c:pt>
                <c:pt idx="25">
                  <c:v>235.01278028177921</c:v>
                </c:pt>
                <c:pt idx="26">
                  <c:v>255.34128386600921</c:v>
                </c:pt>
                <c:pt idx="27">
                  <c:v>275.63316891288991</c:v>
                </c:pt>
                <c:pt idx="28">
                  <c:v>295.89150966027745</c:v>
                </c:pt>
                <c:pt idx="29">
                  <c:v>316.11892494264981</c:v>
                </c:pt>
                <c:pt idx="30">
                  <c:v>336.31767109212768</c:v>
                </c:pt>
                <c:pt idx="31">
                  <c:v>244.53850101874707</c:v>
                </c:pt>
                <c:pt idx="32">
                  <c:v>260.4818014173627</c:v>
                </c:pt>
                <c:pt idx="33">
                  <c:v>276.40306789470998</c:v>
                </c:pt>
                <c:pt idx="34">
                  <c:v>292.30374831900969</c:v>
                </c:pt>
                <c:pt idx="35">
                  <c:v>308.18512014007462</c:v>
                </c:pt>
                <c:pt idx="36">
                  <c:v>324.04831838189801</c:v>
                </c:pt>
                <c:pt idx="37">
                  <c:v>339.89435786363481</c:v>
                </c:pt>
                <c:pt idx="38">
                  <c:v>355.72415105802401</c:v>
                </c:pt>
                <c:pt idx="39">
                  <c:v>371.53852260367267</c:v>
                </c:pt>
                <c:pt idx="40">
                  <c:v>387.33822121677059</c:v>
                </c:pt>
                <c:pt idx="41">
                  <c:v>304.08848473578615</c:v>
                </c:pt>
                <c:pt idx="42">
                  <c:v>328.13922326681751</c:v>
                </c:pt>
                <c:pt idx="43">
                  <c:v>352.15105779017057</c:v>
                </c:pt>
                <c:pt idx="44">
                  <c:v>376.12701202848376</c:v>
                </c:pt>
                <c:pt idx="45">
                  <c:v>400.0696929048429</c:v>
                </c:pt>
                <c:pt idx="46">
                  <c:v>423.98137001578181</c:v>
                </c:pt>
                <c:pt idx="47">
                  <c:v>447.86403623255609</c:v>
                </c:pt>
                <c:pt idx="48">
                  <c:v>471.71945469929466</c:v>
                </c:pt>
                <c:pt idx="49">
                  <c:v>495.54919582854546</c:v>
                </c:pt>
                <c:pt idx="50">
                  <c:v>519.35466681110222</c:v>
                </c:pt>
                <c:pt idx="51">
                  <c:v>431.60656099910989</c:v>
                </c:pt>
                <c:pt idx="52">
                  <c:v>447.86403623255609</c:v>
                </c:pt>
                <c:pt idx="53">
                  <c:v>464.10888452471528</c:v>
                </c:pt>
                <c:pt idx="54">
                  <c:v>480.34160990668738</c:v>
                </c:pt>
                <c:pt idx="55">
                  <c:v>496.56267957814447</c:v>
                </c:pt>
                <c:pt idx="56">
                  <c:v>512.77252773883436</c:v>
                </c:pt>
                <c:pt idx="57">
                  <c:v>528.97155891052341</c:v>
                </c:pt>
                <c:pt idx="58">
                  <c:v>545.16015083098762</c:v>
                </c:pt>
                <c:pt idx="59">
                  <c:v>561.33865698650425</c:v>
                </c:pt>
                <c:pt idx="60">
                  <c:v>577.50740883732726</c:v>
                </c:pt>
                <c:pt idx="61">
                  <c:v>510.11385170032509</c:v>
                </c:pt>
                <c:pt idx="62">
                  <c:v>523.65742043679131</c:v>
                </c:pt>
                <c:pt idx="63">
                  <c:v>537.19361008971248</c:v>
                </c:pt>
                <c:pt idx="64">
                  <c:v>550.7226327388712</c:v>
                </c:pt>
                <c:pt idx="65">
                  <c:v>564.24468919783703</c:v>
                </c:pt>
                <c:pt idx="66">
                  <c:v>577.75996987374401</c:v>
                </c:pt>
                <c:pt idx="67">
                  <c:v>591.26865554246626</c:v>
                </c:pt>
                <c:pt idx="68">
                  <c:v>604.77091804929455</c:v>
                </c:pt>
                <c:pt idx="69">
                  <c:v>618.26692094381269</c:v>
                </c:pt>
                <c:pt idx="70">
                  <c:v>631.75682005648298</c:v>
                </c:pt>
                <c:pt idx="71">
                  <c:v>579.02274052069447</c:v>
                </c:pt>
                <c:pt idx="72">
                  <c:v>589.37530551237808</c:v>
                </c:pt>
                <c:pt idx="73">
                  <c:v>599.72408450238811</c:v>
                </c:pt>
                <c:pt idx="74">
                  <c:v>610.06915202133894</c:v>
                </c:pt>
                <c:pt idx="75">
                  <c:v>620.4105798664923</c:v>
                </c:pt>
                <c:pt idx="76">
                  <c:v>630.74843724685832</c:v>
                </c:pt>
                <c:pt idx="77">
                  <c:v>641.08279091829229</c:v>
                </c:pt>
                <c:pt idx="78">
                  <c:v>651.4137053094297</c:v>
                </c:pt>
                <c:pt idx="79">
                  <c:v>661.74124263922022</c:v>
                </c:pt>
                <c:pt idx="80">
                  <c:v>672.06546302674622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1.56682834306264</c:v>
                </c:pt>
                <c:pt idx="2">
                  <c:v>1.9515586563673146</c:v>
                </c:pt>
                <c:pt idx="3">
                  <c:v>2.4311331858959355</c:v>
                </c:pt>
                <c:pt idx="4">
                  <c:v>3.0290204687505287</c:v>
                </c:pt>
                <c:pt idx="5">
                  <c:v>3.7745164777294953</c:v>
                </c:pt>
                <c:pt idx="6">
                  <c:v>4.7041963241079152</c:v>
                </c:pt>
                <c:pt idx="7">
                  <c:v>5.8637286860828803</c:v>
                </c:pt>
                <c:pt idx="8">
                  <c:v>7.3101438436548882</c:v>
                </c:pt>
                <c:pt idx="9">
                  <c:v>9.1146690280129867</c:v>
                </c:pt>
                <c:pt idx="10">
                  <c:v>11.36627336758013</c:v>
                </c:pt>
                <c:pt idx="11">
                  <c:v>14.17610048349583</c:v>
                </c:pt>
                <c:pt idx="12">
                  <c:v>17.683011570607853</c:v>
                </c:pt>
                <c:pt idx="13">
                  <c:v>22.060517871315398</c:v>
                </c:pt>
                <c:pt idx="14">
                  <c:v>27.525451659590289</c:v>
                </c:pt>
                <c:pt idx="15">
                  <c:v>34.348812773132863</c:v>
                </c:pt>
                <c:pt idx="16">
                  <c:v>42.869337838761396</c:v>
                </c:pt>
                <c:pt idx="17">
                  <c:v>53.510477238691315</c:v>
                </c:pt>
                <c:pt idx="18">
                  <c:v>66.801637592516627</c:v>
                </c:pt>
                <c:pt idx="19">
                  <c:v>83.404763891104167</c:v>
                </c:pt>
                <c:pt idx="20">
                  <c:v>104.14760645595801</c:v>
                </c:pt>
                <c:pt idx="21">
                  <c:v>127.5329083784389</c:v>
                </c:pt>
                <c:pt idx="22">
                  <c:v>150.81403684621014</c:v>
                </c:pt>
                <c:pt idx="23">
                  <c:v>174.00938053467337</c:v>
                </c:pt>
                <c:pt idx="24">
                  <c:v>197.13199917409852</c:v>
                </c:pt>
                <c:pt idx="25">
                  <c:v>220.19162819449525</c:v>
                </c:pt>
                <c:pt idx="26">
                  <c:v>243.19579296947248</c:v>
                </c:pt>
                <c:pt idx="27">
                  <c:v>266.15047699682117</c:v>
                </c:pt>
                <c:pt idx="28">
                  <c:v>289.06054654178126</c:v>
                </c:pt>
                <c:pt idx="29">
                  <c:v>311.93003320050815</c:v>
                </c:pt>
                <c:pt idx="30">
                  <c:v>334.76232907654128</c:v>
                </c:pt>
                <c:pt idx="31">
                  <c:v>261.19123519966905</c:v>
                </c:pt>
                <c:pt idx="32">
                  <c:v>286.58580460988145</c:v>
                </c:pt>
                <c:pt idx="33">
                  <c:v>311.93003320050815</c:v>
                </c:pt>
                <c:pt idx="34">
                  <c:v>337.22858350415618</c:v>
                </c:pt>
                <c:pt idx="35">
                  <c:v>362.48536141537079</c:v>
                </c:pt>
                <c:pt idx="36">
                  <c:v>387.7036842526233</c:v>
                </c:pt>
                <c:pt idx="37">
                  <c:v>412.88640276119321</c:v>
                </c:pt>
                <c:pt idx="38">
                  <c:v>438.03599177600387</c:v>
                </c:pt>
                <c:pt idx="39">
                  <c:v>463.15461896808614</c:v>
                </c:pt>
                <c:pt idx="40">
                  <c:v>488.2441978973996</c:v>
                </c:pt>
                <c:pt idx="41">
                  <c:v>377.25178103754297</c:v>
                </c:pt>
                <c:pt idx="42">
                  <c:v>401.22062373138345</c:v>
                </c:pt>
                <c:pt idx="43">
                  <c:v>425.15849287721011</c:v>
                </c:pt>
                <c:pt idx="44">
                  <c:v>449.06737605989952</c:v>
                </c:pt>
                <c:pt idx="45">
                  <c:v>472.94903211084261</c:v>
                </c:pt>
                <c:pt idx="46">
                  <c:v>496.80502789110125</c:v>
                </c:pt>
                <c:pt idx="47">
                  <c:v>520.63676764250874</c:v>
                </c:pt>
                <c:pt idx="48">
                  <c:v>544.44551668644533</c:v>
                </c:pt>
                <c:pt idx="49">
                  <c:v>568.23242076316217</c:v>
                </c:pt>
                <c:pt idx="50">
                  <c:v>591.99852196603786</c:v>
                </c:pt>
                <c:pt idx="51">
                  <c:v>477.23272437386987</c:v>
                </c:pt>
                <c:pt idx="52">
                  <c:v>496.80502789110125</c:v>
                </c:pt>
                <c:pt idx="53">
                  <c:v>516.36100378617914</c:v>
                </c:pt>
                <c:pt idx="54">
                  <c:v>535.90135700397695</c:v>
                </c:pt>
                <c:pt idx="55">
                  <c:v>555.42673692699225</c:v>
                </c:pt>
                <c:pt idx="56">
                  <c:v>574.93774359362271</c:v>
                </c:pt>
                <c:pt idx="57">
                  <c:v>594.43493302890863</c:v>
                </c:pt>
                <c:pt idx="58">
                  <c:v>613.91882183995142</c:v>
                </c:pt>
                <c:pt idx="59">
                  <c:v>633.38989119800635</c:v>
                </c:pt>
                <c:pt idx="60">
                  <c:v>652.84859030581424</c:v>
                </c:pt>
                <c:pt idx="61">
                  <c:v>562.54175945157533</c:v>
                </c:pt>
                <c:pt idx="62">
                  <c:v>579.81331549688014</c:v>
                </c:pt>
                <c:pt idx="63">
                  <c:v>597.07414390694873</c:v>
                </c:pt>
                <c:pt idx="64">
                  <c:v>614.32459826050399</c:v>
                </c:pt>
                <c:pt idx="65">
                  <c:v>631.56501067447016</c:v>
                </c:pt>
                <c:pt idx="66">
                  <c:v>648.795693668951</c:v>
                </c:pt>
                <c:pt idx="67">
                  <c:v>666.01694182392941</c:v>
                </c:pt>
                <c:pt idx="68">
                  <c:v>683.22903325583331</c:v>
                </c:pt>
                <c:pt idx="69">
                  <c:v>700.43223093768893</c:v>
                </c:pt>
                <c:pt idx="70">
                  <c:v>717.62678388294546</c:v>
                </c:pt>
                <c:pt idx="71">
                  <c:v>643.42480053791849</c:v>
                </c:pt>
                <c:pt idx="72">
                  <c:v>658.31917885838322</c:v>
                </c:pt>
                <c:pt idx="73">
                  <c:v>673.20661928386801</c:v>
                </c:pt>
                <c:pt idx="74">
                  <c:v>688.08729675395989</c:v>
                </c:pt>
                <c:pt idx="75">
                  <c:v>702.96137803000727</c:v>
                </c:pt>
                <c:pt idx="76">
                  <c:v>717.82902224596637</c:v>
                </c:pt>
                <c:pt idx="77">
                  <c:v>732.69038141127112</c:v>
                </c:pt>
                <c:pt idx="78">
                  <c:v>747.54560087081745</c:v>
                </c:pt>
                <c:pt idx="79">
                  <c:v>762.39481972651311</c:v>
                </c:pt>
                <c:pt idx="80">
                  <c:v>777.23817122430262</c:v>
                </c:pt>
                <c:pt idx="81">
                  <c:v>9.2334028056631319E-12</c:v>
                </c:pt>
                <c:pt idx="82">
                  <c:v>9.2334028056631319E-12</c:v>
                </c:pt>
                <c:pt idx="83">
                  <c:v>9.2334028056631319E-12</c:v>
                </c:pt>
                <c:pt idx="84">
                  <c:v>9.2334028056631319E-12</c:v>
                </c:pt>
                <c:pt idx="85">
                  <c:v>9.2334028056631319E-12</c:v>
                </c:pt>
                <c:pt idx="86">
                  <c:v>9.2334028056631319E-12</c:v>
                </c:pt>
                <c:pt idx="87">
                  <c:v>9.2334028056631319E-12</c:v>
                </c:pt>
                <c:pt idx="88">
                  <c:v>9.2334028056631319E-12</c:v>
                </c:pt>
                <c:pt idx="89">
                  <c:v>9.2334028056631319E-12</c:v>
                </c:pt>
                <c:pt idx="90">
                  <c:v>9.2334028056631319E-12</c:v>
                </c:pt>
                <c:pt idx="91">
                  <c:v>9.2334028056631319E-12</c:v>
                </c:pt>
                <c:pt idx="92">
                  <c:v>9.2334028056631319E-12</c:v>
                </c:pt>
                <c:pt idx="93">
                  <c:v>9.2334028056631319E-12</c:v>
                </c:pt>
                <c:pt idx="94">
                  <c:v>9.2334028056631319E-12</c:v>
                </c:pt>
                <c:pt idx="95">
                  <c:v>9.2334028056631319E-12</c:v>
                </c:pt>
                <c:pt idx="96">
                  <c:v>9.2334028056631319E-12</c:v>
                </c:pt>
                <c:pt idx="97">
                  <c:v>9.2334028056631319E-12</c:v>
                </c:pt>
                <c:pt idx="98">
                  <c:v>9.2334028056631319E-12</c:v>
                </c:pt>
                <c:pt idx="99">
                  <c:v>9.2334028056631319E-12</c:v>
                </c:pt>
                <c:pt idx="100">
                  <c:v>9.2334028056631319E-12</c:v>
                </c:pt>
                <c:pt idx="101">
                  <c:v>9.2334028056631319E-12</c:v>
                </c:pt>
                <c:pt idx="102">
                  <c:v>9.2334028056631319E-12</c:v>
                </c:pt>
                <c:pt idx="103">
                  <c:v>9.2334028056631319E-12</c:v>
                </c:pt>
                <c:pt idx="104">
                  <c:v>9.2334028056631319E-12</c:v>
                </c:pt>
                <c:pt idx="105">
                  <c:v>9.2334028056631319E-12</c:v>
                </c:pt>
                <c:pt idx="106">
                  <c:v>9.2334028056631319E-12</c:v>
                </c:pt>
                <c:pt idx="107">
                  <c:v>9.2334028056631319E-12</c:v>
                </c:pt>
                <c:pt idx="108">
                  <c:v>9.2334028056631319E-12</c:v>
                </c:pt>
                <c:pt idx="109">
                  <c:v>9.2334028056631319E-12</c:v>
                </c:pt>
                <c:pt idx="110">
                  <c:v>9.2334028056631319E-12</c:v>
                </c:pt>
                <c:pt idx="111">
                  <c:v>9.2334028056631319E-12</c:v>
                </c:pt>
                <c:pt idx="112">
                  <c:v>9.2334028056631319E-12</c:v>
                </c:pt>
                <c:pt idx="113">
                  <c:v>9.2334028056631319E-12</c:v>
                </c:pt>
                <c:pt idx="114">
                  <c:v>9.2334028056631319E-12</c:v>
                </c:pt>
                <c:pt idx="115">
                  <c:v>9.2334028056631319E-12</c:v>
                </c:pt>
                <c:pt idx="116">
                  <c:v>9.2334028056631319E-12</c:v>
                </c:pt>
                <c:pt idx="117">
                  <c:v>9.2334028056631319E-12</c:v>
                </c:pt>
                <c:pt idx="118">
                  <c:v>9.2334028056631319E-12</c:v>
                </c:pt>
                <c:pt idx="119">
                  <c:v>9.2334028056631319E-12</c:v>
                </c:pt>
                <c:pt idx="120">
                  <c:v>9.2334028056631319E-12</c:v>
                </c:pt>
                <c:pt idx="121">
                  <c:v>9.2334028056631319E-12</c:v>
                </c:pt>
                <c:pt idx="122">
                  <c:v>9.2334028056631319E-12</c:v>
                </c:pt>
                <c:pt idx="123">
                  <c:v>9.2334028056631319E-12</c:v>
                </c:pt>
                <c:pt idx="124">
                  <c:v>9.2334028056631319E-12</c:v>
                </c:pt>
                <c:pt idx="125">
                  <c:v>9.2334028056631319E-12</c:v>
                </c:pt>
                <c:pt idx="126">
                  <c:v>9.2334028056631319E-12</c:v>
                </c:pt>
                <c:pt idx="127">
                  <c:v>9.2334028056631319E-12</c:v>
                </c:pt>
                <c:pt idx="128">
                  <c:v>9.2334028056631319E-12</c:v>
                </c:pt>
                <c:pt idx="129">
                  <c:v>9.2334028056631319E-12</c:v>
                </c:pt>
                <c:pt idx="130">
                  <c:v>9.2334028056631319E-12</c:v>
                </c:pt>
                <c:pt idx="131">
                  <c:v>9.2334028056631319E-12</c:v>
                </c:pt>
                <c:pt idx="132">
                  <c:v>9.2334028056631319E-12</c:v>
                </c:pt>
                <c:pt idx="133">
                  <c:v>9.2334028056631319E-12</c:v>
                </c:pt>
                <c:pt idx="134">
                  <c:v>9.2334028056631319E-12</c:v>
                </c:pt>
                <c:pt idx="135">
                  <c:v>9.2334028056631319E-12</c:v>
                </c:pt>
                <c:pt idx="136">
                  <c:v>9.2334028056631319E-12</c:v>
                </c:pt>
                <c:pt idx="137">
                  <c:v>9.2334028056631319E-12</c:v>
                </c:pt>
                <c:pt idx="138">
                  <c:v>9.2334028056631319E-12</c:v>
                </c:pt>
                <c:pt idx="139">
                  <c:v>9.2334028056631319E-12</c:v>
                </c:pt>
                <c:pt idx="140">
                  <c:v>9.2334028056631319E-12</c:v>
                </c:pt>
                <c:pt idx="141">
                  <c:v>9.2334028056631319E-12</c:v>
                </c:pt>
                <c:pt idx="142">
                  <c:v>9.2334028056631319E-12</c:v>
                </c:pt>
                <c:pt idx="143">
                  <c:v>9.2334028056631319E-12</c:v>
                </c:pt>
                <c:pt idx="144">
                  <c:v>9.2334028056631319E-12</c:v>
                </c:pt>
                <c:pt idx="145">
                  <c:v>9.2334028056631319E-12</c:v>
                </c:pt>
                <c:pt idx="146">
                  <c:v>9.2334028056631319E-12</c:v>
                </c:pt>
                <c:pt idx="147">
                  <c:v>9.2334028056631319E-12</c:v>
                </c:pt>
                <c:pt idx="148">
                  <c:v>9.2334028056631319E-12</c:v>
                </c:pt>
                <c:pt idx="149">
                  <c:v>9.2334028056631319E-12</c:v>
                </c:pt>
                <c:pt idx="150">
                  <c:v>9.2334028056631319E-12</c:v>
                </c:pt>
                <c:pt idx="151">
                  <c:v>9.2334028056631319E-12</c:v>
                </c:pt>
                <c:pt idx="152">
                  <c:v>9.2334028056631319E-12</c:v>
                </c:pt>
                <c:pt idx="153">
                  <c:v>9.2334028056631319E-12</c:v>
                </c:pt>
                <c:pt idx="154">
                  <c:v>9.2334028056631319E-12</c:v>
                </c:pt>
                <c:pt idx="155">
                  <c:v>9.2334028056631319E-12</c:v>
                </c:pt>
                <c:pt idx="156">
                  <c:v>9.2334028056631319E-12</c:v>
                </c:pt>
                <c:pt idx="157">
                  <c:v>9.2334028056631319E-12</c:v>
                </c:pt>
                <c:pt idx="158">
                  <c:v>9.2334028056631319E-12</c:v>
                </c:pt>
                <c:pt idx="159">
                  <c:v>9.2334028056631319E-12</c:v>
                </c:pt>
                <c:pt idx="160">
                  <c:v>9.2334028056631319E-12</c:v>
                </c:pt>
                <c:pt idx="161">
                  <c:v>9.2334028056631319E-12</c:v>
                </c:pt>
                <c:pt idx="162">
                  <c:v>9.2334028056631319E-12</c:v>
                </c:pt>
                <c:pt idx="163">
                  <c:v>9.2334028056631319E-12</c:v>
                </c:pt>
                <c:pt idx="164">
                  <c:v>9.2334028056631319E-12</c:v>
                </c:pt>
                <c:pt idx="165">
                  <c:v>9.2334028056631319E-12</c:v>
                </c:pt>
                <c:pt idx="166">
                  <c:v>9.2334028056631319E-12</c:v>
                </c:pt>
                <c:pt idx="167">
                  <c:v>9.2334028056631319E-12</c:v>
                </c:pt>
                <c:pt idx="168">
                  <c:v>9.2334028056631319E-12</c:v>
                </c:pt>
                <c:pt idx="169">
                  <c:v>9.2334028056631319E-12</c:v>
                </c:pt>
                <c:pt idx="170">
                  <c:v>9.2334028056631319E-12</c:v>
                </c:pt>
                <c:pt idx="171">
                  <c:v>9.2334028056631319E-12</c:v>
                </c:pt>
                <c:pt idx="172">
                  <c:v>9.2334028056631319E-12</c:v>
                </c:pt>
                <c:pt idx="173">
                  <c:v>9.2334028056631319E-12</c:v>
                </c:pt>
                <c:pt idx="174">
                  <c:v>9.2334028056631319E-12</c:v>
                </c:pt>
                <c:pt idx="175">
                  <c:v>9.2334028056631319E-12</c:v>
                </c:pt>
                <c:pt idx="176">
                  <c:v>9.2334028056631319E-12</c:v>
                </c:pt>
                <c:pt idx="177">
                  <c:v>9.2334028056631319E-12</c:v>
                </c:pt>
                <c:pt idx="178">
                  <c:v>9.2334028056631319E-12</c:v>
                </c:pt>
                <c:pt idx="179">
                  <c:v>9.2334028056631319E-12</c:v>
                </c:pt>
                <c:pt idx="180">
                  <c:v>9.2334028056631319E-12</c:v>
                </c:pt>
                <c:pt idx="181">
                  <c:v>9.2334028056631319E-12</c:v>
                </c:pt>
                <c:pt idx="182">
                  <c:v>9.2334028056631319E-12</c:v>
                </c:pt>
                <c:pt idx="183">
                  <c:v>9.2334028056631319E-12</c:v>
                </c:pt>
                <c:pt idx="184">
                  <c:v>9.2334028056631319E-12</c:v>
                </c:pt>
                <c:pt idx="185">
                  <c:v>9.2334028056631319E-12</c:v>
                </c:pt>
                <c:pt idx="186">
                  <c:v>9.2334028056631319E-12</c:v>
                </c:pt>
                <c:pt idx="187">
                  <c:v>9.2334028056631319E-12</c:v>
                </c:pt>
                <c:pt idx="188">
                  <c:v>9.2334028056631319E-12</c:v>
                </c:pt>
                <c:pt idx="189">
                  <c:v>9.2334028056631319E-12</c:v>
                </c:pt>
                <c:pt idx="190">
                  <c:v>9.2334028056631319E-12</c:v>
                </c:pt>
                <c:pt idx="191">
                  <c:v>9.2334028056631319E-12</c:v>
                </c:pt>
                <c:pt idx="192">
                  <c:v>9.2334028056631319E-12</c:v>
                </c:pt>
                <c:pt idx="193">
                  <c:v>9.2334028056631319E-12</c:v>
                </c:pt>
                <c:pt idx="194">
                  <c:v>9.2334028056631319E-12</c:v>
                </c:pt>
                <c:pt idx="195">
                  <c:v>9.2334028056631319E-12</c:v>
                </c:pt>
                <c:pt idx="196">
                  <c:v>9.2334028056631319E-12</c:v>
                </c:pt>
                <c:pt idx="197">
                  <c:v>9.2334028056631319E-12</c:v>
                </c:pt>
                <c:pt idx="198">
                  <c:v>9.2334028056631319E-12</c:v>
                </c:pt>
                <c:pt idx="199">
                  <c:v>9.2334028056631319E-12</c:v>
                </c:pt>
                <c:pt idx="200">
                  <c:v>9.2334028056631319E-12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3.1857708910393003</c:v>
                </c:pt>
                <c:pt idx="2">
                  <c:v>6.1415718897894713</c:v>
                </c:pt>
                <c:pt idx="3">
                  <c:v>11.855188247013219</c:v>
                </c:pt>
                <c:pt idx="4">
                  <c:v>22.91302379890676</c:v>
                </c:pt>
                <c:pt idx="5">
                  <c:v>44.338585011513857</c:v>
                </c:pt>
                <c:pt idx="6">
                  <c:v>72.847062146561271</c:v>
                </c:pt>
                <c:pt idx="7">
                  <c:v>101.06378053793104</c:v>
                </c:pt>
                <c:pt idx="8">
                  <c:v>79.57021335211715</c:v>
                </c:pt>
                <c:pt idx="9">
                  <c:v>107.38319674599961</c:v>
                </c:pt>
                <c:pt idx="10">
                  <c:v>135.01735061710946</c:v>
                </c:pt>
                <c:pt idx="11">
                  <c:v>162.51470535048455</c:v>
                </c:pt>
                <c:pt idx="12">
                  <c:v>54.359476958311809</c:v>
                </c:pt>
                <c:pt idx="13">
                  <c:v>65.752799757334301</c:v>
                </c:pt>
                <c:pt idx="14">
                  <c:v>77.095014288125213</c:v>
                </c:pt>
                <c:pt idx="15">
                  <c:v>88.394728914956332</c:v>
                </c:pt>
                <c:pt idx="16">
                  <c:v>104.43531391073056</c:v>
                </c:pt>
                <c:pt idx="17">
                  <c:v>120.41495059487784</c:v>
                </c:pt>
                <c:pt idx="18">
                  <c:v>136.3428839138721</c:v>
                </c:pt>
                <c:pt idx="19">
                  <c:v>152.22601311475296</c:v>
                </c:pt>
                <c:pt idx="20">
                  <c:v>168.06967571562208</c:v>
                </c:pt>
                <c:pt idx="21">
                  <c:v>186.92511812354101</c:v>
                </c:pt>
                <c:pt idx="22">
                  <c:v>205.73617069786067</c:v>
                </c:pt>
                <c:pt idx="23">
                  <c:v>224.50746411723352</c:v>
                </c:pt>
                <c:pt idx="24">
                  <c:v>243.24279059320318</c:v>
                </c:pt>
                <c:pt idx="25">
                  <c:v>261.94531000618412</c:v>
                </c:pt>
                <c:pt idx="26">
                  <c:v>280.89207485415301</c:v>
                </c:pt>
                <c:pt idx="27">
                  <c:v>299.81019736499746</c:v>
                </c:pt>
                <c:pt idx="28">
                  <c:v>318.70173863451254</c:v>
                </c:pt>
                <c:pt idx="29">
                  <c:v>337.56849546423058</c:v>
                </c:pt>
                <c:pt idx="30">
                  <c:v>356.41204743833867</c:v>
                </c:pt>
                <c:pt idx="31">
                  <c:v>374.41589276420791</c:v>
                </c:pt>
                <c:pt idx="32">
                  <c:v>392.40088205878868</c:v>
                </c:pt>
                <c:pt idx="33">
                  <c:v>410.36800083123961</c:v>
                </c:pt>
                <c:pt idx="34">
                  <c:v>428.31814128352318</c:v>
                </c:pt>
                <c:pt idx="35">
                  <c:v>446.25211476539721</c:v>
                </c:pt>
                <c:pt idx="36">
                  <c:v>460.91386044489172</c:v>
                </c:pt>
                <c:pt idx="37">
                  <c:v>475.56565531858342</c:v>
                </c:pt>
                <c:pt idx="38">
                  <c:v>490.20784906094235</c:v>
                </c:pt>
                <c:pt idx="39">
                  <c:v>504.84076875979491</c:v>
                </c:pt>
                <c:pt idx="40">
                  <c:v>519.46472100128676</c:v>
                </c:pt>
                <c:pt idx="41">
                  <c:v>1.1334929971951436E-12</c:v>
                </c:pt>
                <c:pt idx="42">
                  <c:v>1.1334929971951436E-12</c:v>
                </c:pt>
                <c:pt idx="43">
                  <c:v>1.1334929971951436E-12</c:v>
                </c:pt>
                <c:pt idx="44">
                  <c:v>1.1334929971951436E-12</c:v>
                </c:pt>
                <c:pt idx="45">
                  <c:v>1.1334929971951436E-12</c:v>
                </c:pt>
                <c:pt idx="46">
                  <c:v>1.1334929971951436E-12</c:v>
                </c:pt>
                <c:pt idx="47">
                  <c:v>1.1334929971951436E-12</c:v>
                </c:pt>
                <c:pt idx="48">
                  <c:v>1.1334929971951436E-12</c:v>
                </c:pt>
                <c:pt idx="49">
                  <c:v>1.1334929971951436E-12</c:v>
                </c:pt>
                <c:pt idx="50">
                  <c:v>1.1334929971951436E-12</c:v>
                </c:pt>
                <c:pt idx="51">
                  <c:v>1.1334929971951436E-12</c:v>
                </c:pt>
                <c:pt idx="52">
                  <c:v>1.1334929971951436E-12</c:v>
                </c:pt>
                <c:pt idx="53">
                  <c:v>1.1334929971951436E-12</c:v>
                </c:pt>
                <c:pt idx="54">
                  <c:v>1.1334929971951436E-12</c:v>
                </c:pt>
                <c:pt idx="55">
                  <c:v>1.1334929971951436E-12</c:v>
                </c:pt>
                <c:pt idx="56">
                  <c:v>1.1334929971951436E-12</c:v>
                </c:pt>
                <c:pt idx="57">
                  <c:v>1.1334929971951436E-12</c:v>
                </c:pt>
                <c:pt idx="58">
                  <c:v>1.1334929971951436E-12</c:v>
                </c:pt>
                <c:pt idx="59">
                  <c:v>1.1334929971951436E-12</c:v>
                </c:pt>
                <c:pt idx="60">
                  <c:v>1.1334929971951436E-12</c:v>
                </c:pt>
                <c:pt idx="61">
                  <c:v>1.1334929971951436E-12</c:v>
                </c:pt>
                <c:pt idx="62">
                  <c:v>1.1334929971951436E-12</c:v>
                </c:pt>
                <c:pt idx="63">
                  <c:v>1.1334929971951436E-12</c:v>
                </c:pt>
                <c:pt idx="64">
                  <c:v>1.1334929971951436E-12</c:v>
                </c:pt>
                <c:pt idx="65">
                  <c:v>1.1334929971951436E-12</c:v>
                </c:pt>
                <c:pt idx="66">
                  <c:v>1.1334929971951436E-12</c:v>
                </c:pt>
                <c:pt idx="67">
                  <c:v>1.1334929971951436E-12</c:v>
                </c:pt>
                <c:pt idx="68">
                  <c:v>1.1334929971951436E-12</c:v>
                </c:pt>
                <c:pt idx="69">
                  <c:v>1.1334929971951436E-12</c:v>
                </c:pt>
                <c:pt idx="70">
                  <c:v>1.1334929971951436E-12</c:v>
                </c:pt>
                <c:pt idx="71">
                  <c:v>1.1334929971951436E-12</c:v>
                </c:pt>
                <c:pt idx="72">
                  <c:v>1.1334929971951436E-12</c:v>
                </c:pt>
                <c:pt idx="73">
                  <c:v>1.1334929971951436E-12</c:v>
                </c:pt>
                <c:pt idx="74">
                  <c:v>1.1334929971951436E-12</c:v>
                </c:pt>
                <c:pt idx="75">
                  <c:v>1.1334929971951436E-12</c:v>
                </c:pt>
                <c:pt idx="76">
                  <c:v>1.1334929971951436E-12</c:v>
                </c:pt>
                <c:pt idx="77">
                  <c:v>1.1334929971951436E-12</c:v>
                </c:pt>
                <c:pt idx="78">
                  <c:v>1.1334929971951436E-12</c:v>
                </c:pt>
                <c:pt idx="79">
                  <c:v>1.1334929971951436E-12</c:v>
                </c:pt>
                <c:pt idx="80">
                  <c:v>1.1334929971951436E-12</c:v>
                </c:pt>
                <c:pt idx="81">
                  <c:v>1.1334929971951436E-12</c:v>
                </c:pt>
                <c:pt idx="82">
                  <c:v>1.1334929971951436E-12</c:v>
                </c:pt>
                <c:pt idx="83">
                  <c:v>1.1334929971951436E-12</c:v>
                </c:pt>
                <c:pt idx="84">
                  <c:v>1.1334929971951436E-12</c:v>
                </c:pt>
                <c:pt idx="85">
                  <c:v>1.1334929971951436E-12</c:v>
                </c:pt>
                <c:pt idx="86">
                  <c:v>1.1334929971951436E-12</c:v>
                </c:pt>
                <c:pt idx="87">
                  <c:v>1.1334929971951436E-12</c:v>
                </c:pt>
                <c:pt idx="88">
                  <c:v>1.1334929971951436E-12</c:v>
                </c:pt>
                <c:pt idx="89">
                  <c:v>1.1334929971951436E-12</c:v>
                </c:pt>
                <c:pt idx="90">
                  <c:v>1.1334929971951436E-12</c:v>
                </c:pt>
                <c:pt idx="91">
                  <c:v>1.1334929971951436E-12</c:v>
                </c:pt>
                <c:pt idx="92">
                  <c:v>1.1334929971951436E-12</c:v>
                </c:pt>
                <c:pt idx="93">
                  <c:v>1.1334929971951436E-12</c:v>
                </c:pt>
                <c:pt idx="94">
                  <c:v>1.1334929971951436E-12</c:v>
                </c:pt>
                <c:pt idx="95">
                  <c:v>1.1334929971951436E-12</c:v>
                </c:pt>
                <c:pt idx="96">
                  <c:v>1.1334929971951436E-12</c:v>
                </c:pt>
                <c:pt idx="97">
                  <c:v>1.1334929971951436E-12</c:v>
                </c:pt>
                <c:pt idx="98">
                  <c:v>1.1334929971951436E-12</c:v>
                </c:pt>
                <c:pt idx="99">
                  <c:v>1.1334929971951436E-12</c:v>
                </c:pt>
                <c:pt idx="100">
                  <c:v>1.1334929971951436E-12</c:v>
                </c:pt>
                <c:pt idx="101">
                  <c:v>1.1334929971951436E-12</c:v>
                </c:pt>
                <c:pt idx="102">
                  <c:v>1.1334929971951436E-12</c:v>
                </c:pt>
                <c:pt idx="103">
                  <c:v>1.1334929971951436E-12</c:v>
                </c:pt>
                <c:pt idx="104">
                  <c:v>1.1334929971951436E-12</c:v>
                </c:pt>
                <c:pt idx="105">
                  <c:v>1.1334929971951436E-12</c:v>
                </c:pt>
                <c:pt idx="106">
                  <c:v>1.1334929971951436E-12</c:v>
                </c:pt>
                <c:pt idx="107">
                  <c:v>1.1334929971951436E-12</c:v>
                </c:pt>
                <c:pt idx="108">
                  <c:v>1.1334929971951436E-12</c:v>
                </c:pt>
                <c:pt idx="109">
                  <c:v>1.1334929971951436E-12</c:v>
                </c:pt>
                <c:pt idx="110">
                  <c:v>1.1334929971951436E-12</c:v>
                </c:pt>
                <c:pt idx="111">
                  <c:v>1.1334929971951436E-12</c:v>
                </c:pt>
                <c:pt idx="112">
                  <c:v>1.1334929971951436E-12</c:v>
                </c:pt>
                <c:pt idx="113">
                  <c:v>1.1334929971951436E-12</c:v>
                </c:pt>
                <c:pt idx="114">
                  <c:v>1.1334929971951436E-12</c:v>
                </c:pt>
                <c:pt idx="115">
                  <c:v>1.1334929971951436E-12</c:v>
                </c:pt>
                <c:pt idx="116">
                  <c:v>1.1334929971951436E-12</c:v>
                </c:pt>
                <c:pt idx="117">
                  <c:v>1.1334929971951436E-12</c:v>
                </c:pt>
                <c:pt idx="118">
                  <c:v>1.1334929971951436E-12</c:v>
                </c:pt>
                <c:pt idx="119">
                  <c:v>1.1334929971951436E-12</c:v>
                </c:pt>
                <c:pt idx="120">
                  <c:v>1.1334929971951436E-12</c:v>
                </c:pt>
                <c:pt idx="121">
                  <c:v>1.1334929971951436E-12</c:v>
                </c:pt>
                <c:pt idx="122">
                  <c:v>1.1334929971951436E-12</c:v>
                </c:pt>
                <c:pt idx="123">
                  <c:v>1.1334929971951436E-12</c:v>
                </c:pt>
                <c:pt idx="124">
                  <c:v>1.1334929971951436E-12</c:v>
                </c:pt>
                <c:pt idx="125">
                  <c:v>1.1334929971951436E-12</c:v>
                </c:pt>
                <c:pt idx="126">
                  <c:v>1.1334929971951436E-12</c:v>
                </c:pt>
                <c:pt idx="127">
                  <c:v>1.1334929971951436E-12</c:v>
                </c:pt>
                <c:pt idx="128">
                  <c:v>1.1334929971951436E-12</c:v>
                </c:pt>
                <c:pt idx="129">
                  <c:v>1.1334929971951436E-12</c:v>
                </c:pt>
                <c:pt idx="130">
                  <c:v>1.1334929971951436E-12</c:v>
                </c:pt>
                <c:pt idx="131">
                  <c:v>1.1334929971951436E-12</c:v>
                </c:pt>
                <c:pt idx="132">
                  <c:v>1.1334929971951436E-12</c:v>
                </c:pt>
                <c:pt idx="133">
                  <c:v>1.1334929971951436E-12</c:v>
                </c:pt>
                <c:pt idx="134">
                  <c:v>1.1334929971951436E-12</c:v>
                </c:pt>
                <c:pt idx="135">
                  <c:v>1.1334929971951436E-12</c:v>
                </c:pt>
                <c:pt idx="136">
                  <c:v>1.1334929971951436E-12</c:v>
                </c:pt>
                <c:pt idx="137">
                  <c:v>1.1334929971951436E-12</c:v>
                </c:pt>
                <c:pt idx="138">
                  <c:v>1.1334929971951436E-12</c:v>
                </c:pt>
                <c:pt idx="139">
                  <c:v>1.1334929971951436E-12</c:v>
                </c:pt>
                <c:pt idx="140">
                  <c:v>1.1334929971951436E-12</c:v>
                </c:pt>
                <c:pt idx="141">
                  <c:v>1.1334929971951436E-12</c:v>
                </c:pt>
                <c:pt idx="142">
                  <c:v>1.1334929971951436E-12</c:v>
                </c:pt>
                <c:pt idx="143">
                  <c:v>1.1334929971951436E-12</c:v>
                </c:pt>
                <c:pt idx="144">
                  <c:v>1.1334929971951436E-12</c:v>
                </c:pt>
                <c:pt idx="145">
                  <c:v>1.1334929971951436E-12</c:v>
                </c:pt>
                <c:pt idx="146">
                  <c:v>1.1334929971951436E-12</c:v>
                </c:pt>
                <c:pt idx="147">
                  <c:v>1.1334929971951436E-12</c:v>
                </c:pt>
                <c:pt idx="148">
                  <c:v>1.1334929971951436E-12</c:v>
                </c:pt>
                <c:pt idx="149">
                  <c:v>1.1334929971951436E-12</c:v>
                </c:pt>
                <c:pt idx="150">
                  <c:v>1.1334929971951436E-12</c:v>
                </c:pt>
                <c:pt idx="151">
                  <c:v>1.1334929971951436E-12</c:v>
                </c:pt>
                <c:pt idx="152">
                  <c:v>1.1334929971951436E-12</c:v>
                </c:pt>
                <c:pt idx="153">
                  <c:v>1.1334929971951436E-12</c:v>
                </c:pt>
                <c:pt idx="154">
                  <c:v>1.1334929971951436E-12</c:v>
                </c:pt>
                <c:pt idx="155">
                  <c:v>1.1334929971951436E-12</c:v>
                </c:pt>
                <c:pt idx="156">
                  <c:v>1.1334929971951436E-12</c:v>
                </c:pt>
                <c:pt idx="157">
                  <c:v>1.1334929971951436E-12</c:v>
                </c:pt>
                <c:pt idx="158">
                  <c:v>1.1334929971951436E-12</c:v>
                </c:pt>
                <c:pt idx="159">
                  <c:v>1.1334929971951436E-12</c:v>
                </c:pt>
                <c:pt idx="160">
                  <c:v>1.1334929971951436E-12</c:v>
                </c:pt>
                <c:pt idx="161">
                  <c:v>1.1334929971951436E-12</c:v>
                </c:pt>
                <c:pt idx="162">
                  <c:v>1.1334929971951436E-12</c:v>
                </c:pt>
                <c:pt idx="163">
                  <c:v>1.1334929971951436E-12</c:v>
                </c:pt>
                <c:pt idx="164">
                  <c:v>1.1334929971951436E-12</c:v>
                </c:pt>
                <c:pt idx="165">
                  <c:v>1.1334929971951436E-12</c:v>
                </c:pt>
                <c:pt idx="166">
                  <c:v>1.1334929971951436E-12</c:v>
                </c:pt>
                <c:pt idx="167">
                  <c:v>1.1334929971951436E-12</c:v>
                </c:pt>
                <c:pt idx="168">
                  <c:v>1.1334929971951436E-12</c:v>
                </c:pt>
                <c:pt idx="169">
                  <c:v>1.1334929971951436E-12</c:v>
                </c:pt>
                <c:pt idx="170">
                  <c:v>1.1334929971951436E-12</c:v>
                </c:pt>
                <c:pt idx="171">
                  <c:v>1.1334929971951436E-12</c:v>
                </c:pt>
                <c:pt idx="172">
                  <c:v>1.1334929971951436E-12</c:v>
                </c:pt>
                <c:pt idx="173">
                  <c:v>1.1334929971951436E-12</c:v>
                </c:pt>
                <c:pt idx="174">
                  <c:v>1.1334929971951436E-12</c:v>
                </c:pt>
                <c:pt idx="175">
                  <c:v>1.1334929971951436E-12</c:v>
                </c:pt>
                <c:pt idx="176">
                  <c:v>1.1334929971951436E-12</c:v>
                </c:pt>
                <c:pt idx="177">
                  <c:v>1.1334929971951436E-12</c:v>
                </c:pt>
                <c:pt idx="178">
                  <c:v>1.1334929971951436E-12</c:v>
                </c:pt>
                <c:pt idx="179">
                  <c:v>1.1334929971951436E-12</c:v>
                </c:pt>
                <c:pt idx="180">
                  <c:v>1.1334929971951436E-12</c:v>
                </c:pt>
                <c:pt idx="181">
                  <c:v>1.1334929971951436E-12</c:v>
                </c:pt>
                <c:pt idx="182">
                  <c:v>1.1334929971951436E-12</c:v>
                </c:pt>
                <c:pt idx="183">
                  <c:v>1.1334929971951436E-12</c:v>
                </c:pt>
                <c:pt idx="184">
                  <c:v>1.1334929971951436E-12</c:v>
                </c:pt>
                <c:pt idx="185">
                  <c:v>1.1334929971951436E-12</c:v>
                </c:pt>
                <c:pt idx="186">
                  <c:v>1.1334929971951436E-12</c:v>
                </c:pt>
                <c:pt idx="187">
                  <c:v>1.1334929971951436E-12</c:v>
                </c:pt>
                <c:pt idx="188">
                  <c:v>1.1334929971951436E-12</c:v>
                </c:pt>
                <c:pt idx="189">
                  <c:v>1.1334929971951436E-12</c:v>
                </c:pt>
                <c:pt idx="190">
                  <c:v>1.1334929971951436E-12</c:v>
                </c:pt>
                <c:pt idx="191">
                  <c:v>1.1334929971951436E-12</c:v>
                </c:pt>
                <c:pt idx="192">
                  <c:v>1.1334929971951436E-12</c:v>
                </c:pt>
                <c:pt idx="193">
                  <c:v>1.1334929971951436E-12</c:v>
                </c:pt>
                <c:pt idx="194">
                  <c:v>1.1334929971951436E-12</c:v>
                </c:pt>
                <c:pt idx="195">
                  <c:v>1.1334929971951436E-12</c:v>
                </c:pt>
                <c:pt idx="196">
                  <c:v>1.1334929971951436E-12</c:v>
                </c:pt>
                <c:pt idx="197">
                  <c:v>1.1334929971951436E-12</c:v>
                </c:pt>
                <c:pt idx="198">
                  <c:v>1.1334929971951436E-12</c:v>
                </c:pt>
                <c:pt idx="199">
                  <c:v>1.1334929971951436E-12</c:v>
                </c:pt>
                <c:pt idx="200">
                  <c:v>1.1334929971951436E-12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39.608112078537687</c:v>
                </c:pt>
                <c:pt idx="12">
                  <c:v>59.792252839405712</c:v>
                </c:pt>
                <c:pt idx="13">
                  <c:v>79.796073969285615</c:v>
                </c:pt>
                <c:pt idx="14">
                  <c:v>99.671872945964807</c:v>
                </c:pt>
                <c:pt idx="15">
                  <c:v>119.44897015523419</c:v>
                </c:pt>
                <c:pt idx="16">
                  <c:v>139.14607470447081</c:v>
                </c:pt>
                <c:pt idx="17">
                  <c:v>158.77612951723384</c:v>
                </c:pt>
                <c:pt idx="18">
                  <c:v>178.34860130742405</c:v>
                </c:pt>
                <c:pt idx="19">
                  <c:v>197.87070296515913</c:v>
                </c:pt>
                <c:pt idx="20">
                  <c:v>217.34810492356107</c:v>
                </c:pt>
                <c:pt idx="21">
                  <c:v>133.86852837675002</c:v>
                </c:pt>
                <c:pt idx="22">
                  <c:v>157.02306213368757</c:v>
                </c:pt>
                <c:pt idx="23">
                  <c:v>180.09643806867584</c:v>
                </c:pt>
                <c:pt idx="24">
                  <c:v>203.10052831260927</c:v>
                </c:pt>
                <c:pt idx="25">
                  <c:v>226.04428793703948</c:v>
                </c:pt>
                <c:pt idx="26">
                  <c:v>248.93470217300015</c:v>
                </c:pt>
                <c:pt idx="27">
                  <c:v>271.77736518267238</c:v>
                </c:pt>
                <c:pt idx="28">
                  <c:v>294.57685332640881</c:v>
                </c:pt>
                <c:pt idx="29">
                  <c:v>317.33697649989301</c:v>
                </c:pt>
                <c:pt idx="30">
                  <c:v>340.06095344521384</c:v>
                </c:pt>
                <c:pt idx="31">
                  <c:v>249.0923955297977</c:v>
                </c:pt>
                <c:pt idx="32">
                  <c:v>268.15703506620378</c:v>
                </c:pt>
                <c:pt idx="33">
                  <c:v>287.19115712325663</c:v>
                </c:pt>
                <c:pt idx="34">
                  <c:v>306.19706833197506</c:v>
                </c:pt>
                <c:pt idx="35">
                  <c:v>325.17676557494707</c:v>
                </c:pt>
                <c:pt idx="36">
                  <c:v>344.13199361263992</c:v>
                </c:pt>
                <c:pt idx="37">
                  <c:v>363.06428933973513</c:v>
                </c:pt>
                <c:pt idx="38">
                  <c:v>381.97501632295251</c:v>
                </c:pt>
                <c:pt idx="39">
                  <c:v>400.86539213963152</c:v>
                </c:pt>
                <c:pt idx="40">
                  <c:v>419.73651029301618</c:v>
                </c:pt>
                <c:pt idx="41">
                  <c:v>324.70649713481191</c:v>
                </c:pt>
                <c:pt idx="42">
                  <c:v>339.12133083817071</c:v>
                </c:pt>
                <c:pt idx="43">
                  <c:v>353.52268649784691</c:v>
                </c:pt>
                <c:pt idx="44">
                  <c:v>367.91119048558335</c:v>
                </c:pt>
                <c:pt idx="45">
                  <c:v>382.28741618096211</c:v>
                </c:pt>
                <c:pt idx="46">
                  <c:v>396.65189032068633</c:v>
                </c:pt>
                <c:pt idx="47">
                  <c:v>411.00509838000477</c:v>
                </c:pt>
                <c:pt idx="48">
                  <c:v>425.34748916314453</c:v>
                </c:pt>
                <c:pt idx="49">
                  <c:v>439.67947874230293</c:v>
                </c:pt>
                <c:pt idx="50">
                  <c:v>454.00145385629543</c:v>
                </c:pt>
                <c:pt idx="51">
                  <c:v>397.58830747990646</c:v>
                </c:pt>
                <c:pt idx="52">
                  <c:v>408.19772677982763</c:v>
                </c:pt>
                <c:pt idx="53">
                  <c:v>418.80119064069623</c:v>
                </c:pt>
                <c:pt idx="54">
                  <c:v>429.39887113927813</c:v>
                </c:pt>
                <c:pt idx="55">
                  <c:v>439.9909311636232</c:v>
                </c:pt>
                <c:pt idx="56">
                  <c:v>450.57752511785958</c:v>
                </c:pt>
                <c:pt idx="57">
                  <c:v>461.15879955729133</c:v>
                </c:pt>
                <c:pt idx="58">
                  <c:v>471.73489376216497</c:v>
                </c:pt>
                <c:pt idx="59">
                  <c:v>482.3059402572992</c:v>
                </c:pt>
                <c:pt idx="60">
                  <c:v>492.87206528378402</c:v>
                </c:pt>
                <c:pt idx="61">
                  <c:v>453.84583274186275</c:v>
                </c:pt>
                <c:pt idx="62">
                  <c:v>461.46993442600098</c:v>
                </c:pt>
                <c:pt idx="63">
                  <c:v>469.09134849962794</c:v>
                </c:pt>
                <c:pt idx="64">
                  <c:v>476.71012480781616</c:v>
                </c:pt>
                <c:pt idx="65">
                  <c:v>484.32631147171105</c:v>
                </c:pt>
                <c:pt idx="66">
                  <c:v>491.93995497491869</c:v>
                </c:pt>
                <c:pt idx="67">
                  <c:v>499.55110024426494</c:v>
                </c:pt>
                <c:pt idx="68">
                  <c:v>507.15979072537556</c:v>
                </c:pt>
                <c:pt idx="69">
                  <c:v>514.76606845348317</c:v>
                </c:pt>
                <c:pt idx="70">
                  <c:v>522.36997411983293</c:v>
                </c:pt>
                <c:pt idx="71">
                  <c:v>488.05575792294297</c:v>
                </c:pt>
                <c:pt idx="72">
                  <c:v>494.11482090374903</c:v>
                </c:pt>
                <c:pt idx="73">
                  <c:v>500.17230927372475</c:v>
                </c:pt>
                <c:pt idx="74">
                  <c:v>506.22824480345389</c:v>
                </c:pt>
                <c:pt idx="75">
                  <c:v>512.28264869987095</c:v>
                </c:pt>
                <c:pt idx="76">
                  <c:v>518.33554162748874</c:v>
                </c:pt>
                <c:pt idx="77">
                  <c:v>524.38694372858561</c:v>
                </c:pt>
                <c:pt idx="78">
                  <c:v>530.43687464240918</c:v>
                </c:pt>
                <c:pt idx="79">
                  <c:v>536.48535352346028</c:v>
                </c:pt>
                <c:pt idx="80">
                  <c:v>542.53239905890825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D97" sqref="D97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13.19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35</v>
      </c>
      <c r="C9" s="32">
        <v>0.20422289613343442</v>
      </c>
      <c r="D9" s="33">
        <f t="shared" ref="D9:D18" si="0">C9*$C$5</f>
        <v>2.6936999999999998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45</v>
      </c>
      <c r="C10" s="32">
        <v>0.14943138741470813</v>
      </c>
      <c r="D10" s="33">
        <f t="shared" si="0"/>
        <v>1.9710000000000001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321</v>
      </c>
      <c r="C11" s="32">
        <v>0.14445034116755118</v>
      </c>
      <c r="D11" s="33">
        <f t="shared" si="0"/>
        <v>1.9053</v>
      </c>
      <c r="E11" s="34">
        <v>40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18</v>
      </c>
      <c r="C12" s="32">
        <v>0.29611827141774072</v>
      </c>
      <c r="D12" s="33">
        <f t="shared" si="0"/>
        <v>3.9058000000000002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81</v>
      </c>
      <c r="C13" s="32">
        <v>0.10037907505686125</v>
      </c>
      <c r="D13" s="33">
        <f t="shared" si="0"/>
        <v>1.3239999999999998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8</v>
      </c>
      <c r="C14" s="32">
        <v>0.10539802880970432</v>
      </c>
      <c r="D14" s="33">
        <f t="shared" si="0"/>
        <v>1.3901999999999999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13.19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122</v>
      </c>
      <c r="C36" s="60">
        <v>1</v>
      </c>
      <c r="D36" s="60">
        <v>23</v>
      </c>
      <c r="E36" s="51"/>
      <c r="F36" s="51">
        <v>0.5</v>
      </c>
      <c r="G36" s="51">
        <v>0.5</v>
      </c>
      <c r="H36" s="51"/>
      <c r="I36" s="49">
        <f>IFERROR(B36/A36,"")</f>
        <v>6.1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257</v>
      </c>
      <c r="C37" s="60">
        <v>2</v>
      </c>
      <c r="D37" s="60">
        <v>84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15.8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297</v>
      </c>
      <c r="C38" s="60">
        <v>3</v>
      </c>
      <c r="D38" s="60">
        <v>84</v>
      </c>
      <c r="E38" s="51"/>
      <c r="F38" s="51"/>
      <c r="G38" s="51"/>
      <c r="H38" s="51"/>
      <c r="I38" s="53">
        <f t="shared" si="1"/>
        <v>12.4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401</v>
      </c>
      <c r="C39" s="60">
        <v>4</v>
      </c>
      <c r="D39" s="60">
        <v>82</v>
      </c>
      <c r="E39" s="51"/>
      <c r="F39" s="51"/>
      <c r="G39" s="51"/>
      <c r="H39" s="51"/>
      <c r="I39" s="49">
        <f t="shared" si="1"/>
        <v>18.8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447</v>
      </c>
      <c r="C40" s="60">
        <v>5</v>
      </c>
      <c r="D40" s="60">
        <v>64</v>
      </c>
      <c r="E40" s="51"/>
      <c r="F40" s="51"/>
      <c r="G40" s="51"/>
      <c r="H40" s="51"/>
      <c r="I40" s="49">
        <f t="shared" si="1"/>
        <v>12.8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490</v>
      </c>
      <c r="C41" s="60">
        <v>6</v>
      </c>
      <c r="D41" s="60">
        <v>50</v>
      </c>
      <c r="E41" s="51"/>
      <c r="F41" s="51"/>
      <c r="G41" s="51"/>
      <c r="H41" s="51"/>
      <c r="I41" s="53">
        <f t="shared" si="1"/>
        <v>10.7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522</v>
      </c>
      <c r="C42" s="60">
        <v>7</v>
      </c>
      <c r="D42" s="60">
        <f>B42</f>
        <v>522</v>
      </c>
      <c r="E42" s="51"/>
      <c r="F42" s="51"/>
      <c r="G42" s="51"/>
      <c r="H42" s="51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Sapin de Nordmann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96</v>
      </c>
      <c r="C62" s="60"/>
      <c r="D62" s="60">
        <v>0</v>
      </c>
      <c r="E62" s="51"/>
      <c r="F62" s="51">
        <v>0.5</v>
      </c>
      <c r="G62" s="51">
        <v>0.5</v>
      </c>
      <c r="H62" s="51"/>
      <c r="I62" s="53">
        <f>IFERROR(B62/A62,"")</f>
        <v>4.8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318</v>
      </c>
      <c r="C63" s="60">
        <v>1</v>
      </c>
      <c r="D63" s="60">
        <v>96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22.2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468</v>
      </c>
      <c r="C64" s="60">
        <v>2</v>
      </c>
      <c r="D64" s="60">
        <v>132</v>
      </c>
      <c r="E64" s="51"/>
      <c r="F64" s="51"/>
      <c r="G64" s="51"/>
      <c r="H64" s="51"/>
      <c r="I64" s="49">
        <f>IF(A64&lt;&gt;0,(B64-(B63-D63))/(A64-A63),"")</f>
        <v>24.6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570</v>
      </c>
      <c r="C65" s="60">
        <v>3</v>
      </c>
      <c r="D65" s="60">
        <v>132</v>
      </c>
      <c r="E65" s="51"/>
      <c r="F65" s="51"/>
      <c r="G65" s="51"/>
      <c r="H65" s="51"/>
      <c r="I65" s="49">
        <f>IF(A65&lt;&gt;0,(B65-(B64-D64))/(A65-A64),"")</f>
        <v>23.4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630</v>
      </c>
      <c r="C66" s="60">
        <v>4</v>
      </c>
      <c r="D66" s="60">
        <v>106</v>
      </c>
      <c r="E66" s="51"/>
      <c r="F66" s="51"/>
      <c r="G66" s="51"/>
      <c r="H66" s="51"/>
      <c r="I66" s="49">
        <f t="shared" ref="I66:I81" si="2">IF(A66&lt;&gt;0,(B66-(B65-D65))/(A66-A65),"")</f>
        <v>19.2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694</v>
      </c>
      <c r="C67" s="60">
        <v>5</v>
      </c>
      <c r="D67" s="60">
        <v>88</v>
      </c>
      <c r="E67" s="51"/>
      <c r="F67" s="51"/>
      <c r="G67" s="51"/>
      <c r="H67" s="51"/>
      <c r="I67" s="49">
        <f t="shared" si="2"/>
        <v>17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670+83</f>
        <v>753</v>
      </c>
      <c r="C68" s="60">
        <v>6</v>
      </c>
      <c r="D68" s="60">
        <f>B68</f>
        <v>753</v>
      </c>
      <c r="E68" s="51"/>
      <c r="F68" s="51"/>
      <c r="G68" s="51"/>
      <c r="H68" s="51"/>
      <c r="I68" s="49">
        <f t="shared" si="2"/>
        <v>14.7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Tulipier de Virginie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5</v>
      </c>
      <c r="B88" s="60">
        <v>30</v>
      </c>
      <c r="C88" s="60"/>
      <c r="D88" s="60"/>
      <c r="E88" s="51"/>
      <c r="F88" s="51"/>
      <c r="G88" s="51"/>
      <c r="H88" s="87"/>
      <c r="I88" s="53">
        <f>IFERROR(B88/A88,"")</f>
        <v>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7</v>
      </c>
      <c r="B89" s="60">
        <v>70</v>
      </c>
      <c r="C89" s="60"/>
      <c r="D89" s="60">
        <v>35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20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11</v>
      </c>
      <c r="B90" s="60">
        <f>85+29</f>
        <v>114</v>
      </c>
      <c r="C90" s="60"/>
      <c r="D90" s="60">
        <v>85</v>
      </c>
      <c r="E90" s="87">
        <v>0.1</v>
      </c>
      <c r="F90" s="87">
        <v>0.45</v>
      </c>
      <c r="G90" s="87">
        <v>0.45</v>
      </c>
      <c r="H90" s="87"/>
      <c r="I90" s="53">
        <f t="shared" si="3"/>
        <v>19.75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15</v>
      </c>
      <c r="B91" s="60">
        <v>61</v>
      </c>
      <c r="C91" s="60"/>
      <c r="D91" s="60"/>
      <c r="E91" s="87"/>
      <c r="F91" s="87"/>
      <c r="G91" s="87"/>
      <c r="H91" s="87"/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20</v>
      </c>
      <c r="B92" s="60">
        <v>118</v>
      </c>
      <c r="C92" s="60"/>
      <c r="D92" s="60"/>
      <c r="E92" s="87"/>
      <c r="F92" s="87"/>
      <c r="G92" s="87"/>
      <c r="H92" s="87"/>
      <c r="I92" s="53">
        <f t="shared" si="3"/>
        <v>11.4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25</v>
      </c>
      <c r="B93" s="60">
        <v>186</v>
      </c>
      <c r="C93" s="60"/>
      <c r="D93" s="60"/>
      <c r="E93" s="87"/>
      <c r="F93" s="87"/>
      <c r="G93" s="87"/>
      <c r="H93" s="87"/>
      <c r="I93" s="53">
        <f t="shared" si="3"/>
        <v>13.6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30</v>
      </c>
      <c r="B94" s="60">
        <v>255</v>
      </c>
      <c r="C94" s="60"/>
      <c r="D94" s="60"/>
      <c r="E94" s="87"/>
      <c r="F94" s="87"/>
      <c r="G94" s="87"/>
      <c r="H94" s="87"/>
      <c r="I94" s="53">
        <f t="shared" si="3"/>
        <v>13.8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35</v>
      </c>
      <c r="B95" s="60">
        <v>321</v>
      </c>
      <c r="C95" s="60"/>
      <c r="D95" s="60"/>
      <c r="E95" s="87"/>
      <c r="F95" s="87"/>
      <c r="G95" s="87"/>
      <c r="H95" s="87"/>
      <c r="I95" s="53">
        <f t="shared" si="3"/>
        <v>13.2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40</v>
      </c>
      <c r="B96" s="60">
        <v>375</v>
      </c>
      <c r="C96" s="60"/>
      <c r="D96" s="60">
        <v>375</v>
      </c>
      <c r="E96" s="87"/>
      <c r="F96" s="87"/>
      <c r="G96" s="87"/>
      <c r="H96" s="87"/>
      <c r="I96" s="53">
        <f t="shared" si="3"/>
        <v>10.8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Douglas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12</v>
      </c>
      <c r="C114" s="50"/>
      <c r="D114" s="60">
        <v>0</v>
      </c>
      <c r="E114" s="51"/>
      <c r="F114" s="51"/>
      <c r="G114" s="51"/>
      <c r="H114" s="51"/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162</v>
      </c>
      <c r="C115" s="50">
        <v>1</v>
      </c>
      <c r="D115" s="60">
        <f>7+56</f>
        <v>63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321</v>
      </c>
      <c r="C116" s="50">
        <v>2</v>
      </c>
      <c r="D116" s="60">
        <f>56+56</f>
        <v>112</v>
      </c>
      <c r="E116" s="51">
        <v>0.1</v>
      </c>
      <c r="F116" s="51">
        <v>0.45</v>
      </c>
      <c r="G116" s="51">
        <v>0.45</v>
      </c>
      <c r="H116" s="51"/>
      <c r="I116" s="53">
        <f t="shared" si="4"/>
        <v>22.2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429</v>
      </c>
      <c r="C117" s="50">
        <v>3</v>
      </c>
      <c r="D117" s="60">
        <f>56+56</f>
        <v>112</v>
      </c>
      <c r="E117" s="51"/>
      <c r="F117" s="51"/>
      <c r="G117" s="51"/>
      <c r="H117" s="51"/>
      <c r="I117" s="53">
        <f t="shared" si="4"/>
        <v>22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509</v>
      </c>
      <c r="C118" s="50">
        <v>4</v>
      </c>
      <c r="D118" s="60">
        <f>56+52</f>
        <v>108</v>
      </c>
      <c r="E118" s="51"/>
      <c r="F118" s="51"/>
      <c r="G118" s="51"/>
      <c r="H118" s="51"/>
      <c r="I118" s="53">
        <f t="shared" si="4"/>
        <v>19.2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563</v>
      </c>
      <c r="C119" s="50">
        <v>5</v>
      </c>
      <c r="D119" s="60">
        <f>44+39</f>
        <v>83</v>
      </c>
      <c r="E119" s="51"/>
      <c r="F119" s="51"/>
      <c r="G119" s="51"/>
      <c r="H119" s="51"/>
      <c r="I119" s="53">
        <f t="shared" si="4"/>
        <v>16.2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614</v>
      </c>
      <c r="C120" s="60">
        <v>6</v>
      </c>
      <c r="D120" s="60">
        <f>35+32</f>
        <v>67</v>
      </c>
      <c r="E120" s="87"/>
      <c r="F120" s="87"/>
      <c r="G120" s="87"/>
      <c r="H120" s="87"/>
      <c r="I120" s="53">
        <f t="shared" si="4"/>
        <v>13.4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592+59</f>
        <v>651</v>
      </c>
      <c r="C121" s="60">
        <v>7</v>
      </c>
      <c r="D121" s="60">
        <f>B121</f>
        <v>651</v>
      </c>
      <c r="E121" s="87"/>
      <c r="F121" s="87"/>
      <c r="G121" s="87"/>
      <c r="H121" s="87"/>
      <c r="I121" s="53">
        <f t="shared" si="4"/>
        <v>10.4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Mélèze hybride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36</v>
      </c>
      <c r="C140" s="50"/>
      <c r="D140" s="60">
        <v>0</v>
      </c>
      <c r="E140" s="51"/>
      <c r="F140" s="51"/>
      <c r="G140" s="51"/>
      <c r="H140" s="51"/>
      <c r="I140" s="57">
        <f>IFERROR(B140/A140,"")</f>
        <v>3.6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177</v>
      </c>
      <c r="C141" s="50">
        <v>1</v>
      </c>
      <c r="D141" s="60">
        <f>39+42</f>
        <v>81</v>
      </c>
      <c r="E141" s="51"/>
      <c r="F141" s="51">
        <v>0.5</v>
      </c>
      <c r="G141" s="51">
        <v>0.5</v>
      </c>
      <c r="H141" s="51"/>
      <c r="I141" s="57">
        <f t="shared" ref="I141:I159" si="5">IF(A141&lt;&gt;0,(B141-(B140-D140))/(A141-A140),"")</f>
        <v>14.1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260</v>
      </c>
      <c r="C142" s="50">
        <v>2</v>
      </c>
      <c r="D142" s="60">
        <f>42+42</f>
        <v>84</v>
      </c>
      <c r="E142" s="51">
        <v>0.2</v>
      </c>
      <c r="F142" s="51">
        <v>0.4</v>
      </c>
      <c r="G142" s="51">
        <v>0.4</v>
      </c>
      <c r="H142" s="51"/>
      <c r="I142" s="57">
        <f t="shared" si="5"/>
        <v>16.399999999999999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314</v>
      </c>
      <c r="C143" s="50">
        <v>3</v>
      </c>
      <c r="D143" s="60">
        <f>42+38</f>
        <v>80</v>
      </c>
      <c r="E143" s="51"/>
      <c r="F143" s="51"/>
      <c r="G143" s="51"/>
      <c r="H143" s="51"/>
      <c r="I143" s="57">
        <f t="shared" si="5"/>
        <v>13.8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349</v>
      </c>
      <c r="C144" s="50">
        <v>4</v>
      </c>
      <c r="D144" s="60">
        <f>34+31</f>
        <v>65</v>
      </c>
      <c r="E144" s="51"/>
      <c r="F144" s="51"/>
      <c r="G144" s="51"/>
      <c r="H144" s="51"/>
      <c r="I144" s="57">
        <f t="shared" si="5"/>
        <v>11.5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382</v>
      </c>
      <c r="C145" s="50">
        <v>5</v>
      </c>
      <c r="D145" s="60">
        <f>29+27</f>
        <v>56</v>
      </c>
      <c r="E145" s="51"/>
      <c r="F145" s="51"/>
      <c r="G145" s="51"/>
      <c r="H145" s="51"/>
      <c r="I145" s="57">
        <f t="shared" si="5"/>
        <v>9.8000000000000007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411</v>
      </c>
      <c r="C146" s="50">
        <v>6</v>
      </c>
      <c r="D146" s="60">
        <f>26+26</f>
        <v>52</v>
      </c>
      <c r="E146" s="51"/>
      <c r="F146" s="51"/>
      <c r="G146" s="51"/>
      <c r="H146" s="51"/>
      <c r="I146" s="57">
        <f t="shared" si="5"/>
        <v>8.5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381+26+26</f>
        <v>433</v>
      </c>
      <c r="C147" s="50">
        <v>7</v>
      </c>
      <c r="D147" s="60">
        <f>B147</f>
        <v>433</v>
      </c>
      <c r="E147" s="51"/>
      <c r="F147" s="51"/>
      <c r="G147" s="51"/>
      <c r="H147" s="51"/>
      <c r="I147" s="57">
        <f>IF(A147&lt;&gt;0,(B147-(B146-D146))/(A147-A146),"")</f>
        <v>7.4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Châtaignier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11</v>
      </c>
      <c r="C166" s="60">
        <v>1</v>
      </c>
      <c r="D166" s="60">
        <v>0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20</v>
      </c>
      <c r="B167" s="60">
        <v>134</v>
      </c>
      <c r="C167" s="60">
        <v>2</v>
      </c>
      <c r="D167" s="60">
        <f>32+35</f>
        <v>67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12.3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30</v>
      </c>
      <c r="B168" s="60">
        <v>212</v>
      </c>
      <c r="C168" s="60">
        <v>3</v>
      </c>
      <c r="D168" s="60">
        <f>35+35</f>
        <v>70</v>
      </c>
      <c r="E168" s="51">
        <v>0.1</v>
      </c>
      <c r="F168" s="51">
        <v>0.45</v>
      </c>
      <c r="G168" s="51">
        <v>0.45</v>
      </c>
      <c r="H168" s="51"/>
      <c r="I168" s="49">
        <f t="shared" si="6"/>
        <v>14.5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40</v>
      </c>
      <c r="B169" s="60">
        <v>263</v>
      </c>
      <c r="C169" s="60">
        <v>4</v>
      </c>
      <c r="D169" s="60">
        <f>35+35</f>
        <v>70</v>
      </c>
      <c r="E169" s="51"/>
      <c r="F169" s="51"/>
      <c r="G169" s="51"/>
      <c r="H169" s="51"/>
      <c r="I169" s="49">
        <f t="shared" si="6"/>
        <v>12.1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50</v>
      </c>
      <c r="B170" s="60">
        <v>285</v>
      </c>
      <c r="C170" s="60">
        <v>5</v>
      </c>
      <c r="D170" s="60">
        <f>24+19</f>
        <v>43</v>
      </c>
      <c r="E170" s="51"/>
      <c r="F170" s="51"/>
      <c r="G170" s="51"/>
      <c r="H170" s="51"/>
      <c r="I170" s="49">
        <f t="shared" si="6"/>
        <v>9.1999999999999993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60</v>
      </c>
      <c r="B171" s="60">
        <v>310</v>
      </c>
      <c r="C171" s="60">
        <v>6</v>
      </c>
      <c r="D171" s="60">
        <f>16+14</f>
        <v>30</v>
      </c>
      <c r="E171" s="51"/>
      <c r="F171" s="51"/>
      <c r="G171" s="51"/>
      <c r="H171" s="51"/>
      <c r="I171" s="49">
        <f t="shared" si="6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70</v>
      </c>
      <c r="B172" s="60">
        <v>329</v>
      </c>
      <c r="C172" s="60">
        <v>7</v>
      </c>
      <c r="D172" s="60">
        <f>13+13</f>
        <v>26</v>
      </c>
      <c r="E172" s="51"/>
      <c r="F172" s="51"/>
      <c r="G172" s="51"/>
      <c r="H172" s="51"/>
      <c r="I172" s="49">
        <f t="shared" si="6"/>
        <v>4.9000000000000004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80</v>
      </c>
      <c r="B173" s="50">
        <f>319+12+11</f>
        <v>342</v>
      </c>
      <c r="C173" s="50">
        <v>8</v>
      </c>
      <c r="D173" s="50">
        <f>B173</f>
        <v>342</v>
      </c>
      <c r="E173" s="51"/>
      <c r="F173" s="51"/>
      <c r="G173" s="51"/>
      <c r="H173" s="51"/>
      <c r="I173" s="49">
        <f t="shared" si="6"/>
        <v>3.9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Sapin de Nordmann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Tulipier de Virginie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Douglas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Mélèze hybride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Châtaignier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259.30247982593914</v>
      </c>
      <c r="T3" s="59">
        <f>IF('Données projet'!E9&gt;30,$R$33-$H$33,LOOKUP('Données projet'!$E$9,$A$3:$A$203,R3:R203)-LOOKUP('Données projet'!$E$9,$A$3:$A$203,$H$3:$H$203))</f>
        <v>275.24740346220779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297.21955661193238</v>
      </c>
      <c r="AO3" s="59">
        <f>IF('Données projet'!E10&gt;30,$AM$33-$H$33,LOOKUP('Données projet'!$E$10,$A$3:$A$203,AM3:AM203)-LOOKUP('Données projet'!$E$10,$A$3:$A$203,$H$3:$H$203))</f>
        <v>273.69206144662144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176.90404027101607</v>
      </c>
      <c r="BJ3" s="59">
        <f>IF('Données projet'!E11&gt;30,$BH$33-$H$33,LOOKUP('Données projet'!$E$11,$A$3:$A$203,BH3:BH203)-LOOKUP('Données projet'!$E$11,$A$3:$A$203,$H$3:$H$203))</f>
        <v>295.34177980841878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326.31232746914907</v>
      </c>
      <c r="CE3" s="59">
        <f>IF('Données projet'!E12&gt;30,$CC$33-$H$33,LOOKUP('Données projet'!$E$12,$A$3:$A$203,CC3:CC203)-LOOKUP('Données projet'!$E$12,$A$3:$A$203,$H$3:$H$203))</f>
        <v>330.17137761430297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210.04871822652808</v>
      </c>
      <c r="CZ3" s="59">
        <f>IF('Données projet'!E13&gt;30,$CX$33-$H$33,LOOKUP('Données projet'!$E$13,$A$3:$A$203,CX3:CX203)-LOOKUP('Données projet'!$E$13,$A$3:$A$203,$H$3:$H$203))</f>
        <v>250.17540614049324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234.09142087023463</v>
      </c>
      <c r="DU3" s="59">
        <f>IF('Données projet'!E14&gt;30,$DS$33-$H$33,LOOKUP('Données projet'!$E$14,$A$3:$A$203,DS3:DS203)-LOOKUP('Données projet'!$E$14,$A$3:$A$203,$H$3:$H$203))</f>
        <v>278.990685815294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6.1</v>
      </c>
      <c r="N4" s="13">
        <f>IF('Données projet'!$A$36&gt;35,N3+M4-V3,IF(A4&lt;'Données projet'!$A$36,$K$205^A4,IF(A4='Données projet'!$A$36,'Données projet'!$B$36,N3+M4-V3)))</f>
        <v>1.2715047635013723</v>
      </c>
      <c r="O4" s="13">
        <f>N4*VLOOKUP('Données projet'!$B$9,Paramètres!$A$1:$I$89,3,0)*VLOOKUP('Données projet'!$B$9,Paramètres!$A$1:$I$89,5,0)</f>
        <v>0.76035984857382066</v>
      </c>
      <c r="P4" s="13">
        <f>EXP(-1.0587+0.8836*LN(O4)+0.284)</f>
        <v>0.36176005277751561</v>
      </c>
      <c r="Q4" s="20">
        <f t="shared" ref="Q4:Q34" si="2">(O4+P4)*0.475*44/12</f>
        <v>1.9543588281869109</v>
      </c>
      <c r="R4" s="59">
        <f t="shared" si="0"/>
        <v>295.28769216152023</v>
      </c>
      <c r="S4" s="59">
        <f ca="1">AVERAGE(OFFSET($R$3,0,0,'Données projet'!$E$9+1,1))-AVERAGE(OFFSET($H$3,0,0,'Données projet'!$E$9+1,1))</f>
        <v>259.30247982593914</v>
      </c>
      <c r="T4" s="59">
        <f>$T$3</f>
        <v>275.24740346220779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4.8</v>
      </c>
      <c r="AI4" s="13">
        <f>IF('Données projet'!$A$62&gt;35,AI3+AH4-AQ3,IF(A4&lt;'Données projet'!$A$62,$AF$205^A4,IF(A4='Données projet'!$A$62,'Données projet'!$B$62,AI3+AH4-AQ3)))</f>
        <v>1.2563584400948855</v>
      </c>
      <c r="AJ4" s="13">
        <f>AI4*VLOOKUP('Données projet'!$B$10,Paramètres!$A$1:$I$89,3,0)*VLOOKUP('Données projet'!$B$10,Paramètres!$A$1:$I$89,5,0)</f>
        <v>0.60430840968563992</v>
      </c>
      <c r="AK4" s="13">
        <f>EXP(-1.0587+0.8836*LN(AJ4)+0.284)</f>
        <v>0.29530594996755061</v>
      </c>
      <c r="AL4" s="20">
        <f t="shared" ref="AL4:AL67" si="4">(AJ4+AK4)*0.475*44/12</f>
        <v>1.56682834306264</v>
      </c>
      <c r="AM4" s="59">
        <f t="shared" ref="AM4:AM67" si="5">AL4+(AD4+AE4)*44/12</f>
        <v>294.90016167639595</v>
      </c>
      <c r="AN4" s="59">
        <f ca="1">AVERAGE(OFFSET($AM$3,0,0,'Données projet'!$E$10+1,1))-AVERAGE(OFFSET($H$3,0,0,'Données projet'!$E$10+1,1))</f>
        <v>297.21955661193238</v>
      </c>
      <c r="AO4" s="59">
        <f>$AO$3</f>
        <v>273.69206144662144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</v>
      </c>
      <c r="BD4" s="12">
        <f>IF('Données projet'!$A$88&gt;35,BD3+BC4-BL3,IF(A4&lt;'Données projet'!$A$88,$BA$205^A4,IF(A4='Données projet'!$A$88,'Données projet'!$B$88,BD3+BC4-BL3)))</f>
        <v>1.97435048583482</v>
      </c>
      <c r="BE4" s="13">
        <f>BD4*VLOOKUP('Données projet'!$B$11,Paramètres!$A$1:$I$89,3,0)*VLOOKUP('Données projet'!$B$11,Paramètres!$A$1:$I$89,5,0)</f>
        <v>1.2627945707399508</v>
      </c>
      <c r="BF4" s="13">
        <f>EXP(-1.0587+0.8836*LN(BE4)+0.284)</f>
        <v>0.56635618009601085</v>
      </c>
      <c r="BG4" s="20">
        <f t="shared" ref="BG4:BG67" si="7">(BE4+BF4)*0.475*44/12</f>
        <v>3.1857708910393003</v>
      </c>
      <c r="BH4" s="59">
        <f t="shared" ref="BH4:BH67" si="8">BG4+(AY4+AZ4)*44/12</f>
        <v>296.5191042243726</v>
      </c>
      <c r="BI4" s="59">
        <f ca="1">AVERAGE(OFFSET($BH$3,0,0,'Données projet'!$E$11+1,1))-AVERAGE(OFFSET($H$3,0,0,'Données projet'!$E$11+1,1))</f>
        <v>176.90404027101607</v>
      </c>
      <c r="BJ4" s="59">
        <f>$BJ$3</f>
        <v>295.34177980841878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1.2820888539868154</v>
      </c>
      <c r="BZ4" s="13">
        <f>BY4*VLOOKUP('Données projet'!$B$12,Paramètres!$A$1:$I$89,3,0)*VLOOKUP('Données projet'!$B$12,Paramètres!$A$1:$I$89,5,0)</f>
        <v>0.71668766937862982</v>
      </c>
      <c r="CA4" s="13">
        <f>EXP(-1.0587+0.8836*LN(BZ4)+0.284)</f>
        <v>0.3433377788328647</v>
      </c>
      <c r="CB4" s="20">
        <f t="shared" ref="CB4:CB67" si="10">(BZ4+CA4)*0.475*44/12</f>
        <v>1.8462109889683529</v>
      </c>
      <c r="CC4" s="59">
        <f t="shared" ref="CC4:CC67" si="11">CB4+(BT4+BU4)*44/12</f>
        <v>295.17954432230169</v>
      </c>
      <c r="CD4" s="59">
        <f ca="1">AVERAGE(OFFSET($CC$3,0,0,'Données projet'!$E$12+1,1))-AVERAGE(OFFSET($H$3,0,0,'Données projet'!$E$12+1,1))</f>
        <v>326.31232746914907</v>
      </c>
      <c r="CE4" s="59">
        <f>$CE$3</f>
        <v>330.17137761430297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</v>
      </c>
      <c r="CT4" s="12">
        <f>IF('Données projet'!$A$140&gt;35,CT3+CS4-DB3,IF(A4&lt;'Données projet'!$A$140,$CQ$205^A4,IF(A4='Données projet'!$A$140,'Données projet'!$B$140,CT3+CS4-DB3)))</f>
        <v>1.4309690811052556</v>
      </c>
      <c r="CU4" s="17">
        <f>CT4*VLOOKUP('Données projet'!$B$13,Paramètres!$A$1:$I$89,3,0)*VLOOKUP('Données projet'!$B$13,Paramètres!$A$1:$I$89,5,0)</f>
        <v>0.78130911828346949</v>
      </c>
      <c r="CV4" s="13">
        <f>EXP(-1.0587+0.8836*LN(CU4)+0.284)</f>
        <v>0.37055303350010543</v>
      </c>
      <c r="CW4" s="20">
        <f t="shared" ref="CW4:CW67" si="13">(CU4+CV4)*0.475*44/12</f>
        <v>2.0061599143563931</v>
      </c>
      <c r="CX4" s="59">
        <f t="shared" ref="CX4:CX67" si="14">CW4+(CO4+CP4)*44/12</f>
        <v>295.33949324768969</v>
      </c>
      <c r="CY4" s="59">
        <f ca="1">AVERAGE(OFFSET($CX$3,0,0,'Données projet'!$E$13+1,1))-AVERAGE(OFFSET($H$3,0,0,'Données projet'!$E$13+1,1))</f>
        <v>210.04871822652808</v>
      </c>
      <c r="CZ4" s="59">
        <f>$CZ$3</f>
        <v>250.17540614049324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0.93188372027207511</v>
      </c>
      <c r="DQ4" s="13">
        <f>EXP(-1.0587+0.8836*LN(DP4)+0.284)</f>
        <v>0.43299221190803017</v>
      </c>
      <c r="DR4" s="20">
        <f t="shared" ref="DR4:DR67" si="16">(DP4+DQ4)*0.475*44/12</f>
        <v>2.3771589152136832</v>
      </c>
      <c r="DS4" s="59">
        <f t="shared" ref="DS4:DS67" si="17">DR4+(DJ4+DK4)*44/12</f>
        <v>295.71049224854698</v>
      </c>
      <c r="DT4" s="59">
        <f ca="1">AVERAGE(OFFSET($DS$3,0,0,'Données projet'!$E$14+1,1))-AVERAGE(OFFSET($H$3,0,0,'Données projet'!$E$14+1,1))</f>
        <v>234.09142087023463</v>
      </c>
      <c r="DU4" s="59">
        <f>$DU$3</f>
        <v>278.990685815294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6.1</v>
      </c>
      <c r="N5" s="13">
        <f>IF('Données projet'!$A$36&gt;35,N4+M5-V4,IF(A5&lt;'Données projet'!$A$36,$K$205^A5,IF(A5='Données projet'!$A$36,'Données projet'!$B$36,N4+M5-V4)))</f>
        <v>1.6167243636066808</v>
      </c>
      <c r="O5" s="13">
        <f>N5*VLOOKUP('Données projet'!$B$9,Paramètres!$A$1:$I$89,3,0)*VLOOKUP('Données projet'!$B$9,Paramètres!$A$1:$I$89,5,0)</f>
        <v>0.96680116943679517</v>
      </c>
      <c r="P5" s="13">
        <f t="shared" ref="P5:P68" si="33">EXP(-1.0587+0.8836*LN(O5)+0.284)</f>
        <v>0.44729700029912273</v>
      </c>
      <c r="Q5" s="20">
        <f t="shared" si="2"/>
        <v>2.4628876456233901</v>
      </c>
      <c r="R5" s="59">
        <f t="shared" si="0"/>
        <v>295.79622097895668</v>
      </c>
      <c r="S5" s="59">
        <f ca="1">AVERAGE(OFFSET($R$3,0,0,'Données projet'!$E$9+1,1))-AVERAGE(OFFSET($H$3,0,0,'Données projet'!$E$9+1,1))</f>
        <v>259.30247982593914</v>
      </c>
      <c r="T5" s="59">
        <f t="shared" ref="T5:T68" si="34">$T$3</f>
        <v>275.24740346220779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4.8</v>
      </c>
      <c r="AI5" s="13">
        <f>IF('Données projet'!$A$62&gt;35,AI4+AH5-AQ4,IF(A5&lt;'Données projet'!$A$62,$AF$205^A5,IF(A5='Données projet'!$A$62,'Données projet'!$B$62,AI4+AH5-AQ4)))</f>
        <v>1.5784365299976539</v>
      </c>
      <c r="AJ5" s="13">
        <f>AI5*VLOOKUP('Données projet'!$B$10,Paramètres!$A$1:$I$89,3,0)*VLOOKUP('Données projet'!$B$10,Paramètres!$A$1:$I$89,5,0)</f>
        <v>0.75922797092887162</v>
      </c>
      <c r="AK5" s="13">
        <f t="shared" ref="AK5:AK68" si="35">EXP(-1.0587+0.8836*LN(AJ5)+0.284)</f>
        <v>0.3612841762676729</v>
      </c>
      <c r="AL5" s="20">
        <f t="shared" si="4"/>
        <v>1.9515586563673146</v>
      </c>
      <c r="AM5" s="59">
        <f t="shared" si="5"/>
        <v>295.28489198970061</v>
      </c>
      <c r="AN5" s="59">
        <f ca="1">AVERAGE(OFFSET($AM$3,0,0,'Données projet'!$E$10+1,1))-AVERAGE(OFFSET($H$3,0,0,'Données projet'!$E$10+1,1))</f>
        <v>297.21955661193238</v>
      </c>
      <c r="AO5" s="59">
        <f t="shared" ref="AO5:AO68" si="36">$AO$3</f>
        <v>273.69206144662144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</v>
      </c>
      <c r="BD5" s="12">
        <f>IF('Données projet'!$A$88&gt;35,BD4+BC5-BL4,IF(A5&lt;'Données projet'!$A$88,$BA$205^A5,IF(A5='Données projet'!$A$88,'Données projet'!$B$88,BD4+BC5-BL4)))</f>
        <v>3.8980598409161895</v>
      </c>
      <c r="BE5" s="13">
        <f>BD5*VLOOKUP('Données projet'!$B$11,Paramètres!$A$1:$I$89,3,0)*VLOOKUP('Données projet'!$B$11,Paramètres!$A$1:$I$89,5,0)</f>
        <v>2.4931990742499948</v>
      </c>
      <c r="BF5" s="13">
        <f t="shared" ref="BF5:BF68" si="37">EXP(-1.0587+0.8836*LN(BE5)+0.284)</f>
        <v>1.033062297877932</v>
      </c>
      <c r="BG5" s="20">
        <f t="shared" si="7"/>
        <v>6.1415718897894713</v>
      </c>
      <c r="BH5" s="59">
        <f t="shared" si="8"/>
        <v>299.47490522312279</v>
      </c>
      <c r="BI5" s="59">
        <f ca="1">AVERAGE(OFFSET($BH$3,0,0,'Données projet'!$E$11+1,1))-AVERAGE(OFFSET($H$3,0,0,'Données projet'!$E$11+1,1))</f>
        <v>176.90404027101607</v>
      </c>
      <c r="BJ5" s="59">
        <f t="shared" ref="BJ5:BJ68" si="38">$BJ$3</f>
        <v>295.34177980841878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1.6437518295172255</v>
      </c>
      <c r="BZ5" s="13">
        <f>BY5*VLOOKUP('Données projet'!$B$12,Paramètres!$A$1:$I$89,3,0)*VLOOKUP('Données projet'!$B$12,Paramètres!$A$1:$I$89,5,0)</f>
        <v>0.91885727270012907</v>
      </c>
      <c r="CA5" s="13">
        <f t="shared" ref="CA5:CA68" si="39">EXP(-1.0587+0.8836*LN(BZ5)+0.284)</f>
        <v>0.4276397314244611</v>
      </c>
      <c r="CB5" s="20">
        <f t="shared" si="10"/>
        <v>2.3451489488503281</v>
      </c>
      <c r="CC5" s="59">
        <f t="shared" si="11"/>
        <v>295.67848228218367</v>
      </c>
      <c r="CD5" s="59">
        <f ca="1">AVERAGE(OFFSET($CC$3,0,0,'Données projet'!$E$12+1,1))-AVERAGE(OFFSET($H$3,0,0,'Données projet'!$E$12+1,1))</f>
        <v>326.31232746914907</v>
      </c>
      <c r="CE5" s="59">
        <f t="shared" ref="CE5:CE68" si="40">$CE$3</f>
        <v>330.17137761430297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</v>
      </c>
      <c r="CT5" s="12">
        <f>IF('Données projet'!$A$140&gt;35,CT4+CS5-DB4,IF(A5&lt;'Données projet'!$A$140,$CQ$205^A5,IF(A5='Données projet'!$A$140,'Données projet'!$B$140,CT4+CS5-DB4)))</f>
        <v>2.0476725110792193</v>
      </c>
      <c r="CU5" s="17">
        <f>CT5*VLOOKUP('Données projet'!$B$13,Paramètres!$A$1:$I$89,3,0)*VLOOKUP('Données projet'!$B$13,Paramètres!$A$1:$I$89,5,0)</f>
        <v>1.1180291910492537</v>
      </c>
      <c r="CV5" s="13">
        <f t="shared" ref="CV5:CV68" si="41">EXP(-1.0587+0.8836*LN(CU5)+0.284)</f>
        <v>0.50858700810998547</v>
      </c>
      <c r="CW5" s="20">
        <f t="shared" si="13"/>
        <v>2.8330232135356752</v>
      </c>
      <c r="CX5" s="59">
        <f t="shared" si="14"/>
        <v>296.166356546869</v>
      </c>
      <c r="CY5" s="59">
        <f ca="1">AVERAGE(OFFSET($CX$3,0,0,'Données projet'!$E$13+1,1))-AVERAGE(OFFSET($H$3,0,0,'Données projet'!$E$13+1,1))</f>
        <v>210.04871822652808</v>
      </c>
      <c r="CZ5" s="59">
        <f t="shared" ref="CZ5:CZ68" si="42">$CZ$3</f>
        <v>250.17540614049324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1.1844070759794372</v>
      </c>
      <c r="DQ5" s="13">
        <f t="shared" ref="DQ5:DQ68" si="43">EXP(-1.0587+0.8836*LN(DP5)+0.284)</f>
        <v>0.53517712549257934</v>
      </c>
      <c r="DR5" s="20">
        <f t="shared" si="16"/>
        <v>2.9949424842304286</v>
      </c>
      <c r="DS5" s="59">
        <f t="shared" si="17"/>
        <v>296.32827581756374</v>
      </c>
      <c r="DT5" s="59">
        <f ca="1">AVERAGE(OFFSET($DS$3,0,0,'Données projet'!$E$14+1,1))-AVERAGE(OFFSET($H$3,0,0,'Données projet'!$E$14+1,1))</f>
        <v>234.09142087023463</v>
      </c>
      <c r="DU5" s="59">
        <f t="shared" ref="DU5:DU68" si="44">$DU$3</f>
        <v>278.990685815294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6.1</v>
      </c>
      <c r="N6" s="13">
        <f>IF('Données projet'!$A$36&gt;35,N5+M6-V5,IF(A6&lt;'Données projet'!$A$36,$K$205^A6,IF(A6='Données projet'!$A$36,'Données projet'!$B$36,N5+M6-V5)))</f>
        <v>2.0556727295946193</v>
      </c>
      <c r="O6" s="13">
        <f>N6*VLOOKUP('Données projet'!$B$9,Paramètres!$A$1:$I$89,3,0)*VLOOKUP('Données projet'!$B$9,Paramètres!$A$1:$I$89,5,0)</f>
        <v>1.2292922922975824</v>
      </c>
      <c r="P6" s="13">
        <f t="shared" si="33"/>
        <v>0.55305887131667453</v>
      </c>
      <c r="Q6" s="20">
        <f t="shared" si="2"/>
        <v>3.1042616099614975</v>
      </c>
      <c r="R6" s="59">
        <f t="shared" si="0"/>
        <v>296.43759494329481</v>
      </c>
      <c r="S6" s="59">
        <f ca="1">AVERAGE(OFFSET($R$3,0,0,'Données projet'!$E$9+1,1))-AVERAGE(OFFSET($H$3,0,0,'Données projet'!$E$9+1,1))</f>
        <v>259.30247982593914</v>
      </c>
      <c r="T6" s="59">
        <f t="shared" si="34"/>
        <v>275.24740346220779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4.8</v>
      </c>
      <c r="AI6" s="13">
        <f>IF('Données projet'!$A$62&gt;35,AI5+AH6-AQ5,IF(A6&lt;'Données projet'!$A$62,$AF$205^A6,IF(A6='Données projet'!$A$62,'Données projet'!$B$62,AI5+AH6-AQ5)))</f>
        <v>1.9830820566166365</v>
      </c>
      <c r="AJ6" s="13">
        <f>AI6*VLOOKUP('Données projet'!$B$10,Paramètres!$A$1:$I$89,3,0)*VLOOKUP('Données projet'!$B$10,Paramètres!$A$1:$I$89,5,0)</f>
        <v>0.95386246923260221</v>
      </c>
      <c r="AK6" s="13">
        <f t="shared" si="35"/>
        <v>0.44200347482248059</v>
      </c>
      <c r="AL6" s="20">
        <f t="shared" si="4"/>
        <v>2.4311331858959355</v>
      </c>
      <c r="AM6" s="59">
        <f t="shared" si="5"/>
        <v>295.76446651922925</v>
      </c>
      <c r="AN6" s="59">
        <f ca="1">AVERAGE(OFFSET($AM$3,0,0,'Données projet'!$E$10+1,1))-AVERAGE(OFFSET($H$3,0,0,'Données projet'!$E$10+1,1))</f>
        <v>297.21955661193238</v>
      </c>
      <c r="AO6" s="59">
        <f t="shared" si="36"/>
        <v>273.69206144662144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</v>
      </c>
      <c r="BD6" s="12">
        <f>IF('Données projet'!$A$88&gt;35,BD5+BC6-BL5,IF(A6&lt;'Données projet'!$A$88,$BA$205^A6,IF(A6='Données projet'!$A$88,'Données projet'!$B$88,BD5+BC6-BL5)))</f>
        <v>7.6961363407260794</v>
      </c>
      <c r="BE6" s="13">
        <f>BD6*VLOOKUP('Données projet'!$B$11,Paramètres!$A$1:$I$89,3,0)*VLOOKUP('Données projet'!$B$11,Paramètres!$A$1:$I$89,5,0)</f>
        <v>4.9224488035284004</v>
      </c>
      <c r="BF6" s="13">
        <f t="shared" si="37"/>
        <v>1.8843578454744048</v>
      </c>
      <c r="BG6" s="20">
        <f t="shared" si="7"/>
        <v>11.855188247013219</v>
      </c>
      <c r="BH6" s="59">
        <f t="shared" si="8"/>
        <v>305.18852158034656</v>
      </c>
      <c r="BI6" s="59">
        <f ca="1">AVERAGE(OFFSET($BH$3,0,0,'Données projet'!$E$11+1,1))-AVERAGE(OFFSET($H$3,0,0,'Données projet'!$E$11+1,1))</f>
        <v>176.90404027101607</v>
      </c>
      <c r="BJ6" s="59">
        <f t="shared" si="38"/>
        <v>295.34177980841878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2.1074358993444706</v>
      </c>
      <c r="BZ6" s="13">
        <f>BY6*VLOOKUP('Données projet'!$B$12,Paramètres!$A$1:$I$89,3,0)*VLOOKUP('Données projet'!$B$12,Paramètres!$A$1:$I$89,5,0)</f>
        <v>1.1780566677335591</v>
      </c>
      <c r="CA6" s="13">
        <f t="shared" si="39"/>
        <v>0.532640889430954</v>
      </c>
      <c r="CB6" s="20">
        <f t="shared" si="10"/>
        <v>2.9794649120615269</v>
      </c>
      <c r="CC6" s="59">
        <f t="shared" si="11"/>
        <v>296.31279824539484</v>
      </c>
      <c r="CD6" s="59">
        <f ca="1">AVERAGE(OFFSET($CC$3,0,0,'Données projet'!$E$12+1,1))-AVERAGE(OFFSET($H$3,0,0,'Données projet'!$E$12+1,1))</f>
        <v>326.31232746914907</v>
      </c>
      <c r="CE6" s="59">
        <f t="shared" si="40"/>
        <v>330.17137761430297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</v>
      </c>
      <c r="CT6" s="12">
        <f>IF('Données projet'!$A$140&gt;35,CT5+CS6-DB5,IF(A6&lt;'Données projet'!$A$140,$CQ$205^A6,IF(A6='Données projet'!$A$140,'Données projet'!$B$140,CT5+CS6-DB5)))</f>
        <v>2.9301560515835217</v>
      </c>
      <c r="CU6" s="17">
        <f>CT6*VLOOKUP('Données projet'!$B$13,Paramètres!$A$1:$I$89,3,0)*VLOOKUP('Données projet'!$B$13,Paramètres!$A$1:$I$89,5,0)</f>
        <v>1.5998652041646029</v>
      </c>
      <c r="CV6" s="13">
        <f t="shared" si="41"/>
        <v>0.6980397444734262</v>
      </c>
      <c r="CW6" s="20">
        <f t="shared" si="13"/>
        <v>4.0021844522112344</v>
      </c>
      <c r="CX6" s="59">
        <f t="shared" si="14"/>
        <v>297.33551778554454</v>
      </c>
      <c r="CY6" s="59">
        <f ca="1">AVERAGE(OFFSET($CX$3,0,0,'Données projet'!$E$13+1,1))-AVERAGE(OFFSET($H$3,0,0,'Données projet'!$E$13+1,1))</f>
        <v>210.04871822652808</v>
      </c>
      <c r="CZ6" s="59">
        <f t="shared" si="42"/>
        <v>250.17540614049324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1.5053596184946649</v>
      </c>
      <c r="DQ6" s="13">
        <f t="shared" si="43"/>
        <v>0.66147738405820555</v>
      </c>
      <c r="DR6" s="20">
        <f t="shared" si="16"/>
        <v>3.7739077794462492</v>
      </c>
      <c r="DS6" s="59">
        <f t="shared" si="17"/>
        <v>297.10724111277955</v>
      </c>
      <c r="DT6" s="59">
        <f ca="1">AVERAGE(OFFSET($DS$3,0,0,'Données projet'!$E$14+1,1))-AVERAGE(OFFSET($H$3,0,0,'Données projet'!$E$14+1,1))</f>
        <v>234.09142087023463</v>
      </c>
      <c r="DU6" s="59">
        <f t="shared" si="44"/>
        <v>278.990685815294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6.1</v>
      </c>
      <c r="N7" s="13">
        <f>IF('Données projet'!$A$36&gt;35,N6+M7-V6,IF(A7&lt;'Données projet'!$A$36,$K$205^A7,IF(A7='Données projet'!$A$36,'Données projet'!$B$36,N6+M7-V6)))</f>
        <v>2.6137976678794272</v>
      </c>
      <c r="O7" s="13">
        <f>N7*VLOOKUP('Données projet'!$B$9,Paramètres!$A$1:$I$89,3,0)*VLOOKUP('Données projet'!$B$9,Paramètres!$A$1:$I$89,5,0)</f>
        <v>1.5630510053918976</v>
      </c>
      <c r="P7" s="13">
        <f t="shared" si="33"/>
        <v>0.6838277809543224</v>
      </c>
      <c r="Q7" s="20">
        <f t="shared" si="2"/>
        <v>3.9133138862196657</v>
      </c>
      <c r="R7" s="59">
        <f t="shared" si="0"/>
        <v>297.24664721955298</v>
      </c>
      <c r="S7" s="59">
        <f ca="1">AVERAGE(OFFSET($R$3,0,0,'Données projet'!$E$9+1,1))-AVERAGE(OFFSET($H$3,0,0,'Données projet'!$E$9+1,1))</f>
        <v>259.30247982593914</v>
      </c>
      <c r="T7" s="59">
        <f t="shared" si="34"/>
        <v>275.24740346220779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4.8</v>
      </c>
      <c r="AI7" s="13">
        <f>IF('Données projet'!$A$62&gt;35,AI6+AH7-AQ6,IF(A7&lt;'Données projet'!$A$62,$AF$205^A7,IF(A7='Données projet'!$A$62,'Données projet'!$B$62,AI6+AH7-AQ6)))</f>
        <v>2.4914618792310348</v>
      </c>
      <c r="AJ7" s="13">
        <f>AI7*VLOOKUP('Données projet'!$B$10,Paramètres!$A$1:$I$89,3,0)*VLOOKUP('Données projet'!$B$10,Paramètres!$A$1:$I$89,5,0)</f>
        <v>1.1983931639101277</v>
      </c>
      <c r="AK7" s="13">
        <f t="shared" si="35"/>
        <v>0.54075734446338186</v>
      </c>
      <c r="AL7" s="20">
        <f t="shared" si="4"/>
        <v>3.0290204687505287</v>
      </c>
      <c r="AM7" s="59">
        <f t="shared" si="5"/>
        <v>296.36235380208382</v>
      </c>
      <c r="AN7" s="59">
        <f ca="1">AVERAGE(OFFSET($AM$3,0,0,'Données projet'!$E$10+1,1))-AVERAGE(OFFSET($H$3,0,0,'Données projet'!$E$10+1,1))</f>
        <v>297.21955661193238</v>
      </c>
      <c r="AO7" s="59">
        <f t="shared" si="36"/>
        <v>273.69206144662144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</v>
      </c>
      <c r="BD7" s="12">
        <f>IF('Données projet'!$A$88&gt;35,BD6+BC7-BL6,IF(A7&lt;'Données projet'!$A$88,$BA$205^A7,IF(A7='Données projet'!$A$88,'Données projet'!$B$88,BD6+BC7-BL6)))</f>
        <v>15.194870523363548</v>
      </c>
      <c r="BE7" s="13">
        <f>BD7*VLOOKUP('Données projet'!$B$11,Paramètres!$A$1:$I$89,3,0)*VLOOKUP('Données projet'!$B$11,Paramètres!$A$1:$I$89,5,0)</f>
        <v>9.7186391867433244</v>
      </c>
      <c r="BF7" s="13">
        <f t="shared" si="37"/>
        <v>3.437163951384961</v>
      </c>
      <c r="BG7" s="20">
        <f t="shared" si="7"/>
        <v>22.91302379890676</v>
      </c>
      <c r="BH7" s="59">
        <f t="shared" si="8"/>
        <v>316.24635713224006</v>
      </c>
      <c r="BI7" s="59">
        <f ca="1">AVERAGE(OFFSET($BH$3,0,0,'Données projet'!$E$11+1,1))-AVERAGE(OFFSET($H$3,0,0,'Données projet'!$E$11+1,1))</f>
        <v>176.90404027101607</v>
      </c>
      <c r="BJ7" s="59">
        <f t="shared" si="38"/>
        <v>295.34177980841878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2.7019200770412262</v>
      </c>
      <c r="BZ7" s="13">
        <f>BY7*VLOOKUP('Données projet'!$B$12,Paramètres!$A$1:$I$89,3,0)*VLOOKUP('Données projet'!$B$12,Paramètres!$A$1:$I$89,5,0)</f>
        <v>1.5103733230660454</v>
      </c>
      <c r="CA7" s="13">
        <f t="shared" si="39"/>
        <v>0.66342366306511447</v>
      </c>
      <c r="CB7" s="20">
        <f t="shared" si="10"/>
        <v>3.786029750845104</v>
      </c>
      <c r="CC7" s="59">
        <f t="shared" si="11"/>
        <v>297.11936308417842</v>
      </c>
      <c r="CD7" s="59">
        <f ca="1">AVERAGE(OFFSET($CC$3,0,0,'Données projet'!$E$12+1,1))-AVERAGE(OFFSET($H$3,0,0,'Données projet'!$E$12+1,1))</f>
        <v>326.31232746914907</v>
      </c>
      <c r="CE7" s="59">
        <f t="shared" si="40"/>
        <v>330.17137761430297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</v>
      </c>
      <c r="CT7" s="12">
        <f>IF('Données projet'!$A$140&gt;35,CT6+CS7-DB6,IF(A7&lt;'Données projet'!$A$140,$CQ$205^A7,IF(A7='Données projet'!$A$140,'Données projet'!$B$140,CT6+CS7-DB6)))</f>
        <v>4.192962712629476</v>
      </c>
      <c r="CU7" s="17">
        <f>CT7*VLOOKUP('Données projet'!$B$13,Paramètres!$A$1:$I$89,3,0)*VLOOKUP('Données projet'!$B$13,Paramètres!$A$1:$I$89,5,0)</f>
        <v>2.2893576410956937</v>
      </c>
      <c r="CV7" s="13">
        <f t="shared" si="41"/>
        <v>0.95806514341623272</v>
      </c>
      <c r="CW7" s="20">
        <f t="shared" si="13"/>
        <v>5.6559280163582706</v>
      </c>
      <c r="CX7" s="59">
        <f t="shared" si="14"/>
        <v>298.98926134969156</v>
      </c>
      <c r="CY7" s="59">
        <f ca="1">AVERAGE(OFFSET($CX$3,0,0,'Données projet'!$E$13+1,1))-AVERAGE(OFFSET($H$3,0,0,'Données projet'!$E$13+1,1))</f>
        <v>210.04871822652808</v>
      </c>
      <c r="CZ7" s="59">
        <f t="shared" si="42"/>
        <v>250.17540614049324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1.9132843993864705</v>
      </c>
      <c r="DQ7" s="13">
        <f t="shared" si="43"/>
        <v>0.81758413948982178</v>
      </c>
      <c r="DR7" s="20">
        <f t="shared" si="16"/>
        <v>4.7562627052095419</v>
      </c>
      <c r="DS7" s="59">
        <f t="shared" si="17"/>
        <v>298.08959603854288</v>
      </c>
      <c r="DT7" s="59">
        <f ca="1">AVERAGE(OFFSET($DS$3,0,0,'Données projet'!$E$14+1,1))-AVERAGE(OFFSET($H$3,0,0,'Données projet'!$E$14+1,1))</f>
        <v>234.09142087023463</v>
      </c>
      <c r="DU7" s="59">
        <f t="shared" si="44"/>
        <v>278.990685815294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6.1</v>
      </c>
      <c r="N8" s="13">
        <f>IF('Données projet'!$A$36&gt;35,N7+M8-V7,IF(A8&lt;'Données projet'!$A$36,$K$205^A8,IF(A8='Données projet'!$A$36,'Données projet'!$B$36,N7+M8-V7)))</f>
        <v>3.3234561855374696</v>
      </c>
      <c r="O8" s="13">
        <f>N8*VLOOKUP('Données projet'!$B$9,Paramètres!$A$1:$I$89,3,0)*VLOOKUP('Données projet'!$B$9,Paramètres!$A$1:$I$89,5,0)</f>
        <v>1.9874267989514072</v>
      </c>
      <c r="P8" s="13">
        <f t="shared" si="33"/>
        <v>0.8455165593703301</v>
      </c>
      <c r="Q8" s="20">
        <f t="shared" si="2"/>
        <v>4.9340430157436925</v>
      </c>
      <c r="R8" s="59">
        <f t="shared" si="0"/>
        <v>298.26737634907698</v>
      </c>
      <c r="S8" s="59">
        <f ca="1">AVERAGE(OFFSET($R$3,0,0,'Données projet'!$E$9+1,1))-AVERAGE(OFFSET($H$3,0,0,'Données projet'!$E$9+1,1))</f>
        <v>259.30247982593914</v>
      </c>
      <c r="T8" s="59">
        <f t="shared" si="34"/>
        <v>275.24740346220779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4.8</v>
      </c>
      <c r="AI8" s="13">
        <f>IF('Données projet'!$A$62&gt;35,AI7+AH8-AQ7,IF(A8&lt;'Données projet'!$A$62,$AF$205^A8,IF(A8='Données projet'!$A$62,'Données projet'!$B$62,AI7+AH8-AQ7)))</f>
        <v>3.1301691601465751</v>
      </c>
      <c r="AJ8" s="13">
        <f>AI8*VLOOKUP('Données projet'!$B$10,Paramètres!$A$1:$I$89,3,0)*VLOOKUP('Données projet'!$B$10,Paramètres!$A$1:$I$89,5,0)</f>
        <v>1.5056113660305028</v>
      </c>
      <c r="AK8" s="13">
        <f t="shared" si="35"/>
        <v>0.66157512835963828</v>
      </c>
      <c r="AL8" s="20">
        <f t="shared" si="4"/>
        <v>3.7745164777294953</v>
      </c>
      <c r="AM8" s="59">
        <f t="shared" si="5"/>
        <v>297.10784981106281</v>
      </c>
      <c r="AN8" s="59">
        <f ca="1">AVERAGE(OFFSET($AM$3,0,0,'Données projet'!$E$10+1,1))-AVERAGE(OFFSET($H$3,0,0,'Données projet'!$E$10+1,1))</f>
        <v>297.21955661193238</v>
      </c>
      <c r="AO8" s="59">
        <f t="shared" si="36"/>
        <v>273.69206144662144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>
        <f>VLOOKUP(A8,'Données projet'!$A$87:$I$107,2,0)</f>
        <v>30</v>
      </c>
      <c r="BB8" s="12">
        <f>VLOOKUP(A8,'Données projet'!$A$87:$I$107,9,0)</f>
        <v>6</v>
      </c>
      <c r="BC8" s="12">
        <f t="array" ref="BC8">INDEX(BB:BB,MIN(IF(ISNUMBER(BB8:BB204),ROW(BB8:BB204),"")))</f>
        <v>6</v>
      </c>
      <c r="BD8" s="12">
        <f>IF('Données projet'!$A$88&gt;35,BD7+BC8-BL7,IF(A8&lt;'Données projet'!$A$88,$BA$205^A8,IF(A8='Données projet'!$A$88,'Données projet'!$B$88,BD7+BC8-BL7)))</f>
        <v>30</v>
      </c>
      <c r="BE8" s="13">
        <f>BD8*VLOOKUP('Données projet'!$B$11,Paramètres!$A$1:$I$89,3,0)*VLOOKUP('Données projet'!$B$11,Paramètres!$A$1:$I$89,5,0)</f>
        <v>19.187999999999999</v>
      </c>
      <c r="BF8" s="13">
        <f t="shared" si="37"/>
        <v>6.2695607721610704</v>
      </c>
      <c r="BG8" s="20">
        <f t="shared" si="7"/>
        <v>44.338585011513857</v>
      </c>
      <c r="BH8" s="59">
        <f t="shared" si="8"/>
        <v>337.6719183448472</v>
      </c>
      <c r="BI8" s="59">
        <f ca="1">AVERAGE(OFFSET($BH$3,0,0,'Données projet'!$E$11+1,1))-AVERAGE(OFFSET($H$3,0,0,'Données projet'!$E$11+1,1))</f>
        <v>176.90404027101607</v>
      </c>
      <c r="BJ8" s="59">
        <f t="shared" si="38"/>
        <v>295.34177980841878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3.4641016151377535</v>
      </c>
      <c r="BZ8" s="13">
        <f>BY8*VLOOKUP('Données projet'!$B$12,Paramètres!$A$1:$I$89,3,0)*VLOOKUP('Données projet'!$B$12,Paramètres!$A$1:$I$89,5,0)</f>
        <v>1.9364328028620041</v>
      </c>
      <c r="CA8" s="13">
        <f t="shared" si="39"/>
        <v>0.82631837969658639</v>
      </c>
      <c r="CB8" s="20">
        <f t="shared" si="10"/>
        <v>4.8117916429562113</v>
      </c>
      <c r="CC8" s="59">
        <f t="shared" si="11"/>
        <v>298.14512497628954</v>
      </c>
      <c r="CD8" s="59">
        <f ca="1">AVERAGE(OFFSET($CC$3,0,0,'Données projet'!$E$12+1,1))-AVERAGE(OFFSET($H$3,0,0,'Données projet'!$E$12+1,1))</f>
        <v>326.31232746914907</v>
      </c>
      <c r="CE8" s="59">
        <f t="shared" si="40"/>
        <v>330.17137761430297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</v>
      </c>
      <c r="CT8" s="12">
        <f>IF('Données projet'!$A$140&gt;35,CT7+CS8-DB7,IF(A8&lt;'Données projet'!$A$140,$CQ$205^A8,IF(A8='Données projet'!$A$140,'Données projet'!$B$140,CT7+CS8-DB7)))</f>
        <v>6.0000000000000009</v>
      </c>
      <c r="CU8" s="17">
        <f>CT8*VLOOKUP('Données projet'!$B$13,Paramètres!$A$1:$I$89,3,0)*VLOOKUP('Données projet'!$B$13,Paramètres!$A$1:$I$89,5,0)</f>
        <v>3.2760000000000007</v>
      </c>
      <c r="CV8" s="13">
        <f t="shared" si="41"/>
        <v>1.3149520873221716</v>
      </c>
      <c r="CW8" s="20">
        <f t="shared" si="13"/>
        <v>7.9959082187527839</v>
      </c>
      <c r="CX8" s="59">
        <f t="shared" si="14"/>
        <v>301.3292415520861</v>
      </c>
      <c r="CY8" s="59">
        <f ca="1">AVERAGE(OFFSET($CX$3,0,0,'Données projet'!$E$13+1,1))-AVERAGE(OFFSET($H$3,0,0,'Données projet'!$E$13+1,1))</f>
        <v>210.04871822652808</v>
      </c>
      <c r="CZ8" s="59">
        <f t="shared" si="42"/>
        <v>250.17540614049324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2.4317492962885807</v>
      </c>
      <c r="DQ8" s="13">
        <f t="shared" si="43"/>
        <v>1.010531639108154</v>
      </c>
      <c r="DR8" s="20">
        <f t="shared" si="16"/>
        <v>5.9953059624826457</v>
      </c>
      <c r="DS8" s="59">
        <f t="shared" si="17"/>
        <v>299.32863929581595</v>
      </c>
      <c r="DT8" s="59">
        <f ca="1">AVERAGE(OFFSET($DS$3,0,0,'Données projet'!$E$14+1,1))-AVERAGE(OFFSET($H$3,0,0,'Données projet'!$E$14+1,1))</f>
        <v>234.09142087023463</v>
      </c>
      <c r="DU8" s="59">
        <f t="shared" si="44"/>
        <v>278.990685815294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6.1</v>
      </c>
      <c r="N9" s="13">
        <f>IF('Données projet'!$A$36&gt;35,N8+M9-V8,IF(A9&lt;'Données projet'!$A$36,$K$205^A9,IF(A9='Données projet'!$A$36,'Données projet'!$B$36,N8+M9-V8)))</f>
        <v>4.2257903711989933</v>
      </c>
      <c r="O9" s="13">
        <f>N9*VLOOKUP('Données projet'!$B$9,Paramètres!$A$1:$I$89,3,0)*VLOOKUP('Données projet'!$B$9,Paramètres!$A$1:$I$89,5,0)</f>
        <v>2.5270226419769983</v>
      </c>
      <c r="P9" s="13">
        <f t="shared" si="33"/>
        <v>1.0454361055231738</v>
      </c>
      <c r="Q9" s="20">
        <f t="shared" si="2"/>
        <v>6.2220323185627997</v>
      </c>
      <c r="R9" s="59">
        <f t="shared" si="0"/>
        <v>299.55536565189612</v>
      </c>
      <c r="S9" s="59">
        <f ca="1">AVERAGE(OFFSET($R$3,0,0,'Données projet'!$E$9+1,1))-AVERAGE(OFFSET($H$3,0,0,'Données projet'!$E$9+1,1))</f>
        <v>259.30247982593914</v>
      </c>
      <c r="T9" s="59">
        <f t="shared" si="34"/>
        <v>275.24740346220779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4.8</v>
      </c>
      <c r="AI9" s="13">
        <f>IF('Données projet'!$A$62&gt;35,AI8+AH9-AQ8,IF(A9&lt;'Données projet'!$A$62,$AF$205^A9,IF(A9='Données projet'!$A$62,'Données projet'!$B$62,AI8+AH9-AQ8)))</f>
        <v>3.9326144432748684</v>
      </c>
      <c r="AJ9" s="13">
        <f>AI9*VLOOKUP('Données projet'!$B$10,Paramètres!$A$1:$I$89,3,0)*VLOOKUP('Données projet'!$B$10,Paramètres!$A$1:$I$89,5,0)</f>
        <v>1.8915875472152117</v>
      </c>
      <c r="AK9" s="13">
        <f t="shared" si="35"/>
        <v>0.80938641877976369</v>
      </c>
      <c r="AL9" s="20">
        <f t="shared" si="4"/>
        <v>4.7041963241079152</v>
      </c>
      <c r="AM9" s="59">
        <f t="shared" si="5"/>
        <v>298.03752965744121</v>
      </c>
      <c r="AN9" s="59">
        <f ca="1">AVERAGE(OFFSET($AM$3,0,0,'Données projet'!$E$10+1,1))-AVERAGE(OFFSET($H$3,0,0,'Données projet'!$E$10+1,1))</f>
        <v>297.21955661193238</v>
      </c>
      <c r="AO9" s="59">
        <f t="shared" si="36"/>
        <v>273.69206144662144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20</v>
      </c>
      <c r="BD9" s="12">
        <f>IF('Données projet'!$A$88&gt;35,BD8+BC9-BL8,IF(A9&lt;'Données projet'!$A$88,$BA$205^A9,IF(A9='Données projet'!$A$88,'Données projet'!$B$88,BD8+BC9-BL8)))</f>
        <v>50</v>
      </c>
      <c r="BE9" s="13">
        <f>BD9*VLOOKUP('Données projet'!$B$11,Paramètres!$A$1:$I$89,3,0)*VLOOKUP('Données projet'!$B$11,Paramètres!$A$1:$I$89,5,0)</f>
        <v>31.98</v>
      </c>
      <c r="BF9" s="13">
        <f t="shared" si="37"/>
        <v>9.8460643903701044</v>
      </c>
      <c r="BG9" s="20">
        <f t="shared" si="7"/>
        <v>72.847062146561271</v>
      </c>
      <c r="BH9" s="59">
        <f t="shared" si="8"/>
        <v>366.18039547989457</v>
      </c>
      <c r="BI9" s="59">
        <f ca="1">AVERAGE(OFFSET($BH$3,0,0,'Données projet'!$E$11+1,1))-AVERAGE(OFFSET($H$3,0,0,'Données projet'!$E$11+1,1))</f>
        <v>176.90404027101607</v>
      </c>
      <c r="BJ9" s="59">
        <f t="shared" si="38"/>
        <v>295.34177980841878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4.4412860698458383</v>
      </c>
      <c r="BZ9" s="13">
        <f>BY9*VLOOKUP('Données projet'!$B$12,Paramètres!$A$1:$I$89,3,0)*VLOOKUP('Données projet'!$B$12,Paramètres!$A$1:$I$89,5,0)</f>
        <v>2.4826789130438236</v>
      </c>
      <c r="CA9" s="13">
        <f t="shared" si="39"/>
        <v>1.0292096930485513</v>
      </c>
      <c r="CB9" s="20">
        <f t="shared" si="10"/>
        <v>6.1165393222775526</v>
      </c>
      <c r="CC9" s="59">
        <f t="shared" si="11"/>
        <v>299.44987265561087</v>
      </c>
      <c r="CD9" s="59">
        <f ca="1">AVERAGE(OFFSET($CC$3,0,0,'Données projet'!$E$12+1,1))-AVERAGE(OFFSET($H$3,0,0,'Données projet'!$E$12+1,1))</f>
        <v>326.31232746914907</v>
      </c>
      <c r="CE9" s="59">
        <f t="shared" si="40"/>
        <v>330.17137761430297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</v>
      </c>
      <c r="CT9" s="12">
        <f>IF('Données projet'!$A$140&gt;35,CT8+CS9-DB8,IF(A9&lt;'Données projet'!$A$140,$CQ$205^A9,IF(A9='Données projet'!$A$140,'Données projet'!$B$140,CT8+CS9-DB8)))</f>
        <v>8.5858144866315342</v>
      </c>
      <c r="CU9" s="17">
        <f>CT9*VLOOKUP('Données projet'!$B$13,Paramètres!$A$1:$I$89,3,0)*VLOOKUP('Données projet'!$B$13,Paramètres!$A$1:$I$89,5,0)</f>
        <v>4.6878547097008179</v>
      </c>
      <c r="CV9" s="13">
        <f t="shared" si="41"/>
        <v>1.8047822779434171</v>
      </c>
      <c r="CW9" s="20">
        <f t="shared" si="13"/>
        <v>11.308009420147043</v>
      </c>
      <c r="CX9" s="59">
        <f t="shared" si="14"/>
        <v>304.64134275348033</v>
      </c>
      <c r="CY9" s="59">
        <f ca="1">AVERAGE(OFFSET($CX$3,0,0,'Données projet'!$E$13+1,1))-AVERAGE(OFFSET($H$3,0,0,'Données projet'!$E$13+1,1))</f>
        <v>210.04871822652808</v>
      </c>
      <c r="CZ9" s="59">
        <f t="shared" si="42"/>
        <v>250.17540614049324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3.0907086483829831</v>
      </c>
      <c r="DQ9" s="13">
        <f t="shared" si="43"/>
        <v>1.2490141923201104</v>
      </c>
      <c r="DR9" s="20">
        <f t="shared" si="16"/>
        <v>7.5583506142245538</v>
      </c>
      <c r="DS9" s="59">
        <f t="shared" si="17"/>
        <v>300.89168394755785</v>
      </c>
      <c r="DT9" s="59">
        <f ca="1">AVERAGE(OFFSET($DS$3,0,0,'Données projet'!$E$14+1,1))-AVERAGE(OFFSET($H$3,0,0,'Données projet'!$E$14+1,1))</f>
        <v>234.09142087023463</v>
      </c>
      <c r="DU9" s="59">
        <f t="shared" si="44"/>
        <v>278.990685815294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6.1</v>
      </c>
      <c r="N10" s="13">
        <f>IF('Données projet'!$A$36&gt;35,N9+M10-V9,IF(A10&lt;'Données projet'!$A$36,$K$205^A10,IF(A10='Données projet'!$A$36,'Données projet'!$B$36,N9+M10-V9)))</f>
        <v>5.3731125865377525</v>
      </c>
      <c r="O10" s="13">
        <f>N10*VLOOKUP('Données projet'!$B$9,Paramètres!$A$1:$I$89,3,0)*VLOOKUP('Données projet'!$B$9,Paramètres!$A$1:$I$89,5,0)</f>
        <v>3.213121326749576</v>
      </c>
      <c r="P10" s="13">
        <f t="shared" si="33"/>
        <v>1.2926259558362623</v>
      </c>
      <c r="Q10" s="20">
        <f t="shared" si="2"/>
        <v>7.8475098505036698</v>
      </c>
      <c r="R10" s="59">
        <f t="shared" si="0"/>
        <v>301.180843183837</v>
      </c>
      <c r="S10" s="59">
        <f ca="1">AVERAGE(OFFSET($R$3,0,0,'Données projet'!$E$9+1,1))-AVERAGE(OFFSET($H$3,0,0,'Données projet'!$E$9+1,1))</f>
        <v>259.30247982593914</v>
      </c>
      <c r="T10" s="59">
        <f t="shared" si="34"/>
        <v>275.24740346220779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4.8</v>
      </c>
      <c r="AI10" s="13">
        <f>IF('Données projet'!$A$62&gt;35,AI9+AH10-AQ9,IF(A10&lt;'Données projet'!$A$62,$AF$205^A10,IF(A10='Données projet'!$A$62,'Données projet'!$B$62,AI9+AH10-AQ9)))</f>
        <v>4.9407733474474309</v>
      </c>
      <c r="AJ10" s="13">
        <f>AI10*VLOOKUP('Données projet'!$B$10,Paramètres!$A$1:$I$89,3,0)*VLOOKUP('Données projet'!$B$10,Paramètres!$A$1:$I$89,5,0)</f>
        <v>2.3765119801222143</v>
      </c>
      <c r="AK10" s="13">
        <f t="shared" si="35"/>
        <v>0.99022219370527698</v>
      </c>
      <c r="AL10" s="20">
        <f t="shared" si="4"/>
        <v>5.8637286860828803</v>
      </c>
      <c r="AM10" s="59">
        <f t="shared" si="5"/>
        <v>299.19706201941619</v>
      </c>
      <c r="AN10" s="59">
        <f ca="1">AVERAGE(OFFSET($AM$3,0,0,'Données projet'!$E$10+1,1))-AVERAGE(OFFSET($H$3,0,0,'Données projet'!$E$10+1,1))</f>
        <v>297.21955661193238</v>
      </c>
      <c r="AO10" s="59">
        <f t="shared" si="36"/>
        <v>273.69206144662144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>
        <f>VLOOKUP(A10,'Données projet'!$A$87:$I$107,2,0)</f>
        <v>70</v>
      </c>
      <c r="BB10" s="12">
        <f>VLOOKUP(A10,'Données projet'!$A$87:$I$107,9,0)</f>
        <v>20</v>
      </c>
      <c r="BC10" s="12">
        <f t="array" ref="BC10">INDEX(BB:BB,MIN(IF(ISNUMBER(BB10:BB206),ROW(BB10:BB206),"")))</f>
        <v>20</v>
      </c>
      <c r="BD10" s="12">
        <f>IF('Données projet'!$A$88&gt;35,BD9+BC10-BL9,IF(A10&lt;'Données projet'!$A$88,$BA$205^A10,IF(A10='Données projet'!$A$88,'Données projet'!$B$88,BD9+BC10-BL9)))</f>
        <v>70</v>
      </c>
      <c r="BE10" s="13">
        <f>BD10*VLOOKUP('Données projet'!$B$11,Paramètres!$A$1:$I$89,3,0)*VLOOKUP('Données projet'!$B$11,Paramètres!$A$1:$I$89,5,0)</f>
        <v>44.771999999999998</v>
      </c>
      <c r="BF10" s="13">
        <f t="shared" si="37"/>
        <v>13.255051026563279</v>
      </c>
      <c r="BG10" s="20">
        <f t="shared" si="7"/>
        <v>101.06378053793104</v>
      </c>
      <c r="BH10" s="59">
        <f t="shared" si="8"/>
        <v>394.39711387126437</v>
      </c>
      <c r="BI10" s="59">
        <f ca="1">AVERAGE(OFFSET($BH$3,0,0,'Données projet'!$E$11+1,1))-AVERAGE(OFFSET($H$3,0,0,'Données projet'!$E$11+1,1))</f>
        <v>176.90404027101607</v>
      </c>
      <c r="BJ10" s="59">
        <f t="shared" si="38"/>
        <v>295.34177980841878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35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0.1075</v>
      </c>
      <c r="BO10" s="16">
        <f>IF(ISNA(VLOOKUP(A10,'Données projet'!$A$87:$I$107,7,0)),0%,VLOOKUP(A10,'Données projet'!$A$87:$I$107,7,0))</f>
        <v>0.25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2.6498342910362767</v>
      </c>
      <c r="BR10" s="21">
        <f>EXP(-LN(2)/2)*BR9+(1-EXP(-LN(2)/2))/(LN(2)/2)*BL10*BO10*VLOOKUP('Données projet'!$B$11,Paramètres!$A$1:$I$89,3,0)*0.475*44/12</f>
        <v>5.2804483775890549</v>
      </c>
      <c r="BS10" s="22">
        <f t="shared" si="9"/>
        <v>7.9302826686253312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5.6941233675162577</v>
      </c>
      <c r="BZ10" s="13">
        <f>BY10*VLOOKUP('Données projet'!$B$12,Paramètres!$A$1:$I$89,3,0)*VLOOKUP('Données projet'!$B$12,Paramètres!$A$1:$I$89,5,0)</f>
        <v>3.1830149624415882</v>
      </c>
      <c r="CA10" s="13">
        <f t="shared" si="39"/>
        <v>1.2819182270325931</v>
      </c>
      <c r="CB10" s="20">
        <f t="shared" si="10"/>
        <v>7.776425305000866</v>
      </c>
      <c r="CC10" s="59">
        <f t="shared" si="11"/>
        <v>301.1097586383342</v>
      </c>
      <c r="CD10" s="59">
        <f ca="1">AVERAGE(OFFSET($CC$3,0,0,'Données projet'!$E$12+1,1))-AVERAGE(OFFSET($H$3,0,0,'Données projet'!$E$12+1,1))</f>
        <v>326.31232746914907</v>
      </c>
      <c r="CE10" s="59">
        <f t="shared" si="40"/>
        <v>330.17137761430297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</v>
      </c>
      <c r="CT10" s="12">
        <f>IF('Données projet'!$A$140&gt;35,CT9+CS10-DB9,IF(A10&lt;'Données projet'!$A$140,$CQ$205^A10,IF(A10='Données projet'!$A$140,'Données projet'!$B$140,CT9+CS10-DB9)))</f>
        <v>12.286035066475318</v>
      </c>
      <c r="CU10" s="17">
        <f>CT10*VLOOKUP('Données projet'!$B$13,Paramètres!$A$1:$I$89,3,0)*VLOOKUP('Données projet'!$B$13,Paramètres!$A$1:$I$89,5,0)</f>
        <v>6.708175146295523</v>
      </c>
      <c r="CV10" s="13">
        <f t="shared" si="41"/>
        <v>2.4770781400954469</v>
      </c>
      <c r="CW10" s="20">
        <f t="shared" si="13"/>
        <v>15.997649473797606</v>
      </c>
      <c r="CX10" s="59">
        <f t="shared" si="14"/>
        <v>309.33098280713091</v>
      </c>
      <c r="CY10" s="59">
        <f ca="1">AVERAGE(OFFSET($CX$3,0,0,'Données projet'!$E$13+1,1))-AVERAGE(OFFSET($H$3,0,0,'Données projet'!$E$13+1,1))</f>
        <v>210.04871822652808</v>
      </c>
      <c r="CZ10" s="59">
        <f t="shared" si="42"/>
        <v>250.17540614049324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3.9282338700657551</v>
      </c>
      <c r="DQ10" s="13">
        <f t="shared" si="43"/>
        <v>1.5437779404847436</v>
      </c>
      <c r="DR10" s="20">
        <f t="shared" si="16"/>
        <v>9.5304205700421178</v>
      </c>
      <c r="DS10" s="59">
        <f t="shared" si="17"/>
        <v>302.86375390337543</v>
      </c>
      <c r="DT10" s="59">
        <f ca="1">AVERAGE(OFFSET($DS$3,0,0,'Données projet'!$E$14+1,1))-AVERAGE(OFFSET($H$3,0,0,'Données projet'!$E$14+1,1))</f>
        <v>234.09142087023463</v>
      </c>
      <c r="DU10" s="59">
        <f t="shared" si="44"/>
        <v>278.990685815294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6.1</v>
      </c>
      <c r="N11" s="13">
        <f>IF('Données projet'!$A$36&gt;35,N10+M11-V10,IF(A11&lt;'Données projet'!$A$36,$K$205^A11,IF(A11='Données projet'!$A$36,'Données projet'!$B$36,N10+M11-V10)))</f>
        <v>6.8319382486119329</v>
      </c>
      <c r="O11" s="13">
        <f>N11*VLOOKUP('Données projet'!$B$9,Paramètres!$A$1:$I$89,3,0)*VLOOKUP('Données projet'!$B$9,Paramètres!$A$1:$I$89,5,0)</f>
        <v>4.0854990726699363</v>
      </c>
      <c r="P11" s="13">
        <f t="shared" si="33"/>
        <v>1.5982630147113981</v>
      </c>
      <c r="Q11" s="20">
        <f t="shared" si="2"/>
        <v>9.8992189688558234</v>
      </c>
      <c r="R11" s="59">
        <f t="shared" si="0"/>
        <v>303.23255230218916</v>
      </c>
      <c r="S11" s="59">
        <f ca="1">AVERAGE(OFFSET($R$3,0,0,'Données projet'!$E$9+1,1))-AVERAGE(OFFSET($H$3,0,0,'Données projet'!$E$9+1,1))</f>
        <v>259.30247982593914</v>
      </c>
      <c r="T11" s="59">
        <f t="shared" si="34"/>
        <v>275.24740346220779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4.8</v>
      </c>
      <c r="AI11" s="13">
        <f>IF('Données projet'!$A$62&gt;35,AI10+AH11-AQ10,IF(A11&lt;'Données projet'!$A$62,$AF$205^A11,IF(A11='Données projet'!$A$62,'Données projet'!$B$62,AI10+AH11-AQ10)))</f>
        <v>6.2073822956614393</v>
      </c>
      <c r="AJ11" s="13">
        <f>AI11*VLOOKUP('Données projet'!$B$10,Paramètres!$A$1:$I$89,3,0)*VLOOKUP('Données projet'!$B$10,Paramètres!$A$1:$I$89,5,0)</f>
        <v>2.9857508842131524</v>
      </c>
      <c r="AK11" s="13">
        <f t="shared" si="35"/>
        <v>1.2114608920480276</v>
      </c>
      <c r="AL11" s="20">
        <f t="shared" si="4"/>
        <v>7.3101438436548882</v>
      </c>
      <c r="AM11" s="59">
        <f t="shared" si="5"/>
        <v>300.6434771769882</v>
      </c>
      <c r="AN11" s="59">
        <f ca="1">AVERAGE(OFFSET($AM$3,0,0,'Données projet'!$E$10+1,1))-AVERAGE(OFFSET($H$3,0,0,'Données projet'!$E$10+1,1))</f>
        <v>297.21955661193238</v>
      </c>
      <c r="AO11" s="59">
        <f t="shared" si="36"/>
        <v>273.69206144662144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19.75</v>
      </c>
      <c r="BD11" s="12">
        <f>IF('Données projet'!$A$88&gt;35,BD10+BC11-BL10,IF(A11&lt;'Données projet'!$A$88,$BA$205^A11,IF(A11='Données projet'!$A$88,'Données projet'!$B$88,BD10+BC11-BL10)))</f>
        <v>54.75</v>
      </c>
      <c r="BE11" s="13">
        <f>BD11*VLOOKUP('Données projet'!$B$11,Paramètres!$A$1:$I$89,3,0)*VLOOKUP('Données projet'!$B$11,Paramètres!$A$1:$I$89,5,0)</f>
        <v>35.018099999999997</v>
      </c>
      <c r="BF11" s="13">
        <f t="shared" si="37"/>
        <v>10.668146900737126</v>
      </c>
      <c r="BG11" s="20">
        <f t="shared" si="7"/>
        <v>79.57021335211715</v>
      </c>
      <c r="BH11" s="59">
        <f t="shared" si="8"/>
        <v>372.90354668545046</v>
      </c>
      <c r="BI11" s="59">
        <f ca="1">AVERAGE(OFFSET($BH$3,0,0,'Données projet'!$E$11+1,1))-AVERAGE(OFFSET($H$3,0,0,'Données projet'!$E$11+1,1))</f>
        <v>176.90404027101607</v>
      </c>
      <c r="BJ11" s="59">
        <f t="shared" si="38"/>
        <v>295.34177980841878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2.5773744329991608</v>
      </c>
      <c r="BR11" s="21">
        <f>EXP(-LN(2)/2)*BR10+(1-EXP(-LN(2)/2))/(LN(2)/2)*BL11*BO11*VLOOKUP('Données projet'!$B$11,Paramètres!$A$1:$I$89,3,0)*0.475*44/12</f>
        <v>3.7338408554987241</v>
      </c>
      <c r="BS11" s="22">
        <f t="shared" si="9"/>
        <v>6.3112152884978849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7.3003721027184652</v>
      </c>
      <c r="BZ11" s="13">
        <f>BY11*VLOOKUP('Données projet'!$B$12,Paramètres!$A$1:$I$89,3,0)*VLOOKUP('Données projet'!$B$12,Paramètres!$A$1:$I$89,5,0)</f>
        <v>4.0809080054196221</v>
      </c>
      <c r="CA11" s="13">
        <f t="shared" si="39"/>
        <v>1.5966759270706423</v>
      </c>
      <c r="CB11" s="20">
        <f t="shared" si="10"/>
        <v>9.8884586824205432</v>
      </c>
      <c r="CC11" s="59">
        <f t="shared" si="11"/>
        <v>303.22179201575386</v>
      </c>
      <c r="CD11" s="59">
        <f ca="1">AVERAGE(OFFSET($CC$3,0,0,'Données projet'!$E$12+1,1))-AVERAGE(OFFSET($H$3,0,0,'Données projet'!$E$12+1,1))</f>
        <v>326.31232746914907</v>
      </c>
      <c r="CE11" s="59">
        <f t="shared" si="40"/>
        <v>330.17137761430297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</v>
      </c>
      <c r="CT11" s="12">
        <f>IF('Données projet'!$A$140&gt;35,CT10+CS11-DB10,IF(A11&lt;'Données projet'!$A$140,$CQ$205^A11,IF(A11='Données projet'!$A$140,'Données projet'!$B$140,CT10+CS11-DB10)))</f>
        <v>17.580936309501134</v>
      </c>
      <c r="CU11" s="17">
        <f>CT11*VLOOKUP('Données projet'!$B$13,Paramètres!$A$1:$I$89,3,0)*VLOOKUP('Données projet'!$B$13,Paramètres!$A$1:$I$89,5,0)</f>
        <v>9.599191224987619</v>
      </c>
      <c r="CV11" s="13">
        <f t="shared" si="41"/>
        <v>3.3998095987127641</v>
      </c>
      <c r="CW11" s="20">
        <f t="shared" si="13"/>
        <v>22.6399264346115</v>
      </c>
      <c r="CX11" s="59">
        <f t="shared" si="14"/>
        <v>315.9732597679448</v>
      </c>
      <c r="CY11" s="59">
        <f ca="1">AVERAGE(OFFSET($CX$3,0,0,'Données projet'!$E$13+1,1))-AVERAGE(OFFSET($H$3,0,0,'Données projet'!$E$13+1,1))</f>
        <v>210.04871822652808</v>
      </c>
      <c r="CZ11" s="59">
        <f t="shared" si="42"/>
        <v>250.17540614049324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4.9927130290993551</v>
      </c>
      <c r="DQ11" s="13">
        <f t="shared" si="43"/>
        <v>1.9081050833380053</v>
      </c>
      <c r="DR11" s="20">
        <f t="shared" si="16"/>
        <v>12.018924879161736</v>
      </c>
      <c r="DS11" s="59">
        <f t="shared" si="17"/>
        <v>305.35225821249503</v>
      </c>
      <c r="DT11" s="59">
        <f ca="1">AVERAGE(OFFSET($DS$3,0,0,'Données projet'!$E$14+1,1))-AVERAGE(OFFSET($H$3,0,0,'Données projet'!$E$14+1,1))</f>
        <v>234.09142087023463</v>
      </c>
      <c r="DU11" s="59">
        <f t="shared" si="44"/>
        <v>278.990685815294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6.1</v>
      </c>
      <c r="N12" s="13">
        <f>IF('Données projet'!$A$36&gt;35,N11+M12-V11,IF(A12&lt;'Données projet'!$A$36,$K$205^A12,IF(A12='Données projet'!$A$36,'Données projet'!$B$36,N11+M12-V11)))</f>
        <v>8.6868420270572955</v>
      </c>
      <c r="O12" s="13">
        <f>N12*VLOOKUP('Données projet'!$B$9,Paramètres!$A$1:$I$89,3,0)*VLOOKUP('Données projet'!$B$9,Paramètres!$A$1:$I$89,5,0)</f>
        <v>5.1947315321802625</v>
      </c>
      <c r="P12" s="13">
        <f t="shared" si="33"/>
        <v>1.9761669279971803</v>
      </c>
      <c r="Q12" s="20">
        <f t="shared" si="2"/>
        <v>12.489314818142381</v>
      </c>
      <c r="R12" s="59">
        <f t="shared" si="0"/>
        <v>305.82264815147568</v>
      </c>
      <c r="S12" s="59">
        <f ca="1">AVERAGE(OFFSET($R$3,0,0,'Données projet'!$E$9+1,1))-AVERAGE(OFFSET($H$3,0,0,'Données projet'!$E$9+1,1))</f>
        <v>259.30247982593914</v>
      </c>
      <c r="T12" s="59">
        <f t="shared" si="34"/>
        <v>275.24740346220779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4.8</v>
      </c>
      <c r="AI12" s="13">
        <f>IF('Données projet'!$A$62&gt;35,AI11+AH12-AQ11,IF(A12&lt;'Données projet'!$A$62,$AF$205^A12,IF(A12='Données projet'!$A$62,'Données projet'!$B$62,AI11+AH12-AQ11)))</f>
        <v>7.7986971380498149</v>
      </c>
      <c r="AJ12" s="13">
        <f>AI12*VLOOKUP('Données projet'!$B$10,Paramètres!$A$1:$I$89,3,0)*VLOOKUP('Données projet'!$B$10,Paramètres!$A$1:$I$89,5,0)</f>
        <v>3.7511733234019609</v>
      </c>
      <c r="AK12" s="13">
        <f t="shared" si="35"/>
        <v>1.4821294678016681</v>
      </c>
      <c r="AL12" s="20">
        <f t="shared" si="4"/>
        <v>9.1146690280129867</v>
      </c>
      <c r="AM12" s="59">
        <f t="shared" si="5"/>
        <v>302.44800236134631</v>
      </c>
      <c r="AN12" s="59">
        <f ca="1">AVERAGE(OFFSET($AM$3,0,0,'Données projet'!$E$10+1,1))-AVERAGE(OFFSET($H$3,0,0,'Données projet'!$E$10+1,1))</f>
        <v>297.21955661193238</v>
      </c>
      <c r="AO12" s="59">
        <f t="shared" si="36"/>
        <v>273.69206144662144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19.75</v>
      </c>
      <c r="BD12" s="12">
        <f>IF('Données projet'!$A$88&gt;35,BD11+BC12-BL11,IF(A12&lt;'Données projet'!$A$88,$BA$205^A12,IF(A12='Données projet'!$A$88,'Données projet'!$B$88,BD11+BC12-BL11)))</f>
        <v>74.5</v>
      </c>
      <c r="BE12" s="13">
        <f>BD12*VLOOKUP('Données projet'!$B$11,Paramètres!$A$1:$I$89,3,0)*VLOOKUP('Données projet'!$B$11,Paramètres!$A$1:$I$89,5,0)</f>
        <v>47.650199999999998</v>
      </c>
      <c r="BF12" s="13">
        <f t="shared" si="37"/>
        <v>14.005223968995006</v>
      </c>
      <c r="BG12" s="20">
        <f t="shared" si="7"/>
        <v>107.38319674599961</v>
      </c>
      <c r="BH12" s="59">
        <f t="shared" si="8"/>
        <v>400.71653007933293</v>
      </c>
      <c r="BI12" s="59">
        <f ca="1">AVERAGE(OFFSET($BH$3,0,0,'Données projet'!$E$11+1,1))-AVERAGE(OFFSET($H$3,0,0,'Données projet'!$E$11+1,1))</f>
        <v>176.90404027101607</v>
      </c>
      <c r="BJ12" s="59">
        <f t="shared" si="38"/>
        <v>295.34177980841878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2.5068959935905681</v>
      </c>
      <c r="BR12" s="21">
        <f>EXP(-LN(2)/2)*BR11+(1-EXP(-LN(2)/2))/(LN(2)/2)*BL12*BO12*VLOOKUP('Données projet'!$B$11,Paramètres!$A$1:$I$89,3,0)*0.475*44/12</f>
        <v>2.6402241887945279</v>
      </c>
      <c r="BS12" s="22">
        <f t="shared" si="9"/>
        <v>5.1471201823850965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9.3597257028516339</v>
      </c>
      <c r="BZ12" s="13">
        <f>BY12*VLOOKUP('Données projet'!$B$12,Paramètres!$A$1:$I$89,3,0)*VLOOKUP('Données projet'!$B$12,Paramètres!$A$1:$I$89,5,0)</f>
        <v>5.2320866678940634</v>
      </c>
      <c r="CA12" s="13">
        <f t="shared" si="39"/>
        <v>1.9887181275113242</v>
      </c>
      <c r="CB12" s="20">
        <f t="shared" si="10"/>
        <v>12.576235018664383</v>
      </c>
      <c r="CC12" s="59">
        <f t="shared" si="11"/>
        <v>305.90956835199768</v>
      </c>
      <c r="CD12" s="59">
        <f ca="1">AVERAGE(OFFSET($CC$3,0,0,'Données projet'!$E$12+1,1))-AVERAGE(OFFSET($H$3,0,0,'Données projet'!$E$12+1,1))</f>
        <v>326.31232746914907</v>
      </c>
      <c r="CE12" s="59">
        <f t="shared" si="40"/>
        <v>330.17137761430297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</v>
      </c>
      <c r="CT12" s="12">
        <f>IF('Données projet'!$A$140&gt;35,CT11+CS12-DB11,IF(A12&lt;'Données projet'!$A$140,$CQ$205^A12,IF(A12='Données projet'!$A$140,'Données projet'!$B$140,CT11+CS12-DB11)))</f>
        <v>25.157776275776861</v>
      </c>
      <c r="CU12" s="17">
        <f>CT12*VLOOKUP('Données projet'!$B$13,Paramètres!$A$1:$I$89,3,0)*VLOOKUP('Données projet'!$B$13,Paramètres!$A$1:$I$89,5,0)</f>
        <v>13.736145846574166</v>
      </c>
      <c r="CV12" s="13">
        <f t="shared" si="41"/>
        <v>4.6662659204824557</v>
      </c>
      <c r="CW12" s="20">
        <f t="shared" si="13"/>
        <v>32.050867160956948</v>
      </c>
      <c r="CX12" s="59">
        <f t="shared" si="14"/>
        <v>325.38420049429027</v>
      </c>
      <c r="CY12" s="59">
        <f ca="1">AVERAGE(OFFSET($CX$3,0,0,'Données projet'!$E$13+1,1))-AVERAGE(OFFSET($H$3,0,0,'Données projet'!$E$13+1,1))</f>
        <v>210.04871822652808</v>
      </c>
      <c r="CZ12" s="59">
        <f t="shared" si="42"/>
        <v>250.17540614049324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6.3456464700054127</v>
      </c>
      <c r="DQ12" s="13">
        <f t="shared" si="43"/>
        <v>2.3584123814576028</v>
      </c>
      <c r="DR12" s="20">
        <f t="shared" si="16"/>
        <v>15.159569166298086</v>
      </c>
      <c r="DS12" s="59">
        <f t="shared" si="17"/>
        <v>308.49290249963138</v>
      </c>
      <c r="DT12" s="59">
        <f ca="1">AVERAGE(OFFSET($DS$3,0,0,'Données projet'!$E$14+1,1))-AVERAGE(OFFSET($H$3,0,0,'Données projet'!$E$14+1,1))</f>
        <v>234.09142087023463</v>
      </c>
      <c r="DU12" s="59">
        <f t="shared" si="44"/>
        <v>278.990685815294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6.1</v>
      </c>
      <c r="N13" s="13">
        <f>IF('Données projet'!$A$36&gt;35,N12+M13-V12,IF(A13&lt;'Données projet'!$A$36,$K$205^A13,IF(A13='Données projet'!$A$36,'Données projet'!$B$36,N12+M13-V12)))</f>
        <v>11.045361017187268</v>
      </c>
      <c r="O13" s="13">
        <f>N13*VLOOKUP('Données projet'!$B$9,Paramètres!$A$1:$I$89,3,0)*VLOOKUP('Données projet'!$B$9,Paramètres!$A$1:$I$89,5,0)</f>
        <v>6.6051258882779864</v>
      </c>
      <c r="P13" s="13">
        <f t="shared" si="33"/>
        <v>2.4434249503139451</v>
      </c>
      <c r="Q13" s="20">
        <f t="shared" si="2"/>
        <v>15.759559377214282</v>
      </c>
      <c r="R13" s="59">
        <f t="shared" si="0"/>
        <v>309.09289271054757</v>
      </c>
      <c r="S13" s="59">
        <f ca="1">AVERAGE(OFFSET($R$3,0,0,'Données projet'!$E$9+1,1))-AVERAGE(OFFSET($H$3,0,0,'Données projet'!$E$9+1,1))</f>
        <v>259.30247982593914</v>
      </c>
      <c r="T13" s="59">
        <f t="shared" si="34"/>
        <v>275.24740346220779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4.8</v>
      </c>
      <c r="AI13" s="13">
        <f>IF('Données projet'!$A$62&gt;35,AI12+AH13-AQ12,IF(A13&lt;'Données projet'!$A$62,$AF$205^A13,IF(A13='Données projet'!$A$62,'Données projet'!$B$62,AI12+AH13-AQ12)))</f>
        <v>9.7979589711327133</v>
      </c>
      <c r="AJ13" s="13">
        <f>AI13*VLOOKUP('Données projet'!$B$10,Paramètres!$A$1:$I$89,3,0)*VLOOKUP('Données projet'!$B$10,Paramètres!$A$1:$I$89,5,0)</f>
        <v>4.7128182651148354</v>
      </c>
      <c r="AK13" s="13">
        <f t="shared" si="35"/>
        <v>1.8132717067015065</v>
      </c>
      <c r="AL13" s="20">
        <f t="shared" si="4"/>
        <v>11.36627336758013</v>
      </c>
      <c r="AM13" s="59">
        <f t="shared" si="5"/>
        <v>304.69960670091342</v>
      </c>
      <c r="AN13" s="59">
        <f ca="1">AVERAGE(OFFSET($AM$3,0,0,'Données projet'!$E$10+1,1))-AVERAGE(OFFSET($H$3,0,0,'Données projet'!$E$10+1,1))</f>
        <v>297.21955661193238</v>
      </c>
      <c r="AO13" s="59">
        <f t="shared" si="36"/>
        <v>273.69206144662144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19.75</v>
      </c>
      <c r="BD13" s="12">
        <f>IF('Données projet'!$A$88&gt;35,BD12+BC13-BL12,IF(A13&lt;'Données projet'!$A$88,$BA$205^A13,IF(A13='Données projet'!$A$88,'Données projet'!$B$88,BD12+BC13-BL12)))</f>
        <v>94.25</v>
      </c>
      <c r="BE13" s="13">
        <f>BD13*VLOOKUP('Données projet'!$B$11,Paramètres!$A$1:$I$89,3,0)*VLOOKUP('Données projet'!$B$11,Paramètres!$A$1:$I$89,5,0)</f>
        <v>60.282299999999999</v>
      </c>
      <c r="BF13" s="13">
        <f t="shared" si="37"/>
        <v>17.239623799297295</v>
      </c>
      <c r="BG13" s="20">
        <f t="shared" si="7"/>
        <v>135.01735061710946</v>
      </c>
      <c r="BH13" s="59">
        <f t="shared" si="8"/>
        <v>428.35068395044277</v>
      </c>
      <c r="BI13" s="59">
        <f ca="1">AVERAGE(OFFSET($BH$3,0,0,'Données projet'!$E$11+1,1))-AVERAGE(OFFSET($H$3,0,0,'Données projet'!$E$11+1,1))</f>
        <v>176.90404027101607</v>
      </c>
      <c r="BJ13" s="59">
        <f t="shared" si="38"/>
        <v>295.34177980841878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2.4383447908139035</v>
      </c>
      <c r="BR13" s="21">
        <f>EXP(-LN(2)/2)*BR12+(1-EXP(-LN(2)/2))/(LN(2)/2)*BL13*BO13*VLOOKUP('Données projet'!$B$11,Paramètres!$A$1:$I$89,3,0)*0.475*44/12</f>
        <v>1.8669204277493623</v>
      </c>
      <c r="BS13" s="22">
        <f t="shared" si="9"/>
        <v>4.3052652185632656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12</v>
      </c>
      <c r="BW13" s="12">
        <f>VLOOKUP(A13,'Données projet'!$A$113:$I$133,9,0)</f>
        <v>1.2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12</v>
      </c>
      <c r="BZ13" s="13">
        <f>BY13*VLOOKUP('Données projet'!$B$12,Paramètres!$A$1:$I$89,3,0)*VLOOKUP('Données projet'!$B$12,Paramètres!$A$1:$I$89,5,0)</f>
        <v>6.7080000000000002</v>
      </c>
      <c r="CA13" s="13">
        <f t="shared" si="39"/>
        <v>2.477020993200687</v>
      </c>
      <c r="CB13" s="20">
        <f t="shared" si="10"/>
        <v>15.997244896491198</v>
      </c>
      <c r="CC13" s="59">
        <f t="shared" si="11"/>
        <v>309.33057822982454</v>
      </c>
      <c r="CD13" s="59">
        <f ca="1">AVERAGE(OFFSET($CC$3,0,0,'Données projet'!$E$12+1,1))-AVERAGE(OFFSET($H$3,0,0,'Données projet'!$E$12+1,1))</f>
        <v>326.31232746914907</v>
      </c>
      <c r="CE13" s="59">
        <f t="shared" si="40"/>
        <v>330.17137761430297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36</v>
      </c>
      <c r="CR13" s="12">
        <f>VLOOKUP(A13,'Données projet'!$A$139:$I$159,9,0)</f>
        <v>3.6</v>
      </c>
      <c r="CS13" s="12">
        <f t="array" ref="CS13">INDEX(CR:CR,MIN(IF(ISNUMBER(CR13:CR209),ROW(CR13:CR209),"")))</f>
        <v>3.6</v>
      </c>
      <c r="CT13" s="12">
        <f>IF('Données projet'!$A$140&gt;35,CT12+CS13-DB12,IF(A13&lt;'Données projet'!$A$140,$CQ$205^A13,IF(A13='Données projet'!$A$140,'Données projet'!$B$140,CT12+CS13-DB12)))</f>
        <v>36</v>
      </c>
      <c r="CU13" s="17">
        <f>CT13*VLOOKUP('Données projet'!$B$13,Paramètres!$A$1:$I$89,3,0)*VLOOKUP('Données projet'!$B$13,Paramètres!$A$1:$I$89,5,0)</f>
        <v>19.655999999999999</v>
      </c>
      <c r="CV13" s="13">
        <f t="shared" si="41"/>
        <v>6.4044873715575275</v>
      </c>
      <c r="CW13" s="20">
        <f t="shared" si="13"/>
        <v>45.388682172129364</v>
      </c>
      <c r="CX13" s="59">
        <f t="shared" si="14"/>
        <v>338.72201550546265</v>
      </c>
      <c r="CY13" s="59">
        <f ca="1">AVERAGE(OFFSET($CX$3,0,0,'Données projet'!$E$13+1,1))-AVERAGE(OFFSET($H$3,0,0,'Données projet'!$E$13+1,1))</f>
        <v>210.04871822652808</v>
      </c>
      <c r="CZ13" s="59">
        <f t="shared" si="42"/>
        <v>250.17540614049324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8.0652000000000008</v>
      </c>
      <c r="DQ13" s="13">
        <f t="shared" si="43"/>
        <v>2.9149909035839161</v>
      </c>
      <c r="DR13" s="20">
        <f t="shared" si="16"/>
        <v>19.123832490408656</v>
      </c>
      <c r="DS13" s="59">
        <f t="shared" si="17"/>
        <v>312.45716582374195</v>
      </c>
      <c r="DT13" s="59">
        <f ca="1">AVERAGE(OFFSET($DS$3,0,0,'Données projet'!$E$14+1,1))-AVERAGE(OFFSET($H$3,0,0,'Données projet'!$E$14+1,1))</f>
        <v>234.09142087023463</v>
      </c>
      <c r="DU13" s="59">
        <f t="shared" si="44"/>
        <v>278.990685815294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0.1075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6.1</v>
      </c>
      <c r="N14" s="13">
        <f>IF('Données projet'!$A$36&gt;35,N13+M14-V13,IF(A14&lt;'Données projet'!$A$36,$K$205^A14,IF(A14='Données projet'!$A$36,'Données projet'!$B$36,N13+M14-V13)))</f>
        <v>14.044229147945975</v>
      </c>
      <c r="O14" s="13">
        <f>N14*VLOOKUP('Données projet'!$B$9,Paramètres!$A$1:$I$89,3,0)*VLOOKUP('Données projet'!$B$9,Paramètres!$A$1:$I$89,5,0)</f>
        <v>8.3984490304716939</v>
      </c>
      <c r="P14" s="13">
        <f t="shared" si="33"/>
        <v>3.0211645601556314</v>
      </c>
      <c r="Q14" s="20">
        <f t="shared" si="2"/>
        <v>19.889160337009255</v>
      </c>
      <c r="R14" s="59">
        <f t="shared" si="0"/>
        <v>313.22249367034254</v>
      </c>
      <c r="S14" s="59">
        <f ca="1">AVERAGE(OFFSET($R$3,0,0,'Données projet'!$E$9+1,1))-AVERAGE(OFFSET($H$3,0,0,'Données projet'!$E$9+1,1))</f>
        <v>259.30247982593914</v>
      </c>
      <c r="T14" s="59">
        <f t="shared" si="34"/>
        <v>275.24740346220779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4.8</v>
      </c>
      <c r="AI14" s="13">
        <f>IF('Données projet'!$A$62&gt;35,AI13+AH14-AQ13,IF(A14&lt;'Données projet'!$A$62,$AF$205^A14,IF(A14='Données projet'!$A$62,'Données projet'!$B$62,AI13+AH14-AQ13)))</f>
        <v>12.309748449085985</v>
      </c>
      <c r="AJ14" s="13">
        <f>AI14*VLOOKUP('Données projet'!$B$10,Paramètres!$A$1:$I$89,3,0)*VLOOKUP('Données projet'!$B$10,Paramètres!$A$1:$I$89,5,0)</f>
        <v>5.9209890040103588</v>
      </c>
      <c r="AK14" s="13">
        <f t="shared" si="35"/>
        <v>2.2183988334035152</v>
      </c>
      <c r="AL14" s="20">
        <f t="shared" si="4"/>
        <v>14.17610048349583</v>
      </c>
      <c r="AM14" s="59">
        <f t="shared" si="5"/>
        <v>307.50943381682913</v>
      </c>
      <c r="AN14" s="59">
        <f ca="1">AVERAGE(OFFSET($AM$3,0,0,'Données projet'!$E$10+1,1))-AVERAGE(OFFSET($H$3,0,0,'Données projet'!$E$10+1,1))</f>
        <v>297.21955661193238</v>
      </c>
      <c r="AO14" s="59">
        <f t="shared" si="36"/>
        <v>273.69206144662144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>
        <f>VLOOKUP(A14,'Données projet'!$A$87:$I$107,2,0)</f>
        <v>114</v>
      </c>
      <c r="BB14" s="12">
        <f>VLOOKUP(A14,'Données projet'!$A$87:$I$107,9,0)</f>
        <v>19.75</v>
      </c>
      <c r="BC14" s="12">
        <f t="array" ref="BC14">INDEX(BB:BB,MIN(IF(ISNUMBER(BB14:BB210),ROW(BB14:BB210),"")))</f>
        <v>19.75</v>
      </c>
      <c r="BD14" s="12">
        <f>IF('Données projet'!$A$88&gt;35,BD13+BC14-BL13,IF(A14&lt;'Données projet'!$A$88,$BA$205^A14,IF(A14='Données projet'!$A$88,'Données projet'!$B$88,BD13+BC14-BL13)))</f>
        <v>114</v>
      </c>
      <c r="BE14" s="13">
        <f>BD14*VLOOKUP('Données projet'!$B$11,Paramètres!$A$1:$I$89,3,0)*VLOOKUP('Données projet'!$B$11,Paramètres!$A$1:$I$89,5,0)</f>
        <v>72.914400000000001</v>
      </c>
      <c r="BF14" s="13">
        <f t="shared" si="37"/>
        <v>20.395478670134668</v>
      </c>
      <c r="BG14" s="20">
        <f t="shared" si="7"/>
        <v>162.51470535048455</v>
      </c>
      <c r="BH14" s="59">
        <f t="shared" si="8"/>
        <v>455.84803868381789</v>
      </c>
      <c r="BI14" s="59">
        <f ca="1">AVERAGE(OFFSET($BH$3,0,0,'Données projet'!$E$11+1,1))-AVERAGE(OFFSET($H$3,0,0,'Données projet'!$E$11+1,1))</f>
        <v>176.90404027101607</v>
      </c>
      <c r="BJ14" s="59">
        <f t="shared" si="38"/>
        <v>295.34177980841878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85</v>
      </c>
      <c r="BM14" s="16">
        <f>IF(ISNA(VLOOKUP(A14,'Données projet'!$A$87:$I$107,5,0)),0%,VLOOKUP(A14,'Données projet'!$A$87:$I$107,5,0)*VLOOKUP('Données projet'!$B$11,Paramètres!$A$1:$I$89,7,0))</f>
        <v>4.3000000000000003E-2</v>
      </c>
      <c r="BN14" s="16">
        <f>IF(ISNA(VLOOKUP(A14,'Données projet'!$A$87:$I$107,6,0)),0%,VLOOKUP(A14,'Données projet'!$A$87:$I$107,6,0)*VLOOKUP('Données projet'!$B$11,Paramètres!$A$1:$I$89,7,0))</f>
        <v>0.19350000000000001</v>
      </c>
      <c r="BO14" s="16">
        <f>IF(ISNA(VLOOKUP(A14,'Données projet'!$A$87:$I$107,7,0)),0%,VLOOKUP(A14,'Données projet'!$A$87:$I$107,7,0))</f>
        <v>0.45</v>
      </c>
      <c r="BP14" s="21">
        <f>EXP(-LN(2)/35)*BP13+(1-EXP(-LN(2)/35))/(LN(2)/35)*BL14*BM14*VLOOKUP('Données projet'!$B$11,Paramètres!$A$1:$I$89,3,0)*0.475*44/12</f>
        <v>2.5843001141086002</v>
      </c>
      <c r="BQ14" s="21">
        <f>EXP(-LN(2)/25)*BQ13+(1-EXP(-LN(2)/25))/(LN(2)/25)*Calculateur!BL14*Calculateur!BN14*VLOOKUP('Données projet'!$B$11,Paramètres!$A$1:$I$89,3,0)*0.475*44/12</f>
        <v>13.955229453669268</v>
      </c>
      <c r="BR14" s="21">
        <f>EXP(-LN(2)/2)*BR13+(1-EXP(-LN(2)/2))/(LN(2)/2)*BL14*BO14*VLOOKUP('Données projet'!$B$11,Paramètres!$A$1:$I$89,3,0)*0.475*44/12</f>
        <v>24.4032150021437</v>
      </c>
      <c r="BS14" s="22">
        <f t="shared" si="9"/>
        <v>40.942744569921572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15</v>
      </c>
      <c r="BY14" s="12">
        <f>IF('Données projet'!$A$114&gt;35,BY13+BX14-CG13,IF(A14&lt;'Données projet'!$A$114,$BV$205^A14,IF(A14='Données projet'!$A$114,'Données projet'!$B$114,BY13+BX14-CG13)))</f>
        <v>27</v>
      </c>
      <c r="BZ14" s="13">
        <f>BY14*VLOOKUP('Données projet'!$B$12,Paramètres!$A$1:$I$89,3,0)*VLOOKUP('Données projet'!$B$12,Paramètres!$A$1:$I$89,5,0)</f>
        <v>15.093</v>
      </c>
      <c r="CA14" s="13">
        <f t="shared" si="39"/>
        <v>5.0712866613861207</v>
      </c>
      <c r="CB14" s="20">
        <f t="shared" si="10"/>
        <v>35.11946593524749</v>
      </c>
      <c r="CC14" s="59">
        <f t="shared" si="11"/>
        <v>328.4527992685808</v>
      </c>
      <c r="CD14" s="59">
        <f ca="1">AVERAGE(OFFSET($CC$3,0,0,'Données projet'!$E$12+1,1))-AVERAGE(OFFSET($H$3,0,0,'Données projet'!$E$12+1,1))</f>
        <v>326.31232746914907</v>
      </c>
      <c r="CE14" s="59">
        <f t="shared" si="40"/>
        <v>330.17137761430297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14.1</v>
      </c>
      <c r="CT14" s="12">
        <f>IF('Données projet'!$A$140&gt;35,CT13+CS14-DB13,IF(A14&lt;'Données projet'!$A$140,$CQ$205^A14,IF(A14='Données projet'!$A$140,'Données projet'!$B$140,CT13+CS14-DB13)))</f>
        <v>50.1</v>
      </c>
      <c r="CU14" s="17">
        <f>CT14*VLOOKUP('Données projet'!$B$13,Paramètres!$A$1:$I$89,3,0)*VLOOKUP('Données projet'!$B$13,Paramètres!$A$1:$I$89,5,0)</f>
        <v>27.354600000000001</v>
      </c>
      <c r="CV14" s="13">
        <f t="shared" si="41"/>
        <v>8.5765396264451574</v>
      </c>
      <c r="CW14" s="20">
        <f t="shared" si="13"/>
        <v>62.580068182725313</v>
      </c>
      <c r="CX14" s="59">
        <f t="shared" si="14"/>
        <v>355.91340151605863</v>
      </c>
      <c r="CY14" s="59">
        <f ca="1">AVERAGE(OFFSET($CX$3,0,0,'Données projet'!$E$13+1,1))-AVERAGE(OFFSET($H$3,0,0,'Données projet'!$E$13+1,1))</f>
        <v>210.04871822652808</v>
      </c>
      <c r="CZ14" s="59">
        <f t="shared" si="42"/>
        <v>250.17540614049324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12.3</v>
      </c>
      <c r="DO14" s="12">
        <f>IF('Données projet'!$A$166&gt;35,DO13+DN14-DW13,IF(A14&lt;'Données projet'!$A$166,$DL$205^A14,IF(A14='Données projet'!$A$166,'Données projet'!$B$166,DO13+DN14-DW13)))</f>
        <v>23.3</v>
      </c>
      <c r="DP14" s="17">
        <f>DO14*VLOOKUP('Données projet'!$B$14,Paramètres!$A$1:$I$89,3,0)*VLOOKUP('Données projet'!$B$14,Paramètres!$A$1:$I$89,5,0)</f>
        <v>17.083560000000002</v>
      </c>
      <c r="DQ14" s="13">
        <f t="shared" si="43"/>
        <v>5.6579397580120663</v>
      </c>
      <c r="DR14" s="20">
        <f t="shared" si="16"/>
        <v>39.608112078537687</v>
      </c>
      <c r="DS14" s="59">
        <f t="shared" si="17"/>
        <v>332.94144541187097</v>
      </c>
      <c r="DT14" s="59">
        <f ca="1">AVERAGE(OFFSET($DS$3,0,0,'Données projet'!$E$14+1,1))-AVERAGE(OFFSET($H$3,0,0,'Données projet'!$E$14+1,1))</f>
        <v>234.09142087023463</v>
      </c>
      <c r="DU14" s="59">
        <f t="shared" si="44"/>
        <v>278.990685815294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6.1</v>
      </c>
      <c r="N15" s="13">
        <f>IF('Données projet'!$A$36&gt;35,N14+M15-V14,IF(A15&lt;'Données projet'!$A$36,$K$205^A15,IF(A15='Données projet'!$A$36,'Données projet'!$B$36,N14+M15-V14)))</f>
        <v>17.857304261318127</v>
      </c>
      <c r="O15" s="13">
        <f>N15*VLOOKUP('Données projet'!$B$9,Paramètres!$A$1:$I$89,3,0)*VLOOKUP('Données projet'!$B$9,Paramètres!$A$1:$I$89,5,0)</f>
        <v>10.678667948268242</v>
      </c>
      <c r="P15" s="13">
        <f t="shared" si="33"/>
        <v>3.7355087572334162</v>
      </c>
      <c r="Q15" s="20">
        <f t="shared" si="2"/>
        <v>25.10469109541539</v>
      </c>
      <c r="R15" s="59">
        <f t="shared" si="0"/>
        <v>318.43802442874869</v>
      </c>
      <c r="S15" s="59">
        <f ca="1">AVERAGE(OFFSET($R$3,0,0,'Données projet'!$E$9+1,1))-AVERAGE(OFFSET($H$3,0,0,'Données projet'!$E$9+1,1))</f>
        <v>259.30247982593914</v>
      </c>
      <c r="T15" s="59">
        <f t="shared" si="34"/>
        <v>275.24740346220779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4.8</v>
      </c>
      <c r="AI15" s="13">
        <f>IF('Données projet'!$A$62&gt;35,AI14+AH15-AQ14,IF(A15&lt;'Données projet'!$A$62,$AF$205^A15,IF(A15='Données projet'!$A$62,'Données projet'!$B$62,AI14+AH15-AQ14)))</f>
        <v>15.465456359454105</v>
      </c>
      <c r="AJ15" s="13">
        <f>AI15*VLOOKUP('Données projet'!$B$10,Paramètres!$A$1:$I$89,3,0)*VLOOKUP('Données projet'!$B$10,Paramètres!$A$1:$I$89,5,0)</f>
        <v>7.4388845088974245</v>
      </c>
      <c r="AK15" s="13">
        <f t="shared" si="35"/>
        <v>2.7140407948008654</v>
      </c>
      <c r="AL15" s="20">
        <f t="shared" si="4"/>
        <v>17.683011570607853</v>
      </c>
      <c r="AM15" s="59">
        <f t="shared" si="5"/>
        <v>311.01634490394116</v>
      </c>
      <c r="AN15" s="59">
        <f ca="1">AVERAGE(OFFSET($AM$3,0,0,'Données projet'!$E$10+1,1))-AVERAGE(OFFSET($H$3,0,0,'Données projet'!$E$10+1,1))</f>
        <v>297.21955661193238</v>
      </c>
      <c r="AO15" s="59">
        <f t="shared" si="36"/>
        <v>273.69206144662144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</v>
      </c>
      <c r="BD15" s="12">
        <f>IF('Données projet'!$A$88&gt;35,BD14+BC15-BL14,IF(A15&lt;'Données projet'!$A$88,$BA$205^A15,IF(A15='Données projet'!$A$88,'Données projet'!$B$88,BD14+BC15-BL14)))</f>
        <v>37</v>
      </c>
      <c r="BE15" s="13">
        <f>BD15*VLOOKUP('Données projet'!$B$11,Paramètres!$A$1:$I$89,3,0)*VLOOKUP('Données projet'!$B$11,Paramètres!$A$1:$I$89,5,0)</f>
        <v>23.665200000000002</v>
      </c>
      <c r="BF15" s="13">
        <f t="shared" si="37"/>
        <v>7.5459829425713698</v>
      </c>
      <c r="BG15" s="20">
        <f t="shared" si="7"/>
        <v>54.359476958311809</v>
      </c>
      <c r="BH15" s="59">
        <f t="shared" si="8"/>
        <v>347.69281029164512</v>
      </c>
      <c r="BI15" s="59">
        <f ca="1">AVERAGE(OFFSET($BH$3,0,0,'Données projet'!$E$11+1,1))-AVERAGE(OFFSET($H$3,0,0,'Données projet'!$E$11+1,1))</f>
        <v>176.90404027101607</v>
      </c>
      <c r="BJ15" s="59">
        <f t="shared" si="38"/>
        <v>295.34177980841878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2.5336235651383565</v>
      </c>
      <c r="BQ15" s="21">
        <f>EXP(-LN(2)/25)*BQ14+(1-EXP(-LN(2)/25))/(LN(2)/25)*Calculateur!BL15*Calculateur!BN15*VLOOKUP('Données projet'!$B$11,Paramètres!$A$1:$I$89,3,0)*0.475*44/12</f>
        <v>13.57362297038506</v>
      </c>
      <c r="BR15" s="21">
        <f>EXP(-LN(2)/2)*BR14+(1-EXP(-LN(2)/2))/(LN(2)/2)*BL15*BO15*VLOOKUP('Données projet'!$B$11,Paramètres!$A$1:$I$89,3,0)*0.475*44/12</f>
        <v>17.255678810769101</v>
      </c>
      <c r="BS15" s="22">
        <f t="shared" si="9"/>
        <v>33.362925346292513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15</v>
      </c>
      <c r="BY15" s="12">
        <f>IF('Données projet'!$A$114&gt;35,BY14+BX15-CG14,IF(A15&lt;'Données projet'!$A$114,$BV$205^A15,IF(A15='Données projet'!$A$114,'Données projet'!$B$114,BY14+BX15-CG14)))</f>
        <v>42</v>
      </c>
      <c r="BZ15" s="13">
        <f>BY15*VLOOKUP('Données projet'!$B$12,Paramètres!$A$1:$I$89,3,0)*VLOOKUP('Données projet'!$B$12,Paramètres!$A$1:$I$89,5,0)</f>
        <v>23.477999999999998</v>
      </c>
      <c r="CA15" s="13">
        <f t="shared" si="39"/>
        <v>7.4932153017418202</v>
      </c>
      <c r="CB15" s="20">
        <f t="shared" si="10"/>
        <v>53.941533317200332</v>
      </c>
      <c r="CC15" s="59">
        <f t="shared" si="11"/>
        <v>347.27486665053362</v>
      </c>
      <c r="CD15" s="59">
        <f ca="1">AVERAGE(OFFSET($CC$3,0,0,'Données projet'!$E$12+1,1))-AVERAGE(OFFSET($H$3,0,0,'Données projet'!$E$12+1,1))</f>
        <v>326.31232746914907</v>
      </c>
      <c r="CE15" s="59">
        <f t="shared" si="40"/>
        <v>330.17137761430297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14.1</v>
      </c>
      <c r="CT15" s="12">
        <f>IF('Données projet'!$A$140&gt;35,CT14+CS15-DB14,IF(A15&lt;'Données projet'!$A$140,$CQ$205^A15,IF(A15='Données projet'!$A$140,'Données projet'!$B$140,CT14+CS15-DB14)))</f>
        <v>64.2</v>
      </c>
      <c r="CU15" s="17">
        <f>CT15*VLOOKUP('Données projet'!$B$13,Paramètres!$A$1:$I$89,3,0)*VLOOKUP('Données projet'!$B$13,Paramètres!$A$1:$I$89,5,0)</f>
        <v>35.053199999999997</v>
      </c>
      <c r="CV15" s="13">
        <f t="shared" si="41"/>
        <v>10.677594770675379</v>
      </c>
      <c r="CW15" s="20">
        <f t="shared" si="13"/>
        <v>79.64780089225961</v>
      </c>
      <c r="CX15" s="59">
        <f t="shared" si="14"/>
        <v>372.98113422559294</v>
      </c>
      <c r="CY15" s="59">
        <f ca="1">AVERAGE(OFFSET($CX$3,0,0,'Données projet'!$E$13+1,1))-AVERAGE(OFFSET($H$3,0,0,'Données projet'!$E$13+1,1))</f>
        <v>210.04871822652808</v>
      </c>
      <c r="CZ15" s="59">
        <f t="shared" si="42"/>
        <v>250.17540614049324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12.3</v>
      </c>
      <c r="DO15" s="12">
        <f>IF('Données projet'!$A$166&gt;35,DO14+DN15-DW14,IF(A15&lt;'Données projet'!$A$166,$DL$205^A15,IF(A15='Données projet'!$A$166,'Données projet'!$B$166,DO14+DN15-DW14)))</f>
        <v>35.6</v>
      </c>
      <c r="DP15" s="17">
        <f>DO15*VLOOKUP('Données projet'!$B$14,Paramètres!$A$1:$I$89,3,0)*VLOOKUP('Données projet'!$B$14,Paramètres!$A$1:$I$89,5,0)</f>
        <v>26.10192</v>
      </c>
      <c r="DQ15" s="13">
        <f t="shared" si="43"/>
        <v>8.2285600991803172</v>
      </c>
      <c r="DR15" s="20">
        <f t="shared" si="16"/>
        <v>59.792252839405712</v>
      </c>
      <c r="DS15" s="59">
        <f t="shared" si="17"/>
        <v>353.12558617273902</v>
      </c>
      <c r="DT15" s="59">
        <f ca="1">AVERAGE(OFFSET($DS$3,0,0,'Données projet'!$E$14+1,1))-AVERAGE(OFFSET($H$3,0,0,'Données projet'!$E$14+1,1))</f>
        <v>234.09142087023463</v>
      </c>
      <c r="DU15" s="59">
        <f t="shared" si="44"/>
        <v>278.990685815294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6.1</v>
      </c>
      <c r="N16" s="13">
        <f>IF('Données projet'!$A$36&gt;35,N15+M16-V15,IF(A16&lt;'Données projet'!$A$36,$K$205^A16,IF(A16='Données projet'!$A$36,'Données projet'!$B$36,N15+M16-V15)))</f>
        <v>22.705647431559356</v>
      </c>
      <c r="O16" s="13">
        <f>N16*VLOOKUP('Données projet'!$B$9,Paramètres!$A$1:$I$89,3,0)*VLOOKUP('Données projet'!$B$9,Paramètres!$A$1:$I$89,5,0)</f>
        <v>13.577977164072495</v>
      </c>
      <c r="P16" s="13">
        <f t="shared" si="33"/>
        <v>4.6187572366626446</v>
      </c>
      <c r="Q16" s="20">
        <f t="shared" si="2"/>
        <v>31.692645747947029</v>
      </c>
      <c r="R16" s="59">
        <f t="shared" si="0"/>
        <v>325.02597908128035</v>
      </c>
      <c r="S16" s="59">
        <f ca="1">AVERAGE(OFFSET($R$3,0,0,'Données projet'!$E$9+1,1))-AVERAGE(OFFSET($H$3,0,0,'Données projet'!$E$9+1,1))</f>
        <v>259.30247982593914</v>
      </c>
      <c r="T16" s="59">
        <f t="shared" si="34"/>
        <v>275.24740346220779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4.8</v>
      </c>
      <c r="AI16" s="13">
        <f>IF('Données projet'!$A$62&gt;35,AI15+AH16-AQ15,IF(A16&lt;'Données projet'!$A$62,$AF$205^A16,IF(A16='Données projet'!$A$62,'Données projet'!$B$62,AI15+AH16-AQ15)))</f>
        <v>19.430156627119288</v>
      </c>
      <c r="AJ16" s="13">
        <f>AI16*VLOOKUP('Données projet'!$B$10,Paramètres!$A$1:$I$89,3,0)*VLOOKUP('Données projet'!$B$10,Paramètres!$A$1:$I$89,5,0)</f>
        <v>9.3459053376443784</v>
      </c>
      <c r="AK16" s="13">
        <f t="shared" si="35"/>
        <v>3.3204207128716408</v>
      </c>
      <c r="AL16" s="20">
        <f t="shared" si="4"/>
        <v>22.060517871315398</v>
      </c>
      <c r="AM16" s="59">
        <f t="shared" si="5"/>
        <v>315.39385120464874</v>
      </c>
      <c r="AN16" s="59">
        <f ca="1">AVERAGE(OFFSET($AM$3,0,0,'Données projet'!$E$10+1,1))-AVERAGE(OFFSET($H$3,0,0,'Données projet'!$E$10+1,1))</f>
        <v>297.21955661193238</v>
      </c>
      <c r="AO16" s="59">
        <f t="shared" si="36"/>
        <v>273.69206144662144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</v>
      </c>
      <c r="BD16" s="12">
        <f>IF('Données projet'!$A$88&gt;35,BD15+BC16-BL15,IF(A16&lt;'Données projet'!$A$88,$BA$205^A16,IF(A16='Données projet'!$A$88,'Données projet'!$B$88,BD15+BC16-BL15)))</f>
        <v>45</v>
      </c>
      <c r="BE16" s="13">
        <f>BD16*VLOOKUP('Données projet'!$B$11,Paramètres!$A$1:$I$89,3,0)*VLOOKUP('Données projet'!$B$11,Paramètres!$A$1:$I$89,5,0)</f>
        <v>28.782</v>
      </c>
      <c r="BF16" s="13">
        <f t="shared" si="37"/>
        <v>8.9708036884216096</v>
      </c>
      <c r="BG16" s="20">
        <f t="shared" si="7"/>
        <v>65.752799757334301</v>
      </c>
      <c r="BH16" s="59">
        <f t="shared" si="8"/>
        <v>359.0861330906676</v>
      </c>
      <c r="BI16" s="59">
        <f ca="1">AVERAGE(OFFSET($BH$3,0,0,'Données projet'!$E$11+1,1))-AVERAGE(OFFSET($H$3,0,0,'Données projet'!$E$11+1,1))</f>
        <v>176.90404027101607</v>
      </c>
      <c r="BJ16" s="59">
        <f t="shared" si="38"/>
        <v>295.34177980841878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2.4839407523837767</v>
      </c>
      <c r="BQ16" s="21">
        <f>EXP(-LN(2)/25)*BQ15+(1-EXP(-LN(2)/25))/(LN(2)/25)*Calculateur!BL16*Calculateur!BN16*VLOOKUP('Données projet'!$B$11,Paramètres!$A$1:$I$89,3,0)*0.475*44/12</f>
        <v>13.20245153645407</v>
      </c>
      <c r="BR16" s="21">
        <f>EXP(-LN(2)/2)*BR15+(1-EXP(-LN(2)/2))/(LN(2)/2)*BL16*BO16*VLOOKUP('Données projet'!$B$11,Paramètres!$A$1:$I$89,3,0)*0.475*44/12</f>
        <v>12.201607501071852</v>
      </c>
      <c r="BS16" s="22">
        <f t="shared" si="9"/>
        <v>27.887999789909699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15</v>
      </c>
      <c r="BY16" s="12">
        <f>IF('Données projet'!$A$114&gt;35,BY15+BX16-CG15,IF(A16&lt;'Données projet'!$A$114,$BV$205^A16,IF(A16='Données projet'!$A$114,'Données projet'!$B$114,BY15+BX16-CG15)))</f>
        <v>57</v>
      </c>
      <c r="BZ16" s="13">
        <f>BY16*VLOOKUP('Données projet'!$B$12,Paramètres!$A$1:$I$89,3,0)*VLOOKUP('Données projet'!$B$12,Paramètres!$A$1:$I$89,5,0)</f>
        <v>31.863</v>
      </c>
      <c r="CA16" s="13">
        <f t="shared" si="39"/>
        <v>9.8142283995824151</v>
      </c>
      <c r="CB16" s="20">
        <f t="shared" si="10"/>
        <v>72.587839462606041</v>
      </c>
      <c r="CC16" s="59">
        <f t="shared" si="11"/>
        <v>365.92117279593936</v>
      </c>
      <c r="CD16" s="59">
        <f ca="1">AVERAGE(OFFSET($CC$3,0,0,'Données projet'!$E$12+1,1))-AVERAGE(OFFSET($H$3,0,0,'Données projet'!$E$12+1,1))</f>
        <v>326.31232746914907</v>
      </c>
      <c r="CE16" s="59">
        <f t="shared" si="40"/>
        <v>330.17137761430297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14.1</v>
      </c>
      <c r="CT16" s="12">
        <f>IF('Données projet'!$A$140&gt;35,CT15+CS16-DB15,IF(A16&lt;'Données projet'!$A$140,$CQ$205^A16,IF(A16='Données projet'!$A$140,'Données projet'!$B$140,CT15+CS16-DB15)))</f>
        <v>78.3</v>
      </c>
      <c r="CU16" s="17">
        <f>CT16*VLOOKUP('Données projet'!$B$13,Paramètres!$A$1:$I$89,3,0)*VLOOKUP('Données projet'!$B$13,Paramètres!$A$1:$I$89,5,0)</f>
        <v>42.751799999999996</v>
      </c>
      <c r="CV16" s="13">
        <f t="shared" si="41"/>
        <v>12.725163670396148</v>
      </c>
      <c r="CW16" s="20">
        <f t="shared" si="13"/>
        <v>96.622378392606606</v>
      </c>
      <c r="CX16" s="59">
        <f t="shared" si="14"/>
        <v>389.95571172593992</v>
      </c>
      <c r="CY16" s="59">
        <f ca="1">AVERAGE(OFFSET($CX$3,0,0,'Données projet'!$E$13+1,1))-AVERAGE(OFFSET($H$3,0,0,'Données projet'!$E$13+1,1))</f>
        <v>210.04871822652808</v>
      </c>
      <c r="CZ16" s="59">
        <f t="shared" si="42"/>
        <v>250.17540614049324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12.3</v>
      </c>
      <c r="DO16" s="12">
        <f>IF('Données projet'!$A$166&gt;35,DO15+DN16-DW15,IF(A16&lt;'Données projet'!$A$166,$DL$205^A16,IF(A16='Données projet'!$A$166,'Données projet'!$B$166,DO15+DN16-DW15)))</f>
        <v>47.900000000000006</v>
      </c>
      <c r="DP16" s="17">
        <f>DO16*VLOOKUP('Données projet'!$B$14,Paramètres!$A$1:$I$89,3,0)*VLOOKUP('Données projet'!$B$14,Paramètres!$A$1:$I$89,5,0)</f>
        <v>35.120280000000001</v>
      </c>
      <c r="DQ16" s="13">
        <f t="shared" si="43"/>
        <v>10.695647637867344</v>
      </c>
      <c r="DR16" s="20">
        <f t="shared" si="16"/>
        <v>79.796073969285615</v>
      </c>
      <c r="DS16" s="59">
        <f t="shared" si="17"/>
        <v>373.12940730261892</v>
      </c>
      <c r="DT16" s="59">
        <f ca="1">AVERAGE(OFFSET($DS$3,0,0,'Données projet'!$E$14+1,1))-AVERAGE(OFFSET($H$3,0,0,'Données projet'!$E$14+1,1))</f>
        <v>234.09142087023463</v>
      </c>
      <c r="DU16" s="59">
        <f t="shared" si="44"/>
        <v>278.990685815294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6.1</v>
      </c>
      <c r="N17" s="13">
        <f>IF('Données projet'!$A$36&gt;35,N16+M17-V16,IF(A17&lt;'Données projet'!$A$36,$K$205^A17,IF(A17='Données projet'!$A$36,'Données projet'!$B$36,N16+M17-V16)))</f>
        <v>28.870338867610421</v>
      </c>
      <c r="O17" s="13">
        <f>N17*VLOOKUP('Données projet'!$B$9,Paramètres!$A$1:$I$89,3,0)*VLOOKUP('Données projet'!$B$9,Paramètres!$A$1:$I$89,5,0)</f>
        <v>17.264462642831035</v>
      </c>
      <c r="P17" s="13">
        <f t="shared" si="33"/>
        <v>5.7108468478127987</v>
      </c>
      <c r="Q17" s="20">
        <f t="shared" si="2"/>
        <v>40.015330696204671</v>
      </c>
      <c r="R17" s="59">
        <f t="shared" si="0"/>
        <v>333.34866402953799</v>
      </c>
      <c r="S17" s="59">
        <f ca="1">AVERAGE(OFFSET($R$3,0,0,'Données projet'!$E$9+1,1))-AVERAGE(OFFSET($H$3,0,0,'Données projet'!$E$9+1,1))</f>
        <v>259.30247982593914</v>
      </c>
      <c r="T17" s="59">
        <f t="shared" si="34"/>
        <v>275.24740346220779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4.8</v>
      </c>
      <c r="AI17" s="13">
        <f>IF('Données projet'!$A$62&gt;35,AI16+AH17-AQ16,IF(A17&lt;'Données projet'!$A$62,$AF$205^A17,IF(A17='Données projet'!$A$62,'Données projet'!$B$62,AI16+AH17-AQ16)))</f>
        <v>24.411241270846887</v>
      </c>
      <c r="AJ17" s="13">
        <f>AI17*VLOOKUP('Données projet'!$B$10,Paramètres!$A$1:$I$89,3,0)*VLOOKUP('Données projet'!$B$10,Paramètres!$A$1:$I$89,5,0)</f>
        <v>11.741807051277354</v>
      </c>
      <c r="AK17" s="13">
        <f t="shared" si="35"/>
        <v>4.0622800259993692</v>
      </c>
      <c r="AL17" s="20">
        <f t="shared" si="4"/>
        <v>27.525451659590289</v>
      </c>
      <c r="AM17" s="59">
        <f t="shared" si="5"/>
        <v>320.85878499292357</v>
      </c>
      <c r="AN17" s="59">
        <f ca="1">AVERAGE(OFFSET($AM$3,0,0,'Données projet'!$E$10+1,1))-AVERAGE(OFFSET($H$3,0,0,'Données projet'!$E$10+1,1))</f>
        <v>297.21955661193238</v>
      </c>
      <c r="AO17" s="59">
        <f t="shared" si="36"/>
        <v>273.69206144662144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</v>
      </c>
      <c r="BD17" s="12">
        <f>IF('Données projet'!$A$88&gt;35,BD16+BC17-BL16,IF(A17&lt;'Données projet'!$A$88,$BA$205^A17,IF(A17='Données projet'!$A$88,'Données projet'!$B$88,BD16+BC17-BL16)))</f>
        <v>53</v>
      </c>
      <c r="BE17" s="13">
        <f>BD17*VLOOKUP('Données projet'!$B$11,Paramètres!$A$1:$I$89,3,0)*VLOOKUP('Données projet'!$B$11,Paramètres!$A$1:$I$89,5,0)</f>
        <v>33.898800000000001</v>
      </c>
      <c r="BF17" s="13">
        <f t="shared" si="37"/>
        <v>10.366279974043191</v>
      </c>
      <c r="BG17" s="20">
        <f t="shared" si="7"/>
        <v>77.095014288125213</v>
      </c>
      <c r="BH17" s="59">
        <f t="shared" si="8"/>
        <v>370.42834762145856</v>
      </c>
      <c r="BI17" s="59">
        <f ca="1">AVERAGE(OFFSET($BH$3,0,0,'Données projet'!$E$11+1,1))-AVERAGE(OFFSET($H$3,0,0,'Données projet'!$E$11+1,1))</f>
        <v>176.90404027101607</v>
      </c>
      <c r="BJ17" s="59">
        <f t="shared" si="38"/>
        <v>295.34177980841878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2.4352321892837905</v>
      </c>
      <c r="BQ17" s="21">
        <f>EXP(-LN(2)/25)*BQ16+(1-EXP(-LN(2)/25))/(LN(2)/25)*Calculateur!BL17*Calculateur!BN17*VLOOKUP('Données projet'!$B$11,Paramètres!$A$1:$I$89,3,0)*0.475*44/12</f>
        <v>12.841429804902981</v>
      </c>
      <c r="BR17" s="21">
        <f>EXP(-LN(2)/2)*BR16+(1-EXP(-LN(2)/2))/(LN(2)/2)*BL17*BO17*VLOOKUP('Données projet'!$B$11,Paramètres!$A$1:$I$89,3,0)*0.475*44/12</f>
        <v>8.6278394053845506</v>
      </c>
      <c r="BS17" s="22">
        <f t="shared" si="9"/>
        <v>23.904501399571323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15</v>
      </c>
      <c r="BY17" s="12">
        <f>IF('Données projet'!$A$114&gt;35,BY16+BX17-CG16,IF(A17&lt;'Données projet'!$A$114,$BV$205^A17,IF(A17='Données projet'!$A$114,'Données projet'!$B$114,BY16+BX17-CG16)))</f>
        <v>72</v>
      </c>
      <c r="BZ17" s="13">
        <f>BY17*VLOOKUP('Données projet'!$B$12,Paramètres!$A$1:$I$89,3,0)*VLOOKUP('Données projet'!$B$12,Paramètres!$A$1:$I$89,5,0)</f>
        <v>40.248000000000005</v>
      </c>
      <c r="CA17" s="13">
        <f t="shared" si="39"/>
        <v>12.064355669675363</v>
      </c>
      <c r="CB17" s="20">
        <f t="shared" si="10"/>
        <v>91.110686124684605</v>
      </c>
      <c r="CC17" s="59">
        <f t="shared" si="11"/>
        <v>384.44401945801792</v>
      </c>
      <c r="CD17" s="59">
        <f ca="1">AVERAGE(OFFSET($CC$3,0,0,'Données projet'!$E$12+1,1))-AVERAGE(OFFSET($H$3,0,0,'Données projet'!$E$12+1,1))</f>
        <v>326.31232746914907</v>
      </c>
      <c r="CE17" s="59">
        <f t="shared" si="40"/>
        <v>330.17137761430297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14.1</v>
      </c>
      <c r="CT17" s="12">
        <f>IF('Données projet'!$A$140&gt;35,CT16+CS17-DB16,IF(A17&lt;'Données projet'!$A$140,$CQ$205^A17,IF(A17='Données projet'!$A$140,'Données projet'!$B$140,CT16+CS17-DB16)))</f>
        <v>92.399999999999991</v>
      </c>
      <c r="CU17" s="17">
        <f>CT17*VLOOKUP('Données projet'!$B$13,Paramètres!$A$1:$I$89,3,0)*VLOOKUP('Données projet'!$B$13,Paramètres!$A$1:$I$89,5,0)</f>
        <v>50.450399999999995</v>
      </c>
      <c r="CV17" s="13">
        <f t="shared" si="41"/>
        <v>14.730016649594965</v>
      </c>
      <c r="CW17" s="20">
        <f t="shared" si="13"/>
        <v>113.52255899804454</v>
      </c>
      <c r="CX17" s="59">
        <f t="shared" si="14"/>
        <v>406.85589233137785</v>
      </c>
      <c r="CY17" s="59">
        <f ca="1">AVERAGE(OFFSET($CX$3,0,0,'Données projet'!$E$13+1,1))-AVERAGE(OFFSET($H$3,0,0,'Données projet'!$E$13+1,1))</f>
        <v>210.04871822652808</v>
      </c>
      <c r="CZ17" s="59">
        <f t="shared" si="42"/>
        <v>250.17540614049324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12.3</v>
      </c>
      <c r="DO17" s="12">
        <f>IF('Données projet'!$A$166&gt;35,DO16+DN17-DW16,IF(A17&lt;'Données projet'!$A$166,$DL$205^A17,IF(A17='Données projet'!$A$166,'Données projet'!$B$166,DO16+DN17-DW16)))</f>
        <v>60.2</v>
      </c>
      <c r="DP17" s="17">
        <f>DO17*VLOOKUP('Données projet'!$B$14,Paramètres!$A$1:$I$89,3,0)*VLOOKUP('Données projet'!$B$14,Paramètres!$A$1:$I$89,5,0)</f>
        <v>44.138640000000002</v>
      </c>
      <c r="DQ17" s="13">
        <f t="shared" si="43"/>
        <v>13.089229634046784</v>
      </c>
      <c r="DR17" s="20">
        <f t="shared" si="16"/>
        <v>99.671872945964807</v>
      </c>
      <c r="DS17" s="59">
        <f t="shared" si="17"/>
        <v>393.00520627929814</v>
      </c>
      <c r="DT17" s="59">
        <f ca="1">AVERAGE(OFFSET($DS$3,0,0,'Données projet'!$E$14+1,1))-AVERAGE(OFFSET($H$3,0,0,'Données projet'!$E$14+1,1))</f>
        <v>234.09142087023463</v>
      </c>
      <c r="DU17" s="59">
        <f t="shared" si="44"/>
        <v>278.990685815294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6.1</v>
      </c>
      <c r="N18" s="13">
        <f>IF('Données projet'!$A$36&gt;35,N17+M18-V17,IF(A18&lt;'Données projet'!$A$36,$K$205^A18,IF(A18='Données projet'!$A$36,'Données projet'!$B$36,N17+M18-V17)))</f>
        <v>36.708773394065467</v>
      </c>
      <c r="O18" s="13">
        <f>N18*VLOOKUP('Données projet'!$B$9,Paramètres!$A$1:$I$89,3,0)*VLOOKUP('Données projet'!$B$9,Paramètres!$A$1:$I$89,5,0)</f>
        <v>21.95184648965115</v>
      </c>
      <c r="P18" s="13">
        <f t="shared" si="33"/>
        <v>7.061157373739559</v>
      </c>
      <c r="Q18" s="20">
        <f t="shared" si="2"/>
        <v>50.530981728738816</v>
      </c>
      <c r="R18" s="59">
        <f t="shared" si="0"/>
        <v>343.86431506207214</v>
      </c>
      <c r="S18" s="59">
        <f ca="1">AVERAGE(OFFSET($R$3,0,0,'Données projet'!$E$9+1,1))-AVERAGE(OFFSET($H$3,0,0,'Données projet'!$E$9+1,1))</f>
        <v>259.30247982593914</v>
      </c>
      <c r="T18" s="59">
        <f t="shared" si="34"/>
        <v>275.24740346220779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4.8</v>
      </c>
      <c r="AI18" s="13">
        <f>IF('Données projet'!$A$62&gt;35,AI17+AH18-AQ17,IF(A18&lt;'Données projet'!$A$62,$AF$205^A18,IF(A18='Données projet'!$A$62,'Données projet'!$B$62,AI17+AH18-AQ17)))</f>
        <v>30.669269003821089</v>
      </c>
      <c r="AJ18" s="13">
        <f>AI18*VLOOKUP('Données projet'!$B$10,Paramètres!$A$1:$I$89,3,0)*VLOOKUP('Données projet'!$B$10,Paramètres!$A$1:$I$89,5,0)</f>
        <v>14.751918390837945</v>
      </c>
      <c r="AK18" s="13">
        <f t="shared" si="35"/>
        <v>4.9698879860804466</v>
      </c>
      <c r="AL18" s="20">
        <f t="shared" si="4"/>
        <v>34.348812773132863</v>
      </c>
      <c r="AM18" s="59">
        <f t="shared" si="5"/>
        <v>327.68214610646618</v>
      </c>
      <c r="AN18" s="59">
        <f ca="1">AVERAGE(OFFSET($AM$3,0,0,'Données projet'!$E$10+1,1))-AVERAGE(OFFSET($H$3,0,0,'Données projet'!$E$10+1,1))</f>
        <v>297.21955661193238</v>
      </c>
      <c r="AO18" s="59">
        <f t="shared" si="36"/>
        <v>273.69206144662144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61</v>
      </c>
      <c r="BB18" s="12">
        <f>VLOOKUP(A18,'Données projet'!$A$87:$I$107,9,0)</f>
        <v>8</v>
      </c>
      <c r="BC18" s="12">
        <f t="array" ref="BC18">INDEX(BB:BB,MIN(IF(ISNUMBER(BB18:BB214),ROW(BB18:BB214),"")))</f>
        <v>8</v>
      </c>
      <c r="BD18" s="12">
        <f>IF('Données projet'!$A$88&gt;35,BD17+BC18-BL17,IF(A18&lt;'Données projet'!$A$88,$BA$205^A18,IF(A18='Données projet'!$A$88,'Données projet'!$B$88,BD17+BC18-BL17)))</f>
        <v>61</v>
      </c>
      <c r="BE18" s="13">
        <f>BD18*VLOOKUP('Données projet'!$B$11,Paramètres!$A$1:$I$89,3,0)*VLOOKUP('Données projet'!$B$11,Paramètres!$A$1:$I$89,5,0)</f>
        <v>39.015599999999999</v>
      </c>
      <c r="BF18" s="13">
        <f t="shared" si="37"/>
        <v>11.737354400931869</v>
      </c>
      <c r="BG18" s="20">
        <f t="shared" si="7"/>
        <v>88.394728914956332</v>
      </c>
      <c r="BH18" s="59">
        <f t="shared" si="8"/>
        <v>381.72806224828963</v>
      </c>
      <c r="BI18" s="59">
        <f ca="1">AVERAGE(OFFSET($BH$3,0,0,'Données projet'!$E$11+1,1))-AVERAGE(OFFSET($H$3,0,0,'Données projet'!$E$11+1,1))</f>
        <v>176.90404027101607</v>
      </c>
      <c r="BJ18" s="59">
        <f t="shared" si="38"/>
        <v>295.34177980841878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2.3874787713969052</v>
      </c>
      <c r="BQ18" s="21">
        <f>EXP(-LN(2)/25)*BQ17+(1-EXP(-LN(2)/25))/(LN(2)/25)*Calculateur!BL18*Calculateur!BN18*VLOOKUP('Données projet'!$B$11,Paramètres!$A$1:$I$89,3,0)*0.475*44/12</f>
        <v>12.490280231586466</v>
      </c>
      <c r="BR18" s="21">
        <f>EXP(-LN(2)/2)*BR17+(1-EXP(-LN(2)/2))/(LN(2)/2)*BL18*BO18*VLOOKUP('Données projet'!$B$11,Paramètres!$A$1:$I$89,3,0)*0.475*44/12</f>
        <v>6.1008037505359258</v>
      </c>
      <c r="BS18" s="22">
        <f t="shared" si="9"/>
        <v>20.978562753519299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15</v>
      </c>
      <c r="BY18" s="12">
        <f>IF('Données projet'!$A$114&gt;35,BY17+BX18-CG17,IF(A18&lt;'Données projet'!$A$114,$BV$205^A18,IF(A18='Données projet'!$A$114,'Données projet'!$B$114,BY17+BX18-CG17)))</f>
        <v>87</v>
      </c>
      <c r="BZ18" s="13">
        <f>BY18*VLOOKUP('Données projet'!$B$12,Paramètres!$A$1:$I$89,3,0)*VLOOKUP('Données projet'!$B$12,Paramètres!$A$1:$I$89,5,0)</f>
        <v>48.632999999999996</v>
      </c>
      <c r="CA18" s="13">
        <f t="shared" si="39"/>
        <v>14.260158409918978</v>
      </c>
      <c r="CB18" s="20">
        <f t="shared" si="10"/>
        <v>109.53891756394221</v>
      </c>
      <c r="CC18" s="59">
        <f t="shared" si="11"/>
        <v>402.87225089727553</v>
      </c>
      <c r="CD18" s="59">
        <f ca="1">AVERAGE(OFFSET($CC$3,0,0,'Données projet'!$E$12+1,1))-AVERAGE(OFFSET($H$3,0,0,'Données projet'!$E$12+1,1))</f>
        <v>326.31232746914907</v>
      </c>
      <c r="CE18" s="59">
        <f t="shared" si="40"/>
        <v>330.17137761430297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14.1</v>
      </c>
      <c r="CT18" s="12">
        <f>IF('Données projet'!$A$140&gt;35,CT17+CS18-DB17,IF(A18&lt;'Données projet'!$A$140,$CQ$205^A18,IF(A18='Données projet'!$A$140,'Données projet'!$B$140,CT17+CS18-DB17)))</f>
        <v>106.49999999999999</v>
      </c>
      <c r="CU18" s="17">
        <f>CT18*VLOOKUP('Données projet'!$B$13,Paramètres!$A$1:$I$89,3,0)*VLOOKUP('Données projet'!$B$13,Paramètres!$A$1:$I$89,5,0)</f>
        <v>58.148999999999987</v>
      </c>
      <c r="CV18" s="13">
        <f t="shared" si="41"/>
        <v>16.699428066773574</v>
      </c>
      <c r="CW18" s="20">
        <f t="shared" si="13"/>
        <v>130.36101221629727</v>
      </c>
      <c r="CX18" s="59">
        <f t="shared" si="14"/>
        <v>423.69434554963061</v>
      </c>
      <c r="CY18" s="59">
        <f ca="1">AVERAGE(OFFSET($CX$3,0,0,'Données projet'!$E$13+1,1))-AVERAGE(OFFSET($H$3,0,0,'Données projet'!$E$13+1,1))</f>
        <v>210.04871822652808</v>
      </c>
      <c r="CZ18" s="59">
        <f t="shared" si="42"/>
        <v>250.17540614049324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12.3</v>
      </c>
      <c r="DO18" s="12">
        <f>IF('Données projet'!$A$166&gt;35,DO17+DN18-DW17,IF(A18&lt;'Données projet'!$A$166,$DL$205^A18,IF(A18='Données projet'!$A$166,'Données projet'!$B$166,DO17+DN18-DW17)))</f>
        <v>72.5</v>
      </c>
      <c r="DP18" s="17">
        <f>DO18*VLOOKUP('Données projet'!$B$14,Paramètres!$A$1:$I$89,3,0)*VLOOKUP('Données projet'!$B$14,Paramètres!$A$1:$I$89,5,0)</f>
        <v>53.156999999999996</v>
      </c>
      <c r="DQ18" s="13">
        <f t="shared" si="43"/>
        <v>15.426140758986149</v>
      </c>
      <c r="DR18" s="20">
        <f t="shared" si="16"/>
        <v>119.44897015523419</v>
      </c>
      <c r="DS18" s="59">
        <f t="shared" si="17"/>
        <v>412.78230348856749</v>
      </c>
      <c r="DT18" s="59">
        <f ca="1">AVERAGE(OFFSET($DS$3,0,0,'Données projet'!$E$14+1,1))-AVERAGE(OFFSET($H$3,0,0,'Données projet'!$E$14+1,1))</f>
        <v>234.09142087023463</v>
      </c>
      <c r="DU18" s="59">
        <f t="shared" si="44"/>
        <v>278.990685815294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6.1</v>
      </c>
      <c r="N19" s="13">
        <f>IF('Données projet'!$A$36&gt;35,N18+M19-V18,IF(A19&lt;'Données projet'!$A$36,$K$205^A19,IF(A19='Données projet'!$A$36,'Données projet'!$B$36,N18+M19-V18)))</f>
        <v>46.675380232846685</v>
      </c>
      <c r="O19" s="13">
        <f>N19*VLOOKUP('Données projet'!$B$9,Paramètres!$A$1:$I$89,3,0)*VLOOKUP('Données projet'!$B$9,Paramètres!$A$1:$I$89,5,0)</f>
        <v>27.91187737924232</v>
      </c>
      <c r="P19" s="13">
        <f t="shared" si="33"/>
        <v>8.7307442810889597</v>
      </c>
      <c r="Q19" s="20">
        <f t="shared" si="2"/>
        <v>63.819232725076979</v>
      </c>
      <c r="R19" s="59">
        <f t="shared" si="0"/>
        <v>357.15256605841029</v>
      </c>
      <c r="S19" s="59">
        <f ca="1">AVERAGE(OFFSET($R$3,0,0,'Données projet'!$E$9+1,1))-AVERAGE(OFFSET($H$3,0,0,'Données projet'!$E$9+1,1))</f>
        <v>259.30247982593914</v>
      </c>
      <c r="T19" s="59">
        <f t="shared" si="34"/>
        <v>275.24740346220779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4.8</v>
      </c>
      <c r="AI19" s="13">
        <f>IF('Données projet'!$A$62&gt;35,AI18+AH19-AQ18,IF(A19&lt;'Données projet'!$A$62,$AF$205^A19,IF(A19='Données projet'!$A$62,'Données projet'!$B$62,AI18+AH19-AQ18)))</f>
        <v>38.531594964491077</v>
      </c>
      <c r="AJ19" s="13">
        <f>AI19*VLOOKUP('Données projet'!$B$10,Paramètres!$A$1:$I$89,3,0)*VLOOKUP('Données projet'!$B$10,Paramètres!$A$1:$I$89,5,0)</f>
        <v>18.533697177920207</v>
      </c>
      <c r="AK19" s="13">
        <f t="shared" si="35"/>
        <v>6.0802767007944762</v>
      </c>
      <c r="AL19" s="20">
        <f t="shared" si="4"/>
        <v>42.869337838761396</v>
      </c>
      <c r="AM19" s="59">
        <f t="shared" si="5"/>
        <v>336.20267117209471</v>
      </c>
      <c r="AN19" s="59">
        <f ca="1">AVERAGE(OFFSET($AM$3,0,0,'Données projet'!$E$10+1,1))-AVERAGE(OFFSET($H$3,0,0,'Données projet'!$E$10+1,1))</f>
        <v>297.21955661193238</v>
      </c>
      <c r="AO19" s="59">
        <f t="shared" si="36"/>
        <v>273.69206144662144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11.4</v>
      </c>
      <c r="BD19" s="12">
        <f>IF('Données projet'!$A$88&gt;35,BD18+BC19-BL18,IF(A19&lt;'Données projet'!$A$88,$BA$205^A19,IF(A19='Données projet'!$A$88,'Données projet'!$B$88,BD18+BC19-BL18)))</f>
        <v>72.400000000000006</v>
      </c>
      <c r="BE19" s="13">
        <f>BD19*VLOOKUP('Données projet'!$B$11,Paramètres!$A$1:$I$89,3,0)*VLOOKUP('Données projet'!$B$11,Paramètres!$A$1:$I$89,5,0)</f>
        <v>46.307040000000001</v>
      </c>
      <c r="BF19" s="13">
        <f t="shared" si="37"/>
        <v>13.655819661663486</v>
      </c>
      <c r="BG19" s="20">
        <f t="shared" si="7"/>
        <v>104.43531391073056</v>
      </c>
      <c r="BH19" s="59">
        <f t="shared" si="8"/>
        <v>397.76864724406386</v>
      </c>
      <c r="BI19" s="59">
        <f ca="1">AVERAGE(OFFSET($BH$3,0,0,'Données projet'!$E$11+1,1))-AVERAGE(OFFSET($H$3,0,0,'Données projet'!$E$11+1,1))</f>
        <v>176.90404027101607</v>
      </c>
      <c r="BJ19" s="59">
        <f t="shared" si="38"/>
        <v>295.34177980841878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2.3406617689080726</v>
      </c>
      <c r="BQ19" s="21">
        <f>EXP(-LN(2)/25)*BQ18+(1-EXP(-LN(2)/25))/(LN(2)/25)*Calculateur!BL19*Calculateur!BN19*VLOOKUP('Données projet'!$B$11,Paramètres!$A$1:$I$89,3,0)*0.475*44/12</f>
        <v>12.148732861818443</v>
      </c>
      <c r="BR19" s="21">
        <f>EXP(-LN(2)/2)*BR18+(1-EXP(-LN(2)/2))/(LN(2)/2)*BL19*BO19*VLOOKUP('Données projet'!$B$11,Paramètres!$A$1:$I$89,3,0)*0.475*44/12</f>
        <v>4.3139197026922753</v>
      </c>
      <c r="BS19" s="22">
        <f t="shared" si="9"/>
        <v>18.80331433341879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15</v>
      </c>
      <c r="BY19" s="12">
        <f>IF('Données projet'!$A$114&gt;35,BY18+BX19-CG18,IF(A19&lt;'Données projet'!$A$114,$BV$205^A19,IF(A19='Données projet'!$A$114,'Données projet'!$B$114,BY18+BX19-CG18)))</f>
        <v>102</v>
      </c>
      <c r="BZ19" s="13">
        <f>BY19*VLOOKUP('Données projet'!$B$12,Paramètres!$A$1:$I$89,3,0)*VLOOKUP('Données projet'!$B$12,Paramètres!$A$1:$I$89,5,0)</f>
        <v>57.018000000000001</v>
      </c>
      <c r="CA19" s="13">
        <f t="shared" si="39"/>
        <v>16.412103612717626</v>
      </c>
      <c r="CB19" s="20">
        <f t="shared" si="10"/>
        <v>127.89076379214985</v>
      </c>
      <c r="CC19" s="59">
        <f t="shared" si="11"/>
        <v>421.22409712548318</v>
      </c>
      <c r="CD19" s="59">
        <f ca="1">AVERAGE(OFFSET($CC$3,0,0,'Données projet'!$E$12+1,1))-AVERAGE(OFFSET($H$3,0,0,'Données projet'!$E$12+1,1))</f>
        <v>326.31232746914907</v>
      </c>
      <c r="CE19" s="59">
        <f t="shared" si="40"/>
        <v>330.17137761430297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14.1</v>
      </c>
      <c r="CT19" s="12">
        <f>IF('Données projet'!$A$140&gt;35,CT18+CS19-DB18,IF(A19&lt;'Données projet'!$A$140,$CQ$205^A19,IF(A19='Données projet'!$A$140,'Données projet'!$B$140,CT18+CS19-DB18)))</f>
        <v>120.59999999999998</v>
      </c>
      <c r="CU19" s="17">
        <f>CT19*VLOOKUP('Données projet'!$B$13,Paramètres!$A$1:$I$89,3,0)*VLOOKUP('Données projet'!$B$13,Paramètres!$A$1:$I$89,5,0)</f>
        <v>65.847599999999986</v>
      </c>
      <c r="CV19" s="13">
        <f t="shared" si="41"/>
        <v>18.63862905611526</v>
      </c>
      <c r="CW19" s="20">
        <f t="shared" si="13"/>
        <v>147.14684893940071</v>
      </c>
      <c r="CX19" s="59">
        <f t="shared" si="14"/>
        <v>440.48018227273406</v>
      </c>
      <c r="CY19" s="59">
        <f ca="1">AVERAGE(OFFSET($CX$3,0,0,'Données projet'!$E$13+1,1))-AVERAGE(OFFSET($H$3,0,0,'Données projet'!$E$13+1,1))</f>
        <v>210.04871822652808</v>
      </c>
      <c r="CZ19" s="59">
        <f t="shared" si="42"/>
        <v>250.17540614049324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12.3</v>
      </c>
      <c r="DO19" s="12">
        <f>IF('Données projet'!$A$166&gt;35,DO18+DN19-DW18,IF(A19&lt;'Données projet'!$A$166,$DL$205^A19,IF(A19='Données projet'!$A$166,'Données projet'!$B$166,DO18+DN19-DW18)))</f>
        <v>84.8</v>
      </c>
      <c r="DP19" s="17">
        <f>DO19*VLOOKUP('Données projet'!$B$14,Paramètres!$A$1:$I$89,3,0)*VLOOKUP('Données projet'!$B$14,Paramètres!$A$1:$I$89,5,0)</f>
        <v>62.175359999999991</v>
      </c>
      <c r="DQ19" s="13">
        <f t="shared" si="43"/>
        <v>17.717123083906696</v>
      </c>
      <c r="DR19" s="20">
        <f t="shared" si="16"/>
        <v>139.14607470447081</v>
      </c>
      <c r="DS19" s="59">
        <f t="shared" si="17"/>
        <v>432.47940803780409</v>
      </c>
      <c r="DT19" s="59">
        <f ca="1">AVERAGE(OFFSET($DS$3,0,0,'Données projet'!$E$14+1,1))-AVERAGE(OFFSET($H$3,0,0,'Données projet'!$E$14+1,1))</f>
        <v>234.09142087023463</v>
      </c>
      <c r="DU19" s="59">
        <f t="shared" si="44"/>
        <v>278.990685815294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6.1</v>
      </c>
      <c r="N20" s="13">
        <f>IF('Données projet'!$A$36&gt;35,N19+M20-V19,IF(A20&lt;'Données projet'!$A$36,$K$205^A20,IF(A20='Données projet'!$A$36,'Données projet'!$B$36,N19+M20-V19)))</f>
        <v>59.347968304302356</v>
      </c>
      <c r="O20" s="13">
        <f>N20*VLOOKUP('Données projet'!$B$9,Paramètres!$A$1:$I$89,3,0)*VLOOKUP('Données projet'!$B$9,Paramètres!$A$1:$I$89,5,0)</f>
        <v>35.490085045972812</v>
      </c>
      <c r="P20" s="13">
        <f t="shared" si="33"/>
        <v>10.795099396205458</v>
      </c>
      <c r="Q20" s="20">
        <f t="shared" si="2"/>
        <v>80.613362903460484</v>
      </c>
      <c r="R20" s="59">
        <f t="shared" si="0"/>
        <v>373.9466962367938</v>
      </c>
      <c r="S20" s="59">
        <f ca="1">AVERAGE(OFFSET($R$3,0,0,'Données projet'!$E$9+1,1))-AVERAGE(OFFSET($H$3,0,0,'Données projet'!$E$9+1,1))</f>
        <v>259.30247982593914</v>
      </c>
      <c r="T20" s="59">
        <f t="shared" si="34"/>
        <v>275.24740346220779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4.8</v>
      </c>
      <c r="AI20" s="13">
        <f>IF('Données projet'!$A$62&gt;35,AI19+AH20-AQ19,IF(A20&lt;'Données projet'!$A$62,$AF$205^A20,IF(A20='Données projet'!$A$62,'Données projet'!$B$62,AI19+AH20-AQ19)))</f>
        <v>48.409494543955958</v>
      </c>
      <c r="AJ20" s="13">
        <f>AI20*VLOOKUP('Données projet'!$B$10,Paramètres!$A$1:$I$89,3,0)*VLOOKUP('Données projet'!$B$10,Paramètres!$A$1:$I$89,5,0)</f>
        <v>23.284966875642816</v>
      </c>
      <c r="AK20" s="13">
        <f t="shared" si="35"/>
        <v>7.4387521130794694</v>
      </c>
      <c r="AL20" s="20">
        <f t="shared" si="4"/>
        <v>53.510477238691315</v>
      </c>
      <c r="AM20" s="59">
        <f t="shared" si="5"/>
        <v>346.84381057202461</v>
      </c>
      <c r="AN20" s="59">
        <f ca="1">AVERAGE(OFFSET($AM$3,0,0,'Données projet'!$E$10+1,1))-AVERAGE(OFFSET($H$3,0,0,'Données projet'!$E$10+1,1))</f>
        <v>297.21955661193238</v>
      </c>
      <c r="AO20" s="59">
        <f t="shared" si="36"/>
        <v>273.69206144662144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11.4</v>
      </c>
      <c r="BD20" s="12">
        <f>IF('Données projet'!$A$88&gt;35,BD19+BC20-BL19,IF(A20&lt;'Données projet'!$A$88,$BA$205^A20,IF(A20='Données projet'!$A$88,'Données projet'!$B$88,BD19+BC20-BL19)))</f>
        <v>83.800000000000011</v>
      </c>
      <c r="BE20" s="13">
        <f>BD20*VLOOKUP('Données projet'!$B$11,Paramètres!$A$1:$I$89,3,0)*VLOOKUP('Données projet'!$B$11,Paramètres!$A$1:$I$89,5,0)</f>
        <v>53.598480000000009</v>
      </c>
      <c r="BF20" s="13">
        <f t="shared" si="37"/>
        <v>15.539290676484869</v>
      </c>
      <c r="BG20" s="20">
        <f t="shared" si="7"/>
        <v>120.41495059487784</v>
      </c>
      <c r="BH20" s="59">
        <f t="shared" si="8"/>
        <v>413.74828392821115</v>
      </c>
      <c r="BI20" s="59">
        <f ca="1">AVERAGE(OFFSET($BH$3,0,0,'Données projet'!$E$11+1,1))-AVERAGE(OFFSET($H$3,0,0,'Données projet'!$E$11+1,1))</f>
        <v>176.90404027101607</v>
      </c>
      <c r="BJ20" s="59">
        <f t="shared" si="38"/>
        <v>295.34177980841878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2.2947628192824943</v>
      </c>
      <c r="BQ20" s="21">
        <f>EXP(-LN(2)/25)*BQ19+(1-EXP(-LN(2)/25))/(LN(2)/25)*Calculateur!BL20*Calculateur!BN20*VLOOKUP('Données projet'!$B$11,Paramètres!$A$1:$I$89,3,0)*0.475*44/12</f>
        <v>11.816525122837923</v>
      </c>
      <c r="BR20" s="21">
        <f>EXP(-LN(2)/2)*BR19+(1-EXP(-LN(2)/2))/(LN(2)/2)*BL20*BO20*VLOOKUP('Données projet'!$B$11,Paramètres!$A$1:$I$89,3,0)*0.475*44/12</f>
        <v>3.0504018752679629</v>
      </c>
      <c r="BS20" s="22">
        <f t="shared" si="9"/>
        <v>17.161689817388382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15</v>
      </c>
      <c r="BY20" s="12">
        <f>IF('Données projet'!$A$114&gt;35,BY19+BX20-CG19,IF(A20&lt;'Données projet'!$A$114,$BV$205^A20,IF(A20='Données projet'!$A$114,'Données projet'!$B$114,BY19+BX20-CG19)))</f>
        <v>117</v>
      </c>
      <c r="BZ20" s="13">
        <f>BY20*VLOOKUP('Données projet'!$B$12,Paramètres!$A$1:$I$89,3,0)*VLOOKUP('Données projet'!$B$12,Paramètres!$A$1:$I$89,5,0)</f>
        <v>65.403000000000006</v>
      </c>
      <c r="CA20" s="13">
        <f t="shared" si="39"/>
        <v>18.527386684584471</v>
      </c>
      <c r="CB20" s="20">
        <f t="shared" si="10"/>
        <v>146.17875680898462</v>
      </c>
      <c r="CC20" s="59">
        <f t="shared" si="11"/>
        <v>439.5120901423179</v>
      </c>
      <c r="CD20" s="59">
        <f ca="1">AVERAGE(OFFSET($CC$3,0,0,'Données projet'!$E$12+1,1))-AVERAGE(OFFSET($H$3,0,0,'Données projet'!$E$12+1,1))</f>
        <v>326.31232746914907</v>
      </c>
      <c r="CE20" s="59">
        <f t="shared" si="40"/>
        <v>330.17137761430297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14.1</v>
      </c>
      <c r="CT20" s="12">
        <f>IF('Données projet'!$A$140&gt;35,CT19+CS20-DB19,IF(A20&lt;'Données projet'!$A$140,$CQ$205^A20,IF(A20='Données projet'!$A$140,'Données projet'!$B$140,CT19+CS20-DB19)))</f>
        <v>134.69999999999999</v>
      </c>
      <c r="CU20" s="17">
        <f>CT20*VLOOKUP('Données projet'!$B$13,Paramètres!$A$1:$I$89,3,0)*VLOOKUP('Données projet'!$B$13,Paramètres!$A$1:$I$89,5,0)</f>
        <v>73.546199999999985</v>
      </c>
      <c r="CV20" s="13">
        <f t="shared" si="41"/>
        <v>20.551555184696866</v>
      </c>
      <c r="CW20" s="20">
        <f t="shared" si="13"/>
        <v>163.88692361334699</v>
      </c>
      <c r="CX20" s="59">
        <f t="shared" si="14"/>
        <v>457.22025694668031</v>
      </c>
      <c r="CY20" s="59">
        <f ca="1">AVERAGE(OFFSET($CX$3,0,0,'Données projet'!$E$13+1,1))-AVERAGE(OFFSET($H$3,0,0,'Données projet'!$E$13+1,1))</f>
        <v>210.04871822652808</v>
      </c>
      <c r="CZ20" s="59">
        <f t="shared" si="42"/>
        <v>250.17540614049324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12.3</v>
      </c>
      <c r="DO20" s="12">
        <f>IF('Données projet'!$A$166&gt;35,DO19+DN20-DW19,IF(A20&lt;'Données projet'!$A$166,$DL$205^A20,IF(A20='Données projet'!$A$166,'Données projet'!$B$166,DO19+DN20-DW19)))</f>
        <v>97.1</v>
      </c>
      <c r="DP20" s="17">
        <f>DO20*VLOOKUP('Données projet'!$B$14,Paramètres!$A$1:$I$89,3,0)*VLOOKUP('Données projet'!$B$14,Paramètres!$A$1:$I$89,5,0)</f>
        <v>71.193719999999999</v>
      </c>
      <c r="DQ20" s="13">
        <f t="shared" si="43"/>
        <v>19.969607952478761</v>
      </c>
      <c r="DR20" s="20">
        <f t="shared" si="16"/>
        <v>158.77612951723384</v>
      </c>
      <c r="DS20" s="59">
        <f t="shared" si="17"/>
        <v>452.10946285056718</v>
      </c>
      <c r="DT20" s="59">
        <f ca="1">AVERAGE(OFFSET($DS$3,0,0,'Données projet'!$E$14+1,1))-AVERAGE(OFFSET($H$3,0,0,'Données projet'!$E$14+1,1))</f>
        <v>234.09142087023463</v>
      </c>
      <c r="DU20" s="59">
        <f t="shared" si="44"/>
        <v>278.990685815294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6.1</v>
      </c>
      <c r="N21" s="13">
        <f>IF('Données projet'!$A$36&gt;35,N20+M21-V20,IF(A21&lt;'Données projet'!$A$36,$K$205^A21,IF(A21='Données projet'!$A$36,'Données projet'!$B$36,N20+M21-V20)))</f>
        <v>75.461224403048902</v>
      </c>
      <c r="O21" s="13">
        <f>N21*VLOOKUP('Données projet'!$B$9,Paramètres!$A$1:$I$89,3,0)*VLOOKUP('Données projet'!$B$9,Paramètres!$A$1:$I$89,5,0)</f>
        <v>45.125812193023251</v>
      </c>
      <c r="P21" s="13">
        <f t="shared" si="33"/>
        <v>13.347564333818791</v>
      </c>
      <c r="Q21" s="20">
        <f t="shared" si="2"/>
        <v>101.8411307842499</v>
      </c>
      <c r="R21" s="59">
        <f t="shared" si="0"/>
        <v>395.17446411758323</v>
      </c>
      <c r="S21" s="59">
        <f ca="1">AVERAGE(OFFSET($R$3,0,0,'Données projet'!$E$9+1,1))-AVERAGE(OFFSET($H$3,0,0,'Données projet'!$E$9+1,1))</f>
        <v>259.30247982593914</v>
      </c>
      <c r="T21" s="59">
        <f t="shared" si="34"/>
        <v>275.24740346220779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4.8</v>
      </c>
      <c r="AI21" s="13">
        <f>IF('Données projet'!$A$62&gt;35,AI20+AH21-AQ20,IF(A21&lt;'Données projet'!$A$62,$AF$205^A21,IF(A21='Données projet'!$A$62,'Données projet'!$B$62,AI20+AH21-AQ20)))</f>
        <v>60.819677051026375</v>
      </c>
      <c r="AJ21" s="13">
        <f>AI21*VLOOKUP('Données projet'!$B$10,Paramètres!$A$1:$I$89,3,0)*VLOOKUP('Données projet'!$B$10,Paramètres!$A$1:$I$89,5,0)</f>
        <v>29.254264661543687</v>
      </c>
      <c r="AK21" s="13">
        <f t="shared" si="35"/>
        <v>9.1007425686094034</v>
      </c>
      <c r="AL21" s="20">
        <f t="shared" si="4"/>
        <v>66.801637592516627</v>
      </c>
      <c r="AM21" s="59">
        <f t="shared" si="5"/>
        <v>360.13497092584993</v>
      </c>
      <c r="AN21" s="59">
        <f ca="1">AVERAGE(OFFSET($AM$3,0,0,'Données projet'!$E$10+1,1))-AVERAGE(OFFSET($H$3,0,0,'Données projet'!$E$10+1,1))</f>
        <v>297.21955661193238</v>
      </c>
      <c r="AO21" s="59">
        <f t="shared" si="36"/>
        <v>273.69206144662144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11.4</v>
      </c>
      <c r="BD21" s="12">
        <f>IF('Données projet'!$A$88&gt;35,BD20+BC21-BL20,IF(A21&lt;'Données projet'!$A$88,$BA$205^A21,IF(A21='Données projet'!$A$88,'Données projet'!$B$88,BD20+BC21-BL20)))</f>
        <v>95.200000000000017</v>
      </c>
      <c r="BE21" s="13">
        <f>BD21*VLOOKUP('Données projet'!$B$11,Paramètres!$A$1:$I$89,3,0)*VLOOKUP('Données projet'!$B$11,Paramètres!$A$1:$I$89,5,0)</f>
        <v>60.889920000000011</v>
      </c>
      <c r="BF21" s="13">
        <f t="shared" si="37"/>
        <v>17.393075548634691</v>
      </c>
      <c r="BG21" s="20">
        <f t="shared" si="7"/>
        <v>136.3428839138721</v>
      </c>
      <c r="BH21" s="59">
        <f t="shared" si="8"/>
        <v>429.67621724720539</v>
      </c>
      <c r="BI21" s="59">
        <f ca="1">AVERAGE(OFFSET($BH$3,0,0,'Données projet'!$E$11+1,1))-AVERAGE(OFFSET($H$3,0,0,'Données projet'!$E$11+1,1))</f>
        <v>176.90404027101607</v>
      </c>
      <c r="BJ21" s="59">
        <f t="shared" si="38"/>
        <v>295.34177980841878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2.2497639200634785</v>
      </c>
      <c r="BQ21" s="21">
        <f>EXP(-LN(2)/25)*BQ20+(1-EXP(-LN(2)/25))/(LN(2)/25)*Calculateur!BL21*Calculateur!BN21*VLOOKUP('Données projet'!$B$11,Paramètres!$A$1:$I$89,3,0)*0.475*44/12</f>
        <v>11.493401621949872</v>
      </c>
      <c r="BR21" s="21">
        <f>EXP(-LN(2)/2)*BR20+(1-EXP(-LN(2)/2))/(LN(2)/2)*BL21*BO21*VLOOKUP('Données projet'!$B$11,Paramètres!$A$1:$I$89,3,0)*0.475*44/12</f>
        <v>2.1569598513461377</v>
      </c>
      <c r="BS21" s="22">
        <f t="shared" si="9"/>
        <v>15.900125393359488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15</v>
      </c>
      <c r="BY21" s="12">
        <f>IF('Données projet'!$A$114&gt;35,BY20+BX21-CG20,IF(A21&lt;'Données projet'!$A$114,$BV$205^A21,IF(A21='Données projet'!$A$114,'Données projet'!$B$114,BY20+BX21-CG20)))</f>
        <v>132</v>
      </c>
      <c r="BZ21" s="13">
        <f>BY21*VLOOKUP('Données projet'!$B$12,Paramètres!$A$1:$I$89,3,0)*VLOOKUP('Données projet'!$B$12,Paramètres!$A$1:$I$89,5,0)</f>
        <v>73.787999999999997</v>
      </c>
      <c r="CA21" s="13">
        <f t="shared" si="39"/>
        <v>20.611246816293939</v>
      </c>
      <c r="CB21" s="20">
        <f t="shared" si="10"/>
        <v>164.41202153837858</v>
      </c>
      <c r="CC21" s="59">
        <f t="shared" si="11"/>
        <v>457.74535487171192</v>
      </c>
      <c r="CD21" s="59">
        <f ca="1">AVERAGE(OFFSET($CC$3,0,0,'Données projet'!$E$12+1,1))-AVERAGE(OFFSET($H$3,0,0,'Données projet'!$E$12+1,1))</f>
        <v>326.31232746914907</v>
      </c>
      <c r="CE21" s="59">
        <f t="shared" si="40"/>
        <v>330.17137761430297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14.1</v>
      </c>
      <c r="CT21" s="12">
        <f>IF('Données projet'!$A$140&gt;35,CT20+CS21-DB20,IF(A21&lt;'Données projet'!$A$140,$CQ$205^A21,IF(A21='Données projet'!$A$140,'Données projet'!$B$140,CT20+CS21-DB20)))</f>
        <v>148.79999999999998</v>
      </c>
      <c r="CU21" s="17">
        <f>CT21*VLOOKUP('Données projet'!$B$13,Paramètres!$A$1:$I$89,3,0)*VLOOKUP('Données projet'!$B$13,Paramètres!$A$1:$I$89,5,0)</f>
        <v>81.244799999999984</v>
      </c>
      <c r="CV21" s="13">
        <f t="shared" si="41"/>
        <v>22.441270156928962</v>
      </c>
      <c r="CW21" s="20">
        <f t="shared" si="13"/>
        <v>180.58657218998459</v>
      </c>
      <c r="CX21" s="59">
        <f t="shared" si="14"/>
        <v>473.91990552331788</v>
      </c>
      <c r="CY21" s="59">
        <f ca="1">AVERAGE(OFFSET($CX$3,0,0,'Données projet'!$E$13+1,1))-AVERAGE(OFFSET($H$3,0,0,'Données projet'!$E$13+1,1))</f>
        <v>210.04871822652808</v>
      </c>
      <c r="CZ21" s="59">
        <f t="shared" si="42"/>
        <v>250.17540614049324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12.3</v>
      </c>
      <c r="DO21" s="12">
        <f>IF('Données projet'!$A$166&gt;35,DO20+DN21-DW20,IF(A21&lt;'Données projet'!$A$166,$DL$205^A21,IF(A21='Données projet'!$A$166,'Données projet'!$B$166,DO20+DN21-DW20)))</f>
        <v>109.39999999999999</v>
      </c>
      <c r="DP21" s="17">
        <f>DO21*VLOOKUP('Données projet'!$B$14,Paramètres!$A$1:$I$89,3,0)*VLOOKUP('Données projet'!$B$14,Paramètres!$A$1:$I$89,5,0)</f>
        <v>80.212079999999986</v>
      </c>
      <c r="DQ21" s="13">
        <f t="shared" si="43"/>
        <v>22.189030798521017</v>
      </c>
      <c r="DR21" s="20">
        <f t="shared" si="16"/>
        <v>178.34860130742405</v>
      </c>
      <c r="DS21" s="59">
        <f t="shared" si="17"/>
        <v>471.68193464075739</v>
      </c>
      <c r="DT21" s="59">
        <f ca="1">AVERAGE(OFFSET($DS$3,0,0,'Données projet'!$E$14+1,1))-AVERAGE(OFFSET($H$3,0,0,'Données projet'!$E$14+1,1))</f>
        <v>234.09142087023463</v>
      </c>
      <c r="DU21" s="59">
        <f t="shared" si="44"/>
        <v>278.990685815294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6.1</v>
      </c>
      <c r="N22" s="13">
        <f>IF('Données projet'!$A$36&gt;35,N21+M22-V21,IF(A22&lt;'Données projet'!$A$36,$K$205^A22,IF(A22='Données projet'!$A$36,'Données projet'!$B$36,N21+M22-V21)))</f>
        <v>95.949306288122685</v>
      </c>
      <c r="O22" s="13">
        <f>N22*VLOOKUP('Données projet'!$B$9,Paramètres!$A$1:$I$89,3,0)*VLOOKUP('Données projet'!$B$9,Paramètres!$A$1:$I$89,5,0)</f>
        <v>57.377685160297375</v>
      </c>
      <c r="P22" s="13">
        <f t="shared" si="33"/>
        <v>16.503551019461209</v>
      </c>
      <c r="Q22" s="20">
        <f t="shared" si="2"/>
        <v>128.67648634641287</v>
      </c>
      <c r="R22" s="59">
        <f t="shared" si="0"/>
        <v>422.00981967974622</v>
      </c>
      <c r="S22" s="59">
        <f ca="1">AVERAGE(OFFSET($R$3,0,0,'Données projet'!$E$9+1,1))-AVERAGE(OFFSET($H$3,0,0,'Données projet'!$E$9+1,1))</f>
        <v>259.30247982593914</v>
      </c>
      <c r="T22" s="59">
        <f t="shared" si="34"/>
        <v>275.24740346220779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4.8</v>
      </c>
      <c r="AI22" s="13">
        <f>IF('Données projet'!$A$62&gt;35,AI21+AH22-AQ21,IF(A22&lt;'Données projet'!$A$62,$AF$205^A22,IF(A22='Données projet'!$A$62,'Données projet'!$B$62,AI21+AH22-AQ21)))</f>
        <v>76.411314586902208</v>
      </c>
      <c r="AJ22" s="13">
        <f>AI22*VLOOKUP('Données projet'!$B$10,Paramètres!$A$1:$I$89,3,0)*VLOOKUP('Données projet'!$B$10,Paramètres!$A$1:$I$89,5,0)</f>
        <v>36.753842316299966</v>
      </c>
      <c r="AK22" s="13">
        <f t="shared" si="35"/>
        <v>11.134060396295732</v>
      </c>
      <c r="AL22" s="20">
        <f t="shared" si="4"/>
        <v>83.404763891104167</v>
      </c>
      <c r="AM22" s="59">
        <f t="shared" si="5"/>
        <v>376.73809722443747</v>
      </c>
      <c r="AN22" s="59">
        <f ca="1">AVERAGE(OFFSET($AM$3,0,0,'Données projet'!$E$10+1,1))-AVERAGE(OFFSET($H$3,0,0,'Données projet'!$E$10+1,1))</f>
        <v>297.21955661193238</v>
      </c>
      <c r="AO22" s="59">
        <f t="shared" si="36"/>
        <v>273.69206144662144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11.4</v>
      </c>
      <c r="BD22" s="12">
        <f>IF('Données projet'!$A$88&gt;35,BD21+BC22-BL21,IF(A22&lt;'Données projet'!$A$88,$BA$205^A22,IF(A22='Données projet'!$A$88,'Données projet'!$B$88,BD21+BC22-BL21)))</f>
        <v>106.60000000000002</v>
      </c>
      <c r="BE22" s="13">
        <f>BD22*VLOOKUP('Données projet'!$B$11,Paramètres!$A$1:$I$89,3,0)*VLOOKUP('Données projet'!$B$11,Paramètres!$A$1:$I$89,5,0)</f>
        <v>68.181360000000012</v>
      </c>
      <c r="BF22" s="13">
        <f t="shared" si="37"/>
        <v>19.221135568279205</v>
      </c>
      <c r="BG22" s="20">
        <f t="shared" si="7"/>
        <v>152.22601311475296</v>
      </c>
      <c r="BH22" s="59">
        <f t="shared" si="8"/>
        <v>445.55934644808627</v>
      </c>
      <c r="BI22" s="59">
        <f ca="1">AVERAGE(OFFSET($BH$3,0,0,'Données projet'!$E$11+1,1))-AVERAGE(OFFSET($H$3,0,0,'Données projet'!$E$11+1,1))</f>
        <v>176.90404027101607</v>
      </c>
      <c r="BJ22" s="59">
        <f t="shared" si="38"/>
        <v>295.34177980841878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2.2056474218115292</v>
      </c>
      <c r="BQ22" s="21">
        <f>EXP(-LN(2)/25)*BQ21+(1-EXP(-LN(2)/25))/(LN(2)/25)*Calculateur!BL22*Calculateur!BN22*VLOOKUP('Données projet'!$B$11,Paramètres!$A$1:$I$89,3,0)*0.475*44/12</f>
        <v>11.179113950185929</v>
      </c>
      <c r="BR22" s="21">
        <f>EXP(-LN(2)/2)*BR21+(1-EXP(-LN(2)/2))/(LN(2)/2)*BL22*BO22*VLOOKUP('Données projet'!$B$11,Paramètres!$A$1:$I$89,3,0)*0.475*44/12</f>
        <v>1.5252009376339815</v>
      </c>
      <c r="BS22" s="22">
        <f t="shared" si="9"/>
        <v>14.909962309631439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15</v>
      </c>
      <c r="BY22" s="12">
        <f>IF('Données projet'!$A$114&gt;35,BY21+BX22-CG21,IF(A22&lt;'Données projet'!$A$114,$BV$205^A22,IF(A22='Données projet'!$A$114,'Données projet'!$B$114,BY21+BX22-CG21)))</f>
        <v>147</v>
      </c>
      <c r="BZ22" s="13">
        <f>BY22*VLOOKUP('Données projet'!$B$12,Paramètres!$A$1:$I$89,3,0)*VLOOKUP('Données projet'!$B$12,Paramètres!$A$1:$I$89,5,0)</f>
        <v>82.173000000000002</v>
      </c>
      <c r="CA22" s="13">
        <f t="shared" si="39"/>
        <v>22.667662370396656</v>
      </c>
      <c r="CB22" s="20">
        <f t="shared" si="10"/>
        <v>182.59748696177417</v>
      </c>
      <c r="CC22" s="59">
        <f t="shared" si="11"/>
        <v>475.93082029510748</v>
      </c>
      <c r="CD22" s="59">
        <f ca="1">AVERAGE(OFFSET($CC$3,0,0,'Données projet'!$E$12+1,1))-AVERAGE(OFFSET($H$3,0,0,'Données projet'!$E$12+1,1))</f>
        <v>326.31232746914907</v>
      </c>
      <c r="CE22" s="59">
        <f t="shared" si="40"/>
        <v>330.17137761430297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14.1</v>
      </c>
      <c r="CT22" s="12">
        <f>IF('Données projet'!$A$140&gt;35,CT21+CS22-DB21,IF(A22&lt;'Données projet'!$A$140,$CQ$205^A22,IF(A22='Données projet'!$A$140,'Données projet'!$B$140,CT21+CS22-DB21)))</f>
        <v>162.89999999999998</v>
      </c>
      <c r="CU22" s="17">
        <f>CT22*VLOOKUP('Données projet'!$B$13,Paramètres!$A$1:$I$89,3,0)*VLOOKUP('Données projet'!$B$13,Paramètres!$A$1:$I$89,5,0)</f>
        <v>88.943399999999997</v>
      </c>
      <c r="CV22" s="13">
        <f t="shared" si="41"/>
        <v>24.310223636565393</v>
      </c>
      <c r="CW22" s="20">
        <f t="shared" si="13"/>
        <v>197.25006116701806</v>
      </c>
      <c r="CX22" s="59">
        <f t="shared" si="14"/>
        <v>490.58339450035135</v>
      </c>
      <c r="CY22" s="59">
        <f ca="1">AVERAGE(OFFSET($CX$3,0,0,'Données projet'!$E$13+1,1))-AVERAGE(OFFSET($H$3,0,0,'Données projet'!$E$13+1,1))</f>
        <v>210.04871822652808</v>
      </c>
      <c r="CZ22" s="59">
        <f t="shared" si="42"/>
        <v>250.17540614049324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12.3</v>
      </c>
      <c r="DO22" s="12">
        <f>IF('Données projet'!$A$166&gt;35,DO21+DN22-DW21,IF(A22&lt;'Données projet'!$A$166,$DL$205^A22,IF(A22='Données projet'!$A$166,'Données projet'!$B$166,DO21+DN22-DW21)))</f>
        <v>121.69999999999999</v>
      </c>
      <c r="DP22" s="17">
        <f>DO22*VLOOKUP('Données projet'!$B$14,Paramètres!$A$1:$I$89,3,0)*VLOOKUP('Données projet'!$B$14,Paramètres!$A$1:$I$89,5,0)</f>
        <v>89.230439999999987</v>
      </c>
      <c r="DQ22" s="13">
        <f t="shared" si="43"/>
        <v>24.379532994349749</v>
      </c>
      <c r="DR22" s="20">
        <f t="shared" si="16"/>
        <v>197.87070296515913</v>
      </c>
      <c r="DS22" s="59">
        <f t="shared" si="17"/>
        <v>491.20403629849244</v>
      </c>
      <c r="DT22" s="59">
        <f ca="1">AVERAGE(OFFSET($DS$3,0,0,'Données projet'!$E$14+1,1))-AVERAGE(OFFSET($H$3,0,0,'Données projet'!$E$14+1,1))</f>
        <v>234.09142087023463</v>
      </c>
      <c r="DU22" s="59">
        <f t="shared" si="44"/>
        <v>278.990685815294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122</v>
      </c>
      <c r="L23" s="12">
        <f>VLOOKUP(A23,'Données projet'!$A$35:$I$55,9,0)</f>
        <v>6.1</v>
      </c>
      <c r="M23" s="12">
        <f t="array" ref="M23">INDEX(L:L,MIN(IF(ISNUMBER(L23:L219),ROW(L23:L219),"")))</f>
        <v>6.1</v>
      </c>
      <c r="N23" s="13">
        <f>IF('Données projet'!$A$36&gt;35,N22+M23-V22,IF(A23&lt;'Données projet'!$A$36,$K$205^A23,IF(A23='Données projet'!$A$36,'Données projet'!$B$36,N22+M23-V22)))</f>
        <v>122</v>
      </c>
      <c r="O23" s="13">
        <f>N23*VLOOKUP('Données projet'!$B$9,Paramètres!$A$1:$I$89,3,0)*VLOOKUP('Données projet'!$B$9,Paramètres!$A$1:$I$89,5,0)</f>
        <v>72.956000000000003</v>
      </c>
      <c r="P23" s="13">
        <f t="shared" si="33"/>
        <v>20.405760140212273</v>
      </c>
      <c r="Q23" s="20">
        <f t="shared" si="2"/>
        <v>162.60506557753638</v>
      </c>
      <c r="R23" s="59">
        <f t="shared" si="0"/>
        <v>455.93839891086969</v>
      </c>
      <c r="S23" s="59">
        <f ca="1">AVERAGE(OFFSET($R$3,0,0,'Données projet'!$E$9+1,1))-AVERAGE(OFFSET($H$3,0,0,'Données projet'!$E$9+1,1))</f>
        <v>259.30247982593914</v>
      </c>
      <c r="T23" s="59">
        <f t="shared" si="34"/>
        <v>275.24740346220779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0.22500000000000001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4.089088747953558</v>
      </c>
      <c r="AB23" s="21">
        <f>EXP(-LN(2)/2)*AB22+(1-EXP(-LN(2)/2))/(LN(2)/2)*V23*Y23*VLOOKUP('Données projet'!$B$9,Paramètres!$A$1:$I$89,3,0)*0.475*44/12</f>
        <v>7.7863615100895052</v>
      </c>
      <c r="AC23" s="22">
        <f t="shared" si="3"/>
        <v>11.875450258043063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96</v>
      </c>
      <c r="AG23" s="12">
        <f>VLOOKUP(A23,'Données projet'!$A$61:$I$81,9,0)</f>
        <v>4.8</v>
      </c>
      <c r="AH23" s="12">
        <f t="array" ref="AH23">INDEX(AG:AG,MIN(IF(ISNUMBER(AG23:AG219),ROW(AG23:AG219),"")))</f>
        <v>4.8</v>
      </c>
      <c r="AI23" s="13">
        <f>IF('Données projet'!$A$62&gt;35,AI22+AH23-AQ22,IF(A23&lt;'Données projet'!$A$62,$AF$205^A23,IF(A23='Données projet'!$A$62,'Données projet'!$B$62,AI22+AH23-AQ22)))</f>
        <v>96</v>
      </c>
      <c r="AJ23" s="13">
        <f>AI23*VLOOKUP('Données projet'!$B$10,Paramètres!$A$1:$I$89,3,0)*VLOOKUP('Données projet'!$B$10,Paramètres!$A$1:$I$89,5,0)</f>
        <v>46.175999999999995</v>
      </c>
      <c r="AK23" s="13">
        <f t="shared" si="35"/>
        <v>13.621668778540489</v>
      </c>
      <c r="AL23" s="20">
        <f t="shared" si="4"/>
        <v>104.14760645595801</v>
      </c>
      <c r="AM23" s="59">
        <f t="shared" si="5"/>
        <v>397.48093978929131</v>
      </c>
      <c r="AN23" s="59">
        <f ca="1">AVERAGE(OFFSET($AM$3,0,0,'Données projet'!$E$10+1,1))-AVERAGE(OFFSET($H$3,0,0,'Données projet'!$E$10+1,1))</f>
        <v>297.21955661193238</v>
      </c>
      <c r="AO23" s="59">
        <f t="shared" si="36"/>
        <v>273.69206144662144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118</v>
      </c>
      <c r="BB23" s="12">
        <f>VLOOKUP(A23,'Données projet'!$A$87:$I$107,9,0)</f>
        <v>11.4</v>
      </c>
      <c r="BC23" s="12">
        <f t="array" ref="BC23">INDEX(BB:BB,MIN(IF(ISNUMBER(BB23:BB219),ROW(BB23:BB219),"")))</f>
        <v>11.4</v>
      </c>
      <c r="BD23" s="12">
        <f>IF('Données projet'!$A$88&gt;35,BD22+BC23-BL22,IF(A23&lt;'Données projet'!$A$88,$BA$205^A23,IF(A23='Données projet'!$A$88,'Données projet'!$B$88,BD22+BC23-BL22)))</f>
        <v>118.00000000000003</v>
      </c>
      <c r="BE23" s="13">
        <f>BD23*VLOOKUP('Données projet'!$B$11,Paramètres!$A$1:$I$89,3,0)*VLOOKUP('Données projet'!$B$11,Paramètres!$A$1:$I$89,5,0)</f>
        <v>75.472800000000021</v>
      </c>
      <c r="BF23" s="13">
        <f t="shared" si="37"/>
        <v>21.026535339113142</v>
      </c>
      <c r="BG23" s="20">
        <f t="shared" si="7"/>
        <v>168.06967571562208</v>
      </c>
      <c r="BH23" s="59">
        <f t="shared" si="8"/>
        <v>461.40300904895537</v>
      </c>
      <c r="BI23" s="59">
        <f ca="1">AVERAGE(OFFSET($BH$3,0,0,'Données projet'!$E$11+1,1))-AVERAGE(OFFSET($H$3,0,0,'Données projet'!$E$11+1,1))</f>
        <v>176.90404027101607</v>
      </c>
      <c r="BJ23" s="59">
        <f t="shared" si="38"/>
        <v>295.34177980841878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2.1623960211818938</v>
      </c>
      <c r="BQ23" s="21">
        <f>EXP(-LN(2)/25)*BQ22+(1-EXP(-LN(2)/25))/(LN(2)/25)*Calculateur!BL23*Calculateur!BN23*VLOOKUP('Données projet'!$B$11,Paramètres!$A$1:$I$89,3,0)*0.475*44/12</f>
        <v>10.873420491334043</v>
      </c>
      <c r="BR23" s="21">
        <f>EXP(-LN(2)/2)*BR22+(1-EXP(-LN(2)/2))/(LN(2)/2)*BL23*BO23*VLOOKUP('Données projet'!$B$11,Paramètres!$A$1:$I$89,3,0)*0.475*44/12</f>
        <v>1.0784799256730688</v>
      </c>
      <c r="BS23" s="22">
        <f t="shared" si="9"/>
        <v>14.114296438189005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162</v>
      </c>
      <c r="BW23" s="12">
        <f>VLOOKUP(A23,'Données projet'!$A$113:$I$133,9,0)</f>
        <v>15</v>
      </c>
      <c r="BX23" s="12">
        <f t="array" ref="BX23">INDEX(BW:BW,MIN(IF(ISNUMBER(BW23:BW219),ROW(BW23:BW219),"")))</f>
        <v>15</v>
      </c>
      <c r="BY23" s="12">
        <f>IF('Données projet'!$A$114&gt;35,BY22+BX23-CG22,IF(A23&lt;'Données projet'!$A$114,$BV$205^A23,IF(A23='Données projet'!$A$114,'Données projet'!$B$114,BY22+BX23-CG22)))</f>
        <v>162</v>
      </c>
      <c r="BZ23" s="13">
        <f>BY23*VLOOKUP('Données projet'!$B$12,Paramètres!$A$1:$I$89,3,0)*VLOOKUP('Données projet'!$B$12,Paramètres!$A$1:$I$89,5,0)</f>
        <v>90.557999999999993</v>
      </c>
      <c r="CA23" s="13">
        <f t="shared" si="39"/>
        <v>24.699752708509138</v>
      </c>
      <c r="CB23" s="20">
        <f t="shared" si="10"/>
        <v>200.74058596732007</v>
      </c>
      <c r="CC23" s="59">
        <f t="shared" si="11"/>
        <v>494.07391930065342</v>
      </c>
      <c r="CD23" s="59">
        <f ca="1">AVERAGE(OFFSET($CC$3,0,0,'Données projet'!$E$12+1,1))-AVERAGE(OFFSET($H$3,0,0,'Données projet'!$E$12+1,1))</f>
        <v>326.31232746914907</v>
      </c>
      <c r="CE23" s="59">
        <f t="shared" si="40"/>
        <v>330.17137761430297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12.796760722565436</v>
      </c>
      <c r="CM23" s="21">
        <f>EXP(-LN(2)/2)*CM22+(1-EXP(-LN(2)/2))/(LN(2)/2)*CG23*CJ23*VLOOKUP('Données projet'!$B$12,Paramètres!$A$1:$I$89,3,0)*0.475*44/12</f>
        <v>19.936912410994776</v>
      </c>
      <c r="CN23" s="22">
        <f t="shared" si="12"/>
        <v>32.73367313356021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177</v>
      </c>
      <c r="CR23" s="12">
        <f>VLOOKUP(A23,'Données projet'!$A$139:$I$159,9,0)</f>
        <v>14.1</v>
      </c>
      <c r="CS23" s="12">
        <f t="array" ref="CS23">INDEX(CR:CR,MIN(IF(ISNUMBER(CR23:CR219),ROW(CR23:CR219),"")))</f>
        <v>14.1</v>
      </c>
      <c r="CT23" s="12">
        <f>IF('Données projet'!$A$140&gt;35,CT22+CS23-DB22,IF(A23&lt;'Données projet'!$A$140,$CQ$205^A23,IF(A23='Données projet'!$A$140,'Données projet'!$B$140,CT22+CS23-DB22)))</f>
        <v>176.99999999999997</v>
      </c>
      <c r="CU23" s="17">
        <f>CT23*VLOOKUP('Données projet'!$B$13,Paramètres!$A$1:$I$89,3,0)*VLOOKUP('Données projet'!$B$13,Paramètres!$A$1:$I$89,5,0)</f>
        <v>96.641999999999996</v>
      </c>
      <c r="CV23" s="13">
        <f t="shared" si="41"/>
        <v>26.160416982548217</v>
      </c>
      <c r="CW23" s="20">
        <f t="shared" si="13"/>
        <v>213.88087624460479</v>
      </c>
      <c r="CX23" s="59">
        <f t="shared" si="14"/>
        <v>507.21420957793811</v>
      </c>
      <c r="CY23" s="59">
        <f ca="1">AVERAGE(OFFSET($CX$3,0,0,'Données projet'!$E$13+1,1))-AVERAGE(OFFSET($H$3,0,0,'Données projet'!$E$13+1,1))</f>
        <v>210.04871822652808</v>
      </c>
      <c r="CZ23" s="59">
        <f t="shared" si="42"/>
        <v>250.17540614049324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81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0.3</v>
      </c>
      <c r="DE23" s="16">
        <f>IF(ISNA(VLOOKUP(A23,'Données projet'!$A$139:$I$159,7,0)),0%,VLOOKUP(A23,'Données projet'!$A$139:$I$159,7,0))</f>
        <v>0.5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17.531291645290491</v>
      </c>
      <c r="DH23" s="21">
        <f>EXP(-LN(2)/2)*DH22+(1-EXP(-LN(2)/2))/(LN(2)/2)*DB23*DE23*VLOOKUP('Données projet'!$B$13,Paramètres!$A$1:$I$89,3,0)*0.475*44/12</f>
        <v>25.037052795202737</v>
      </c>
      <c r="DI23" s="22">
        <f t="shared" si="15"/>
        <v>42.568344440493227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134</v>
      </c>
      <c r="DM23" s="12">
        <f>VLOOKUP(A23,'Données projet'!$A$165:$I$185,9,0)</f>
        <v>12.3</v>
      </c>
      <c r="DN23" s="12">
        <f t="array" ref="DN23">INDEX(DM:DM,MIN(IF(ISNUMBER(DM23:DM219),ROW(DM23:DM219),"")))</f>
        <v>12.3</v>
      </c>
      <c r="DO23" s="12">
        <f>IF('Données projet'!$A$166&gt;35,DO22+DN23-DW22,IF(A23&lt;'Données projet'!$A$166,$DL$205^A23,IF(A23='Données projet'!$A$166,'Données projet'!$B$166,DO22+DN23-DW22)))</f>
        <v>134</v>
      </c>
      <c r="DP23" s="17">
        <f>DO23*VLOOKUP('Données projet'!$B$14,Paramètres!$A$1:$I$89,3,0)*VLOOKUP('Données projet'!$B$14,Paramètres!$A$1:$I$89,5,0)</f>
        <v>98.248800000000003</v>
      </c>
      <c r="DQ23" s="13">
        <f t="shared" si="43"/>
        <v>26.544370291039833</v>
      </c>
      <c r="DR23" s="20">
        <f t="shared" si="16"/>
        <v>217.34810492356107</v>
      </c>
      <c r="DS23" s="59">
        <f t="shared" si="17"/>
        <v>510.68143825689435</v>
      </c>
      <c r="DT23" s="59">
        <f ca="1">AVERAGE(OFFSET($DS$3,0,0,'Données projet'!$E$14+1,1))-AVERAGE(OFFSET($H$3,0,0,'Données projet'!$E$14+1,1))</f>
        <v>234.09142087023463</v>
      </c>
      <c r="DU23" s="59">
        <f t="shared" si="44"/>
        <v>278.990685815294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67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5.8148628449290847</v>
      </c>
      <c r="EC23" s="21">
        <f>EXP(-LN(2)/2)*EC22+(1-EXP(-LN(2)/2))/(LN(2)/2)*DW23*DZ23*VLOOKUP('Données projet'!$B$14,Paramètres!$A$1:$I$89,3,0)*0.475*44/12</f>
        <v>11.587548390960231</v>
      </c>
      <c r="ED23" s="22">
        <f t="shared" si="18"/>
        <v>17.402411235889318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15.8</v>
      </c>
      <c r="N24" s="13">
        <f>IF('Données projet'!$A$36&gt;35,N23+M24-V23,IF(A24&lt;'Données projet'!$A$36,$K$205^A24,IF(A24='Données projet'!$A$36,'Données projet'!$B$36,N23+M24-V23)))</f>
        <v>114.80000000000001</v>
      </c>
      <c r="O24" s="13">
        <f>N24*VLOOKUP('Données projet'!$B$9,Paramètres!$A$1:$I$89,3,0)*VLOOKUP('Données projet'!$B$9,Paramètres!$A$1:$I$89,5,0)</f>
        <v>68.650400000000005</v>
      </c>
      <c r="P24" s="13">
        <f t="shared" si="33"/>
        <v>19.337925525289805</v>
      </c>
      <c r="Q24" s="20">
        <f t="shared" si="2"/>
        <v>153.24633362321308</v>
      </c>
      <c r="R24" s="59">
        <f t="shared" si="0"/>
        <v>446.57966695654636</v>
      </c>
      <c r="S24" s="59">
        <f ca="1">AVERAGE(OFFSET($R$3,0,0,'Données projet'!$E$9+1,1))-AVERAGE(OFFSET($H$3,0,0,'Données projet'!$E$9+1,1))</f>
        <v>259.30247982593914</v>
      </c>
      <c r="T24" s="59">
        <f t="shared" si="34"/>
        <v>275.24740346220779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3.9772724011049365</v>
      </c>
      <c r="AB24" s="21">
        <f>EXP(-LN(2)/2)*AB23+(1-EXP(-LN(2)/2))/(LN(2)/2)*V24*Y24*VLOOKUP('Données projet'!$B$9,Paramètres!$A$1:$I$89,3,0)*0.475*44/12</f>
        <v>5.5057890245542156</v>
      </c>
      <c r="AC24" s="22">
        <f t="shared" si="3"/>
        <v>9.4830614256591517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22.2</v>
      </c>
      <c r="AI24" s="13">
        <f>IF('Données projet'!$A$62&gt;35,AI23+AH24-AQ23,IF(A24&lt;'Données projet'!$A$62,$AF$205^A24,IF(A24='Données projet'!$A$62,'Données projet'!$B$62,AI23+AH24-AQ23)))</f>
        <v>118.2</v>
      </c>
      <c r="AJ24" s="13">
        <f>AI24*VLOOKUP('Données projet'!$B$10,Paramètres!$A$1:$I$89,3,0)*VLOOKUP('Données projet'!$B$10,Paramètres!$A$1:$I$89,5,0)</f>
        <v>56.854200000000006</v>
      </c>
      <c r="AK24" s="13">
        <f t="shared" si="35"/>
        <v>16.370436389534291</v>
      </c>
      <c r="AL24" s="20">
        <f t="shared" si="4"/>
        <v>127.5329083784389</v>
      </c>
      <c r="AM24" s="59">
        <f t="shared" si="5"/>
        <v>420.8662417117722</v>
      </c>
      <c r="AN24" s="59">
        <f ca="1">AVERAGE(OFFSET($AM$3,0,0,'Données projet'!$E$10+1,1))-AVERAGE(OFFSET($H$3,0,0,'Données projet'!$E$10+1,1))</f>
        <v>297.21955661193238</v>
      </c>
      <c r="AO24" s="59">
        <f t="shared" si="36"/>
        <v>273.69206144662144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13.6</v>
      </c>
      <c r="BD24" s="12">
        <f>IF('Données projet'!$A$88&gt;35,BD23+BC24-BL23,IF(A24&lt;'Données projet'!$A$88,$BA$205^A24,IF(A24='Données projet'!$A$88,'Données projet'!$B$88,BD23+BC24-BL23)))</f>
        <v>131.60000000000002</v>
      </c>
      <c r="BE24" s="13">
        <f>BD24*VLOOKUP('Données projet'!$B$11,Paramètres!$A$1:$I$89,3,0)*VLOOKUP('Données projet'!$B$11,Paramètres!$A$1:$I$89,5,0)</f>
        <v>84.171360000000007</v>
      </c>
      <c r="BF24" s="13">
        <f t="shared" si="37"/>
        <v>23.154066673803449</v>
      </c>
      <c r="BG24" s="20">
        <f t="shared" si="7"/>
        <v>186.92511812354101</v>
      </c>
      <c r="BH24" s="59">
        <f t="shared" si="8"/>
        <v>480.25845145687435</v>
      </c>
      <c r="BI24" s="59">
        <f ca="1">AVERAGE(OFFSET($BH$3,0,0,'Données projet'!$E$11+1,1))-AVERAGE(OFFSET($H$3,0,0,'Données projet'!$E$11+1,1))</f>
        <v>176.90404027101607</v>
      </c>
      <c r="BJ24" s="59">
        <f t="shared" si="38"/>
        <v>295.34177980841878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2.119992754137856</v>
      </c>
      <c r="BQ24" s="21">
        <f>EXP(-LN(2)/25)*BQ23+(1-EXP(-LN(2)/25))/(LN(2)/25)*Calculateur!BL24*Calculateur!BN24*VLOOKUP('Données projet'!$B$11,Paramètres!$A$1:$I$89,3,0)*0.475*44/12</f>
        <v>10.576086236190182</v>
      </c>
      <c r="BR24" s="21">
        <f>EXP(-LN(2)/2)*BR23+(1-EXP(-LN(2)/2))/(LN(2)/2)*BL24*BO24*VLOOKUP('Données projet'!$B$11,Paramètres!$A$1:$I$89,3,0)*0.475*44/12</f>
        <v>0.76260046881699073</v>
      </c>
      <c r="BS24" s="22">
        <f t="shared" si="9"/>
        <v>13.45867945914503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22.2</v>
      </c>
      <c r="BY24" s="12">
        <f>IF('Données projet'!$A$114&gt;35,BY23+BX24-CG23,IF(A24&lt;'Données projet'!$A$114,$BV$205^A24,IF(A24='Données projet'!$A$114,'Données projet'!$B$114,BY23+BX24-CG23)))</f>
        <v>121.19999999999999</v>
      </c>
      <c r="BZ24" s="13">
        <f>BY24*VLOOKUP('Données projet'!$B$12,Paramètres!$A$1:$I$89,3,0)*VLOOKUP('Données projet'!$B$12,Paramètres!$A$1:$I$89,5,0)</f>
        <v>67.750799999999998</v>
      </c>
      <c r="CA24" s="13">
        <f t="shared" si="39"/>
        <v>19.113844706860473</v>
      </c>
      <c r="CB24" s="20">
        <f t="shared" si="10"/>
        <v>151.28925619778201</v>
      </c>
      <c r="CC24" s="59">
        <f t="shared" si="11"/>
        <v>444.6225895311153</v>
      </c>
      <c r="CD24" s="59">
        <f ca="1">AVERAGE(OFFSET($CC$3,0,0,'Données projet'!$E$12+1,1))-AVERAGE(OFFSET($H$3,0,0,'Données projet'!$E$12+1,1))</f>
        <v>326.31232746914907</v>
      </c>
      <c r="CE24" s="59">
        <f t="shared" si="40"/>
        <v>330.17137761430297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12.446832627654485</v>
      </c>
      <c r="CM24" s="21">
        <f>EXP(-LN(2)/2)*CM23+(1-EXP(-LN(2)/2))/(LN(2)/2)*CG24*CJ24*VLOOKUP('Données projet'!$B$12,Paramètres!$A$1:$I$89,3,0)*0.475*44/12</f>
        <v>14.097525961736647</v>
      </c>
      <c r="CN24" s="22">
        <f t="shared" si="12"/>
        <v>26.54435858939113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16.399999999999999</v>
      </c>
      <c r="CT24" s="12">
        <f>IF('Données projet'!$A$140&gt;35,CT23+CS24-DB23,IF(A24&lt;'Données projet'!$A$140,$CQ$205^A24,IF(A24='Données projet'!$A$140,'Données projet'!$B$140,CT23+CS24-DB23)))</f>
        <v>112.39999999999998</v>
      </c>
      <c r="CU24" s="17">
        <f>CT24*VLOOKUP('Données projet'!$B$13,Paramètres!$A$1:$I$89,3,0)*VLOOKUP('Données projet'!$B$13,Paramètres!$A$1:$I$89,5,0)</f>
        <v>61.370399999999989</v>
      </c>
      <c r="CV24" s="13">
        <f t="shared" si="41"/>
        <v>17.514292424921972</v>
      </c>
      <c r="CW24" s="20">
        <f t="shared" si="13"/>
        <v>137.39083930673908</v>
      </c>
      <c r="CX24" s="59">
        <f t="shared" si="14"/>
        <v>430.72417264007242</v>
      </c>
      <c r="CY24" s="59">
        <f ca="1">AVERAGE(OFFSET($CX$3,0,0,'Données projet'!$E$13+1,1))-AVERAGE(OFFSET($H$3,0,0,'Données projet'!$E$13+1,1))</f>
        <v>210.04871822652808</v>
      </c>
      <c r="CZ24" s="59">
        <f t="shared" si="42"/>
        <v>250.17540614049324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17.051897553319463</v>
      </c>
      <c r="DH24" s="21">
        <f>EXP(-LN(2)/2)*DH23+(1-EXP(-LN(2)/2))/(LN(2)/2)*DB24*DE24*VLOOKUP('Données projet'!$B$13,Paramètres!$A$1:$I$89,3,0)*0.475*44/12</f>
        <v>17.703869812413462</v>
      </c>
      <c r="DI24" s="22">
        <f t="shared" si="15"/>
        <v>34.755767365732922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14.5</v>
      </c>
      <c r="DO24" s="12">
        <f>IF('Données projet'!$A$166&gt;35,DO23+DN24-DW23,IF(A24&lt;'Données projet'!$A$166,$DL$205^A24,IF(A24='Données projet'!$A$166,'Données projet'!$B$166,DO23+DN24-DW23)))</f>
        <v>81.5</v>
      </c>
      <c r="DP24" s="17">
        <f>DO24*VLOOKUP('Données projet'!$B$14,Paramètres!$A$1:$I$89,3,0)*VLOOKUP('Données projet'!$B$14,Paramètres!$A$1:$I$89,5,0)</f>
        <v>59.755800000000001</v>
      </c>
      <c r="DQ24" s="13">
        <f t="shared" si="43"/>
        <v>17.106512943588541</v>
      </c>
      <c r="DR24" s="20">
        <f t="shared" si="16"/>
        <v>133.86852837675002</v>
      </c>
      <c r="DS24" s="59">
        <f t="shared" si="17"/>
        <v>427.20186171008334</v>
      </c>
      <c r="DT24" s="59">
        <f ca="1">AVERAGE(OFFSET($DS$3,0,0,'Données projet'!$E$14+1,1))-AVERAGE(OFFSET($H$3,0,0,'Données projet'!$E$14+1,1))</f>
        <v>234.09142087023463</v>
      </c>
      <c r="DU24" s="59">
        <f t="shared" si="44"/>
        <v>278.990685815294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5.6558551146441518</v>
      </c>
      <c r="EC24" s="21">
        <f>EXP(-LN(2)/2)*EC23+(1-EXP(-LN(2)/2))/(LN(2)/2)*DW24*DZ24*VLOOKUP('Données projet'!$B$14,Paramètres!$A$1:$I$89,3,0)*0.475*44/12</f>
        <v>8.1936340445752478</v>
      </c>
      <c r="ED24" s="22">
        <f t="shared" si="18"/>
        <v>13.849489159219399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15.8</v>
      </c>
      <c r="N25" s="13">
        <f>IF('Données projet'!$A$36&gt;35,N24+M25-V24,IF(A25&lt;'Données projet'!$A$36,$K$205^A25,IF(A25='Données projet'!$A$36,'Données projet'!$B$36,N24+M25-V24)))</f>
        <v>130.60000000000002</v>
      </c>
      <c r="O25" s="13">
        <f>N25*VLOOKUP('Données projet'!$B$9,Paramètres!$A$1:$I$89,3,0)*VLOOKUP('Données projet'!$B$9,Paramètres!$A$1:$I$89,5,0)</f>
        <v>78.098800000000026</v>
      </c>
      <c r="P25" s="13">
        <f t="shared" si="33"/>
        <v>21.671682136967</v>
      </c>
      <c r="Q25" s="20">
        <f t="shared" si="2"/>
        <v>173.76692305521752</v>
      </c>
      <c r="R25" s="59">
        <f t="shared" si="0"/>
        <v>467.10025638855086</v>
      </c>
      <c r="S25" s="59">
        <f ca="1">AVERAGE(OFFSET($R$3,0,0,'Données projet'!$E$9+1,1))-AVERAGE(OFFSET($H$3,0,0,'Données projet'!$E$9+1,1))</f>
        <v>259.30247982593914</v>
      </c>
      <c r="T25" s="59">
        <f t="shared" si="34"/>
        <v>275.24740346220779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3.8685136781410567</v>
      </c>
      <c r="AB25" s="21">
        <f>EXP(-LN(2)/2)*AB24+(1-EXP(-LN(2)/2))/(LN(2)/2)*V25*Y25*VLOOKUP('Données projet'!$B$9,Paramètres!$A$1:$I$89,3,0)*0.475*44/12</f>
        <v>3.893180755044753</v>
      </c>
      <c r="AC25" s="22">
        <f t="shared" si="3"/>
        <v>7.7616944331858093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22.2</v>
      </c>
      <c r="AI25" s="13">
        <f>IF('Données projet'!$A$62&gt;35,AI24+AH25-AQ24,IF(A25&lt;'Données projet'!$A$62,$AF$205^A25,IF(A25='Données projet'!$A$62,'Données projet'!$B$62,AI24+AH25-AQ24)))</f>
        <v>140.4</v>
      </c>
      <c r="AJ25" s="13">
        <f>AI25*VLOOKUP('Données projet'!$B$10,Paramètres!$A$1:$I$89,3,0)*VLOOKUP('Données projet'!$B$10,Paramètres!$A$1:$I$89,5,0)</f>
        <v>67.53240000000001</v>
      </c>
      <c r="AK25" s="13">
        <f t="shared" si="35"/>
        <v>19.059391490646973</v>
      </c>
      <c r="AL25" s="20">
        <f t="shared" si="4"/>
        <v>150.81403684621014</v>
      </c>
      <c r="AM25" s="59">
        <f t="shared" si="5"/>
        <v>444.14737017954349</v>
      </c>
      <c r="AN25" s="59">
        <f ca="1">AVERAGE(OFFSET($AM$3,0,0,'Données projet'!$E$10+1,1))-AVERAGE(OFFSET($H$3,0,0,'Données projet'!$E$10+1,1))</f>
        <v>297.21955661193238</v>
      </c>
      <c r="AO25" s="59">
        <f t="shared" si="36"/>
        <v>273.69206144662144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13.6</v>
      </c>
      <c r="BD25" s="12">
        <f>IF('Données projet'!$A$88&gt;35,BD24+BC25-BL24,IF(A25&lt;'Données projet'!$A$88,$BA$205^A25,IF(A25='Données projet'!$A$88,'Données projet'!$B$88,BD24+BC25-BL24)))</f>
        <v>145.20000000000002</v>
      </c>
      <c r="BE25" s="13">
        <f>BD25*VLOOKUP('Données projet'!$B$11,Paramètres!$A$1:$I$89,3,0)*VLOOKUP('Données projet'!$B$11,Paramètres!$A$1:$I$89,5,0)</f>
        <v>92.869920000000008</v>
      </c>
      <c r="BF25" s="13">
        <f t="shared" si="37"/>
        <v>25.256111022695123</v>
      </c>
      <c r="BG25" s="20">
        <f t="shared" si="7"/>
        <v>205.73617069786067</v>
      </c>
      <c r="BH25" s="59">
        <f t="shared" si="8"/>
        <v>499.06950403119401</v>
      </c>
      <c r="BI25" s="59">
        <f ca="1">AVERAGE(OFFSET($BH$3,0,0,'Données projet'!$E$11+1,1))-AVERAGE(OFFSET($H$3,0,0,'Données projet'!$E$11+1,1))</f>
        <v>176.90404027101607</v>
      </c>
      <c r="BJ25" s="59">
        <f t="shared" si="38"/>
        <v>295.34177980841878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2.0784209892971131</v>
      </c>
      <c r="BQ25" s="21">
        <f>EXP(-LN(2)/25)*BQ24+(1-EXP(-LN(2)/25))/(LN(2)/25)*Calculateur!BL25*Calculateur!BN25*VLOOKUP('Données projet'!$B$11,Paramètres!$A$1:$I$89,3,0)*0.475*44/12</f>
        <v>10.286882601889358</v>
      </c>
      <c r="BR25" s="21">
        <f>EXP(-LN(2)/2)*BR24+(1-EXP(-LN(2)/2))/(LN(2)/2)*BL25*BO25*VLOOKUP('Données projet'!$B$11,Paramètres!$A$1:$I$89,3,0)*0.475*44/12</f>
        <v>0.53923996283653441</v>
      </c>
      <c r="BS25" s="22">
        <f t="shared" si="9"/>
        <v>12.904543554023006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22.2</v>
      </c>
      <c r="BY25" s="12">
        <f>IF('Données projet'!$A$114&gt;35,BY24+BX25-CG24,IF(A25&lt;'Données projet'!$A$114,$BV$205^A25,IF(A25='Données projet'!$A$114,'Données projet'!$B$114,BY24+BX25-CG24)))</f>
        <v>143.39999999999998</v>
      </c>
      <c r="BZ25" s="13">
        <f>BY25*VLOOKUP('Données projet'!$B$12,Paramètres!$A$1:$I$89,3,0)*VLOOKUP('Données projet'!$B$12,Paramètres!$A$1:$I$89,5,0)</f>
        <v>80.160599999999988</v>
      </c>
      <c r="CA25" s="13">
        <f t="shared" si="39"/>
        <v>22.176447079115164</v>
      </c>
      <c r="CB25" s="20">
        <f t="shared" si="10"/>
        <v>178.23702366279221</v>
      </c>
      <c r="CC25" s="59">
        <f t="shared" si="11"/>
        <v>471.5703569961255</v>
      </c>
      <c r="CD25" s="59">
        <f ca="1">AVERAGE(OFFSET($CC$3,0,0,'Données projet'!$E$12+1,1))-AVERAGE(OFFSET($H$3,0,0,'Données projet'!$E$12+1,1))</f>
        <v>326.31232746914907</v>
      </c>
      <c r="CE25" s="59">
        <f t="shared" si="40"/>
        <v>330.17137761430297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12.106473334900793</v>
      </c>
      <c r="CM25" s="21">
        <f>EXP(-LN(2)/2)*CM24+(1-EXP(-LN(2)/2))/(LN(2)/2)*CG25*CJ25*VLOOKUP('Données projet'!$B$12,Paramètres!$A$1:$I$89,3,0)*0.475*44/12</f>
        <v>9.9684562054973895</v>
      </c>
      <c r="CN25" s="22">
        <f t="shared" si="12"/>
        <v>22.07492954039818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16.399999999999999</v>
      </c>
      <c r="CT25" s="12">
        <f>IF('Données projet'!$A$140&gt;35,CT24+CS25-DB24,IF(A25&lt;'Données projet'!$A$140,$CQ$205^A25,IF(A25='Données projet'!$A$140,'Données projet'!$B$140,CT24+CS25-DB24)))</f>
        <v>128.79999999999998</v>
      </c>
      <c r="CU25" s="17">
        <f>CT25*VLOOKUP('Données projet'!$B$13,Paramètres!$A$1:$I$89,3,0)*VLOOKUP('Données projet'!$B$13,Paramètres!$A$1:$I$89,5,0)</f>
        <v>70.324799999999982</v>
      </c>
      <c r="CV25" s="13">
        <f t="shared" si="41"/>
        <v>19.754095114409182</v>
      </c>
      <c r="CW25" s="20">
        <f t="shared" si="13"/>
        <v>156.88740899092929</v>
      </c>
      <c r="CX25" s="59">
        <f t="shared" si="14"/>
        <v>450.22074232426257</v>
      </c>
      <c r="CY25" s="59">
        <f ca="1">AVERAGE(OFFSET($CX$3,0,0,'Données projet'!$E$13+1,1))-AVERAGE(OFFSET($H$3,0,0,'Données projet'!$E$13+1,1))</f>
        <v>210.04871822652808</v>
      </c>
      <c r="CZ25" s="59">
        <f t="shared" si="42"/>
        <v>250.17540614049324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16.585612518003622</v>
      </c>
      <c r="DH25" s="21">
        <f>EXP(-LN(2)/2)*DH24+(1-EXP(-LN(2)/2))/(LN(2)/2)*DB25*DE25*VLOOKUP('Données projet'!$B$13,Paramètres!$A$1:$I$89,3,0)*0.475*44/12</f>
        <v>12.51852639760137</v>
      </c>
      <c r="DI25" s="22">
        <f t="shared" si="15"/>
        <v>29.104138915604992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14.5</v>
      </c>
      <c r="DO25" s="12">
        <f>IF('Données projet'!$A$166&gt;35,DO24+DN25-DW24,IF(A25&lt;'Données projet'!$A$166,$DL$205^A25,IF(A25='Données projet'!$A$166,'Données projet'!$B$166,DO24+DN25-DW24)))</f>
        <v>96</v>
      </c>
      <c r="DP25" s="17">
        <f>DO25*VLOOKUP('Données projet'!$B$14,Paramètres!$A$1:$I$89,3,0)*VLOOKUP('Données projet'!$B$14,Paramètres!$A$1:$I$89,5,0)</f>
        <v>70.387199999999993</v>
      </c>
      <c r="DQ25" s="13">
        <f t="shared" si="43"/>
        <v>19.769582086327805</v>
      </c>
      <c r="DR25" s="20">
        <f t="shared" si="16"/>
        <v>157.02306213368757</v>
      </c>
      <c r="DS25" s="59">
        <f t="shared" si="17"/>
        <v>450.35639546702089</v>
      </c>
      <c r="DT25" s="59">
        <f ca="1">AVERAGE(OFFSET($DS$3,0,0,'Données projet'!$E$14+1,1))-AVERAGE(OFFSET($H$3,0,0,'Données projet'!$E$14+1,1))</f>
        <v>234.09142087023463</v>
      </c>
      <c r="DU25" s="59">
        <f t="shared" si="44"/>
        <v>278.990685815294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5.5011954591057135</v>
      </c>
      <c r="EC25" s="21">
        <f>EXP(-LN(2)/2)*EC24+(1-EXP(-LN(2)/2))/(LN(2)/2)*DW25*DZ25*VLOOKUP('Données projet'!$B$14,Paramètres!$A$1:$I$89,3,0)*0.475*44/12</f>
        <v>5.7937741954801165</v>
      </c>
      <c r="ED25" s="22">
        <f t="shared" si="18"/>
        <v>11.294969654585831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15.8</v>
      </c>
      <c r="N26" s="13">
        <f>IF('Données projet'!$A$36&gt;35,N25+M26-V25,IF(A26&lt;'Données projet'!$A$36,$K$205^A26,IF(A26='Données projet'!$A$36,'Données projet'!$B$36,N25+M26-V25)))</f>
        <v>146.40000000000003</v>
      </c>
      <c r="O26" s="13">
        <f>N26*VLOOKUP('Données projet'!$B$9,Paramètres!$A$1:$I$89,3,0)*VLOOKUP('Données projet'!$B$9,Paramètres!$A$1:$I$89,5,0)</f>
        <v>87.547200000000032</v>
      </c>
      <c r="P26" s="13">
        <f t="shared" si="33"/>
        <v>23.972720748088616</v>
      </c>
      <c r="Q26" s="20">
        <f t="shared" si="2"/>
        <v>194.23052863625438</v>
      </c>
      <c r="R26" s="59">
        <f t="shared" si="0"/>
        <v>487.56386196958772</v>
      </c>
      <c r="S26" s="59">
        <f ca="1">AVERAGE(OFFSET($R$3,0,0,'Données projet'!$E$9+1,1))-AVERAGE(OFFSET($H$3,0,0,'Données projet'!$E$9+1,1))</f>
        <v>259.30247982593914</v>
      </c>
      <c r="T26" s="59">
        <f t="shared" si="34"/>
        <v>275.24740346220779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3.7627289681759968</v>
      </c>
      <c r="AB26" s="21">
        <f>EXP(-LN(2)/2)*AB25+(1-EXP(-LN(2)/2))/(LN(2)/2)*V26*Y26*VLOOKUP('Données projet'!$B$9,Paramètres!$A$1:$I$89,3,0)*0.475*44/12</f>
        <v>2.7528945122771082</v>
      </c>
      <c r="AC26" s="22">
        <f t="shared" si="3"/>
        <v>6.5156234804531046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22.2</v>
      </c>
      <c r="AI26" s="13">
        <f>IF('Données projet'!$A$62&gt;35,AI25+AH26-AQ25,IF(A26&lt;'Données projet'!$A$62,$AF$205^A26,IF(A26='Données projet'!$A$62,'Données projet'!$B$62,AI25+AH26-AQ25)))</f>
        <v>162.6</v>
      </c>
      <c r="AJ26" s="13">
        <f>AI26*VLOOKUP('Données projet'!$B$10,Paramètres!$A$1:$I$89,3,0)*VLOOKUP('Données projet'!$B$10,Paramètres!$A$1:$I$89,5,0)</f>
        <v>78.210599999999999</v>
      </c>
      <c r="AK26" s="13">
        <f t="shared" si="35"/>
        <v>21.699092173018201</v>
      </c>
      <c r="AL26" s="20">
        <f t="shared" si="4"/>
        <v>174.00938053467337</v>
      </c>
      <c r="AM26" s="59">
        <f t="shared" si="5"/>
        <v>467.34271386800668</v>
      </c>
      <c r="AN26" s="59">
        <f ca="1">AVERAGE(OFFSET($AM$3,0,0,'Données projet'!$E$10+1,1))-AVERAGE(OFFSET($H$3,0,0,'Données projet'!$E$10+1,1))</f>
        <v>297.21955661193238</v>
      </c>
      <c r="AO26" s="59">
        <f t="shared" si="36"/>
        <v>273.69206144662144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13.6</v>
      </c>
      <c r="BD26" s="12">
        <f>IF('Données projet'!$A$88&gt;35,BD25+BC26-BL25,IF(A26&lt;'Données projet'!$A$88,$BA$205^A26,IF(A26='Données projet'!$A$88,'Données projet'!$B$88,BD25+BC26-BL25)))</f>
        <v>158.80000000000001</v>
      </c>
      <c r="BE26" s="13">
        <f>BD26*VLOOKUP('Données projet'!$B$11,Paramètres!$A$1:$I$89,3,0)*VLOOKUP('Données projet'!$B$11,Paramètres!$A$1:$I$89,5,0)</f>
        <v>101.56848000000001</v>
      </c>
      <c r="BF26" s="13">
        <f t="shared" si="37"/>
        <v>27.335327148650823</v>
      </c>
      <c r="BG26" s="20">
        <f t="shared" si="7"/>
        <v>224.50746411723352</v>
      </c>
      <c r="BH26" s="59">
        <f t="shared" si="8"/>
        <v>517.84079745056681</v>
      </c>
      <c r="BI26" s="59">
        <f ca="1">AVERAGE(OFFSET($BH$3,0,0,'Données projet'!$E$11+1,1))-AVERAGE(OFFSET($H$3,0,0,'Données projet'!$E$11+1,1))</f>
        <v>176.90404027101607</v>
      </c>
      <c r="BJ26" s="59">
        <f t="shared" si="38"/>
        <v>295.34177980841878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2.0376644214086239</v>
      </c>
      <c r="BQ26" s="21">
        <f>EXP(-LN(2)/25)*BQ25+(1-EXP(-LN(2)/25))/(LN(2)/25)*Calculateur!BL26*Calculateur!BN26*VLOOKUP('Données projet'!$B$11,Paramètres!$A$1:$I$89,3,0)*0.475*44/12</f>
        <v>10.005587256177048</v>
      </c>
      <c r="BR26" s="21">
        <f>EXP(-LN(2)/2)*BR25+(1-EXP(-LN(2)/2))/(LN(2)/2)*BL26*BO26*VLOOKUP('Données projet'!$B$11,Paramètres!$A$1:$I$89,3,0)*0.475*44/12</f>
        <v>0.38130023440849536</v>
      </c>
      <c r="BS26" s="22">
        <f t="shared" si="9"/>
        <v>12.424551911994168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22.2</v>
      </c>
      <c r="BY26" s="12">
        <f>IF('Données projet'!$A$114&gt;35,BY25+BX26-CG25,IF(A26&lt;'Données projet'!$A$114,$BV$205^A26,IF(A26='Données projet'!$A$114,'Données projet'!$B$114,BY25+BX26-CG25)))</f>
        <v>165.59999999999997</v>
      </c>
      <c r="BZ26" s="13">
        <f>BY26*VLOOKUP('Données projet'!$B$12,Paramètres!$A$1:$I$89,3,0)*VLOOKUP('Données projet'!$B$12,Paramètres!$A$1:$I$89,5,0)</f>
        <v>92.570399999999978</v>
      </c>
      <c r="CA26" s="13">
        <f t="shared" si="39"/>
        <v>25.184123943972491</v>
      </c>
      <c r="CB26" s="20">
        <f t="shared" si="10"/>
        <v>205.08912920241869</v>
      </c>
      <c r="CC26" s="59">
        <f t="shared" si="11"/>
        <v>498.422462535752</v>
      </c>
      <c r="CD26" s="59">
        <f ca="1">AVERAGE(OFFSET($CC$3,0,0,'Données projet'!$E$12+1,1))-AVERAGE(OFFSET($H$3,0,0,'Données projet'!$E$12+1,1))</f>
        <v>326.31232746914907</v>
      </c>
      <c r="CE26" s="59">
        <f t="shared" si="40"/>
        <v>330.17137761430297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11.775421184906168</v>
      </c>
      <c r="CM26" s="21">
        <f>EXP(-LN(2)/2)*CM25+(1-EXP(-LN(2)/2))/(LN(2)/2)*CG26*CJ26*VLOOKUP('Données projet'!$B$12,Paramètres!$A$1:$I$89,3,0)*0.475*44/12</f>
        <v>7.0487629808683252</v>
      </c>
      <c r="CN26" s="22">
        <f t="shared" si="12"/>
        <v>18.824184165774493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16.399999999999999</v>
      </c>
      <c r="CT26" s="12">
        <f>IF('Données projet'!$A$140&gt;35,CT25+CS26-DB25,IF(A26&lt;'Données projet'!$A$140,$CQ$205^A26,IF(A26='Données projet'!$A$140,'Données projet'!$B$140,CT25+CS26-DB25)))</f>
        <v>145.19999999999999</v>
      </c>
      <c r="CU26" s="17">
        <f>CT26*VLOOKUP('Données projet'!$B$13,Paramètres!$A$1:$I$89,3,0)*VLOOKUP('Données projet'!$B$13,Paramètres!$A$1:$I$89,5,0)</f>
        <v>79.279199999999989</v>
      </c>
      <c r="CV26" s="13">
        <f t="shared" si="41"/>
        <v>21.960852053344638</v>
      </c>
      <c r="CW26" s="20">
        <f t="shared" si="13"/>
        <v>176.32642399290856</v>
      </c>
      <c r="CX26" s="59">
        <f t="shared" si="14"/>
        <v>469.6597573262419</v>
      </c>
      <c r="CY26" s="59">
        <f ca="1">AVERAGE(OFFSET($CX$3,0,0,'Données projet'!$E$13+1,1))-AVERAGE(OFFSET($H$3,0,0,'Données projet'!$E$13+1,1))</f>
        <v>210.04871822652808</v>
      </c>
      <c r="CZ26" s="59">
        <f t="shared" si="42"/>
        <v>250.17540614049324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16.132078071499357</v>
      </c>
      <c r="DH26" s="21">
        <f>EXP(-LN(2)/2)*DH25+(1-EXP(-LN(2)/2))/(LN(2)/2)*DB26*DE26*VLOOKUP('Données projet'!$B$13,Paramètres!$A$1:$I$89,3,0)*0.475*44/12</f>
        <v>8.851934906206731</v>
      </c>
      <c r="DI26" s="22">
        <f t="shared" si="15"/>
        <v>24.984012977706087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14.5</v>
      </c>
      <c r="DO26" s="12">
        <f>IF('Données projet'!$A$166&gt;35,DO25+DN26-DW25,IF(A26&lt;'Données projet'!$A$166,$DL$205^A26,IF(A26='Données projet'!$A$166,'Données projet'!$B$166,DO25+DN26-DW25)))</f>
        <v>110.5</v>
      </c>
      <c r="DP26" s="17">
        <f>DO26*VLOOKUP('Données projet'!$B$14,Paramètres!$A$1:$I$89,3,0)*VLOOKUP('Données projet'!$B$14,Paramètres!$A$1:$I$89,5,0)</f>
        <v>81.018599999999992</v>
      </c>
      <c r="DQ26" s="13">
        <f t="shared" si="43"/>
        <v>22.386053436560296</v>
      </c>
      <c r="DR26" s="20">
        <f t="shared" si="16"/>
        <v>180.09643806867584</v>
      </c>
      <c r="DS26" s="59">
        <f t="shared" si="17"/>
        <v>473.42977140200912</v>
      </c>
      <c r="DT26" s="59">
        <f ca="1">AVERAGE(OFFSET($DS$3,0,0,'Données projet'!$E$14+1,1))-AVERAGE(OFFSET($H$3,0,0,'Données projet'!$E$14+1,1))</f>
        <v>234.09142087023463</v>
      </c>
      <c r="DU26" s="59">
        <f t="shared" si="44"/>
        <v>278.990685815294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5.3507649799811716</v>
      </c>
      <c r="EC26" s="21">
        <f>EXP(-LN(2)/2)*EC25+(1-EXP(-LN(2)/2))/(LN(2)/2)*DW26*DZ26*VLOOKUP('Données projet'!$B$14,Paramètres!$A$1:$I$89,3,0)*0.475*44/12</f>
        <v>4.0968170222876248</v>
      </c>
      <c r="ED26" s="22">
        <f t="shared" si="18"/>
        <v>9.4475820022687955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15.8</v>
      </c>
      <c r="N27" s="13">
        <f>IF('Données projet'!$A$36&gt;35,N26+M27-V26,IF(A27&lt;'Données projet'!$A$36,$K$205^A27,IF(A27='Données projet'!$A$36,'Données projet'!$B$36,N26+M27-V26)))</f>
        <v>162.20000000000005</v>
      </c>
      <c r="O27" s="13">
        <f>N27*VLOOKUP('Données projet'!$B$9,Paramètres!$A$1:$I$89,3,0)*VLOOKUP('Données projet'!$B$9,Paramètres!$A$1:$I$89,5,0)</f>
        <v>96.995600000000039</v>
      </c>
      <c r="P27" s="13">
        <f t="shared" si="33"/>
        <v>26.244974914188191</v>
      </c>
      <c r="Q27" s="20">
        <f t="shared" si="2"/>
        <v>214.64400130887782</v>
      </c>
      <c r="R27" s="59">
        <f t="shared" si="0"/>
        <v>507.97733464221113</v>
      </c>
      <c r="S27" s="59">
        <f ca="1">AVERAGE(OFFSET($R$3,0,0,'Données projet'!$E$9+1,1))-AVERAGE(OFFSET($H$3,0,0,'Données projet'!$E$9+1,1))</f>
        <v>259.30247982593914</v>
      </c>
      <c r="T27" s="59">
        <f t="shared" si="34"/>
        <v>275.24740346220779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3.6598369466679075</v>
      </c>
      <c r="AB27" s="21">
        <f>EXP(-LN(2)/2)*AB26+(1-EXP(-LN(2)/2))/(LN(2)/2)*V27*Y27*VLOOKUP('Données projet'!$B$9,Paramètres!$A$1:$I$89,3,0)*0.475*44/12</f>
        <v>1.9465903775223767</v>
      </c>
      <c r="AC27" s="22">
        <f t="shared" si="3"/>
        <v>5.6064273241902844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22.2</v>
      </c>
      <c r="AI27" s="13">
        <f>IF('Données projet'!$A$62&gt;35,AI26+AH27-AQ26,IF(A27&lt;'Données projet'!$A$62,$AF$205^A27,IF(A27='Données projet'!$A$62,'Données projet'!$B$62,AI26+AH27-AQ26)))</f>
        <v>184.79999999999998</v>
      </c>
      <c r="AJ27" s="13">
        <f>AI27*VLOOKUP('Données projet'!$B$10,Paramètres!$A$1:$I$89,3,0)*VLOOKUP('Données projet'!$B$10,Paramètres!$A$1:$I$89,5,0)</f>
        <v>88.888799999999989</v>
      </c>
      <c r="AK27" s="13">
        <f t="shared" si="35"/>
        <v>24.297036846372382</v>
      </c>
      <c r="AL27" s="20">
        <f t="shared" si="4"/>
        <v>197.13199917409852</v>
      </c>
      <c r="AM27" s="59">
        <f t="shared" si="5"/>
        <v>490.46533250743187</v>
      </c>
      <c r="AN27" s="59">
        <f ca="1">AVERAGE(OFFSET($AM$3,0,0,'Données projet'!$E$10+1,1))-AVERAGE(OFFSET($H$3,0,0,'Données projet'!$E$10+1,1))</f>
        <v>297.21955661193238</v>
      </c>
      <c r="AO27" s="59">
        <f t="shared" si="36"/>
        <v>273.69206144662144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13.6</v>
      </c>
      <c r="BD27" s="12">
        <f>IF('Données projet'!$A$88&gt;35,BD26+BC27-BL26,IF(A27&lt;'Données projet'!$A$88,$BA$205^A27,IF(A27='Données projet'!$A$88,'Données projet'!$B$88,BD26+BC27-BL26)))</f>
        <v>172.4</v>
      </c>
      <c r="BE27" s="13">
        <f>BD27*VLOOKUP('Données projet'!$B$11,Paramètres!$A$1:$I$89,3,0)*VLOOKUP('Données projet'!$B$11,Paramètres!$A$1:$I$89,5,0)</f>
        <v>110.26703999999999</v>
      </c>
      <c r="BF27" s="13">
        <f t="shared" si="37"/>
        <v>29.393892398011396</v>
      </c>
      <c r="BG27" s="20">
        <f t="shared" si="7"/>
        <v>243.24279059320318</v>
      </c>
      <c r="BH27" s="59">
        <f t="shared" si="8"/>
        <v>536.57612392653652</v>
      </c>
      <c r="BI27" s="59">
        <f ca="1">AVERAGE(OFFSET($BH$3,0,0,'Données projet'!$E$11+1,1))-AVERAGE(OFFSET($H$3,0,0,'Données projet'!$E$11+1,1))</f>
        <v>176.90404027101607</v>
      </c>
      <c r="BJ27" s="59">
        <f t="shared" si="38"/>
        <v>295.34177980841878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1.9977070649573763</v>
      </c>
      <c r="BQ27" s="21">
        <f>EXP(-LN(2)/25)*BQ26+(1-EXP(-LN(2)/25))/(LN(2)/25)*Calculateur!BL27*Calculateur!BN27*VLOOKUP('Données projet'!$B$11,Paramètres!$A$1:$I$89,3,0)*0.475*44/12</f>
        <v>9.7319839464859204</v>
      </c>
      <c r="BR27" s="21">
        <f>EXP(-LN(2)/2)*BR26+(1-EXP(-LN(2)/2))/(LN(2)/2)*BL27*BO27*VLOOKUP('Données projet'!$B$11,Paramètres!$A$1:$I$89,3,0)*0.475*44/12</f>
        <v>0.26961998141826721</v>
      </c>
      <c r="BS27" s="22">
        <f t="shared" si="9"/>
        <v>11.999310992861565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22.2</v>
      </c>
      <c r="BY27" s="12">
        <f>IF('Données projet'!$A$114&gt;35,BY26+BX27-CG26,IF(A27&lt;'Données projet'!$A$114,$BV$205^A27,IF(A27='Données projet'!$A$114,'Données projet'!$B$114,BY26+BX27-CG26)))</f>
        <v>187.79999999999995</v>
      </c>
      <c r="BZ27" s="13">
        <f>BY27*VLOOKUP('Données projet'!$B$12,Paramètres!$A$1:$I$89,3,0)*VLOOKUP('Données projet'!$B$12,Paramètres!$A$1:$I$89,5,0)</f>
        <v>104.98019999999997</v>
      </c>
      <c r="CA27" s="13">
        <f t="shared" si="39"/>
        <v>28.145084690033578</v>
      </c>
      <c r="CB27" s="20">
        <f t="shared" si="10"/>
        <v>231.85987083514172</v>
      </c>
      <c r="CC27" s="59">
        <f t="shared" si="11"/>
        <v>525.19320416847506</v>
      </c>
      <c r="CD27" s="59">
        <f ca="1">AVERAGE(OFFSET($CC$3,0,0,'Données projet'!$E$12+1,1))-AVERAGE(OFFSET($H$3,0,0,'Données projet'!$E$12+1,1))</f>
        <v>326.31232746914907</v>
      </c>
      <c r="CE27" s="59">
        <f t="shared" si="40"/>
        <v>330.17137761430297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11.453421673362422</v>
      </c>
      <c r="CM27" s="21">
        <f>EXP(-LN(2)/2)*CM26+(1-EXP(-LN(2)/2))/(LN(2)/2)*CG27*CJ27*VLOOKUP('Données projet'!$B$12,Paramètres!$A$1:$I$89,3,0)*0.475*44/12</f>
        <v>4.9842281027486957</v>
      </c>
      <c r="CN27" s="22">
        <f t="shared" si="12"/>
        <v>16.437649776111119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16.399999999999999</v>
      </c>
      <c r="CT27" s="12">
        <f>IF('Données projet'!$A$140&gt;35,CT26+CS27-DB26,IF(A27&lt;'Données projet'!$A$140,$CQ$205^A27,IF(A27='Données projet'!$A$140,'Données projet'!$B$140,CT26+CS27-DB26)))</f>
        <v>161.6</v>
      </c>
      <c r="CU27" s="17">
        <f>CT27*VLOOKUP('Données projet'!$B$13,Paramètres!$A$1:$I$89,3,0)*VLOOKUP('Données projet'!$B$13,Paramètres!$A$1:$I$89,5,0)</f>
        <v>88.23360000000001</v>
      </c>
      <c r="CV27" s="13">
        <f t="shared" si="41"/>
        <v>24.138721634312098</v>
      </c>
      <c r="CW27" s="20">
        <f t="shared" si="13"/>
        <v>195.7151268464269</v>
      </c>
      <c r="CX27" s="59">
        <f t="shared" si="14"/>
        <v>489.04846017976024</v>
      </c>
      <c r="CY27" s="59">
        <f ca="1">AVERAGE(OFFSET($CX$3,0,0,'Données projet'!$E$13+1,1))-AVERAGE(OFFSET($H$3,0,0,'Données projet'!$E$13+1,1))</f>
        <v>210.04871822652808</v>
      </c>
      <c r="CZ27" s="59">
        <f t="shared" si="42"/>
        <v>250.17540614049324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15.690945548285091</v>
      </c>
      <c r="DH27" s="21">
        <f>EXP(-LN(2)/2)*DH26+(1-EXP(-LN(2)/2))/(LN(2)/2)*DB27*DE27*VLOOKUP('Données projet'!$B$13,Paramètres!$A$1:$I$89,3,0)*0.475*44/12</f>
        <v>6.259263198800685</v>
      </c>
      <c r="DI27" s="22">
        <f t="shared" si="15"/>
        <v>21.950208747085775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14.5</v>
      </c>
      <c r="DO27" s="12">
        <f>IF('Données projet'!$A$166&gt;35,DO26+DN27-DW26,IF(A27&lt;'Données projet'!$A$166,$DL$205^A27,IF(A27='Données projet'!$A$166,'Données projet'!$B$166,DO26+DN27-DW26)))</f>
        <v>125</v>
      </c>
      <c r="DP27" s="17">
        <f>DO27*VLOOKUP('Données projet'!$B$14,Paramètres!$A$1:$I$89,3,0)*VLOOKUP('Données projet'!$B$14,Paramètres!$A$1:$I$89,5,0)</f>
        <v>91.65</v>
      </c>
      <c r="DQ27" s="13">
        <f t="shared" si="43"/>
        <v>24.962743528770854</v>
      </c>
      <c r="DR27" s="20">
        <f t="shared" si="16"/>
        <v>203.10052831260927</v>
      </c>
      <c r="DS27" s="59">
        <f t="shared" si="17"/>
        <v>496.43386164594256</v>
      </c>
      <c r="DT27" s="59">
        <f ca="1">AVERAGE(OFFSET($DS$3,0,0,'Données projet'!$E$14+1,1))-AVERAGE(OFFSET($H$3,0,0,'Données projet'!$E$14+1,1))</f>
        <v>234.09142087023463</v>
      </c>
      <c r="DU27" s="59">
        <f t="shared" si="44"/>
        <v>278.990685815294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5.2044480302190852</v>
      </c>
      <c r="EC27" s="21">
        <f>EXP(-LN(2)/2)*EC26+(1-EXP(-LN(2)/2))/(LN(2)/2)*DW27*DZ27*VLOOKUP('Données projet'!$B$14,Paramètres!$A$1:$I$89,3,0)*0.475*44/12</f>
        <v>2.8968870977400587</v>
      </c>
      <c r="ED27" s="22">
        <f t="shared" si="18"/>
        <v>8.1013351279591443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15.8</v>
      </c>
      <c r="N28" s="13">
        <f>IF('Données projet'!$A$36&gt;35,N27+M28-V27,IF(A28&lt;'Données projet'!$A$36,$K$205^A28,IF(A28='Données projet'!$A$36,'Données projet'!$B$36,N27+M28-V27)))</f>
        <v>178.00000000000006</v>
      </c>
      <c r="O28" s="13">
        <f>N28*VLOOKUP('Données projet'!$B$9,Paramètres!$A$1:$I$89,3,0)*VLOOKUP('Données projet'!$B$9,Paramètres!$A$1:$I$89,5,0)</f>
        <v>106.44400000000003</v>
      </c>
      <c r="P28" s="13">
        <f t="shared" si="33"/>
        <v>28.491567625901947</v>
      </c>
      <c r="Q28" s="20">
        <f t="shared" si="2"/>
        <v>235.01278028177921</v>
      </c>
      <c r="R28" s="59">
        <f t="shared" si="0"/>
        <v>528.34611361511247</v>
      </c>
      <c r="S28" s="59">
        <f ca="1">AVERAGE(OFFSET($R$3,0,0,'Données projet'!$E$9+1,1))-AVERAGE(OFFSET($H$3,0,0,'Données projet'!$E$9+1,1))</f>
        <v>259.30247982593914</v>
      </c>
      <c r="T28" s="59">
        <f t="shared" si="34"/>
        <v>275.24740346220779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3.5597585128988132</v>
      </c>
      <c r="AB28" s="21">
        <f>EXP(-LN(2)/2)*AB27+(1-EXP(-LN(2)/2))/(LN(2)/2)*V28*Y28*VLOOKUP('Données projet'!$B$9,Paramètres!$A$1:$I$89,3,0)*0.475*44/12</f>
        <v>1.3764472561385543</v>
      </c>
      <c r="AC28" s="22">
        <f t="shared" si="3"/>
        <v>4.9362057690373673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22.2</v>
      </c>
      <c r="AI28" s="13">
        <f>IF('Données projet'!$A$62&gt;35,AI27+AH28-AQ27,IF(A28&lt;'Données projet'!$A$62,$AF$205^A28,IF(A28='Données projet'!$A$62,'Données projet'!$B$62,AI27+AH28-AQ27)))</f>
        <v>206.99999999999997</v>
      </c>
      <c r="AJ28" s="13">
        <f>AI28*VLOOKUP('Données projet'!$B$10,Paramètres!$A$1:$I$89,3,0)*VLOOKUP('Données projet'!$B$10,Paramètres!$A$1:$I$89,5,0)</f>
        <v>99.566999999999993</v>
      </c>
      <c r="AK28" s="13">
        <f t="shared" si="35"/>
        <v>26.858815231289142</v>
      </c>
      <c r="AL28" s="20">
        <f t="shared" si="4"/>
        <v>220.19162819449525</v>
      </c>
      <c r="AM28" s="59">
        <f t="shared" si="5"/>
        <v>513.52496152782851</v>
      </c>
      <c r="AN28" s="59">
        <f ca="1">AVERAGE(OFFSET($AM$3,0,0,'Données projet'!$E$10+1,1))-AVERAGE(OFFSET($H$3,0,0,'Données projet'!$E$10+1,1))</f>
        <v>297.21955661193238</v>
      </c>
      <c r="AO28" s="59">
        <f t="shared" si="36"/>
        <v>273.69206144662144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186</v>
      </c>
      <c r="BB28" s="12">
        <f>VLOOKUP(A28,'Données projet'!$A$87:$I$107,9,0)</f>
        <v>13.6</v>
      </c>
      <c r="BC28" s="12">
        <f t="array" ref="BC28">INDEX(BB:BB,MIN(IF(ISNUMBER(BB28:BB224),ROW(BB28:BB224),"")))</f>
        <v>13.6</v>
      </c>
      <c r="BD28" s="12">
        <f>IF('Données projet'!$A$88&gt;35,BD27+BC28-BL27,IF(A28&lt;'Données projet'!$A$88,$BA$205^A28,IF(A28='Données projet'!$A$88,'Données projet'!$B$88,BD27+BC28-BL27)))</f>
        <v>186</v>
      </c>
      <c r="BE28" s="13">
        <f>BD28*VLOOKUP('Données projet'!$B$11,Paramètres!$A$1:$I$89,3,0)*VLOOKUP('Données projet'!$B$11,Paramètres!$A$1:$I$89,5,0)</f>
        <v>118.96559999999999</v>
      </c>
      <c r="BF28" s="13">
        <f t="shared" si="37"/>
        <v>31.433621056182272</v>
      </c>
      <c r="BG28" s="20">
        <f t="shared" si="7"/>
        <v>261.94531000618412</v>
      </c>
      <c r="BH28" s="59">
        <f t="shared" si="8"/>
        <v>555.27864333951743</v>
      </c>
      <c r="BI28" s="59">
        <f ca="1">AVERAGE(OFFSET($BH$3,0,0,'Données projet'!$E$11+1,1))-AVERAGE(OFFSET($H$3,0,0,'Données projet'!$E$11+1,1))</f>
        <v>176.90404027101607</v>
      </c>
      <c r="BJ28" s="59">
        <f t="shared" si="38"/>
        <v>295.34177980841878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1.9585332478945567</v>
      </c>
      <c r="BQ28" s="21">
        <f>EXP(-LN(2)/25)*BQ27+(1-EXP(-LN(2)/25))/(LN(2)/25)*Calculateur!BL28*Calculateur!BN28*VLOOKUP('Données projet'!$B$11,Paramètres!$A$1:$I$89,3,0)*0.475*44/12</f>
        <v>9.46586233368647</v>
      </c>
      <c r="BR28" s="21">
        <f>EXP(-LN(2)/2)*BR27+(1-EXP(-LN(2)/2))/(LN(2)/2)*BL28*BO28*VLOOKUP('Données projet'!$B$11,Paramètres!$A$1:$I$89,3,0)*0.475*44/12</f>
        <v>0.19065011720424768</v>
      </c>
      <c r="BS28" s="22">
        <f t="shared" si="9"/>
        <v>11.615045698785275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22.2</v>
      </c>
      <c r="BY28" s="12">
        <f>IF('Données projet'!$A$114&gt;35,BY27+BX28-CG27,IF(A28&lt;'Données projet'!$A$114,$BV$205^A28,IF(A28='Données projet'!$A$114,'Données projet'!$B$114,BY27+BX28-CG27)))</f>
        <v>209.99999999999994</v>
      </c>
      <c r="BZ28" s="13">
        <f>BY28*VLOOKUP('Données projet'!$B$12,Paramètres!$A$1:$I$89,3,0)*VLOOKUP('Données projet'!$B$12,Paramètres!$A$1:$I$89,5,0)</f>
        <v>117.38999999999996</v>
      </c>
      <c r="CA28" s="13">
        <f t="shared" si="39"/>
        <v>31.065482772413461</v>
      </c>
      <c r="CB28" s="20">
        <f t="shared" si="10"/>
        <v>258.55996582862002</v>
      </c>
      <c r="CC28" s="59">
        <f t="shared" si="11"/>
        <v>551.89329916195334</v>
      </c>
      <c r="CD28" s="59">
        <f ca="1">AVERAGE(OFFSET($CC$3,0,0,'Données projet'!$E$12+1,1))-AVERAGE(OFFSET($H$3,0,0,'Données projet'!$E$12+1,1))</f>
        <v>326.31232746914907</v>
      </c>
      <c r="CE28" s="59">
        <f t="shared" si="40"/>
        <v>330.17137761430297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11.140227255395057</v>
      </c>
      <c r="CM28" s="21">
        <f>EXP(-LN(2)/2)*CM27+(1-EXP(-LN(2)/2))/(LN(2)/2)*CG28*CJ28*VLOOKUP('Données projet'!$B$12,Paramètres!$A$1:$I$89,3,0)*0.475*44/12</f>
        <v>3.524381490434163</v>
      </c>
      <c r="CN28" s="22">
        <f t="shared" si="12"/>
        <v>14.66460874582922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16.399999999999999</v>
      </c>
      <c r="CT28" s="12">
        <f>IF('Données projet'!$A$140&gt;35,CT27+CS28-DB27,IF(A28&lt;'Données projet'!$A$140,$CQ$205^A28,IF(A28='Données projet'!$A$140,'Données projet'!$B$140,CT27+CS28-DB27)))</f>
        <v>178</v>
      </c>
      <c r="CU28" s="17">
        <f>CT28*VLOOKUP('Données projet'!$B$13,Paramètres!$A$1:$I$89,3,0)*VLOOKUP('Données projet'!$B$13,Paramètres!$A$1:$I$89,5,0)</f>
        <v>97.187999999999988</v>
      </c>
      <c r="CV28" s="13">
        <f t="shared" si="41"/>
        <v>26.290969297460332</v>
      </c>
      <c r="CW28" s="20">
        <f t="shared" si="13"/>
        <v>215.0592048597434</v>
      </c>
      <c r="CX28" s="59">
        <f t="shared" si="14"/>
        <v>508.39253819307669</v>
      </c>
      <c r="CY28" s="59">
        <f ca="1">AVERAGE(OFFSET($CX$3,0,0,'Données projet'!$E$13+1,1))-AVERAGE(OFFSET($H$3,0,0,'Données projet'!$E$13+1,1))</f>
        <v>210.04871822652808</v>
      </c>
      <c r="CZ28" s="59">
        <f t="shared" si="42"/>
        <v>250.17540614049324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15.261875817116271</v>
      </c>
      <c r="DH28" s="21">
        <f>EXP(-LN(2)/2)*DH27+(1-EXP(-LN(2)/2))/(LN(2)/2)*DB28*DE28*VLOOKUP('Données projet'!$B$13,Paramètres!$A$1:$I$89,3,0)*0.475*44/12</f>
        <v>4.4259674531033655</v>
      </c>
      <c r="DI28" s="22">
        <f t="shared" si="15"/>
        <v>19.687843270219638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14.5</v>
      </c>
      <c r="DO28" s="12">
        <f>IF('Données projet'!$A$166&gt;35,DO27+DN28-DW27,IF(A28&lt;'Données projet'!$A$166,$DL$205^A28,IF(A28='Données projet'!$A$166,'Données projet'!$B$166,DO27+DN28-DW27)))</f>
        <v>139.5</v>
      </c>
      <c r="DP28" s="17">
        <f>DO28*VLOOKUP('Données projet'!$B$14,Paramètres!$A$1:$I$89,3,0)*VLOOKUP('Données projet'!$B$14,Paramètres!$A$1:$I$89,5,0)</f>
        <v>102.2814</v>
      </c>
      <c r="DQ28" s="13">
        <f t="shared" si="43"/>
        <v>27.504794030836063</v>
      </c>
      <c r="DR28" s="20">
        <f t="shared" si="16"/>
        <v>226.04428793703948</v>
      </c>
      <c r="DS28" s="59">
        <f t="shared" si="17"/>
        <v>519.37762127037286</v>
      </c>
      <c r="DT28" s="59">
        <f ca="1">AVERAGE(OFFSET($DS$3,0,0,'Données projet'!$E$14+1,1))-AVERAGE(OFFSET($H$3,0,0,'Données projet'!$E$14+1,1))</f>
        <v>234.09142087023463</v>
      </c>
      <c r="DU28" s="59">
        <f t="shared" si="44"/>
        <v>278.990685815294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5.0621321251427176</v>
      </c>
      <c r="EC28" s="21">
        <f>EXP(-LN(2)/2)*EC27+(1-EXP(-LN(2)/2))/(LN(2)/2)*DW28*DZ28*VLOOKUP('Données projet'!$B$14,Paramètres!$A$1:$I$89,3,0)*0.475*44/12</f>
        <v>2.0484085111438124</v>
      </c>
      <c r="ED28" s="22">
        <f t="shared" si="18"/>
        <v>7.1105406362865295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15.8</v>
      </c>
      <c r="N29" s="13">
        <f>IF('Données projet'!$A$36&gt;35,N28+M29-V28,IF(A29&lt;'Données projet'!$A$36,$K$205^A29,IF(A29='Données projet'!$A$36,'Données projet'!$B$36,N28+M29-V28)))</f>
        <v>193.80000000000007</v>
      </c>
      <c r="O29" s="13">
        <f>N29*VLOOKUP('Données projet'!$B$9,Paramètres!$A$1:$I$89,3,0)*VLOOKUP('Données projet'!$B$9,Paramètres!$A$1:$I$89,5,0)</f>
        <v>115.89240000000005</v>
      </c>
      <c r="P29" s="13">
        <f t="shared" si="33"/>
        <v>30.715035712541134</v>
      </c>
      <c r="Q29" s="20">
        <f t="shared" si="2"/>
        <v>255.34128386600921</v>
      </c>
      <c r="R29" s="59">
        <f t="shared" si="0"/>
        <v>548.67461719934249</v>
      </c>
      <c r="S29" s="59">
        <f ca="1">AVERAGE(OFFSET($R$3,0,0,'Données projet'!$E$9+1,1))-AVERAGE(OFFSET($H$3,0,0,'Données projet'!$E$9+1,1))</f>
        <v>259.30247982593914</v>
      </c>
      <c r="T29" s="59">
        <f t="shared" si="34"/>
        <v>275.24740346220779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3.4624167291640311</v>
      </c>
      <c r="AB29" s="21">
        <f>EXP(-LN(2)/2)*AB28+(1-EXP(-LN(2)/2))/(LN(2)/2)*V29*Y29*VLOOKUP('Données projet'!$B$9,Paramètres!$A$1:$I$89,3,0)*0.475*44/12</f>
        <v>0.97329518876118859</v>
      </c>
      <c r="AC29" s="22">
        <f t="shared" si="3"/>
        <v>4.4357119179252198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22.2</v>
      </c>
      <c r="AI29" s="13">
        <f>IF('Données projet'!$A$62&gt;35,AI28+AH29-AQ28,IF(A29&lt;'Données projet'!$A$62,$AF$205^A29,IF(A29='Données projet'!$A$62,'Données projet'!$B$62,AI28+AH29-AQ28)))</f>
        <v>229.19999999999996</v>
      </c>
      <c r="AJ29" s="13">
        <f>AI29*VLOOKUP('Données projet'!$B$10,Paramètres!$A$1:$I$89,3,0)*VLOOKUP('Données projet'!$B$10,Paramètres!$A$1:$I$89,5,0)</f>
        <v>110.24519999999998</v>
      </c>
      <c r="AK29" s="13">
        <f t="shared" si="35"/>
        <v>29.388748116443562</v>
      </c>
      <c r="AL29" s="20">
        <f t="shared" si="4"/>
        <v>243.19579296947248</v>
      </c>
      <c r="AM29" s="59">
        <f t="shared" si="5"/>
        <v>536.52912630280582</v>
      </c>
      <c r="AN29" s="59">
        <f ca="1">AVERAGE(OFFSET($AM$3,0,0,'Données projet'!$E$10+1,1))-AVERAGE(OFFSET($H$3,0,0,'Données projet'!$E$10+1,1))</f>
        <v>297.21955661193238</v>
      </c>
      <c r="AO29" s="59">
        <f t="shared" si="36"/>
        <v>273.69206144662144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13.8</v>
      </c>
      <c r="BD29" s="12">
        <f>IF('Données projet'!$A$88&gt;35,BD28+BC29-BL28,IF(A29&lt;'Données projet'!$A$88,$BA$205^A29,IF(A29='Données projet'!$A$88,'Données projet'!$B$88,BD28+BC29-BL28)))</f>
        <v>199.8</v>
      </c>
      <c r="BE29" s="13">
        <f>BD29*VLOOKUP('Données projet'!$B$11,Paramètres!$A$1:$I$89,3,0)*VLOOKUP('Données projet'!$B$11,Paramètres!$A$1:$I$89,5,0)</f>
        <v>127.79208000000001</v>
      </c>
      <c r="BF29" s="13">
        <f t="shared" si="37"/>
        <v>33.485666327743346</v>
      </c>
      <c r="BG29" s="20">
        <f t="shared" si="7"/>
        <v>280.89207485415301</v>
      </c>
      <c r="BH29" s="59">
        <f t="shared" si="8"/>
        <v>574.22540818748632</v>
      </c>
      <c r="BI29" s="59">
        <f ca="1">AVERAGE(OFFSET($BH$3,0,0,'Données projet'!$E$11+1,1))-AVERAGE(OFFSET($H$3,0,0,'Données projet'!$E$11+1,1))</f>
        <v>176.90404027101607</v>
      </c>
      <c r="BJ29" s="59">
        <f t="shared" si="38"/>
        <v>295.34177980841878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1.92012760549067</v>
      </c>
      <c r="BQ29" s="21">
        <f>EXP(-LN(2)/25)*BQ28+(1-EXP(-LN(2)/25))/(LN(2)/25)*Calculateur!BL29*Calculateur!BN29*VLOOKUP('Données projet'!$B$11,Paramètres!$A$1:$I$89,3,0)*0.475*44/12</f>
        <v>9.207017830383748</v>
      </c>
      <c r="BR29" s="21">
        <f>EXP(-LN(2)/2)*BR28+(1-EXP(-LN(2)/2))/(LN(2)/2)*BL29*BO29*VLOOKUP('Données projet'!$B$11,Paramètres!$A$1:$I$89,3,0)*0.475*44/12</f>
        <v>0.1348099907091336</v>
      </c>
      <c r="BS29" s="22">
        <f t="shared" si="9"/>
        <v>11.261955426583551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22.2</v>
      </c>
      <c r="BY29" s="12">
        <f>IF('Données projet'!$A$114&gt;35,BY28+BX29-CG28,IF(A29&lt;'Données projet'!$A$114,$BV$205^A29,IF(A29='Données projet'!$A$114,'Données projet'!$B$114,BY28+BX29-CG28)))</f>
        <v>232.19999999999993</v>
      </c>
      <c r="BZ29" s="13">
        <f>BY29*VLOOKUP('Données projet'!$B$12,Paramètres!$A$1:$I$89,3,0)*VLOOKUP('Données projet'!$B$12,Paramètres!$A$1:$I$89,5,0)</f>
        <v>129.79979999999998</v>
      </c>
      <c r="CA29" s="13">
        <f t="shared" si="39"/>
        <v>33.950094841766401</v>
      </c>
      <c r="CB29" s="20">
        <f t="shared" si="10"/>
        <v>285.19773351607643</v>
      </c>
      <c r="CC29" s="59">
        <f t="shared" si="11"/>
        <v>578.53106684940974</v>
      </c>
      <c r="CD29" s="59">
        <f ca="1">AVERAGE(OFFSET($CC$3,0,0,'Données projet'!$E$12+1,1))-AVERAGE(OFFSET($H$3,0,0,'Données projet'!$E$12+1,1))</f>
        <v>326.31232746914907</v>
      </c>
      <c r="CE29" s="59">
        <f t="shared" si="40"/>
        <v>330.17137761430297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10.83559715525719</v>
      </c>
      <c r="CM29" s="21">
        <f>EXP(-LN(2)/2)*CM28+(1-EXP(-LN(2)/2))/(LN(2)/2)*CG29*CJ29*VLOOKUP('Données projet'!$B$12,Paramètres!$A$1:$I$89,3,0)*0.475*44/12</f>
        <v>2.4921140513743483</v>
      </c>
      <c r="CN29" s="22">
        <f t="shared" si="12"/>
        <v>13.327711206631538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194.4</v>
      </c>
      <c r="CU29" s="17">
        <f>CT29*VLOOKUP('Données projet'!$B$13,Paramètres!$A$1:$I$89,3,0)*VLOOKUP('Données projet'!$B$13,Paramètres!$A$1:$I$89,5,0)</f>
        <v>106.14239999999999</v>
      </c>
      <c r="CV29" s="13">
        <f t="shared" si="41"/>
        <v>28.420224211524975</v>
      </c>
      <c r="CW29" s="20">
        <f t="shared" si="13"/>
        <v>234.36323716840596</v>
      </c>
      <c r="CX29" s="59">
        <f t="shared" si="14"/>
        <v>527.6965705017393</v>
      </c>
      <c r="CY29" s="59">
        <f ca="1">AVERAGE(OFFSET($CX$3,0,0,'Données projet'!$E$13+1,1))-AVERAGE(OFFSET($H$3,0,0,'Données projet'!$E$13+1,1))</f>
        <v>210.04871822652808</v>
      </c>
      <c r="CZ29" s="59">
        <f t="shared" si="42"/>
        <v>250.17540614049324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14.844539020310059</v>
      </c>
      <c r="DH29" s="21">
        <f>EXP(-LN(2)/2)*DH28+(1-EXP(-LN(2)/2))/(LN(2)/2)*DB29*DE29*VLOOKUP('Données projet'!$B$13,Paramètres!$A$1:$I$89,3,0)*0.475*44/12</f>
        <v>3.1296315994003425</v>
      </c>
      <c r="DI29" s="22">
        <f t="shared" si="15"/>
        <v>17.974170619710399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14.5</v>
      </c>
      <c r="DO29" s="12">
        <f>IF('Données projet'!$A$166&gt;35,DO28+DN29-DW28,IF(A29&lt;'Données projet'!$A$166,$DL$205^A29,IF(A29='Données projet'!$A$166,'Données projet'!$B$166,DO28+DN29-DW28)))</f>
        <v>154</v>
      </c>
      <c r="DP29" s="17">
        <f>DO29*VLOOKUP('Données projet'!$B$14,Paramètres!$A$1:$I$89,3,0)*VLOOKUP('Données projet'!$B$14,Paramètres!$A$1:$I$89,5,0)</f>
        <v>112.91279999999999</v>
      </c>
      <c r="DQ29" s="13">
        <f t="shared" si="43"/>
        <v>30.016215601722575</v>
      </c>
      <c r="DR29" s="20">
        <f t="shared" si="16"/>
        <v>248.93470217300015</v>
      </c>
      <c r="DS29" s="59">
        <f t="shared" si="17"/>
        <v>542.26803550633349</v>
      </c>
      <c r="DT29" s="59">
        <f ca="1">AVERAGE(OFFSET($DS$3,0,0,'Données projet'!$E$14+1,1))-AVERAGE(OFFSET($H$3,0,0,'Données projet'!$E$14+1,1))</f>
        <v>234.09142087023463</v>
      </c>
      <c r="DU29" s="59">
        <f t="shared" si="44"/>
        <v>278.990685815294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4.9237078559747314</v>
      </c>
      <c r="EC29" s="21">
        <f>EXP(-LN(2)/2)*EC28+(1-EXP(-LN(2)/2))/(LN(2)/2)*DW29*DZ29*VLOOKUP('Données projet'!$B$14,Paramètres!$A$1:$I$89,3,0)*0.475*44/12</f>
        <v>1.4484435488700294</v>
      </c>
      <c r="ED29" s="22">
        <f t="shared" si="18"/>
        <v>6.3721514048447609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15.8</v>
      </c>
      <c r="N30" s="13">
        <f>IF('Données projet'!$A$36&gt;35,N29+M30-V29,IF(A30&lt;'Données projet'!$A$36,$K$205^A30,IF(A30='Données projet'!$A$36,'Données projet'!$B$36,N29+M30-V29)))</f>
        <v>209.60000000000008</v>
      </c>
      <c r="O30" s="13">
        <f>N30*VLOOKUP('Données projet'!$B$9,Paramètres!$A$1:$I$89,3,0)*VLOOKUP('Données projet'!$B$9,Paramètres!$A$1:$I$89,5,0)</f>
        <v>125.34080000000006</v>
      </c>
      <c r="P30" s="13">
        <f t="shared" si="33"/>
        <v>32.917478801659229</v>
      </c>
      <c r="Q30" s="20">
        <f t="shared" si="2"/>
        <v>275.63316891288991</v>
      </c>
      <c r="R30" s="59">
        <f t="shared" si="0"/>
        <v>568.96650224622317</v>
      </c>
      <c r="S30" s="59">
        <f ca="1">AVERAGE(OFFSET($R$3,0,0,'Données projet'!$E$9+1,1))-AVERAGE(OFFSET($H$3,0,0,'Données projet'!$E$9+1,1))</f>
        <v>259.30247982593914</v>
      </c>
      <c r="T30" s="59">
        <f t="shared" si="34"/>
        <v>275.24740346220779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3.3677367616244585</v>
      </c>
      <c r="AB30" s="21">
        <f>EXP(-LN(2)/2)*AB29+(1-EXP(-LN(2)/2))/(LN(2)/2)*V30*Y30*VLOOKUP('Données projet'!$B$9,Paramètres!$A$1:$I$89,3,0)*0.475*44/12</f>
        <v>0.68822362806927728</v>
      </c>
      <c r="AC30" s="22">
        <f t="shared" si="3"/>
        <v>4.0559603896937357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22.2</v>
      </c>
      <c r="AI30" s="13">
        <f>IF('Données projet'!$A$62&gt;35,AI29+AH30-AQ29,IF(A30&lt;'Données projet'!$A$62,$AF$205^A30,IF(A30='Données projet'!$A$62,'Données projet'!$B$62,AI29+AH30-AQ29)))</f>
        <v>251.39999999999995</v>
      </c>
      <c r="AJ30" s="13">
        <f>AI30*VLOOKUP('Données projet'!$B$10,Paramètres!$A$1:$I$89,3,0)*VLOOKUP('Données projet'!$B$10,Paramètres!$A$1:$I$89,5,0)</f>
        <v>120.92339999999999</v>
      </c>
      <c r="AK30" s="13">
        <f t="shared" si="35"/>
        <v>31.890271002959537</v>
      </c>
      <c r="AL30" s="20">
        <f t="shared" si="4"/>
        <v>266.15047699682117</v>
      </c>
      <c r="AM30" s="59">
        <f t="shared" si="5"/>
        <v>559.48381033015448</v>
      </c>
      <c r="AN30" s="59">
        <f ca="1">AVERAGE(OFFSET($AM$3,0,0,'Données projet'!$E$10+1,1))-AVERAGE(OFFSET($H$3,0,0,'Données projet'!$E$10+1,1))</f>
        <v>297.21955661193238</v>
      </c>
      <c r="AO30" s="59">
        <f t="shared" si="36"/>
        <v>273.69206144662144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13.8</v>
      </c>
      <c r="BD30" s="12">
        <f>IF('Données projet'!$A$88&gt;35,BD29+BC30-BL29,IF(A30&lt;'Données projet'!$A$88,$BA$205^A30,IF(A30='Données projet'!$A$88,'Données projet'!$B$88,BD29+BC30-BL29)))</f>
        <v>213.60000000000002</v>
      </c>
      <c r="BE30" s="13">
        <f>BD30*VLOOKUP('Données projet'!$B$11,Paramètres!$A$1:$I$89,3,0)*VLOOKUP('Données projet'!$B$11,Paramètres!$A$1:$I$89,5,0)</f>
        <v>136.61856000000003</v>
      </c>
      <c r="BF30" s="13">
        <f t="shared" si="37"/>
        <v>35.521266238276048</v>
      </c>
      <c r="BG30" s="20">
        <f t="shared" si="7"/>
        <v>299.81019736499746</v>
      </c>
      <c r="BH30" s="59">
        <f t="shared" si="8"/>
        <v>593.14353069833078</v>
      </c>
      <c r="BI30" s="59">
        <f ca="1">AVERAGE(OFFSET($BH$3,0,0,'Données projet'!$E$11+1,1))-AVERAGE(OFFSET($H$3,0,0,'Données projet'!$E$11+1,1))</f>
        <v>176.90404027101607</v>
      </c>
      <c r="BJ30" s="59">
        <f t="shared" si="38"/>
        <v>295.34177980841878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1.8824750743091947</v>
      </c>
      <c r="BQ30" s="21">
        <f>EXP(-LN(2)/25)*BQ29+(1-EXP(-LN(2)/25))/(LN(2)/25)*Calculateur!BL30*Calculateur!BN30*VLOOKUP('Données projet'!$B$11,Paramètres!$A$1:$I$89,3,0)*0.475*44/12</f>
        <v>8.9552514436358788</v>
      </c>
      <c r="BR30" s="21">
        <f>EXP(-LN(2)/2)*BR29+(1-EXP(-LN(2)/2))/(LN(2)/2)*BL30*BO30*VLOOKUP('Données projet'!$B$11,Paramètres!$A$1:$I$89,3,0)*0.475*44/12</f>
        <v>9.5325058602123841E-2</v>
      </c>
      <c r="BS30" s="22">
        <f t="shared" si="9"/>
        <v>10.933051576547197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22.2</v>
      </c>
      <c r="BY30" s="12">
        <f>IF('Données projet'!$A$114&gt;35,BY29+BX30-CG29,IF(A30&lt;'Données projet'!$A$114,$BV$205^A30,IF(A30='Données projet'!$A$114,'Données projet'!$B$114,BY29+BX30-CG29)))</f>
        <v>254.39999999999992</v>
      </c>
      <c r="BZ30" s="13">
        <f>BY30*VLOOKUP('Données projet'!$B$12,Paramètres!$A$1:$I$89,3,0)*VLOOKUP('Données projet'!$B$12,Paramètres!$A$1:$I$89,5,0)</f>
        <v>142.20959999999997</v>
      </c>
      <c r="CA30" s="13">
        <f t="shared" si="39"/>
        <v>36.802731569585617</v>
      </c>
      <c r="CB30" s="20">
        <f t="shared" si="10"/>
        <v>311.77981081702814</v>
      </c>
      <c r="CC30" s="59">
        <f t="shared" si="11"/>
        <v>605.11314415036145</v>
      </c>
      <c r="CD30" s="59">
        <f ca="1">AVERAGE(OFFSET($CC$3,0,0,'Données projet'!$E$12+1,1))-AVERAGE(OFFSET($H$3,0,0,'Données projet'!$E$12+1,1))</f>
        <v>326.31232746914907</v>
      </c>
      <c r="CE30" s="59">
        <f t="shared" si="40"/>
        <v>330.17137761430297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10.539297181227393</v>
      </c>
      <c r="CM30" s="21">
        <f>EXP(-LN(2)/2)*CM29+(1-EXP(-LN(2)/2))/(LN(2)/2)*CG30*CJ30*VLOOKUP('Données projet'!$B$12,Paramètres!$A$1:$I$89,3,0)*0.475*44/12</f>
        <v>1.762190745217082</v>
      </c>
      <c r="CN30" s="22">
        <f t="shared" si="12"/>
        <v>12.301487926444475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210.8</v>
      </c>
      <c r="CU30" s="17">
        <f>CT30*VLOOKUP('Données projet'!$B$13,Paramètres!$A$1:$I$89,3,0)*VLOOKUP('Données projet'!$B$13,Paramètres!$A$1:$I$89,5,0)</f>
        <v>115.0968</v>
      </c>
      <c r="CV30" s="13">
        <f t="shared" si="41"/>
        <v>30.528646626547697</v>
      </c>
      <c r="CW30" s="20">
        <f t="shared" si="13"/>
        <v>253.6309862079039</v>
      </c>
      <c r="CX30" s="59">
        <f t="shared" si="14"/>
        <v>546.96431954123727</v>
      </c>
      <c r="CY30" s="59">
        <f ca="1">AVERAGE(OFFSET($CX$3,0,0,'Données projet'!$E$13+1,1))-AVERAGE(OFFSET($H$3,0,0,'Données projet'!$E$13+1,1))</f>
        <v>210.04871822652808</v>
      </c>
      <c r="CZ30" s="59">
        <f t="shared" si="42"/>
        <v>250.17540614049324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14.438614320159301</v>
      </c>
      <c r="DH30" s="21">
        <f>EXP(-LN(2)/2)*DH29+(1-EXP(-LN(2)/2))/(LN(2)/2)*DB30*DE30*VLOOKUP('Données projet'!$B$13,Paramètres!$A$1:$I$89,3,0)*0.475*44/12</f>
        <v>2.2129837265516827</v>
      </c>
      <c r="DI30" s="22">
        <f t="shared" si="15"/>
        <v>16.651598046710983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14.5</v>
      </c>
      <c r="DO30" s="12">
        <f>IF('Données projet'!$A$166&gt;35,DO29+DN30-DW29,IF(A30&lt;'Données projet'!$A$166,$DL$205^A30,IF(A30='Données projet'!$A$166,'Données projet'!$B$166,DO29+DN30-DW29)))</f>
        <v>168.5</v>
      </c>
      <c r="DP30" s="17">
        <f>DO30*VLOOKUP('Données projet'!$B$14,Paramètres!$A$1:$I$89,3,0)*VLOOKUP('Données projet'!$B$14,Paramètres!$A$1:$I$89,5,0)</f>
        <v>123.54419999999999</v>
      </c>
      <c r="DQ30" s="13">
        <f t="shared" si="43"/>
        <v>32.500220200577459</v>
      </c>
      <c r="DR30" s="20">
        <f t="shared" si="16"/>
        <v>271.77736518267238</v>
      </c>
      <c r="DS30" s="59">
        <f t="shared" si="17"/>
        <v>565.11069851600564</v>
      </c>
      <c r="DT30" s="59">
        <f ca="1">AVERAGE(OFFSET($DS$3,0,0,'Données projet'!$E$14+1,1))-AVERAGE(OFFSET($H$3,0,0,'Données projet'!$E$14+1,1))</f>
        <v>234.09142087023463</v>
      </c>
      <c r="DU30" s="59">
        <f t="shared" si="44"/>
        <v>278.990685815294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4.7890688057265596</v>
      </c>
      <c r="EC30" s="21">
        <f>EXP(-LN(2)/2)*EC29+(1-EXP(-LN(2)/2))/(LN(2)/2)*DW30*DZ30*VLOOKUP('Données projet'!$B$14,Paramètres!$A$1:$I$89,3,0)*0.475*44/12</f>
        <v>1.0242042555719062</v>
      </c>
      <c r="ED30" s="22">
        <f t="shared" si="18"/>
        <v>5.8132730612984655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15.8</v>
      </c>
      <c r="N31" s="13">
        <f>IF('Données projet'!$A$36&gt;35,N30+M31-V30,IF(A31&lt;'Données projet'!$A$36,$K$205^A31,IF(A31='Données projet'!$A$36,'Données projet'!$B$36,N30+M31-V30)))</f>
        <v>225.40000000000009</v>
      </c>
      <c r="O31" s="13">
        <f>N31*VLOOKUP('Données projet'!$B$9,Paramètres!$A$1:$I$89,3,0)*VLOOKUP('Données projet'!$B$9,Paramètres!$A$1:$I$89,5,0)</f>
        <v>134.78920000000005</v>
      </c>
      <c r="P31" s="13">
        <f t="shared" si="33"/>
        <v>35.100662005900844</v>
      </c>
      <c r="Q31" s="20">
        <f t="shared" si="2"/>
        <v>295.89150966027745</v>
      </c>
      <c r="R31" s="59">
        <f t="shared" si="0"/>
        <v>589.22484299361076</v>
      </c>
      <c r="S31" s="59">
        <f ca="1">AVERAGE(OFFSET($R$3,0,0,'Données projet'!$E$9+1,1))-AVERAGE(OFFSET($H$3,0,0,'Données projet'!$E$9+1,1))</f>
        <v>259.30247982593914</v>
      </c>
      <c r="T31" s="59">
        <f t="shared" si="34"/>
        <v>275.24740346220779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3.2756458227762586</v>
      </c>
      <c r="AB31" s="21">
        <f>EXP(-LN(2)/2)*AB30+(1-EXP(-LN(2)/2))/(LN(2)/2)*V31*Y31*VLOOKUP('Données projet'!$B$9,Paramètres!$A$1:$I$89,3,0)*0.475*44/12</f>
        <v>0.48664759438059435</v>
      </c>
      <c r="AC31" s="22">
        <f t="shared" si="3"/>
        <v>3.7622934171568527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22.2</v>
      </c>
      <c r="AI31" s="13">
        <f>IF('Données projet'!$A$62&gt;35,AI30+AH31-AQ30,IF(A31&lt;'Données projet'!$A$62,$AF$205^A31,IF(A31='Données projet'!$A$62,'Données projet'!$B$62,AI30+AH31-AQ30)))</f>
        <v>273.59999999999997</v>
      </c>
      <c r="AJ31" s="13">
        <f>AI31*VLOOKUP('Données projet'!$B$10,Paramètres!$A$1:$I$89,3,0)*VLOOKUP('Données projet'!$B$10,Paramètres!$A$1:$I$89,5,0)</f>
        <v>131.60159999999999</v>
      </c>
      <c r="AK31" s="13">
        <f t="shared" si="35"/>
        <v>34.366177918726088</v>
      </c>
      <c r="AL31" s="20">
        <f t="shared" si="4"/>
        <v>289.06054654178126</v>
      </c>
      <c r="AM31" s="59">
        <f t="shared" si="5"/>
        <v>582.39387987511464</v>
      </c>
      <c r="AN31" s="59">
        <f ca="1">AVERAGE(OFFSET($AM$3,0,0,'Données projet'!$E$10+1,1))-AVERAGE(OFFSET($H$3,0,0,'Données projet'!$E$10+1,1))</f>
        <v>297.21955661193238</v>
      </c>
      <c r="AO31" s="59">
        <f t="shared" si="36"/>
        <v>273.69206144662144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13.8</v>
      </c>
      <c r="BD31" s="12">
        <f>IF('Données projet'!$A$88&gt;35,BD30+BC31-BL30,IF(A31&lt;'Données projet'!$A$88,$BA$205^A31,IF(A31='Données projet'!$A$88,'Données projet'!$B$88,BD30+BC31-BL30)))</f>
        <v>227.40000000000003</v>
      </c>
      <c r="BE31" s="13">
        <f>BD31*VLOOKUP('Données projet'!$B$11,Paramètres!$A$1:$I$89,3,0)*VLOOKUP('Données projet'!$B$11,Paramètres!$A$1:$I$89,5,0)</f>
        <v>145.44504000000001</v>
      </c>
      <c r="BF31" s="13">
        <f t="shared" si="37"/>
        <v>37.541604192064632</v>
      </c>
      <c r="BG31" s="20">
        <f t="shared" si="7"/>
        <v>318.70173863451254</v>
      </c>
      <c r="BH31" s="59">
        <f t="shared" si="8"/>
        <v>612.03507196784585</v>
      </c>
      <c r="BI31" s="59">
        <f ca="1">AVERAGE(OFFSET($BH$3,0,0,'Données projet'!$E$11+1,1))-AVERAGE(OFFSET($H$3,0,0,'Données projet'!$E$11+1,1))</f>
        <v>176.90404027101607</v>
      </c>
      <c r="BJ31" s="59">
        <f t="shared" si="38"/>
        <v>295.34177980841878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1.8455608862984116</v>
      </c>
      <c r="BQ31" s="21">
        <f>EXP(-LN(2)/25)*BQ30+(1-EXP(-LN(2)/25))/(LN(2)/25)*Calculateur!BL31*Calculateur!BN31*VLOOKUP('Données projet'!$B$11,Paramètres!$A$1:$I$89,3,0)*0.475*44/12</f>
        <v>8.7103696219734505</v>
      </c>
      <c r="BR31" s="21">
        <f>EXP(-LN(2)/2)*BR30+(1-EXP(-LN(2)/2))/(LN(2)/2)*BL31*BO31*VLOOKUP('Données projet'!$B$11,Paramètres!$A$1:$I$89,3,0)*0.475*44/12</f>
        <v>6.7404995354566802E-2</v>
      </c>
      <c r="BS31" s="22">
        <f t="shared" si="9"/>
        <v>10.623335503626429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22.2</v>
      </c>
      <c r="BY31" s="12">
        <f>IF('Données projet'!$A$114&gt;35,BY30+BX31-CG30,IF(A31&lt;'Données projet'!$A$114,$BV$205^A31,IF(A31='Données projet'!$A$114,'Données projet'!$B$114,BY30+BX31-CG30)))</f>
        <v>276.59999999999991</v>
      </c>
      <c r="BZ31" s="13">
        <f>BY31*VLOOKUP('Données projet'!$B$12,Paramètres!$A$1:$I$89,3,0)*VLOOKUP('Données projet'!$B$12,Paramètres!$A$1:$I$89,5,0)</f>
        <v>154.61939999999996</v>
      </c>
      <c r="CA31" s="13">
        <f t="shared" si="39"/>
        <v>39.626500524372794</v>
      </c>
      <c r="CB31" s="20">
        <f t="shared" si="10"/>
        <v>338.31161007994922</v>
      </c>
      <c r="CC31" s="59">
        <f t="shared" si="11"/>
        <v>631.64494341328259</v>
      </c>
      <c r="CD31" s="59">
        <f ca="1">AVERAGE(OFFSET($CC$3,0,0,'Données projet'!$E$12+1,1))-AVERAGE(OFFSET($H$3,0,0,'Données projet'!$E$12+1,1))</f>
        <v>326.31232746914907</v>
      </c>
      <c r="CE31" s="59">
        <f t="shared" si="40"/>
        <v>330.17137761430297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10.251099545569179</v>
      </c>
      <c r="CM31" s="21">
        <f>EXP(-LN(2)/2)*CM30+(1-EXP(-LN(2)/2))/(LN(2)/2)*CG31*CJ31*VLOOKUP('Données projet'!$B$12,Paramètres!$A$1:$I$89,3,0)*0.475*44/12</f>
        <v>1.2460570256871744</v>
      </c>
      <c r="CN31" s="22">
        <f t="shared" si="12"/>
        <v>11.497156571256353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227.20000000000002</v>
      </c>
      <c r="CU31" s="17">
        <f>CT31*VLOOKUP('Données projet'!$B$13,Paramètres!$A$1:$I$89,3,0)*VLOOKUP('Données projet'!$B$13,Paramètres!$A$1:$I$89,5,0)</f>
        <v>124.05120000000001</v>
      </c>
      <c r="CV31" s="13">
        <f t="shared" si="41"/>
        <v>32.618041559365977</v>
      </c>
      <c r="CW31" s="20">
        <f t="shared" si="13"/>
        <v>272.86559571589572</v>
      </c>
      <c r="CX31" s="59">
        <f t="shared" si="14"/>
        <v>566.19892904922904</v>
      </c>
      <c r="CY31" s="59">
        <f ca="1">AVERAGE(OFFSET($CX$3,0,0,'Données projet'!$E$13+1,1))-AVERAGE(OFFSET($H$3,0,0,'Données projet'!$E$13+1,1))</f>
        <v>210.04871822652808</v>
      </c>
      <c r="CZ31" s="59">
        <f t="shared" si="42"/>
        <v>250.17540614049324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14.043789652280818</v>
      </c>
      <c r="DH31" s="21">
        <f>EXP(-LN(2)/2)*DH30+(1-EXP(-LN(2)/2))/(LN(2)/2)*DB31*DE31*VLOOKUP('Données projet'!$B$13,Paramètres!$A$1:$I$89,3,0)*0.475*44/12</f>
        <v>1.5648157997001713</v>
      </c>
      <c r="DI31" s="22">
        <f t="shared" si="15"/>
        <v>15.608605451980988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14.5</v>
      </c>
      <c r="DO31" s="12">
        <f>IF('Données projet'!$A$166&gt;35,DO30+DN31-DW30,IF(A31&lt;'Données projet'!$A$166,$DL$205^A31,IF(A31='Données projet'!$A$166,'Données projet'!$B$166,DO30+DN31-DW30)))</f>
        <v>183</v>
      </c>
      <c r="DP31" s="17">
        <f>DO31*VLOOKUP('Données projet'!$B$14,Paramètres!$A$1:$I$89,3,0)*VLOOKUP('Données projet'!$B$14,Paramètres!$A$1:$I$89,5,0)</f>
        <v>134.1756</v>
      </c>
      <c r="DQ31" s="13">
        <f t="shared" si="43"/>
        <v>34.959435402722768</v>
      </c>
      <c r="DR31" s="20">
        <f t="shared" si="16"/>
        <v>294.57685332640881</v>
      </c>
      <c r="DS31" s="59">
        <f t="shared" si="17"/>
        <v>587.91018665974207</v>
      </c>
      <c r="DT31" s="59">
        <f ca="1">AVERAGE(OFFSET($DS$3,0,0,'Données projet'!$E$14+1,1))-AVERAGE(OFFSET($H$3,0,0,'Données projet'!$E$14+1,1))</f>
        <v>234.09142087023463</v>
      </c>
      <c r="DU31" s="59">
        <f t="shared" si="44"/>
        <v>278.990685815294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4.6581114673877835</v>
      </c>
      <c r="EC31" s="21">
        <f>EXP(-LN(2)/2)*EC30+(1-EXP(-LN(2)/2))/(LN(2)/2)*DW31*DZ31*VLOOKUP('Données projet'!$B$14,Paramètres!$A$1:$I$89,3,0)*0.475*44/12</f>
        <v>0.72422177443501468</v>
      </c>
      <c r="ED31" s="22">
        <f t="shared" si="18"/>
        <v>5.3823332418227983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15.8</v>
      </c>
      <c r="N32" s="13">
        <f>IF('Données projet'!$A$36&gt;35,N31+M32-V31,IF(A32&lt;'Données projet'!$A$36,$K$205^A32,IF(A32='Données projet'!$A$36,'Données projet'!$B$36,N31+M32-V31)))</f>
        <v>241.2000000000001</v>
      </c>
      <c r="O32" s="13">
        <f>N32*VLOOKUP('Données projet'!$B$9,Paramètres!$A$1:$I$89,3,0)*VLOOKUP('Données projet'!$B$9,Paramètres!$A$1:$I$89,5,0)</f>
        <v>144.23760000000007</v>
      </c>
      <c r="P32" s="13">
        <f t="shared" si="33"/>
        <v>37.266088962286922</v>
      </c>
      <c r="Q32" s="20">
        <f t="shared" si="2"/>
        <v>316.11892494264981</v>
      </c>
      <c r="R32" s="59">
        <f t="shared" si="0"/>
        <v>609.45225827598313</v>
      </c>
      <c r="S32" s="59">
        <f ca="1">AVERAGE(OFFSET($R$3,0,0,'Données projet'!$E$9+1,1))-AVERAGE(OFFSET($H$3,0,0,'Données projet'!$E$9+1,1))</f>
        <v>259.30247982593914</v>
      </c>
      <c r="T32" s="59">
        <f t="shared" si="34"/>
        <v>275.24740346220779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3.1860731154937145</v>
      </c>
      <c r="AB32" s="21">
        <f>EXP(-LN(2)/2)*AB31+(1-EXP(-LN(2)/2))/(LN(2)/2)*V32*Y32*VLOOKUP('Données projet'!$B$9,Paramètres!$A$1:$I$89,3,0)*0.475*44/12</f>
        <v>0.3441118140346387</v>
      </c>
      <c r="AC32" s="22">
        <f t="shared" si="3"/>
        <v>3.5301849295283532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22.2</v>
      </c>
      <c r="AI32" s="13">
        <f>IF('Données projet'!$A$62&gt;35,AI31+AH32-AQ31,IF(A32&lt;'Données projet'!$A$62,$AF$205^A32,IF(A32='Données projet'!$A$62,'Données projet'!$B$62,AI31+AH32-AQ31)))</f>
        <v>295.79999999999995</v>
      </c>
      <c r="AJ32" s="13">
        <f>AI32*VLOOKUP('Données projet'!$B$10,Paramètres!$A$1:$I$89,3,0)*VLOOKUP('Données projet'!$B$10,Paramètres!$A$1:$I$89,5,0)</f>
        <v>142.27979999999999</v>
      </c>
      <c r="AK32" s="13">
        <f t="shared" si="35"/>
        <v>36.818783655794178</v>
      </c>
      <c r="AL32" s="20">
        <f t="shared" si="4"/>
        <v>311.93003320050815</v>
      </c>
      <c r="AM32" s="59">
        <f t="shared" si="5"/>
        <v>605.26336653384146</v>
      </c>
      <c r="AN32" s="59">
        <f ca="1">AVERAGE(OFFSET($AM$3,0,0,'Données projet'!$E$10+1,1))-AVERAGE(OFFSET($H$3,0,0,'Données projet'!$E$10+1,1))</f>
        <v>297.21955661193238</v>
      </c>
      <c r="AO32" s="59">
        <f t="shared" si="36"/>
        <v>273.69206144662144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13.8</v>
      </c>
      <c r="BD32" s="12">
        <f>IF('Données projet'!$A$88&gt;35,BD31+BC32-BL31,IF(A32&lt;'Données projet'!$A$88,$BA$205^A32,IF(A32='Données projet'!$A$88,'Données projet'!$B$88,BD31+BC32-BL31)))</f>
        <v>241.20000000000005</v>
      </c>
      <c r="BE32" s="13">
        <f>BD32*VLOOKUP('Données projet'!$B$11,Paramètres!$A$1:$I$89,3,0)*VLOOKUP('Données projet'!$B$11,Paramètres!$A$1:$I$89,5,0)</f>
        <v>154.27152000000001</v>
      </c>
      <c r="BF32" s="13">
        <f t="shared" si="37"/>
        <v>39.547711845491243</v>
      </c>
      <c r="BG32" s="20">
        <f t="shared" si="7"/>
        <v>337.56849546423058</v>
      </c>
      <c r="BH32" s="59">
        <f t="shared" si="8"/>
        <v>630.90182879756389</v>
      </c>
      <c r="BI32" s="59">
        <f ca="1">AVERAGE(OFFSET($BH$3,0,0,'Données projet'!$E$11+1,1))-AVERAGE(OFFSET($H$3,0,0,'Données projet'!$E$11+1,1))</f>
        <v>176.90404027101607</v>
      </c>
      <c r="BJ32" s="59">
        <f t="shared" si="38"/>
        <v>295.34177980841878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1.8093705629990886</v>
      </c>
      <c r="BQ32" s="21">
        <f>EXP(-LN(2)/25)*BQ31+(1-EXP(-LN(2)/25))/(LN(2)/25)*Calculateur!BL32*Calculateur!BN32*VLOOKUP('Données projet'!$B$11,Paramètres!$A$1:$I$89,3,0)*0.475*44/12</f>
        <v>8.4721841066021568</v>
      </c>
      <c r="BR32" s="21">
        <f>EXP(-LN(2)/2)*BR31+(1-EXP(-LN(2)/2))/(LN(2)/2)*BL32*BO32*VLOOKUP('Données projet'!$B$11,Paramètres!$A$1:$I$89,3,0)*0.475*44/12</f>
        <v>4.7662529301061921E-2</v>
      </c>
      <c r="BS32" s="22">
        <f t="shared" si="9"/>
        <v>10.329217198902308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22.2</v>
      </c>
      <c r="BY32" s="12">
        <f>IF('Données projet'!$A$114&gt;35,BY31+BX32-CG31,IF(A32&lt;'Données projet'!$A$114,$BV$205^A32,IF(A32='Données projet'!$A$114,'Données projet'!$B$114,BY31+BX32-CG31)))</f>
        <v>298.7999999999999</v>
      </c>
      <c r="BZ32" s="13">
        <f>BY32*VLOOKUP('Données projet'!$B$12,Paramètres!$A$1:$I$89,3,0)*VLOOKUP('Données projet'!$B$12,Paramètres!$A$1:$I$89,5,0)</f>
        <v>167.02919999999995</v>
      </c>
      <c r="CA32" s="13">
        <f t="shared" si="39"/>
        <v>42.423982056168619</v>
      </c>
      <c r="CB32" s="20">
        <f t="shared" si="10"/>
        <v>364.79762541449355</v>
      </c>
      <c r="CC32" s="59">
        <f t="shared" si="11"/>
        <v>658.13095874782687</v>
      </c>
      <c r="CD32" s="59">
        <f ca="1">AVERAGE(OFFSET($CC$3,0,0,'Données projet'!$E$12+1,1))-AVERAGE(OFFSET($H$3,0,0,'Données projet'!$E$12+1,1))</f>
        <v>326.31232746914907</v>
      </c>
      <c r="CE32" s="59">
        <f t="shared" si="40"/>
        <v>330.17137761430297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9.9707826894136939</v>
      </c>
      <c r="CM32" s="21">
        <f>EXP(-LN(2)/2)*CM31+(1-EXP(-LN(2)/2))/(LN(2)/2)*CG32*CJ32*VLOOKUP('Données projet'!$B$12,Paramètres!$A$1:$I$89,3,0)*0.475*44/12</f>
        <v>0.88109537260854109</v>
      </c>
      <c r="CN32" s="22">
        <f t="shared" si="12"/>
        <v>10.851878062022235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243.60000000000002</v>
      </c>
      <c r="CU32" s="17">
        <f>CT32*VLOOKUP('Données projet'!$B$13,Paramètres!$A$1:$I$89,3,0)*VLOOKUP('Données projet'!$B$13,Paramètres!$A$1:$I$89,5,0)</f>
        <v>133.00560000000002</v>
      </c>
      <c r="CV32" s="13">
        <f t="shared" si="41"/>
        <v>34.689938673073549</v>
      </c>
      <c r="CW32" s="20">
        <f t="shared" si="13"/>
        <v>292.06972985560316</v>
      </c>
      <c r="CX32" s="59">
        <f t="shared" si="14"/>
        <v>585.40306318893647</v>
      </c>
      <c r="CY32" s="59">
        <f ca="1">AVERAGE(OFFSET($CX$3,0,0,'Données projet'!$E$13+1,1))-AVERAGE(OFFSET($H$3,0,0,'Données projet'!$E$13+1,1))</f>
        <v>210.04871822652808</v>
      </c>
      <c r="CZ32" s="59">
        <f t="shared" si="42"/>
        <v>250.17540614049324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13.659761485708399</v>
      </c>
      <c r="DH32" s="21">
        <f>EXP(-LN(2)/2)*DH31+(1-EXP(-LN(2)/2))/(LN(2)/2)*DB32*DE32*VLOOKUP('Données projet'!$B$13,Paramètres!$A$1:$I$89,3,0)*0.475*44/12</f>
        <v>1.1064918632758414</v>
      </c>
      <c r="DI32" s="22">
        <f t="shared" si="15"/>
        <v>14.766253348984241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14.5</v>
      </c>
      <c r="DO32" s="12">
        <f>IF('Données projet'!$A$166&gt;35,DO31+DN32-DW31,IF(A32&lt;'Données projet'!$A$166,$DL$205^A32,IF(A32='Données projet'!$A$166,'Données projet'!$B$166,DO31+DN32-DW31)))</f>
        <v>197.5</v>
      </c>
      <c r="DP32" s="17">
        <f>DO32*VLOOKUP('Données projet'!$B$14,Paramètres!$A$1:$I$89,3,0)*VLOOKUP('Données projet'!$B$14,Paramètres!$A$1:$I$89,5,0)</f>
        <v>144.80699999999999</v>
      </c>
      <c r="DQ32" s="13">
        <f t="shared" si="43"/>
        <v>37.396048708072577</v>
      </c>
      <c r="DR32" s="20">
        <f t="shared" si="16"/>
        <v>317.33697649989301</v>
      </c>
      <c r="DS32" s="59">
        <f t="shared" si="17"/>
        <v>610.67030983322638</v>
      </c>
      <c r="DT32" s="59">
        <f ca="1">AVERAGE(OFFSET($DS$3,0,0,'Données projet'!$E$14+1,1))-AVERAGE(OFFSET($H$3,0,0,'Données projet'!$E$14+1,1))</f>
        <v>234.09142087023463</v>
      </c>
      <c r="DU32" s="59">
        <f t="shared" si="44"/>
        <v>278.990685815294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4.5307351643526284</v>
      </c>
      <c r="EC32" s="21">
        <f>EXP(-LN(2)/2)*EC31+(1-EXP(-LN(2)/2))/(LN(2)/2)*DW32*DZ32*VLOOKUP('Données projet'!$B$14,Paramètres!$A$1:$I$89,3,0)*0.475*44/12</f>
        <v>0.5121021277859531</v>
      </c>
      <c r="ED32" s="22">
        <f t="shared" si="18"/>
        <v>5.0428372921385813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257</v>
      </c>
      <c r="L33" s="12">
        <f>VLOOKUP(A33,'Données projet'!$A$35:$I$55,9,0)</f>
        <v>15.8</v>
      </c>
      <c r="M33" s="12">
        <f t="array" ref="M33">INDEX(L:L,MIN(IF(ISNUMBER(L33:L229),ROW(L33:L229),"")))</f>
        <v>15.8</v>
      </c>
      <c r="N33" s="13">
        <f>IF('Données projet'!$A$36&gt;35,N32+M33-V32,IF(A33&lt;'Données projet'!$A$36,$K$205^A33,IF(A33='Données projet'!$A$36,'Données projet'!$B$36,N32+M33-V32)))</f>
        <v>257.00000000000011</v>
      </c>
      <c r="O33" s="13">
        <f>N33*VLOOKUP('Données projet'!$B$9,Paramètres!$A$1:$I$89,3,0)*VLOOKUP('Données projet'!$B$9,Paramètres!$A$1:$I$89,5,0)</f>
        <v>153.68600000000006</v>
      </c>
      <c r="P33" s="13">
        <f t="shared" si="33"/>
        <v>39.415055172513433</v>
      </c>
      <c r="Q33" s="20">
        <f t="shared" si="2"/>
        <v>336.31767109212768</v>
      </c>
      <c r="R33" s="59">
        <f t="shared" si="0"/>
        <v>629.651004425461</v>
      </c>
      <c r="S33" s="59">
        <f ca="1">AVERAGE(OFFSET($R$3,0,0,'Données projet'!$E$9+1,1))-AVERAGE(OFFSET($H$3,0,0,'Données projet'!$E$9+1,1))</f>
        <v>259.30247982593914</v>
      </c>
      <c r="T33" s="59">
        <f t="shared" si="34"/>
        <v>275.24740346220779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84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0.22500000000000001</v>
      </c>
      <c r="Y33" s="16">
        <f>IF(ISNA(VLOOKUP(A33,'Données projet'!$A$35:$I$55,7,0)),0%,VLOOKUP(A33,'Données projet'!$A$35:$I$55,7,0))</f>
        <v>0.5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18.033013031997843</v>
      </c>
      <c r="AB33" s="21">
        <f>EXP(-LN(2)/2)*AB32+(1-EXP(-LN(2)/2))/(LN(2)/2)*V33*Y33*VLOOKUP('Données projet'!$B$9,Paramètres!$A$1:$I$89,3,0)*0.475*44/12</f>
        <v>28.680470181865015</v>
      </c>
      <c r="AC33" s="22">
        <f t="shared" si="3"/>
        <v>46.713483213862858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318</v>
      </c>
      <c r="AG33" s="12">
        <f>VLOOKUP(A33,'Données projet'!$A$61:$I$81,9,0)</f>
        <v>22.2</v>
      </c>
      <c r="AH33" s="12">
        <f t="array" ref="AH33">INDEX(AG:AG,MIN(IF(ISNUMBER(AG33:AG229),ROW(AG33:AG229),"")))</f>
        <v>22.2</v>
      </c>
      <c r="AI33" s="13">
        <f>IF('Données projet'!$A$62&gt;35,AI32+AH33-AQ32,IF(A33&lt;'Données projet'!$A$62,$AF$205^A33,IF(A33='Données projet'!$A$62,'Données projet'!$B$62,AI32+AH33-AQ32)))</f>
        <v>317.99999999999994</v>
      </c>
      <c r="AJ33" s="13">
        <f>AI33*VLOOKUP('Données projet'!$B$10,Paramètres!$A$1:$I$89,3,0)*VLOOKUP('Données projet'!$B$10,Paramètres!$A$1:$I$89,5,0)</f>
        <v>152.95799999999997</v>
      </c>
      <c r="AK33" s="13">
        <f t="shared" si="35"/>
        <v>39.250035833420867</v>
      </c>
      <c r="AL33" s="20">
        <f t="shared" si="4"/>
        <v>334.76232907654128</v>
      </c>
      <c r="AM33" s="59">
        <f t="shared" si="5"/>
        <v>628.09566240987465</v>
      </c>
      <c r="AN33" s="59">
        <f ca="1">AVERAGE(OFFSET($AM$3,0,0,'Données projet'!$E$10+1,1))-AVERAGE(OFFSET($H$3,0,0,'Données projet'!$E$10+1,1))</f>
        <v>297.21955661193238</v>
      </c>
      <c r="AO33" s="59">
        <f t="shared" si="36"/>
        <v>273.69206144662144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96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6.738098432381384</v>
      </c>
      <c r="AV33" s="21">
        <f>EXP(-LN(2)/25)*AV32+(1-EXP(-LN(2)/25))/(LN(2)/25)*Calculateur!AQ33*Calculateur!AS33*VLOOKUP('Données projet'!$B$10,Paramètres!$A$1:$I$89,3,0)*0.475*44/12</f>
        <v>13.423135942872628</v>
      </c>
      <c r="AW33" s="21">
        <f>EXP(-LN(2)/2)*AW32+(1-EXP(-LN(2)/2))/(LN(2)/2)*AQ33*AT33*VLOOKUP('Données projet'!$B$10,Paramètres!$A$1:$I$89,3,0)*0.475*44/12</f>
        <v>20.912783428232835</v>
      </c>
      <c r="AX33" s="21">
        <f t="shared" si="6"/>
        <v>41.074017803486846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255</v>
      </c>
      <c r="BB33" s="12">
        <f>VLOOKUP(A33,'Données projet'!$A$87:$I$107,9,0)</f>
        <v>13.8</v>
      </c>
      <c r="BC33" s="12">
        <f t="array" ref="BC33">INDEX(BB:BB,MIN(IF(ISNUMBER(BB33:BB229),ROW(BB33:BB229),"")))</f>
        <v>13.8</v>
      </c>
      <c r="BD33" s="12">
        <f>IF('Données projet'!$A$88&gt;35,BD32+BC33-BL32,IF(A33&lt;'Données projet'!$A$88,$BA$205^A33,IF(A33='Données projet'!$A$88,'Données projet'!$B$88,BD32+BC33-BL32)))</f>
        <v>255.00000000000006</v>
      </c>
      <c r="BE33" s="13">
        <f>BD33*VLOOKUP('Données projet'!$B$11,Paramètres!$A$1:$I$89,3,0)*VLOOKUP('Données projet'!$B$11,Paramètres!$A$1:$I$89,5,0)</f>
        <v>163.09800000000001</v>
      </c>
      <c r="BF33" s="13">
        <f t="shared" si="37"/>
        <v>41.540496136845142</v>
      </c>
      <c r="BG33" s="20">
        <f t="shared" si="7"/>
        <v>356.41204743833867</v>
      </c>
      <c r="BH33" s="59">
        <f t="shared" si="8"/>
        <v>649.74538077167199</v>
      </c>
      <c r="BI33" s="59">
        <f ca="1">AVERAGE(OFFSET($BH$3,0,0,'Données projet'!$E$11+1,1))-AVERAGE(OFFSET($H$3,0,0,'Données projet'!$E$11+1,1))</f>
        <v>176.90404027101607</v>
      </c>
      <c r="BJ33" s="59">
        <f t="shared" si="38"/>
        <v>295.34177980841878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1.7738899098657477</v>
      </c>
      <c r="BQ33" s="21">
        <f>EXP(-LN(2)/25)*BQ32+(1-EXP(-LN(2)/25))/(LN(2)/25)*Calculateur!BL33*Calculateur!BN33*VLOOKUP('Données projet'!$B$11,Paramètres!$A$1:$I$89,3,0)*0.475*44/12</f>
        <v>8.2405117866743218</v>
      </c>
      <c r="BR33" s="21">
        <f>EXP(-LN(2)/2)*BR32+(1-EXP(-LN(2)/2))/(LN(2)/2)*BL33*BO33*VLOOKUP('Données projet'!$B$11,Paramètres!$A$1:$I$89,3,0)*0.475*44/12</f>
        <v>3.3702497677283401E-2</v>
      </c>
      <c r="BS33" s="22">
        <f t="shared" si="9"/>
        <v>10.048104194217354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321</v>
      </c>
      <c r="BW33" s="12">
        <f>VLOOKUP(A33,'Données projet'!$A$113:$I$133,9,0)</f>
        <v>22.2</v>
      </c>
      <c r="BX33" s="12">
        <f t="array" ref="BX33">INDEX(BW:BW,MIN(IF(ISNUMBER(BW33:BW229),ROW(BW33:BW229),"")))</f>
        <v>22.2</v>
      </c>
      <c r="BY33" s="12">
        <f>IF('Données projet'!$A$114&gt;35,BY32+BX33-CG32,IF(A33&lt;'Données projet'!$A$114,$BV$205^A33,IF(A33='Données projet'!$A$114,'Données projet'!$B$114,BY32+BX33-CG32)))</f>
        <v>320.99999999999989</v>
      </c>
      <c r="BZ33" s="13">
        <f>BY33*VLOOKUP('Données projet'!$B$12,Paramètres!$A$1:$I$89,3,0)*VLOOKUP('Données projet'!$B$12,Paramètres!$A$1:$I$89,5,0)</f>
        <v>179.43899999999994</v>
      </c>
      <c r="CA33" s="13">
        <f t="shared" si="39"/>
        <v>45.19735133639599</v>
      </c>
      <c r="CB33" s="20">
        <f t="shared" si="10"/>
        <v>391.24164524422287</v>
      </c>
      <c r="CC33" s="59">
        <f t="shared" si="11"/>
        <v>684.57497857755618</v>
      </c>
      <c r="CD33" s="59">
        <f ca="1">AVERAGE(OFFSET($CC$3,0,0,'Données projet'!$E$12+1,1))-AVERAGE(OFFSET($H$3,0,0,'Données projet'!$E$12+1,1))</f>
        <v>326.31232746914907</v>
      </c>
      <c r="CE33" s="59">
        <f t="shared" si="40"/>
        <v>330.17137761430297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112</v>
      </c>
      <c r="CH33" s="16">
        <f>IF(ISNA(VLOOKUP(A33,'Données projet'!$A$113:$I$133,5,0)),0%,VLOOKUP(A33,'Données projet'!$A$113:$I$133,5,0)*VLOOKUP('Données projet'!$B$12,Paramètres!$A$1:$I$89,7,0))</f>
        <v>5.5000000000000007E-2</v>
      </c>
      <c r="CI33" s="16">
        <f>IF(ISNA(VLOOKUP(A33,'Données projet'!$A$113:$I$133,6,0)),0%,VLOOKUP(A33,'Données projet'!$A$113:$I$133,6,0)*VLOOKUP('Données projet'!$B$12,Paramètres!$A$1:$I$89,7,0))</f>
        <v>0.24750000000000003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4.5679451084387308</v>
      </c>
      <c r="CL33" s="21">
        <f>EXP(-LN(2)/25)*CL32+(1-EXP(-LN(2)/25))/(LN(2)/25)*Calculateur!CG33*Calculateur!CI33*VLOOKUP('Données projet'!$B$12,Paramètres!$A$1:$I$89,3,0)*0.475*44/12</f>
        <v>30.172948268535706</v>
      </c>
      <c r="CM33" s="21">
        <f>EXP(-LN(2)/2)*CM32+(1-EXP(-LN(2)/2))/(LN(2)/2)*CG33*CJ33*VLOOKUP('Données projet'!$B$12,Paramètres!$A$1:$I$89,3,0)*0.475*44/12</f>
        <v>32.522088370435227</v>
      </c>
      <c r="CN33" s="22">
        <f t="shared" si="12"/>
        <v>67.262981747409668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260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260</v>
      </c>
      <c r="CU33" s="17">
        <f>CT33*VLOOKUP('Données projet'!$B$13,Paramètres!$A$1:$I$89,3,0)*VLOOKUP('Données projet'!$B$13,Paramètres!$A$1:$I$89,5,0)</f>
        <v>141.96</v>
      </c>
      <c r="CV33" s="13">
        <f t="shared" si="41"/>
        <v>36.745650011720485</v>
      </c>
      <c r="CW33" s="20">
        <f t="shared" si="13"/>
        <v>311.24567377041313</v>
      </c>
      <c r="CX33" s="59">
        <f t="shared" si="14"/>
        <v>604.57900710374645</v>
      </c>
      <c r="CY33" s="59">
        <f ca="1">AVERAGE(OFFSET($CX$3,0,0,'Données projet'!$E$13+1,1))-AVERAGE(OFFSET($H$3,0,0,'Données projet'!$E$13+1,1))</f>
        <v>210.04871822652808</v>
      </c>
      <c r="CZ33" s="59">
        <f t="shared" si="42"/>
        <v>250.17540614049324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84</v>
      </c>
      <c r="DC33" s="16">
        <f>IF(ISNA(VLOOKUP(A33,'Données projet'!$A$139:$I$159,5,0)),0%,VLOOKUP(A33,'Données projet'!$A$139:$I$159,5,0)*VLOOKUP('Données projet'!$B$13,Paramètres!$A$1:$I$89,7,0))</f>
        <v>0.12</v>
      </c>
      <c r="DD33" s="16">
        <f>IF(ISNA(VLOOKUP(A33,'Données projet'!$A$139:$I$159,6,0)),0%,VLOOKUP(A33,'Données projet'!$A$139:$I$159,6,0)*VLOOKUP('Données projet'!$B$13,Paramètres!$A$1:$I$89,7,0))</f>
        <v>0.24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7.3009862621134873</v>
      </c>
      <c r="DG33" s="21">
        <f>EXP(-LN(2)/25)*DG32+(1-EXP(-LN(2)/25))/(LN(2)/25)*Calculateur!DB33*Calculateur!DD33*VLOOKUP('Données projet'!$B$13,Paramètres!$A$1:$I$89,3,0)*0.475*44/12</f>
        <v>27.830713584157436</v>
      </c>
      <c r="DH33" s="21">
        <f>EXP(-LN(2)/2)*DH32+(1-EXP(-LN(2)/2))/(LN(2)/2)*DB33*DE33*VLOOKUP('Données projet'!$B$13,Paramètres!$A$1:$I$89,3,0)*0.475*44/12</f>
        <v>21.553888737351617</v>
      </c>
      <c r="DI33" s="22">
        <f t="shared" si="15"/>
        <v>56.685588583622547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212</v>
      </c>
      <c r="DM33" s="12">
        <f>VLOOKUP(A33,'Données projet'!$A$165:$I$185,9,0)</f>
        <v>14.5</v>
      </c>
      <c r="DN33" s="12">
        <f t="array" ref="DN33">INDEX(DM:DM,MIN(IF(ISNUMBER(DM33:DM229),ROW(DM33:DM229),"")))</f>
        <v>14.5</v>
      </c>
      <c r="DO33" s="12">
        <f>IF('Données projet'!$A$166&gt;35,DO32+DN33-DW32,IF(A33&lt;'Données projet'!$A$166,$DL$205^A33,IF(A33='Données projet'!$A$166,'Données projet'!$B$166,DO32+DN33-DW32)))</f>
        <v>212</v>
      </c>
      <c r="DP33" s="17">
        <f>DO33*VLOOKUP('Données projet'!$B$14,Paramètres!$A$1:$I$89,3,0)*VLOOKUP('Données projet'!$B$14,Paramètres!$A$1:$I$89,5,0)</f>
        <v>155.4384</v>
      </c>
      <c r="DQ33" s="13">
        <f t="shared" si="43"/>
        <v>39.811908198208918</v>
      </c>
      <c r="DR33" s="20">
        <f t="shared" si="16"/>
        <v>340.06095344521384</v>
      </c>
      <c r="DS33" s="59">
        <f t="shared" si="17"/>
        <v>633.39428677854721</v>
      </c>
      <c r="DT33" s="59">
        <f ca="1">AVERAGE(OFFSET($DS$3,0,0,'Données projet'!$E$14+1,1))-AVERAGE(OFFSET($H$3,0,0,'Données projet'!$E$14+1,1))</f>
        <v>234.09142087023463</v>
      </c>
      <c r="DU33" s="59">
        <f t="shared" si="44"/>
        <v>278.990685815294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2.4396979556434131</v>
      </c>
      <c r="EB33" s="21">
        <f>EXP(-LN(2)/25)*EB32+(1-EXP(-LN(2)/25))/(LN(2)/25)*Calculateur!DW33*Calculateur!DY33*VLOOKUP('Données projet'!$B$14,Paramètres!$A$1:$I$89,3,0)*0.475*44/12</f>
        <v>15.342255681396496</v>
      </c>
      <c r="EC33" s="21">
        <f>EXP(-LN(2)/2)*EC32+(1-EXP(-LN(2)/2))/(LN(2)/2)*DW33*DZ33*VLOOKUP('Données projet'!$B$14,Paramètres!$A$1:$I$89,3,0)*0.475*44/12</f>
        <v>22.153619801560634</v>
      </c>
      <c r="ED33" s="22">
        <f t="shared" si="18"/>
        <v>39.935573438600542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12.4</v>
      </c>
      <c r="N34" s="13">
        <f>IF('Données projet'!$A$36&gt;35,N33+M34-V33,IF(A34&lt;'Données projet'!$A$36,$K$205^A34,IF(A34='Données projet'!$A$36,'Données projet'!$B$36,N33+M34-V33)))</f>
        <v>185.40000000000009</v>
      </c>
      <c r="O34" s="13">
        <f>N34*VLOOKUP('Données projet'!$B$9,Paramètres!$A$1:$I$89,3,0)*VLOOKUP('Données projet'!$B$9,Paramètres!$A$1:$I$89,5,0)</f>
        <v>110.86920000000006</v>
      </c>
      <c r="P34" s="13">
        <f t="shared" si="33"/>
        <v>29.535680967701619</v>
      </c>
      <c r="Q34" s="20">
        <f t="shared" si="2"/>
        <v>244.53850101874707</v>
      </c>
      <c r="R34" s="59">
        <f t="shared" si="0"/>
        <v>537.87183435208044</v>
      </c>
      <c r="S34" s="59">
        <f ca="1">AVERAGE(OFFSET($R$3,0,0,'Données projet'!$E$9+1,1))-AVERAGE(OFFSET($H$3,0,0,'Données projet'!$E$9+1,1))</f>
        <v>259.30247982593914</v>
      </c>
      <c r="T34" s="59">
        <f t="shared" si="34"/>
        <v>275.24740346220779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17.539899342322922</v>
      </c>
      <c r="AB34" s="21">
        <f>EXP(-LN(2)/2)*AB33+(1-EXP(-LN(2)/2))/(LN(2)/2)*V34*Y34*VLOOKUP('Données projet'!$B$9,Paramètres!$A$1:$I$89,3,0)*0.475*44/12</f>
        <v>20.280154953215327</v>
      </c>
      <c r="AC34" s="22">
        <f t="shared" si="3"/>
        <v>37.820054295538249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24.6</v>
      </c>
      <c r="AI34" s="13">
        <f>IF('Données projet'!$A$62&gt;35,AI33+AH34-AQ33,IF(A34&lt;'Données projet'!$A$62,$AF$205^A34,IF(A34='Données projet'!$A$62,'Données projet'!$B$62,AI33+AH34-AQ33)))</f>
        <v>246.59999999999997</v>
      </c>
      <c r="AJ34" s="13">
        <f>AI34*VLOOKUP('Données projet'!$B$10,Paramètres!$A$1:$I$89,3,0)*VLOOKUP('Données projet'!$B$10,Paramètres!$A$1:$I$89,5,0)</f>
        <v>118.6146</v>
      </c>
      <c r="AK34" s="13">
        <f t="shared" si="35"/>
        <v>31.351659444786108</v>
      </c>
      <c r="AL34" s="20">
        <f t="shared" si="4"/>
        <v>261.19123519966905</v>
      </c>
      <c r="AM34" s="59">
        <f t="shared" si="5"/>
        <v>554.52456853300237</v>
      </c>
      <c r="AN34" s="59">
        <f ca="1">AVERAGE(OFFSET($AM$3,0,0,'Données projet'!$E$10+1,1))-AVERAGE(OFFSET($H$3,0,0,'Données projet'!$E$10+1,1))</f>
        <v>297.21955661193238</v>
      </c>
      <c r="AO34" s="59">
        <f t="shared" si="36"/>
        <v>273.69206144662144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6.6059684319566161</v>
      </c>
      <c r="AV34" s="21">
        <f>EXP(-LN(2)/25)*AV33+(1-EXP(-LN(2)/25))/(LN(2)/25)*Calculateur!AQ34*Calculateur!AS34*VLOOKUP('Données projet'!$B$10,Paramètres!$A$1:$I$89,3,0)*0.475*44/12</f>
        <v>13.056079584622736</v>
      </c>
      <c r="AW34" s="21">
        <f>EXP(-LN(2)/2)*AW33+(1-EXP(-LN(2)/2))/(LN(2)/2)*AQ34*AT34*VLOOKUP('Données projet'!$B$10,Paramètres!$A$1:$I$89,3,0)*0.475*44/12</f>
        <v>14.787570975589093</v>
      </c>
      <c r="AX34" s="21">
        <f t="shared" si="6"/>
        <v>34.449618992168446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13.2</v>
      </c>
      <c r="BD34" s="12">
        <f>IF('Données projet'!$A$88&gt;35,BD33+BC34-BL33,IF(A34&lt;'Données projet'!$A$88,$BA$205^A34,IF(A34='Données projet'!$A$88,'Données projet'!$B$88,BD33+BC34-BL33)))</f>
        <v>268.20000000000005</v>
      </c>
      <c r="BE34" s="13">
        <f>BD34*VLOOKUP('Données projet'!$B$11,Paramètres!$A$1:$I$89,3,0)*VLOOKUP('Données projet'!$B$11,Paramètres!$A$1:$I$89,5,0)</f>
        <v>171.54072000000002</v>
      </c>
      <c r="BF34" s="13">
        <f t="shared" si="37"/>
        <v>43.434912209114614</v>
      </c>
      <c r="BG34" s="20">
        <f t="shared" si="7"/>
        <v>374.41589276420791</v>
      </c>
      <c r="BH34" s="59">
        <f t="shared" si="8"/>
        <v>667.74922609754117</v>
      </c>
      <c r="BI34" s="59">
        <f ca="1">AVERAGE(OFFSET($BH$3,0,0,'Données projet'!$E$11+1,1))-AVERAGE(OFFSET($H$3,0,0,'Données projet'!$E$11+1,1))</f>
        <v>176.90404027101607</v>
      </c>
      <c r="BJ34" s="59">
        <f t="shared" si="38"/>
        <v>295.34177980841878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1.73910501069929</v>
      </c>
      <c r="BQ34" s="21">
        <f>EXP(-LN(2)/25)*BQ33+(1-EXP(-LN(2)/25))/(LN(2)/25)*Calculateur!BL34*Calculateur!BN34*VLOOKUP('Données projet'!$B$11,Paramètres!$A$1:$I$89,3,0)*0.475*44/12</f>
        <v>8.0151745585180318</v>
      </c>
      <c r="BR34" s="21">
        <f>EXP(-LN(2)/2)*BR33+(1-EXP(-LN(2)/2))/(LN(2)/2)*BL34*BO34*VLOOKUP('Données projet'!$B$11,Paramètres!$A$1:$I$89,3,0)*0.475*44/12</f>
        <v>2.383126465053096E-2</v>
      </c>
      <c r="BS34" s="22">
        <f t="shared" si="9"/>
        <v>9.7781108338678528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22</v>
      </c>
      <c r="BY34" s="12">
        <f>IF('Données projet'!$A$114&gt;35,BY33+BX34-CG33,IF(A34&lt;'Données projet'!$A$114,$BV$205^A34,IF(A34='Données projet'!$A$114,'Données projet'!$B$114,BY33+BX34-CG33)))</f>
        <v>230.99999999999989</v>
      </c>
      <c r="BZ34" s="13">
        <f>BY34*VLOOKUP('Données projet'!$B$12,Paramètres!$A$1:$I$89,3,0)*VLOOKUP('Données projet'!$B$12,Paramètres!$A$1:$I$89,5,0)</f>
        <v>129.12899999999993</v>
      </c>
      <c r="CA34" s="13">
        <f t="shared" si="39"/>
        <v>33.795018128858409</v>
      </c>
      <c r="CB34" s="20">
        <f t="shared" si="10"/>
        <v>283.75933157442824</v>
      </c>
      <c r="CC34" s="59">
        <f t="shared" si="11"/>
        <v>577.09266490776156</v>
      </c>
      <c r="CD34" s="59">
        <f ca="1">AVERAGE(OFFSET($CC$3,0,0,'Données projet'!$E$12+1,1))-AVERAGE(OFFSET($H$3,0,0,'Données projet'!$E$12+1,1))</f>
        <v>326.31232746914907</v>
      </c>
      <c r="CE34" s="59">
        <f t="shared" si="40"/>
        <v>330.17137761430297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4.4783704910336519</v>
      </c>
      <c r="CL34" s="21">
        <f>EXP(-LN(2)/25)*CL33+(1-EXP(-LN(2)/25))/(LN(2)/25)*Calculateur!CG34*Calculateur!CI34*VLOOKUP('Données projet'!$B$12,Paramètres!$A$1:$I$89,3,0)*0.475*44/12</f>
        <v>29.347867411406209</v>
      </c>
      <c r="CM34" s="21">
        <f>EXP(-LN(2)/2)*CM33+(1-EXP(-LN(2)/2))/(LN(2)/2)*CG34*CJ34*VLOOKUP('Données projet'!$B$12,Paramètres!$A$1:$I$89,3,0)*0.475*44/12</f>
        <v>22.996589225082907</v>
      </c>
      <c r="CN34" s="22">
        <f t="shared" si="12"/>
        <v>56.822827127522771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13.8</v>
      </c>
      <c r="CT34" s="12">
        <f>IF('Données projet'!$A$140&gt;35,CT33+CS34-DB33,IF(A34&lt;'Données projet'!$A$140,$CQ$205^A34,IF(A34='Données projet'!$A$140,'Données projet'!$B$140,CT33+CS34-DB33)))</f>
        <v>189.8</v>
      </c>
      <c r="CU34" s="17">
        <f>CT34*VLOOKUP('Données projet'!$B$13,Paramètres!$A$1:$I$89,3,0)*VLOOKUP('Données projet'!$B$13,Paramètres!$A$1:$I$89,5,0)</f>
        <v>103.63080000000001</v>
      </c>
      <c r="CV34" s="13">
        <f t="shared" si="41"/>
        <v>27.825181985080775</v>
      </c>
      <c r="CW34" s="20">
        <f t="shared" si="13"/>
        <v>228.952501957349</v>
      </c>
      <c r="CX34" s="59">
        <f t="shared" si="14"/>
        <v>522.28583529068237</v>
      </c>
      <c r="CY34" s="59">
        <f ca="1">AVERAGE(OFFSET($CX$3,0,0,'Données projet'!$E$13+1,1))-AVERAGE(OFFSET($H$3,0,0,'Données projet'!$E$13+1,1))</f>
        <v>210.04871822652808</v>
      </c>
      <c r="CZ34" s="59">
        <f t="shared" si="42"/>
        <v>250.17540614049324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7.1578183746753483</v>
      </c>
      <c r="DG34" s="21">
        <f>EXP(-LN(2)/25)*DG33+(1-EXP(-LN(2)/25))/(LN(2)/25)*Calculateur!DB34*Calculateur!DD34*VLOOKUP('Données projet'!$B$13,Paramètres!$A$1:$I$89,3,0)*0.475*44/12</f>
        <v>27.069681257645033</v>
      </c>
      <c r="DH34" s="21">
        <f>EXP(-LN(2)/2)*DH33+(1-EXP(-LN(2)/2))/(LN(2)/2)*DB34*DE34*VLOOKUP('Données projet'!$B$13,Paramètres!$A$1:$I$89,3,0)*0.475*44/12</f>
        <v>15.240900887121683</v>
      </c>
      <c r="DI34" s="22">
        <f t="shared" si="15"/>
        <v>49.468400519442064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12.1</v>
      </c>
      <c r="DO34" s="12">
        <f>IF('Données projet'!$A$166&gt;35,DO33+DN34-DW33,IF(A34&lt;'Données projet'!$A$166,$DL$205^A34,IF(A34='Données projet'!$A$166,'Données projet'!$B$166,DO33+DN34-DW33)))</f>
        <v>154.1</v>
      </c>
      <c r="DP34" s="17">
        <f>DO34*VLOOKUP('Données projet'!$B$14,Paramètres!$A$1:$I$89,3,0)*VLOOKUP('Données projet'!$B$14,Paramètres!$A$1:$I$89,5,0)</f>
        <v>112.98611999999999</v>
      </c>
      <c r="DQ34" s="13">
        <f t="shared" si="43"/>
        <v>30.033437241989123</v>
      </c>
      <c r="DR34" s="20">
        <f t="shared" si="16"/>
        <v>249.0923955297977</v>
      </c>
      <c r="DS34" s="59">
        <f t="shared" si="17"/>
        <v>542.42572886313098</v>
      </c>
      <c r="DT34" s="59">
        <f ca="1">AVERAGE(OFFSET($DS$3,0,0,'Données projet'!$E$14+1,1))-AVERAGE(OFFSET($H$3,0,0,'Données projet'!$E$14+1,1))</f>
        <v>234.09142087023463</v>
      </c>
      <c r="DU34" s="59">
        <f t="shared" si="44"/>
        <v>278.990685815294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2.3918569668020639</v>
      </c>
      <c r="EB34" s="21">
        <f>EXP(-LN(2)/25)*EB33+(1-EXP(-LN(2)/25))/(LN(2)/25)*Calculateur!DW34*Calculateur!DY34*VLOOKUP('Données projet'!$B$14,Paramètres!$A$1:$I$89,3,0)*0.475*44/12</f>
        <v>14.922720892974548</v>
      </c>
      <c r="EC34" s="21">
        <f>EXP(-LN(2)/2)*EC33+(1-EXP(-LN(2)/2))/(LN(2)/2)*DW34*DZ34*VLOOKUP('Données projet'!$B$14,Paramètres!$A$1:$I$89,3,0)*0.475*44/12</f>
        <v>15.664974789512103</v>
      </c>
      <c r="ED34" s="22">
        <f t="shared" si="18"/>
        <v>32.979552649288713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12.4</v>
      </c>
      <c r="N35" s="13">
        <f>IF('Données projet'!$A$36&gt;35,N34+M35-V34,IF(A35&lt;'Données projet'!$A$36,$K$205^A35,IF(A35='Données projet'!$A$36,'Données projet'!$B$36,N34+M35-V34)))</f>
        <v>197.8000000000001</v>
      </c>
      <c r="O35" s="13">
        <f>N35*VLOOKUP('Données projet'!$B$9,Paramètres!$A$1:$I$89,3,0)*VLOOKUP('Données projet'!$B$9,Paramètres!$A$1:$I$89,5,0)</f>
        <v>118.28440000000006</v>
      </c>
      <c r="P35" s="13">
        <f t="shared" si="33"/>
        <v>31.274529043461754</v>
      </c>
      <c r="Q35" s="20">
        <f t="shared" ref="Q35:Q66" si="53">(O35+P35)*0.475*44/12</f>
        <v>260.4818014173627</v>
      </c>
      <c r="R35" s="59">
        <f t="shared" si="0"/>
        <v>553.81513475069596</v>
      </c>
      <c r="S35" s="59">
        <f ca="1">AVERAGE(OFFSET($R$3,0,0,'Données projet'!$E$9+1,1))-AVERAGE(OFFSET($H$3,0,0,'Données projet'!$E$9+1,1))</f>
        <v>259.30247982593914</v>
      </c>
      <c r="T35" s="59">
        <f t="shared" si="34"/>
        <v>275.24740346220779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17.060269872423884</v>
      </c>
      <c r="AB35" s="21">
        <f>EXP(-LN(2)/2)*AB34+(1-EXP(-LN(2)/2))/(LN(2)/2)*V35*Y35*VLOOKUP('Données projet'!$B$9,Paramètres!$A$1:$I$89,3,0)*0.475*44/12</f>
        <v>14.340235090932509</v>
      </c>
      <c r="AC35" s="22">
        <f t="shared" si="3"/>
        <v>31.400504963356394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24.6</v>
      </c>
      <c r="AI35" s="13">
        <f>IF('Données projet'!$A$62&gt;35,AI34+AH35-AQ34,IF(A35&lt;'Données projet'!$A$62,$AF$205^A35,IF(A35='Données projet'!$A$62,'Données projet'!$B$62,AI34+AH35-AQ34)))</f>
        <v>271.2</v>
      </c>
      <c r="AJ35" s="13">
        <f>AI35*VLOOKUP('Données projet'!$B$10,Paramètres!$A$1:$I$89,3,0)*VLOOKUP('Données projet'!$B$10,Paramètres!$A$1:$I$89,5,0)</f>
        <v>130.44720000000001</v>
      </c>
      <c r="AK35" s="13">
        <f t="shared" si="35"/>
        <v>34.099673460219002</v>
      </c>
      <c r="AL35" s="20">
        <f t="shared" si="4"/>
        <v>286.58580460988145</v>
      </c>
      <c r="AM35" s="59">
        <f t="shared" si="5"/>
        <v>579.91913794321476</v>
      </c>
      <c r="AN35" s="59">
        <f ca="1">AVERAGE(OFFSET($AM$3,0,0,'Données projet'!$E$10+1,1))-AVERAGE(OFFSET($H$3,0,0,'Données projet'!$E$10+1,1))</f>
        <v>297.21955661193238</v>
      </c>
      <c r="AO35" s="59">
        <f t="shared" si="36"/>
        <v>273.69206144662144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6.4764294202488353</v>
      </c>
      <c r="AV35" s="21">
        <f>EXP(-LN(2)/25)*AV34+(1-EXP(-LN(2)/25))/(LN(2)/25)*Calculateur!AQ35*Calculateur!AS35*VLOOKUP('Données projet'!$B$10,Paramètres!$A$1:$I$89,3,0)*0.475*44/12</f>
        <v>12.699060401791842</v>
      </c>
      <c r="AW35" s="21">
        <f>EXP(-LN(2)/2)*AW34+(1-EXP(-LN(2)/2))/(LN(2)/2)*AQ35*AT35*VLOOKUP('Données projet'!$B$10,Paramètres!$A$1:$I$89,3,0)*0.475*44/12</f>
        <v>10.456391714116418</v>
      </c>
      <c r="AX35" s="21">
        <f t="shared" si="6"/>
        <v>29.631881536157096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13.2</v>
      </c>
      <c r="BD35" s="12">
        <f>IF('Données projet'!$A$88&gt;35,BD34+BC35-BL34,IF(A35&lt;'Données projet'!$A$88,$BA$205^A35,IF(A35='Données projet'!$A$88,'Données projet'!$B$88,BD34+BC35-BL34)))</f>
        <v>281.40000000000003</v>
      </c>
      <c r="BE35" s="13">
        <f>BD35*VLOOKUP('Données projet'!$B$11,Paramètres!$A$1:$I$89,3,0)*VLOOKUP('Données projet'!$B$11,Paramètres!$A$1:$I$89,5,0)</f>
        <v>179.98344000000003</v>
      </c>
      <c r="BF35" s="13">
        <f t="shared" si="37"/>
        <v>45.318501851936055</v>
      </c>
      <c r="BG35" s="20">
        <f t="shared" si="7"/>
        <v>392.40088205878868</v>
      </c>
      <c r="BH35" s="59">
        <f t="shared" si="8"/>
        <v>685.734215392122</v>
      </c>
      <c r="BI35" s="59">
        <f ca="1">AVERAGE(OFFSET($BH$3,0,0,'Données projet'!$E$11+1,1))-AVERAGE(OFFSET($H$3,0,0,'Données projet'!$E$11+1,1))</f>
        <v>176.90404027101607</v>
      </c>
      <c r="BJ35" s="59">
        <f t="shared" si="38"/>
        <v>295.34177980841878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1.7050022221887933</v>
      </c>
      <c r="BQ35" s="21">
        <f>EXP(-LN(2)/25)*BQ34+(1-EXP(-LN(2)/25))/(LN(2)/25)*Calculateur!BL35*Calculateur!BN35*VLOOKUP('Données projet'!$B$11,Paramètres!$A$1:$I$89,3,0)*0.475*44/12</f>
        <v>7.795999188715645</v>
      </c>
      <c r="BR35" s="21">
        <f>EXP(-LN(2)/2)*BR34+(1-EXP(-LN(2)/2))/(LN(2)/2)*BL35*BO35*VLOOKUP('Données projet'!$B$11,Paramètres!$A$1:$I$89,3,0)*0.475*44/12</f>
        <v>1.68512488386417E-2</v>
      </c>
      <c r="BS35" s="22">
        <f t="shared" si="9"/>
        <v>9.5178526597430793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22</v>
      </c>
      <c r="BY35" s="12">
        <f>IF('Données projet'!$A$114&gt;35,BY34+BX35-CG34,IF(A35&lt;'Données projet'!$A$114,$BV$205^A35,IF(A35='Données projet'!$A$114,'Données projet'!$B$114,BY34+BX35-CG34)))</f>
        <v>252.99999999999989</v>
      </c>
      <c r="BZ35" s="13">
        <f>BY35*VLOOKUP('Données projet'!$B$12,Paramètres!$A$1:$I$89,3,0)*VLOOKUP('Données projet'!$B$12,Paramètres!$A$1:$I$89,5,0)</f>
        <v>141.42699999999994</v>
      </c>
      <c r="CA35" s="13">
        <f t="shared" si="39"/>
        <v>36.62371795968599</v>
      </c>
      <c r="CB35" s="20">
        <f t="shared" si="10"/>
        <v>310.10500044645295</v>
      </c>
      <c r="CC35" s="59">
        <f t="shared" si="11"/>
        <v>603.43833377978626</v>
      </c>
      <c r="CD35" s="59">
        <f ca="1">AVERAGE(OFFSET($CC$3,0,0,'Données projet'!$E$12+1,1))-AVERAGE(OFFSET($H$3,0,0,'Données projet'!$E$12+1,1))</f>
        <v>326.31232746914907</v>
      </c>
      <c r="CE35" s="59">
        <f t="shared" si="40"/>
        <v>330.17137761430297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4.3905523772407644</v>
      </c>
      <c r="CL35" s="21">
        <f>EXP(-LN(2)/25)*CL34+(1-EXP(-LN(2)/25))/(LN(2)/25)*Calculateur!CG35*Calculateur!CI35*VLOOKUP('Données projet'!$B$12,Paramètres!$A$1:$I$89,3,0)*0.475*44/12</f>
        <v>28.545348433704035</v>
      </c>
      <c r="CM35" s="21">
        <f>EXP(-LN(2)/2)*CM34+(1-EXP(-LN(2)/2))/(LN(2)/2)*CG35*CJ35*VLOOKUP('Données projet'!$B$12,Paramètres!$A$1:$I$89,3,0)*0.475*44/12</f>
        <v>16.261044185217617</v>
      </c>
      <c r="CN35" s="22">
        <f t="shared" si="12"/>
        <v>49.196944996162415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13.8</v>
      </c>
      <c r="CT35" s="12">
        <f>IF('Données projet'!$A$140&gt;35,CT34+CS35-DB34,IF(A35&lt;'Données projet'!$A$140,$CQ$205^A35,IF(A35='Données projet'!$A$140,'Données projet'!$B$140,CT34+CS35-DB34)))</f>
        <v>203.60000000000002</v>
      </c>
      <c r="CU35" s="17">
        <f>CT35*VLOOKUP('Données projet'!$B$13,Paramètres!$A$1:$I$89,3,0)*VLOOKUP('Données projet'!$B$13,Paramètres!$A$1:$I$89,5,0)</f>
        <v>111.1656</v>
      </c>
      <c r="CV35" s="13">
        <f t="shared" si="41"/>
        <v>29.60544032483066</v>
      </c>
      <c r="CW35" s="20">
        <f t="shared" si="13"/>
        <v>245.17622856574675</v>
      </c>
      <c r="CX35" s="59">
        <f t="shared" si="14"/>
        <v>538.50956189908004</v>
      </c>
      <c r="CY35" s="59">
        <f ca="1">AVERAGE(OFFSET($CX$3,0,0,'Données projet'!$E$13+1,1))-AVERAGE(OFFSET($H$3,0,0,'Données projet'!$E$13+1,1))</f>
        <v>210.04871822652808</v>
      </c>
      <c r="CZ35" s="59">
        <f t="shared" si="42"/>
        <v>250.17540614049324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7.0174579221860824</v>
      </c>
      <c r="DG35" s="21">
        <f>EXP(-LN(2)/25)*DG34+(1-EXP(-LN(2)/25))/(LN(2)/25)*Calculateur!DB35*Calculateur!DD35*VLOOKUP('Données projet'!$B$13,Paramètres!$A$1:$I$89,3,0)*0.475*44/12</f>
        <v>26.329459400122062</v>
      </c>
      <c r="DH35" s="21">
        <f>EXP(-LN(2)/2)*DH34+(1-EXP(-LN(2)/2))/(LN(2)/2)*DB35*DE35*VLOOKUP('Données projet'!$B$13,Paramètres!$A$1:$I$89,3,0)*0.475*44/12</f>
        <v>10.77694436867581</v>
      </c>
      <c r="DI35" s="22">
        <f t="shared" si="15"/>
        <v>44.123861690983958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12.1</v>
      </c>
      <c r="DO35" s="12">
        <f>IF('Données projet'!$A$166&gt;35,DO34+DN35-DW34,IF(A35&lt;'Données projet'!$A$166,$DL$205^A35,IF(A35='Données projet'!$A$166,'Données projet'!$B$166,DO34+DN35-DW34)))</f>
        <v>166.2</v>
      </c>
      <c r="DP35" s="17">
        <f>DO35*VLOOKUP('Données projet'!$B$14,Paramètres!$A$1:$I$89,3,0)*VLOOKUP('Données projet'!$B$14,Paramètres!$A$1:$I$89,5,0)</f>
        <v>121.85783999999998</v>
      </c>
      <c r="DQ35" s="13">
        <f t="shared" si="43"/>
        <v>32.107921760499821</v>
      </c>
      <c r="DR35" s="20">
        <f t="shared" si="16"/>
        <v>268.15703506620378</v>
      </c>
      <c r="DS35" s="59">
        <f t="shared" si="17"/>
        <v>561.49036839953715</v>
      </c>
      <c r="DT35" s="59">
        <f ca="1">AVERAGE(OFFSET($DS$3,0,0,'Données projet'!$E$14+1,1))-AVERAGE(OFFSET($H$3,0,0,'Données projet'!$E$14+1,1))</f>
        <v>234.09142087023463</v>
      </c>
      <c r="DU35" s="59">
        <f t="shared" si="44"/>
        <v>278.990685815294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2.3449541105717717</v>
      </c>
      <c r="EB35" s="21">
        <f>EXP(-LN(2)/25)*EB34+(1-EXP(-LN(2)/25))/(LN(2)/25)*Calculateur!DW35*Calculateur!DY35*VLOOKUP('Données projet'!$B$14,Paramètres!$A$1:$I$89,3,0)*0.475*44/12</f>
        <v>14.514658305404373</v>
      </c>
      <c r="EC35" s="21">
        <f>EXP(-LN(2)/2)*EC34+(1-EXP(-LN(2)/2))/(LN(2)/2)*DW35*DZ35*VLOOKUP('Données projet'!$B$14,Paramètres!$A$1:$I$89,3,0)*0.475*44/12</f>
        <v>11.076809900780319</v>
      </c>
      <c r="ED35" s="22">
        <f t="shared" si="18"/>
        <v>27.936422316756463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12.4</v>
      </c>
      <c r="N36" s="13">
        <f>IF('Données projet'!$A$36&gt;35,N35+M36-V35,IF(A36&lt;'Données projet'!$A$36,$K$205^A36,IF(A36='Données projet'!$A$36,'Données projet'!$B$36,N35+M36-V35)))</f>
        <v>210.2000000000001</v>
      </c>
      <c r="O36" s="13">
        <f>N36*VLOOKUP('Données projet'!$B$9,Paramètres!$A$1:$I$89,3,0)*VLOOKUP('Données projet'!$B$9,Paramètres!$A$1:$I$89,5,0)</f>
        <v>125.69960000000007</v>
      </c>
      <c r="P36" s="13">
        <f t="shared" si="33"/>
        <v>33.000726063948221</v>
      </c>
      <c r="Q36" s="20">
        <f t="shared" si="53"/>
        <v>276.40306789470998</v>
      </c>
      <c r="R36" s="59">
        <f t="shared" si="0"/>
        <v>569.73640122804329</v>
      </c>
      <c r="S36" s="59">
        <f ca="1">AVERAGE(OFFSET($R$3,0,0,'Données projet'!$E$9+1,1))-AVERAGE(OFFSET($H$3,0,0,'Données projet'!$E$9+1,1))</f>
        <v>259.30247982593914</v>
      </c>
      <c r="T36" s="59">
        <f t="shared" si="34"/>
        <v>275.24740346220779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16.593755895601852</v>
      </c>
      <c r="AB36" s="21">
        <f>EXP(-LN(2)/2)*AB35+(1-EXP(-LN(2)/2))/(LN(2)/2)*V36*Y36*VLOOKUP('Données projet'!$B$9,Paramètres!$A$1:$I$89,3,0)*0.475*44/12</f>
        <v>10.140077476607665</v>
      </c>
      <c r="AC36" s="22">
        <f t="shared" si="3"/>
        <v>26.733833372209517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24.6</v>
      </c>
      <c r="AI36" s="13">
        <f>IF('Données projet'!$A$62&gt;35,AI35+AH36-AQ35,IF(A36&lt;'Données projet'!$A$62,$AF$205^A36,IF(A36='Données projet'!$A$62,'Données projet'!$B$62,AI35+AH36-AQ35)))</f>
        <v>295.8</v>
      </c>
      <c r="AJ36" s="13">
        <f>AI36*VLOOKUP('Données projet'!$B$10,Paramètres!$A$1:$I$89,3,0)*VLOOKUP('Données projet'!$B$10,Paramètres!$A$1:$I$89,5,0)</f>
        <v>142.27979999999999</v>
      </c>
      <c r="AK36" s="13">
        <f t="shared" si="35"/>
        <v>36.818783655794178</v>
      </c>
      <c r="AL36" s="20">
        <f t="shared" si="4"/>
        <v>311.93003320050815</v>
      </c>
      <c r="AM36" s="59">
        <f t="shared" si="5"/>
        <v>605.26336653384146</v>
      </c>
      <c r="AN36" s="59">
        <f ca="1">AVERAGE(OFFSET($AM$3,0,0,'Données projet'!$E$10+1,1))-AVERAGE(OFFSET($H$3,0,0,'Données projet'!$E$10+1,1))</f>
        <v>297.21955661193238</v>
      </c>
      <c r="AO36" s="59">
        <f t="shared" si="36"/>
        <v>273.69206144662144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6.349430589549649</v>
      </c>
      <c r="AV36" s="21">
        <f>EXP(-LN(2)/25)*AV35+(1-EXP(-LN(2)/25))/(LN(2)/25)*Calculateur!AQ36*Calculateur!AS36*VLOOKUP('Données projet'!$B$10,Paramètres!$A$1:$I$89,3,0)*0.475*44/12</f>
        <v>12.351803927290282</v>
      </c>
      <c r="AW36" s="21">
        <f>EXP(-LN(2)/2)*AW35+(1-EXP(-LN(2)/2))/(LN(2)/2)*AQ36*AT36*VLOOKUP('Données projet'!$B$10,Paramètres!$A$1:$I$89,3,0)*0.475*44/12</f>
        <v>7.3937854877945464</v>
      </c>
      <c r="AX36" s="21">
        <f t="shared" si="6"/>
        <v>26.095020004634478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13.2</v>
      </c>
      <c r="BD36" s="12">
        <f>IF('Données projet'!$A$88&gt;35,BD35+BC36-BL35,IF(A36&lt;'Données projet'!$A$88,$BA$205^A36,IF(A36='Données projet'!$A$88,'Données projet'!$B$88,BD35+BC36-BL35)))</f>
        <v>294.60000000000002</v>
      </c>
      <c r="BE36" s="13">
        <f>BD36*VLOOKUP('Données projet'!$B$11,Paramètres!$A$1:$I$89,3,0)*VLOOKUP('Données projet'!$B$11,Paramètres!$A$1:$I$89,5,0)</f>
        <v>188.42616000000001</v>
      </c>
      <c r="BF36" s="13">
        <f t="shared" si="37"/>
        <v>47.19183090788875</v>
      </c>
      <c r="BG36" s="20">
        <f t="shared" si="7"/>
        <v>410.36800083123961</v>
      </c>
      <c r="BH36" s="59">
        <f t="shared" si="8"/>
        <v>703.70133416457293</v>
      </c>
      <c r="BI36" s="59">
        <f ca="1">AVERAGE(OFFSET($BH$3,0,0,'Données projet'!$E$11+1,1))-AVERAGE(OFFSET($H$3,0,0,'Données projet'!$E$11+1,1))</f>
        <v>176.90404027101607</v>
      </c>
      <c r="BJ36" s="59">
        <f t="shared" si="38"/>
        <v>295.34177980841878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1.6715681685603401</v>
      </c>
      <c r="BQ36" s="21">
        <f>EXP(-LN(2)/25)*BQ35+(1-EXP(-LN(2)/25))/(LN(2)/25)*Calculateur!BL36*Calculateur!BN36*VLOOKUP('Données projet'!$B$11,Paramètres!$A$1:$I$89,3,0)*0.475*44/12</f>
        <v>7.582817180926436</v>
      </c>
      <c r="BR36" s="21">
        <f>EXP(-LN(2)/2)*BR35+(1-EXP(-LN(2)/2))/(LN(2)/2)*BL36*BO36*VLOOKUP('Données projet'!$B$11,Paramètres!$A$1:$I$89,3,0)*0.475*44/12</f>
        <v>1.191563232526548E-2</v>
      </c>
      <c r="BS36" s="22">
        <f t="shared" si="9"/>
        <v>9.2663009818120425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22</v>
      </c>
      <c r="BY36" s="12">
        <f>IF('Données projet'!$A$114&gt;35,BY35+BX36-CG35,IF(A36&lt;'Données projet'!$A$114,$BV$205^A36,IF(A36='Données projet'!$A$114,'Données projet'!$B$114,BY35+BX36-CG35)))</f>
        <v>274.99999999999989</v>
      </c>
      <c r="BZ36" s="13">
        <f>BY36*VLOOKUP('Données projet'!$B$12,Paramètres!$A$1:$I$89,3,0)*VLOOKUP('Données projet'!$B$12,Paramètres!$A$1:$I$89,5,0)</f>
        <v>153.72499999999994</v>
      </c>
      <c r="CA36" s="13">
        <f t="shared" si="39"/>
        <v>39.423892922919691</v>
      </c>
      <c r="CB36" s="20">
        <f t="shared" si="10"/>
        <v>336.40098850741833</v>
      </c>
      <c r="CC36" s="59">
        <f t="shared" si="11"/>
        <v>629.73432184075159</v>
      </c>
      <c r="CD36" s="59">
        <f ca="1">AVERAGE(OFFSET($CC$3,0,0,'Données projet'!$E$12+1,1))-AVERAGE(OFFSET($H$3,0,0,'Données projet'!$E$12+1,1))</f>
        <v>326.31232746914907</v>
      </c>
      <c r="CE36" s="59">
        <f t="shared" si="40"/>
        <v>330.17137761430297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4.3044563230955957</v>
      </c>
      <c r="CL36" s="21">
        <f>EXP(-LN(2)/25)*CL35+(1-EXP(-LN(2)/25))/(LN(2)/25)*Calculateur!CG36*Calculateur!CI36*VLOOKUP('Données projet'!$B$12,Paramètres!$A$1:$I$89,3,0)*0.475*44/12</f>
        <v>27.764774379649765</v>
      </c>
      <c r="CM36" s="21">
        <f>EXP(-LN(2)/2)*CM35+(1-EXP(-LN(2)/2))/(LN(2)/2)*CG36*CJ36*VLOOKUP('Données projet'!$B$12,Paramètres!$A$1:$I$89,3,0)*0.475*44/12</f>
        <v>11.498294612541455</v>
      </c>
      <c r="CN36" s="22">
        <f t="shared" si="12"/>
        <v>43.567525315286815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13.8</v>
      </c>
      <c r="CT36" s="12">
        <f>IF('Données projet'!$A$140&gt;35,CT35+CS36-DB35,IF(A36&lt;'Données projet'!$A$140,$CQ$205^A36,IF(A36='Données projet'!$A$140,'Données projet'!$B$140,CT35+CS36-DB35)))</f>
        <v>217.40000000000003</v>
      </c>
      <c r="CU36" s="17">
        <f>CT36*VLOOKUP('Données projet'!$B$13,Paramètres!$A$1:$I$89,3,0)*VLOOKUP('Données projet'!$B$13,Paramètres!$A$1:$I$89,5,0)</f>
        <v>118.70040000000002</v>
      </c>
      <c r="CV36" s="13">
        <f t="shared" si="41"/>
        <v>31.371697109278699</v>
      </c>
      <c r="CW36" s="20">
        <f t="shared" si="13"/>
        <v>261.37556913199376</v>
      </c>
      <c r="CX36" s="59">
        <f t="shared" si="14"/>
        <v>554.70890246532713</v>
      </c>
      <c r="CY36" s="59">
        <f ca="1">AVERAGE(OFFSET($CX$3,0,0,'Données projet'!$E$13+1,1))-AVERAGE(OFFSET($H$3,0,0,'Données projet'!$E$13+1,1))</f>
        <v>210.04871822652808</v>
      </c>
      <c r="CZ36" s="59">
        <f t="shared" si="42"/>
        <v>250.17540614049324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6.8798498525587082</v>
      </c>
      <c r="DG36" s="21">
        <f>EXP(-LN(2)/25)*DG35+(1-EXP(-LN(2)/25))/(LN(2)/25)*Calculateur!DB36*Calculateur!DD36*VLOOKUP('Données projet'!$B$13,Paramètres!$A$1:$I$89,3,0)*0.475*44/12</f>
        <v>25.609478948219632</v>
      </c>
      <c r="DH36" s="21">
        <f>EXP(-LN(2)/2)*DH35+(1-EXP(-LN(2)/2))/(LN(2)/2)*DB36*DE36*VLOOKUP('Données projet'!$B$13,Paramètres!$A$1:$I$89,3,0)*0.475*44/12</f>
        <v>7.6204504435608422</v>
      </c>
      <c r="DI36" s="22">
        <f t="shared" si="15"/>
        <v>40.10977924433918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12.1</v>
      </c>
      <c r="DO36" s="12">
        <f>IF('Données projet'!$A$166&gt;35,DO35+DN36-DW35,IF(A36&lt;'Données projet'!$A$166,$DL$205^A36,IF(A36='Données projet'!$A$166,'Données projet'!$B$166,DO35+DN36-DW35)))</f>
        <v>178.29999999999998</v>
      </c>
      <c r="DP36" s="17">
        <f>DO36*VLOOKUP('Données projet'!$B$14,Paramètres!$A$1:$I$89,3,0)*VLOOKUP('Données projet'!$B$14,Paramètres!$A$1:$I$89,5,0)</f>
        <v>130.72955999999999</v>
      </c>
      <c r="DQ36" s="13">
        <f t="shared" si="43"/>
        <v>34.164884281295677</v>
      </c>
      <c r="DR36" s="20">
        <f t="shared" si="16"/>
        <v>287.19115712325663</v>
      </c>
      <c r="DS36" s="59">
        <f t="shared" si="17"/>
        <v>580.52449045659</v>
      </c>
      <c r="DT36" s="59">
        <f ca="1">AVERAGE(OFFSET($DS$3,0,0,'Données projet'!$E$14+1,1))-AVERAGE(OFFSET($H$3,0,0,'Données projet'!$E$14+1,1))</f>
        <v>234.09142087023463</v>
      </c>
      <c r="DU36" s="59">
        <f t="shared" si="44"/>
        <v>278.990685815294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2.2989709907442384</v>
      </c>
      <c r="EB36" s="21">
        <f>EXP(-LN(2)/25)*EB35+(1-EXP(-LN(2)/25))/(LN(2)/25)*Calculateur!DW36*Calculateur!DY36*VLOOKUP('Données projet'!$B$14,Paramètres!$A$1:$I$89,3,0)*0.475*44/12</f>
        <v>14.117754210750384</v>
      </c>
      <c r="EC36" s="21">
        <f>EXP(-LN(2)/2)*EC35+(1-EXP(-LN(2)/2))/(LN(2)/2)*DW36*DZ36*VLOOKUP('Données projet'!$B$14,Paramètres!$A$1:$I$89,3,0)*0.475*44/12</f>
        <v>7.8324873947560523</v>
      </c>
      <c r="ED36" s="22">
        <f t="shared" si="18"/>
        <v>24.249212596250672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12.4</v>
      </c>
      <c r="N37" s="13">
        <f>IF('Données projet'!$A$36&gt;35,N36+M37-V36,IF(A37&lt;'Données projet'!$A$36,$K$205^A37,IF(A37='Données projet'!$A$36,'Données projet'!$B$36,N36+M37-V36)))</f>
        <v>222.60000000000011</v>
      </c>
      <c r="O37" s="13">
        <f>N37*VLOOKUP('Données projet'!$B$9,Paramètres!$A$1:$I$89,3,0)*VLOOKUP('Données projet'!$B$9,Paramètres!$A$1:$I$89,5,0)</f>
        <v>133.11480000000009</v>
      </c>
      <c r="P37" s="13">
        <f t="shared" si="33"/>
        <v>34.715103341058125</v>
      </c>
      <c r="Q37" s="20">
        <f t="shared" si="53"/>
        <v>292.30374831900969</v>
      </c>
      <c r="R37" s="59">
        <f t="shared" si="0"/>
        <v>585.637081652343</v>
      </c>
      <c r="S37" s="59">
        <f ca="1">AVERAGE(OFFSET($R$3,0,0,'Données projet'!$E$9+1,1))-AVERAGE(OFFSET($H$3,0,0,'Données projet'!$E$9+1,1))</f>
        <v>259.30247982593914</v>
      </c>
      <c r="T37" s="59">
        <f t="shared" si="34"/>
        <v>275.24740346220779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16.139998768008923</v>
      </c>
      <c r="AB37" s="21">
        <f>EXP(-LN(2)/2)*AB36+(1-EXP(-LN(2)/2))/(LN(2)/2)*V37*Y37*VLOOKUP('Données projet'!$B$9,Paramètres!$A$1:$I$89,3,0)*0.475*44/12</f>
        <v>7.1701175454662556</v>
      </c>
      <c r="AC37" s="22">
        <f t="shared" si="3"/>
        <v>23.310116313475177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24.6</v>
      </c>
      <c r="AI37" s="13">
        <f>IF('Données projet'!$A$62&gt;35,AI36+AH37-AQ36,IF(A37&lt;'Données projet'!$A$62,$AF$205^A37,IF(A37='Données projet'!$A$62,'Données projet'!$B$62,AI36+AH37-AQ36)))</f>
        <v>320.40000000000003</v>
      </c>
      <c r="AJ37" s="13">
        <f>AI37*VLOOKUP('Données projet'!$B$10,Paramètres!$A$1:$I$89,3,0)*VLOOKUP('Données projet'!$B$10,Paramètres!$A$1:$I$89,5,0)</f>
        <v>154.11240000000004</v>
      </c>
      <c r="AK37" s="13">
        <f t="shared" si="35"/>
        <v>39.511667083726039</v>
      </c>
      <c r="AL37" s="20">
        <f t="shared" si="4"/>
        <v>337.22858350415618</v>
      </c>
      <c r="AM37" s="59">
        <f t="shared" si="5"/>
        <v>630.56191683748943</v>
      </c>
      <c r="AN37" s="59">
        <f ca="1">AVERAGE(OFFSET($AM$3,0,0,'Données projet'!$E$10+1,1))-AVERAGE(OFFSET($H$3,0,0,'Données projet'!$E$10+1,1))</f>
        <v>297.21955661193238</v>
      </c>
      <c r="AO37" s="59">
        <f t="shared" si="36"/>
        <v>273.69206144662144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6.2249221284588359</v>
      </c>
      <c r="AV37" s="21">
        <f>EXP(-LN(2)/25)*AV36+(1-EXP(-LN(2)/25))/(LN(2)/25)*Calculateur!AQ37*Calculateur!AS37*VLOOKUP('Données projet'!$B$10,Paramètres!$A$1:$I$89,3,0)*0.475*44/12</f>
        <v>12.014043199345391</v>
      </c>
      <c r="AW37" s="21">
        <f>EXP(-LN(2)/2)*AW36+(1-EXP(-LN(2)/2))/(LN(2)/2)*AQ37*AT37*VLOOKUP('Données projet'!$B$10,Paramètres!$A$1:$I$89,3,0)*0.475*44/12</f>
        <v>5.2281958570582088</v>
      </c>
      <c r="AX37" s="21">
        <f t="shared" si="6"/>
        <v>23.467161184862434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13.2</v>
      </c>
      <c r="BD37" s="12">
        <f>IF('Données projet'!$A$88&gt;35,BD36+BC37-BL36,IF(A37&lt;'Données projet'!$A$88,$BA$205^A37,IF(A37='Données projet'!$A$88,'Données projet'!$B$88,BD36+BC37-BL36)))</f>
        <v>307.8</v>
      </c>
      <c r="BE37" s="13">
        <f>BD37*VLOOKUP('Données projet'!$B$11,Paramètres!$A$1:$I$89,3,0)*VLOOKUP('Données projet'!$B$11,Paramètres!$A$1:$I$89,5,0)</f>
        <v>196.86887999999999</v>
      </c>
      <c r="BF37" s="13">
        <f t="shared" si="37"/>
        <v>49.055411646042032</v>
      </c>
      <c r="BG37" s="20">
        <f t="shared" si="7"/>
        <v>428.31814128352318</v>
      </c>
      <c r="BH37" s="59">
        <f t="shared" si="8"/>
        <v>721.65147461685649</v>
      </c>
      <c r="BI37" s="59">
        <f ca="1">AVERAGE(OFFSET($BH$3,0,0,'Données projet'!$E$11+1,1))-AVERAGE(OFFSET($H$3,0,0,'Données projet'!$E$11+1,1))</f>
        <v>176.90404027101607</v>
      </c>
      <c r="BJ37" s="59">
        <f t="shared" si="38"/>
        <v>295.34177980841878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1.6387897363307817</v>
      </c>
      <c r="BQ37" s="21">
        <f>EXP(-LN(2)/25)*BQ36+(1-EXP(-LN(2)/25))/(LN(2)/25)*Calculateur!BL37*Calculateur!BN37*VLOOKUP('Données projet'!$B$11,Paramètres!$A$1:$I$89,3,0)*0.475*44/12</f>
        <v>7.3754646463509781</v>
      </c>
      <c r="BR37" s="21">
        <f>EXP(-LN(2)/2)*BR36+(1-EXP(-LN(2)/2))/(LN(2)/2)*BL37*BO37*VLOOKUP('Données projet'!$B$11,Paramètres!$A$1:$I$89,3,0)*0.475*44/12</f>
        <v>8.4256244193208502E-3</v>
      </c>
      <c r="BS37" s="22">
        <f t="shared" si="9"/>
        <v>9.02268000710108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22</v>
      </c>
      <c r="BY37" s="12">
        <f>IF('Données projet'!$A$114&gt;35,BY36+BX37-CG36,IF(A37&lt;'Données projet'!$A$114,$BV$205^A37,IF(A37='Données projet'!$A$114,'Données projet'!$B$114,BY36+BX37-CG36)))</f>
        <v>296.99999999999989</v>
      </c>
      <c r="BZ37" s="13">
        <f>BY37*VLOOKUP('Données projet'!$B$12,Paramètres!$A$1:$I$89,3,0)*VLOOKUP('Données projet'!$B$12,Paramètres!$A$1:$I$89,5,0)</f>
        <v>166.02299999999994</v>
      </c>
      <c r="CA37" s="13">
        <f t="shared" si="39"/>
        <v>42.198084449395701</v>
      </c>
      <c r="CB37" s="20">
        <f t="shared" si="10"/>
        <v>362.6517220826974</v>
      </c>
      <c r="CC37" s="59">
        <f t="shared" si="11"/>
        <v>655.98505541603072</v>
      </c>
      <c r="CD37" s="59">
        <f ca="1">AVERAGE(OFFSET($CC$3,0,0,'Données projet'!$E$12+1,1))-AVERAGE(OFFSET($H$3,0,0,'Données projet'!$E$12+1,1))</f>
        <v>326.31232746914907</v>
      </c>
      <c r="CE37" s="59">
        <f t="shared" si="40"/>
        <v>330.17137761430297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4.2200485600588058</v>
      </c>
      <c r="CL37" s="21">
        <f>EXP(-LN(2)/25)*CL36+(1-EXP(-LN(2)/25))/(LN(2)/25)*Calculateur!CG37*Calculateur!CI37*VLOOKUP('Données projet'!$B$12,Paramètres!$A$1:$I$89,3,0)*0.475*44/12</f>
        <v>27.005545164152213</v>
      </c>
      <c r="CM37" s="21">
        <f>EXP(-LN(2)/2)*CM36+(1-EXP(-LN(2)/2))/(LN(2)/2)*CG37*CJ37*VLOOKUP('Données projet'!$B$12,Paramètres!$A$1:$I$89,3,0)*0.475*44/12</f>
        <v>8.1305220926088104</v>
      </c>
      <c r="CN37" s="22">
        <f t="shared" si="12"/>
        <v>39.35611581681983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13.8</v>
      </c>
      <c r="CT37" s="12">
        <f>IF('Données projet'!$A$140&gt;35,CT36+CS37-DB36,IF(A37&lt;'Données projet'!$A$140,$CQ$205^A37,IF(A37='Données projet'!$A$140,'Données projet'!$B$140,CT36+CS37-DB36)))</f>
        <v>231.20000000000005</v>
      </c>
      <c r="CU37" s="17">
        <f>CT37*VLOOKUP('Données projet'!$B$13,Paramètres!$A$1:$I$89,3,0)*VLOOKUP('Données projet'!$B$13,Paramètres!$A$1:$I$89,5,0)</f>
        <v>126.23520000000002</v>
      </c>
      <c r="CV37" s="13">
        <f t="shared" si="41"/>
        <v>33.12494229060627</v>
      </c>
      <c r="CW37" s="20">
        <f t="shared" si="13"/>
        <v>277.55224782280595</v>
      </c>
      <c r="CX37" s="59">
        <f t="shared" si="14"/>
        <v>570.88558115613932</v>
      </c>
      <c r="CY37" s="59">
        <f ca="1">AVERAGE(OFFSET($CX$3,0,0,'Données projet'!$E$13+1,1))-AVERAGE(OFFSET($H$3,0,0,'Données projet'!$E$13+1,1))</f>
        <v>210.04871822652808</v>
      </c>
      <c r="CZ37" s="59">
        <f t="shared" si="42"/>
        <v>250.17540614049324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6.7449401932440924</v>
      </c>
      <c r="DG37" s="21">
        <f>EXP(-LN(2)/25)*DG36+(1-EXP(-LN(2)/25))/(LN(2)/25)*Calculateur!DB37*Calculateur!DD37*VLOOKUP('Données projet'!$B$13,Paramètres!$A$1:$I$89,3,0)*0.475*44/12</f>
        <v>24.909186399636599</v>
      </c>
      <c r="DH37" s="21">
        <f>EXP(-LN(2)/2)*DH36+(1-EXP(-LN(2)/2))/(LN(2)/2)*DB37*DE37*VLOOKUP('Données projet'!$B$13,Paramètres!$A$1:$I$89,3,0)*0.475*44/12</f>
        <v>5.388472184337906</v>
      </c>
      <c r="DI37" s="22">
        <f t="shared" si="15"/>
        <v>37.042598777218601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12.1</v>
      </c>
      <c r="DO37" s="12">
        <f>IF('Données projet'!$A$166&gt;35,DO36+DN37-DW36,IF(A37&lt;'Données projet'!$A$166,$DL$205^A37,IF(A37='Données projet'!$A$166,'Données projet'!$B$166,DO36+DN37-DW36)))</f>
        <v>190.39999999999998</v>
      </c>
      <c r="DP37" s="17">
        <f>DO37*VLOOKUP('Données projet'!$B$14,Paramètres!$A$1:$I$89,3,0)*VLOOKUP('Données projet'!$B$14,Paramètres!$A$1:$I$89,5,0)</f>
        <v>139.60127999999997</v>
      </c>
      <c r="DQ37" s="13">
        <f t="shared" si="43"/>
        <v>36.205649185823027</v>
      </c>
      <c r="DR37" s="20">
        <f t="shared" si="16"/>
        <v>306.19706833197506</v>
      </c>
      <c r="DS37" s="59">
        <f t="shared" si="17"/>
        <v>599.53040166530832</v>
      </c>
      <c r="DT37" s="59">
        <f ca="1">AVERAGE(OFFSET($DS$3,0,0,'Données projet'!$E$14+1,1))-AVERAGE(OFFSET($H$3,0,0,'Données projet'!$E$14+1,1))</f>
        <v>234.09142087023463</v>
      </c>
      <c r="DU37" s="59">
        <f t="shared" si="44"/>
        <v>278.990685815294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2.253889571849589</v>
      </c>
      <c r="EB37" s="21">
        <f>EXP(-LN(2)/25)*EB36+(1-EXP(-LN(2)/25))/(LN(2)/25)*Calculateur!DW37*Calculateur!DY37*VLOOKUP('Données projet'!$B$14,Paramètres!$A$1:$I$89,3,0)*0.475*44/12</f>
        <v>13.731703479436987</v>
      </c>
      <c r="EC37" s="21">
        <f>EXP(-LN(2)/2)*EC36+(1-EXP(-LN(2)/2))/(LN(2)/2)*DW37*DZ37*VLOOKUP('Données projet'!$B$14,Paramètres!$A$1:$I$89,3,0)*0.475*44/12</f>
        <v>5.5384049503901602</v>
      </c>
      <c r="ED37" s="22">
        <f t="shared" si="18"/>
        <v>21.523998001676738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12.4</v>
      </c>
      <c r="N38" s="13">
        <f>IF('Données projet'!$A$36&gt;35,N37+M38-V37,IF(A38&lt;'Données projet'!$A$36,$K$205^A38,IF(A38='Données projet'!$A$36,'Données projet'!$B$36,N37+M38-V37)))</f>
        <v>235.00000000000011</v>
      </c>
      <c r="O38" s="13">
        <f>N38*VLOOKUP('Données projet'!$B$9,Paramètres!$A$1:$I$89,3,0)*VLOOKUP('Données projet'!$B$9,Paramètres!$A$1:$I$89,5,0)</f>
        <v>140.53000000000006</v>
      </c>
      <c r="P38" s="13">
        <f t="shared" si="33"/>
        <v>36.418394338798777</v>
      </c>
      <c r="Q38" s="20">
        <f t="shared" si="53"/>
        <v>308.18512014007462</v>
      </c>
      <c r="R38" s="59">
        <f t="shared" si="0"/>
        <v>601.51845347340793</v>
      </c>
      <c r="S38" s="59">
        <f ca="1">AVERAGE(OFFSET($R$3,0,0,'Données projet'!$E$9+1,1))-AVERAGE(OFFSET($H$3,0,0,'Données projet'!$E$9+1,1))</f>
        <v>259.30247982593914</v>
      </c>
      <c r="T38" s="59">
        <f t="shared" si="34"/>
        <v>275.24740346220779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15.698649652932072</v>
      </c>
      <c r="AB38" s="21">
        <f>EXP(-LN(2)/2)*AB37+(1-EXP(-LN(2)/2))/(LN(2)/2)*V38*Y38*VLOOKUP('Données projet'!$B$9,Paramètres!$A$1:$I$89,3,0)*0.475*44/12</f>
        <v>5.0700387383038334</v>
      </c>
      <c r="AC38" s="22">
        <f t="shared" si="3"/>
        <v>20.768688391235905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24.6</v>
      </c>
      <c r="AI38" s="13">
        <f>IF('Données projet'!$A$62&gt;35,AI37+AH38-AQ37,IF(A38&lt;'Données projet'!$A$62,$AF$205^A38,IF(A38='Données projet'!$A$62,'Données projet'!$B$62,AI37+AH38-AQ37)))</f>
        <v>345.00000000000006</v>
      </c>
      <c r="AJ38" s="13">
        <f>AI38*VLOOKUP('Données projet'!$B$10,Paramètres!$A$1:$I$89,3,0)*VLOOKUP('Données projet'!$B$10,Paramètres!$A$1:$I$89,5,0)</f>
        <v>165.94500000000002</v>
      </c>
      <c r="AK38" s="13">
        <f t="shared" si="35"/>
        <v>42.180566362892314</v>
      </c>
      <c r="AL38" s="20">
        <f t="shared" si="4"/>
        <v>362.48536141537079</v>
      </c>
      <c r="AM38" s="59">
        <f t="shared" si="5"/>
        <v>655.81869474870405</v>
      </c>
      <c r="AN38" s="59">
        <f ca="1">AVERAGE(OFFSET($AM$3,0,0,'Données projet'!$E$10+1,1))-AVERAGE(OFFSET($H$3,0,0,'Données projet'!$E$10+1,1))</f>
        <v>297.21955661193238</v>
      </c>
      <c r="AO38" s="59">
        <f t="shared" si="36"/>
        <v>273.69206144662144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6.1028552023473512</v>
      </c>
      <c r="AV38" s="21">
        <f>EXP(-LN(2)/25)*AV37+(1-EXP(-LN(2)/25))/(LN(2)/25)*Calculateur!AQ38*Calculateur!AS38*VLOOKUP('Données projet'!$B$10,Paramètres!$A$1:$I$89,3,0)*0.475*44/12</f>
        <v>11.685518556268217</v>
      </c>
      <c r="AW38" s="21">
        <f>EXP(-LN(2)/2)*AW37+(1-EXP(-LN(2)/2))/(LN(2)/2)*AQ38*AT38*VLOOKUP('Données projet'!$B$10,Paramètres!$A$1:$I$89,3,0)*0.475*44/12</f>
        <v>3.6968927438972732</v>
      </c>
      <c r="AX38" s="21">
        <f t="shared" si="6"/>
        <v>21.485266502512843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321</v>
      </c>
      <c r="BB38" s="12">
        <f>VLOOKUP(A38,'Données projet'!$A$87:$I$107,9,0)</f>
        <v>13.2</v>
      </c>
      <c r="BC38" s="12">
        <f t="array" ref="BC38">INDEX(BB:BB,MIN(IF(ISNUMBER(BB38:BB234),ROW(BB38:BB234),"")))</f>
        <v>13.2</v>
      </c>
      <c r="BD38" s="12">
        <f>IF('Données projet'!$A$88&gt;35,BD37+BC38-BL37,IF(A38&lt;'Données projet'!$A$88,$BA$205^A38,IF(A38='Données projet'!$A$88,'Données projet'!$B$88,BD37+BC38-BL37)))</f>
        <v>321</v>
      </c>
      <c r="BE38" s="13">
        <f>BD38*VLOOKUP('Données projet'!$B$11,Paramètres!$A$1:$I$89,3,0)*VLOOKUP('Données projet'!$B$11,Paramètres!$A$1:$I$89,5,0)</f>
        <v>205.31159999999997</v>
      </c>
      <c r="BF38" s="13">
        <f t="shared" si="37"/>
        <v>50.909709913146784</v>
      </c>
      <c r="BG38" s="20">
        <f t="shared" si="7"/>
        <v>446.25211476539721</v>
      </c>
      <c r="BH38" s="59">
        <f t="shared" si="8"/>
        <v>739.58544809873047</v>
      </c>
      <c r="BI38" s="59">
        <f ca="1">AVERAGE(OFFSET($BH$3,0,0,'Données projet'!$E$11+1,1))-AVERAGE(OFFSET($H$3,0,0,'Données projet'!$E$11+1,1))</f>
        <v>176.90404027101607</v>
      </c>
      <c r="BJ38" s="59">
        <f t="shared" si="38"/>
        <v>295.34177980841878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1.6066540691643756</v>
      </c>
      <c r="BQ38" s="21">
        <f>EXP(-LN(2)/25)*BQ37+(1-EXP(-LN(2)/25))/(LN(2)/25)*Calculateur!BL38*Calculateur!BN38*VLOOKUP('Données projet'!$B$11,Paramètres!$A$1:$I$89,3,0)*0.475*44/12</f>
        <v>7.1737821777376816</v>
      </c>
      <c r="BR38" s="21">
        <f>EXP(-LN(2)/2)*BR37+(1-EXP(-LN(2)/2))/(LN(2)/2)*BL38*BO38*VLOOKUP('Données projet'!$B$11,Paramètres!$A$1:$I$89,3,0)*0.475*44/12</f>
        <v>5.9578161626327401E-3</v>
      </c>
      <c r="BS38" s="22">
        <f t="shared" si="9"/>
        <v>8.7863940630646908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22</v>
      </c>
      <c r="BY38" s="12">
        <f>IF('Données projet'!$A$114&gt;35,BY37+BX38-CG37,IF(A38&lt;'Données projet'!$A$114,$BV$205^A38,IF(A38='Données projet'!$A$114,'Données projet'!$B$114,BY37+BX38-CG37)))</f>
        <v>318.99999999999989</v>
      </c>
      <c r="BZ38" s="13">
        <f>BY38*VLOOKUP('Données projet'!$B$12,Paramètres!$A$1:$I$89,3,0)*VLOOKUP('Données projet'!$B$12,Paramètres!$A$1:$I$89,5,0)</f>
        <v>178.32099999999994</v>
      </c>
      <c r="CA38" s="13">
        <f t="shared" si="39"/>
        <v>44.948436103175418</v>
      </c>
      <c r="CB38" s="20">
        <f t="shared" si="10"/>
        <v>388.86093454636375</v>
      </c>
      <c r="CC38" s="59">
        <f t="shared" si="11"/>
        <v>682.19426787969701</v>
      </c>
      <c r="CD38" s="59">
        <f ca="1">AVERAGE(OFFSET($CC$3,0,0,'Données projet'!$E$12+1,1))-AVERAGE(OFFSET($H$3,0,0,'Données projet'!$E$12+1,1))</f>
        <v>326.31232746914907</v>
      </c>
      <c r="CE38" s="59">
        <f t="shared" si="40"/>
        <v>330.17137761430297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4.1372959817715156</v>
      </c>
      <c r="CL38" s="21">
        <f>EXP(-LN(2)/25)*CL37+(1-EXP(-LN(2)/25))/(LN(2)/25)*Calculateur!CG38*Calculateur!CI38*VLOOKUP('Données projet'!$B$12,Paramètres!$A$1:$I$89,3,0)*0.475*44/12</f>
        <v>26.267077111478574</v>
      </c>
      <c r="CM38" s="21">
        <f>EXP(-LN(2)/2)*CM37+(1-EXP(-LN(2)/2))/(LN(2)/2)*CG38*CJ38*VLOOKUP('Données projet'!$B$12,Paramètres!$A$1:$I$89,3,0)*0.475*44/12</f>
        <v>5.7491473062707286</v>
      </c>
      <c r="CN38" s="22">
        <f t="shared" si="12"/>
        <v>36.153520399520815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13.8</v>
      </c>
      <c r="CT38" s="12">
        <f>IF('Données projet'!$A$140&gt;35,CT37+CS38-DB37,IF(A38&lt;'Données projet'!$A$140,$CQ$205^A38,IF(A38='Données projet'!$A$140,'Données projet'!$B$140,CT37+CS38-DB37)))</f>
        <v>245.00000000000006</v>
      </c>
      <c r="CU38" s="17">
        <f>CT38*VLOOKUP('Données projet'!$B$13,Paramètres!$A$1:$I$89,3,0)*VLOOKUP('Données projet'!$B$13,Paramètres!$A$1:$I$89,5,0)</f>
        <v>133.77000000000004</v>
      </c>
      <c r="CV38" s="13">
        <f t="shared" si="41"/>
        <v>34.86604096673306</v>
      </c>
      <c r="CW38" s="20">
        <f t="shared" si="13"/>
        <v>293.70777135039344</v>
      </c>
      <c r="CX38" s="59">
        <f t="shared" si="14"/>
        <v>587.04110468372676</v>
      </c>
      <c r="CY38" s="59">
        <f ca="1">AVERAGE(OFFSET($CX$3,0,0,'Données projet'!$E$13+1,1))-AVERAGE(OFFSET($H$3,0,0,'Données projet'!$E$13+1,1))</f>
        <v>210.04871822652808</v>
      </c>
      <c r="CZ38" s="59">
        <f t="shared" si="42"/>
        <v>250.17540614049324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6.612676030061869</v>
      </c>
      <c r="DG38" s="21">
        <f>EXP(-LN(2)/25)*DG37+(1-EXP(-LN(2)/25))/(LN(2)/25)*Calculateur!DB38*Calculateur!DD38*VLOOKUP('Données projet'!$B$13,Paramètres!$A$1:$I$89,3,0)*0.475*44/12</f>
        <v>24.228043387621355</v>
      </c>
      <c r="DH38" s="21">
        <f>EXP(-LN(2)/2)*DH37+(1-EXP(-LN(2)/2))/(LN(2)/2)*DB38*DE38*VLOOKUP('Données projet'!$B$13,Paramètres!$A$1:$I$89,3,0)*0.475*44/12</f>
        <v>3.8102252217804216</v>
      </c>
      <c r="DI38" s="22">
        <f t="shared" si="15"/>
        <v>34.650944639463646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12.1</v>
      </c>
      <c r="DO38" s="12">
        <f>IF('Données projet'!$A$166&gt;35,DO37+DN38-DW37,IF(A38&lt;'Données projet'!$A$166,$DL$205^A38,IF(A38='Données projet'!$A$166,'Données projet'!$B$166,DO37+DN38-DW37)))</f>
        <v>202.49999999999997</v>
      </c>
      <c r="DP38" s="17">
        <f>DO38*VLOOKUP('Données projet'!$B$14,Paramètres!$A$1:$I$89,3,0)*VLOOKUP('Données projet'!$B$14,Paramètres!$A$1:$I$89,5,0)</f>
        <v>148.47299999999998</v>
      </c>
      <c r="DQ38" s="13">
        <f t="shared" si="43"/>
        <v>38.231363009539002</v>
      </c>
      <c r="DR38" s="20">
        <f t="shared" si="16"/>
        <v>325.17676557494707</v>
      </c>
      <c r="DS38" s="59">
        <f t="shared" si="17"/>
        <v>618.51009890828038</v>
      </c>
      <c r="DT38" s="59">
        <f ca="1">AVERAGE(OFFSET($DS$3,0,0,'Données projet'!$E$14+1,1))-AVERAGE(OFFSET($H$3,0,0,'Données projet'!$E$14+1,1))</f>
        <v>234.09142087023463</v>
      </c>
      <c r="DU38" s="59">
        <f t="shared" si="44"/>
        <v>278.990685815294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2.2096921720825136</v>
      </c>
      <c r="EB38" s="21">
        <f>EXP(-LN(2)/25)*EB37+(1-EXP(-LN(2)/25))/(LN(2)/25)*Calculateur!DW38*Calculateur!DY38*VLOOKUP('Données projet'!$B$14,Paramètres!$A$1:$I$89,3,0)*0.475*44/12</f>
        <v>13.35620932567288</v>
      </c>
      <c r="EC38" s="21">
        <f>EXP(-LN(2)/2)*EC37+(1-EXP(-LN(2)/2))/(LN(2)/2)*DW38*DZ38*VLOOKUP('Données projet'!$B$14,Paramètres!$A$1:$I$89,3,0)*0.475*44/12</f>
        <v>3.916243697378027</v>
      </c>
      <c r="ED38" s="22">
        <f t="shared" si="18"/>
        <v>19.48214519513342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12.4</v>
      </c>
      <c r="N39" s="13">
        <f>IF('Données projet'!$A$36&gt;35,N38+M39-V38,IF(A39&lt;'Données projet'!$A$36,$K$205^A39,IF(A39='Données projet'!$A$36,'Données projet'!$B$36,N38+M39-V38)))</f>
        <v>247.40000000000012</v>
      </c>
      <c r="O39" s="13">
        <f>N39*VLOOKUP('Données projet'!$B$9,Paramètres!$A$1:$I$89,3,0)*VLOOKUP('Données projet'!$B$9,Paramètres!$A$1:$I$89,5,0)</f>
        <v>147.94520000000009</v>
      </c>
      <c r="P39" s="13">
        <f t="shared" si="33"/>
        <v>38.11125074558732</v>
      </c>
      <c r="Q39" s="20">
        <f t="shared" si="53"/>
        <v>324.04831838189801</v>
      </c>
      <c r="R39" s="59">
        <f t="shared" si="0"/>
        <v>617.38165171523133</v>
      </c>
      <c r="S39" s="59">
        <f ca="1">AVERAGE(OFFSET($R$3,0,0,'Données projet'!$E$9+1,1))-AVERAGE(OFFSET($H$3,0,0,'Données projet'!$E$9+1,1))</f>
        <v>259.30247982593914</v>
      </c>
      <c r="T39" s="59">
        <f t="shared" si="34"/>
        <v>275.24740346220779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15.26936925261654</v>
      </c>
      <c r="AB39" s="21">
        <f>EXP(-LN(2)/2)*AB38+(1-EXP(-LN(2)/2))/(LN(2)/2)*V39*Y39*VLOOKUP('Données projet'!$B$9,Paramètres!$A$1:$I$89,3,0)*0.475*44/12</f>
        <v>3.5850587727331287</v>
      </c>
      <c r="AC39" s="22">
        <f t="shared" si="3"/>
        <v>18.854428025349669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24.6</v>
      </c>
      <c r="AI39" s="13">
        <f>IF('Données projet'!$A$62&gt;35,AI38+AH39-AQ38,IF(A39&lt;'Données projet'!$A$62,$AF$205^A39,IF(A39='Données projet'!$A$62,'Données projet'!$B$62,AI38+AH39-AQ38)))</f>
        <v>369.60000000000008</v>
      </c>
      <c r="AJ39" s="13">
        <f>AI39*VLOOKUP('Données projet'!$B$10,Paramètres!$A$1:$I$89,3,0)*VLOOKUP('Données projet'!$B$10,Paramètres!$A$1:$I$89,5,0)</f>
        <v>177.77760000000006</v>
      </c>
      <c r="AK39" s="13">
        <f t="shared" si="35"/>
        <v>44.827386173754917</v>
      </c>
      <c r="AL39" s="20">
        <f t="shared" si="4"/>
        <v>387.7036842526233</v>
      </c>
      <c r="AM39" s="59">
        <f t="shared" si="5"/>
        <v>681.03701758595662</v>
      </c>
      <c r="AN39" s="59">
        <f ca="1">AVERAGE(OFFSET($AM$3,0,0,'Données projet'!$E$10+1,1))-AVERAGE(OFFSET($H$3,0,0,'Données projet'!$E$10+1,1))</f>
        <v>297.21955661193238</v>
      </c>
      <c r="AO39" s="59">
        <f t="shared" si="36"/>
        <v>273.69206144662144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5.9831819342034391</v>
      </c>
      <c r="AV39" s="21">
        <f>EXP(-LN(2)/25)*AV38+(1-EXP(-LN(2)/25))/(LN(2)/25)*Calculateur!AQ39*Calculateur!AS39*VLOOKUP('Données projet'!$B$10,Paramètres!$A$1:$I$89,3,0)*0.475*44/12</f>
        <v>11.365977436832349</v>
      </c>
      <c r="AW39" s="21">
        <f>EXP(-LN(2)/2)*AW38+(1-EXP(-LN(2)/2))/(LN(2)/2)*AQ39*AT39*VLOOKUP('Données projet'!$B$10,Paramètres!$A$1:$I$89,3,0)*0.475*44/12</f>
        <v>2.6140979285291044</v>
      </c>
      <c r="AX39" s="21">
        <f t="shared" si="6"/>
        <v>19.963257299564894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10.8</v>
      </c>
      <c r="BD39" s="12">
        <f>IF('Données projet'!$A$88&gt;35,BD38+BC39-BL38,IF(A39&lt;'Données projet'!$A$88,$BA$205^A39,IF(A39='Données projet'!$A$88,'Données projet'!$B$88,BD38+BC39-BL38)))</f>
        <v>331.8</v>
      </c>
      <c r="BE39" s="13">
        <f>BD39*VLOOKUP('Données projet'!$B$11,Paramètres!$A$1:$I$89,3,0)*VLOOKUP('Données projet'!$B$11,Paramètres!$A$1:$I$89,5,0)</f>
        <v>212.21927999999997</v>
      </c>
      <c r="BF39" s="13">
        <f t="shared" si="37"/>
        <v>52.420257097545495</v>
      </c>
      <c r="BG39" s="20">
        <f t="shared" si="7"/>
        <v>460.91386044489172</v>
      </c>
      <c r="BH39" s="59">
        <f t="shared" si="8"/>
        <v>754.24719377822498</v>
      </c>
      <c r="BI39" s="59">
        <f ca="1">AVERAGE(OFFSET($BH$3,0,0,'Données projet'!$E$11+1,1))-AVERAGE(OFFSET($H$3,0,0,'Données projet'!$E$11+1,1))</f>
        <v>176.90404027101607</v>
      </c>
      <c r="BJ39" s="59">
        <f t="shared" si="38"/>
        <v>295.34177980841878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1.575148562830281</v>
      </c>
      <c r="BQ39" s="21">
        <f>EXP(-LN(2)/25)*BQ38+(1-EXP(-LN(2)/25))/(LN(2)/25)*Calculateur!BL39*Calculateur!BN39*VLOOKUP('Données projet'!$B$11,Paramètres!$A$1:$I$89,3,0)*0.475*44/12</f>
        <v>6.977614726834636</v>
      </c>
      <c r="BR39" s="21">
        <f>EXP(-LN(2)/2)*BR38+(1-EXP(-LN(2)/2))/(LN(2)/2)*BL39*BO39*VLOOKUP('Données projet'!$B$11,Paramètres!$A$1:$I$89,3,0)*0.475*44/12</f>
        <v>4.2128122096604251E-3</v>
      </c>
      <c r="BS39" s="22">
        <f t="shared" si="9"/>
        <v>8.5569761018745769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22</v>
      </c>
      <c r="BY39" s="12">
        <f>IF('Données projet'!$A$114&gt;35,BY38+BX39-CG38,IF(A39&lt;'Données projet'!$A$114,$BV$205^A39,IF(A39='Données projet'!$A$114,'Données projet'!$B$114,BY38+BX39-CG38)))</f>
        <v>340.99999999999989</v>
      </c>
      <c r="BZ39" s="13">
        <f>BY39*VLOOKUP('Données projet'!$B$12,Paramètres!$A$1:$I$89,3,0)*VLOOKUP('Données projet'!$B$12,Paramètres!$A$1:$I$89,5,0)</f>
        <v>190.61899999999991</v>
      </c>
      <c r="CA39" s="13">
        <f t="shared" si="39"/>
        <v>47.676779045481801</v>
      </c>
      <c r="CB39" s="20">
        <f t="shared" si="10"/>
        <v>415.03181517088063</v>
      </c>
      <c r="CC39" s="59">
        <f t="shared" si="11"/>
        <v>708.36514850421395</v>
      </c>
      <c r="CD39" s="59">
        <f ca="1">AVERAGE(OFFSET($CC$3,0,0,'Données projet'!$E$12+1,1))-AVERAGE(OFFSET($H$3,0,0,'Données projet'!$E$12+1,1))</f>
        <v>326.31232746914907</v>
      </c>
      <c r="CE39" s="59">
        <f t="shared" si="40"/>
        <v>330.17137761430297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4.0561661310703503</v>
      </c>
      <c r="CL39" s="21">
        <f>EXP(-LN(2)/25)*CL38+(1-EXP(-LN(2)/25))/(LN(2)/25)*Calculateur!CG39*Calculateur!CI39*VLOOKUP('Données projet'!$B$12,Paramètres!$A$1:$I$89,3,0)*0.475*44/12</f>
        <v>25.548802506539641</v>
      </c>
      <c r="CM39" s="21">
        <f>EXP(-LN(2)/2)*CM38+(1-EXP(-LN(2)/2))/(LN(2)/2)*CG39*CJ39*VLOOKUP('Données projet'!$B$12,Paramètres!$A$1:$I$89,3,0)*0.475*44/12</f>
        <v>4.0652610463044052</v>
      </c>
      <c r="CN39" s="22">
        <f t="shared" si="12"/>
        <v>33.6702296839144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13.8</v>
      </c>
      <c r="CT39" s="12">
        <f>IF('Données projet'!$A$140&gt;35,CT38+CS39-DB38,IF(A39&lt;'Données projet'!$A$140,$CQ$205^A39,IF(A39='Données projet'!$A$140,'Données projet'!$B$140,CT38+CS39-DB38)))</f>
        <v>258.80000000000007</v>
      </c>
      <c r="CU39" s="17">
        <f>CT39*VLOOKUP('Données projet'!$B$13,Paramètres!$A$1:$I$89,3,0)*VLOOKUP('Données projet'!$B$13,Paramètres!$A$1:$I$89,5,0)</f>
        <v>141.30480000000003</v>
      </c>
      <c r="CV39" s="13">
        <f t="shared" si="41"/>
        <v>36.595755275288994</v>
      </c>
      <c r="CW39" s="20">
        <f t="shared" si="13"/>
        <v>309.84346710446169</v>
      </c>
      <c r="CX39" s="59">
        <f t="shared" si="14"/>
        <v>603.17680043779501</v>
      </c>
      <c r="CY39" s="59">
        <f ca="1">AVERAGE(OFFSET($CX$3,0,0,'Données projet'!$E$13+1,1))-AVERAGE(OFFSET($H$3,0,0,'Données projet'!$E$13+1,1))</f>
        <v>210.04871822652808</v>
      </c>
      <c r="CZ39" s="59">
        <f t="shared" si="42"/>
        <v>250.17540614049324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6.4830054864464755</v>
      </c>
      <c r="DG39" s="21">
        <f>EXP(-LN(2)/25)*DG38+(1-EXP(-LN(2)/25))/(LN(2)/25)*Calculateur!DB39*Calculateur!DD39*VLOOKUP('Données projet'!$B$13,Paramètres!$A$1:$I$89,3,0)*0.475*44/12</f>
        <v>23.565526267089421</v>
      </c>
      <c r="DH39" s="21">
        <f>EXP(-LN(2)/2)*DH38+(1-EXP(-LN(2)/2))/(LN(2)/2)*DB39*DE39*VLOOKUP('Données projet'!$B$13,Paramètres!$A$1:$I$89,3,0)*0.475*44/12</f>
        <v>2.6942360921689534</v>
      </c>
      <c r="DI39" s="22">
        <f t="shared" si="15"/>
        <v>32.742767845704847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12.1</v>
      </c>
      <c r="DO39" s="12">
        <f>IF('Données projet'!$A$166&gt;35,DO38+DN39-DW38,IF(A39&lt;'Données projet'!$A$166,$DL$205^A39,IF(A39='Données projet'!$A$166,'Données projet'!$B$166,DO38+DN39-DW38)))</f>
        <v>214.59999999999997</v>
      </c>
      <c r="DP39" s="17">
        <f>DO39*VLOOKUP('Données projet'!$B$14,Paramètres!$A$1:$I$89,3,0)*VLOOKUP('Données projet'!$B$14,Paramètres!$A$1:$I$89,5,0)</f>
        <v>157.34471999999997</v>
      </c>
      <c r="DQ39" s="13">
        <f t="shared" si="43"/>
        <v>40.243027528788531</v>
      </c>
      <c r="DR39" s="20">
        <f t="shared" si="16"/>
        <v>344.13199361263992</v>
      </c>
      <c r="DS39" s="59">
        <f t="shared" si="17"/>
        <v>637.46532694597317</v>
      </c>
      <c r="DT39" s="59">
        <f ca="1">AVERAGE(OFFSET($DS$3,0,0,'Données projet'!$E$14+1,1))-AVERAGE(OFFSET($H$3,0,0,'Données projet'!$E$14+1,1))</f>
        <v>234.09142087023463</v>
      </c>
      <c r="DU39" s="59">
        <f t="shared" si="44"/>
        <v>278.990685815294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2.1663614563671185</v>
      </c>
      <c r="EB39" s="21">
        <f>EXP(-LN(2)/25)*EB38+(1-EXP(-LN(2)/25))/(LN(2)/25)*Calculateur!DW39*Calculateur!DY39*VLOOKUP('Données projet'!$B$14,Paramètres!$A$1:$I$89,3,0)*0.475*44/12</f>
        <v>12.990983079289833</v>
      </c>
      <c r="EC39" s="21">
        <f>EXP(-LN(2)/2)*EC38+(1-EXP(-LN(2)/2))/(LN(2)/2)*DW39*DZ39*VLOOKUP('Données projet'!$B$14,Paramètres!$A$1:$I$89,3,0)*0.475*44/12</f>
        <v>2.7692024751950806</v>
      </c>
      <c r="ED39" s="22">
        <f t="shared" si="18"/>
        <v>17.926547010852033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12.4</v>
      </c>
      <c r="N40" s="13">
        <f>IF('Données projet'!$A$36&gt;35,N39+M40-V39,IF(A40&lt;'Données projet'!$A$36,$K$205^A40,IF(A40='Données projet'!$A$36,'Données projet'!$B$36,N39+M40-V39)))</f>
        <v>259.80000000000013</v>
      </c>
      <c r="O40" s="13">
        <f>N40*VLOOKUP('Données projet'!$B$9,Paramètres!$A$1:$I$89,3,0)*VLOOKUP('Données projet'!$B$9,Paramètres!$A$1:$I$89,5,0)</f>
        <v>155.36040000000008</v>
      </c>
      <c r="P40" s="13">
        <f t="shared" si="33"/>
        <v>39.79425523270892</v>
      </c>
      <c r="Q40" s="20">
        <f t="shared" si="53"/>
        <v>339.89435786363481</v>
      </c>
      <c r="R40" s="59">
        <f t="shared" si="0"/>
        <v>633.22769119696818</v>
      </c>
      <c r="S40" s="59">
        <f ca="1">AVERAGE(OFFSET($R$3,0,0,'Données projet'!$E$9+1,1))-AVERAGE(OFFSET($H$3,0,0,'Données projet'!$E$9+1,1))</f>
        <v>259.30247982593914</v>
      </c>
      <c r="T40" s="59">
        <f t="shared" si="34"/>
        <v>275.24740346220779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14.851827547422511</v>
      </c>
      <c r="AB40" s="21">
        <f>EXP(-LN(2)/2)*AB39+(1-EXP(-LN(2)/2))/(LN(2)/2)*V40*Y40*VLOOKUP('Données projet'!$B$9,Paramètres!$A$1:$I$89,3,0)*0.475*44/12</f>
        <v>2.5350193691519172</v>
      </c>
      <c r="AC40" s="22">
        <f t="shared" si="3"/>
        <v>17.386846916574427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24.6</v>
      </c>
      <c r="AI40" s="13">
        <f>IF('Données projet'!$A$62&gt;35,AI39+AH40-AQ39,IF(A40&lt;'Données projet'!$A$62,$AF$205^A40,IF(A40='Données projet'!$A$62,'Données projet'!$B$62,AI39+AH40-AQ39)))</f>
        <v>394.2000000000001</v>
      </c>
      <c r="AJ40" s="13">
        <f>AI40*VLOOKUP('Données projet'!$B$10,Paramètres!$A$1:$I$89,3,0)*VLOOKUP('Données projet'!$B$10,Paramètres!$A$1:$I$89,5,0)</f>
        <v>189.61020000000005</v>
      </c>
      <c r="AK40" s="13">
        <f t="shared" si="35"/>
        <v>47.45376330786209</v>
      </c>
      <c r="AL40" s="20">
        <f t="shared" si="4"/>
        <v>412.88640276119321</v>
      </c>
      <c r="AM40" s="59">
        <f t="shared" si="5"/>
        <v>706.21973609452652</v>
      </c>
      <c r="AN40" s="59">
        <f ca="1">AVERAGE(OFFSET($AM$3,0,0,'Données projet'!$E$10+1,1))-AVERAGE(OFFSET($H$3,0,0,'Données projet'!$E$10+1,1))</f>
        <v>297.21955661193238</v>
      </c>
      <c r="AO40" s="59">
        <f t="shared" si="36"/>
        <v>273.69206144662144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5.865855385854343</v>
      </c>
      <c r="AV40" s="21">
        <f>EXP(-LN(2)/25)*AV39+(1-EXP(-LN(2)/25))/(LN(2)/25)*Calculateur!AQ40*Calculateur!AS40*VLOOKUP('Données projet'!$B$10,Paramètres!$A$1:$I$89,3,0)*0.475*44/12</f>
        <v>11.055174186111392</v>
      </c>
      <c r="AW40" s="21">
        <f>EXP(-LN(2)/2)*AW39+(1-EXP(-LN(2)/2))/(LN(2)/2)*AQ40*AT40*VLOOKUP('Données projet'!$B$10,Paramètres!$A$1:$I$89,3,0)*0.475*44/12</f>
        <v>1.8484463719486366</v>
      </c>
      <c r="AX40" s="21">
        <f t="shared" si="6"/>
        <v>18.769475943914372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10.8</v>
      </c>
      <c r="BD40" s="12">
        <f>IF('Données projet'!$A$88&gt;35,BD39+BC40-BL39,IF(A40&lt;'Données projet'!$A$88,$BA$205^A40,IF(A40='Données projet'!$A$88,'Données projet'!$B$88,BD39+BC40-BL39)))</f>
        <v>342.6</v>
      </c>
      <c r="BE40" s="13">
        <f>BD40*VLOOKUP('Données projet'!$B$11,Paramètres!$A$1:$I$89,3,0)*VLOOKUP('Données projet'!$B$11,Paramètres!$A$1:$I$89,5,0)</f>
        <v>219.12696000000003</v>
      </c>
      <c r="BF40" s="13">
        <f t="shared" si="37"/>
        <v>53.925090900622074</v>
      </c>
      <c r="BG40" s="20">
        <f t="shared" si="7"/>
        <v>475.56565531858342</v>
      </c>
      <c r="BH40" s="59">
        <f t="shared" si="8"/>
        <v>768.89898865191674</v>
      </c>
      <c r="BI40" s="59">
        <f ca="1">AVERAGE(OFFSET($BH$3,0,0,'Données projet'!$E$11+1,1))-AVERAGE(OFFSET($H$3,0,0,'Données projet'!$E$11+1,1))</f>
        <v>176.90404027101607</v>
      </c>
      <c r="BJ40" s="59">
        <f t="shared" si="38"/>
        <v>295.34177980841878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1.5442608602589367</v>
      </c>
      <c r="BQ40" s="21">
        <f>EXP(-LN(2)/25)*BQ39+(1-EXP(-LN(2)/25))/(LN(2)/25)*Calculateur!BL40*Calculateur!BN40*VLOOKUP('Données projet'!$B$11,Paramètres!$A$1:$I$89,3,0)*0.475*44/12</f>
        <v>6.7868114851925316</v>
      </c>
      <c r="BR40" s="21">
        <f>EXP(-LN(2)/2)*BR39+(1-EXP(-LN(2)/2))/(LN(2)/2)*BL40*BO40*VLOOKUP('Données projet'!$B$11,Paramètres!$A$1:$I$89,3,0)*0.475*44/12</f>
        <v>2.97890808131637E-3</v>
      </c>
      <c r="BS40" s="22">
        <f t="shared" si="9"/>
        <v>8.3340512535327846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22</v>
      </c>
      <c r="BY40" s="12">
        <f>IF('Données projet'!$A$114&gt;35,BY39+BX40-CG39,IF(A40&lt;'Données projet'!$A$114,$BV$205^A40,IF(A40='Données projet'!$A$114,'Données projet'!$B$114,BY39+BX40-CG39)))</f>
        <v>362.99999999999989</v>
      </c>
      <c r="BZ40" s="13">
        <f>BY40*VLOOKUP('Données projet'!$B$12,Paramètres!$A$1:$I$89,3,0)*VLOOKUP('Données projet'!$B$12,Paramètres!$A$1:$I$89,5,0)</f>
        <v>202.91699999999994</v>
      </c>
      <c r="CA40" s="13">
        <f t="shared" si="39"/>
        <v>50.384694798587844</v>
      </c>
      <c r="CB40" s="20">
        <f t="shared" si="10"/>
        <v>441.16711844087371</v>
      </c>
      <c r="CC40" s="59">
        <f t="shared" si="11"/>
        <v>734.50045177420702</v>
      </c>
      <c r="CD40" s="59">
        <f ca="1">AVERAGE(OFFSET($CC$3,0,0,'Données projet'!$E$12+1,1))-AVERAGE(OFFSET($H$3,0,0,'Données projet'!$E$12+1,1))</f>
        <v>326.31232746914907</v>
      </c>
      <c r="CE40" s="59">
        <f t="shared" si="40"/>
        <v>330.17137761430297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3.9766271872571117</v>
      </c>
      <c r="CL40" s="21">
        <f>EXP(-LN(2)/25)*CL39+(1-EXP(-LN(2)/25))/(LN(2)/25)*Calculateur!CG40*Calculateur!CI40*VLOOKUP('Données projet'!$B$12,Paramètres!$A$1:$I$89,3,0)*0.475*44/12</f>
        <v>24.850169158445183</v>
      </c>
      <c r="CM40" s="21">
        <f>EXP(-LN(2)/2)*CM39+(1-EXP(-LN(2)/2))/(LN(2)/2)*CG40*CJ40*VLOOKUP('Données projet'!$B$12,Paramètres!$A$1:$I$89,3,0)*0.475*44/12</f>
        <v>2.8745736531353643</v>
      </c>
      <c r="CN40" s="22">
        <f t="shared" si="12"/>
        <v>31.701369998837659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13.8</v>
      </c>
      <c r="CT40" s="12">
        <f>IF('Données projet'!$A$140&gt;35,CT39+CS40-DB39,IF(A40&lt;'Données projet'!$A$140,$CQ$205^A40,IF(A40='Données projet'!$A$140,'Données projet'!$B$140,CT39+CS40-DB39)))</f>
        <v>272.60000000000008</v>
      </c>
      <c r="CU40" s="17">
        <f>CT40*VLOOKUP('Données projet'!$B$13,Paramètres!$A$1:$I$89,3,0)*VLOOKUP('Données projet'!$B$13,Paramètres!$A$1:$I$89,5,0)</f>
        <v>148.83960000000005</v>
      </c>
      <c r="CV40" s="13">
        <f t="shared" si="41"/>
        <v>38.314761484407519</v>
      </c>
      <c r="CW40" s="20">
        <f t="shared" si="13"/>
        <v>325.9605129186765</v>
      </c>
      <c r="CX40" s="59">
        <f t="shared" si="14"/>
        <v>619.29384625200987</v>
      </c>
      <c r="CY40" s="59">
        <f ca="1">AVERAGE(OFFSET($CX$3,0,0,'Données projet'!$E$13+1,1))-AVERAGE(OFFSET($H$3,0,0,'Données projet'!$E$13+1,1))</f>
        <v>210.04871822652808</v>
      </c>
      <c r="CZ40" s="59">
        <f t="shared" si="42"/>
        <v>250.17540614049324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6.3558777031001581</v>
      </c>
      <c r="DG40" s="21">
        <f>EXP(-LN(2)/25)*DG39+(1-EXP(-LN(2)/25))/(LN(2)/25)*Calculateur!DB40*Calculateur!DD40*VLOOKUP('Données projet'!$B$13,Paramètres!$A$1:$I$89,3,0)*0.475*44/12</f>
        <v>22.921125712058693</v>
      </c>
      <c r="DH40" s="21">
        <f>EXP(-LN(2)/2)*DH39+(1-EXP(-LN(2)/2))/(LN(2)/2)*DB40*DE40*VLOOKUP('Données projet'!$B$13,Paramètres!$A$1:$I$89,3,0)*0.475*44/12</f>
        <v>1.9051126108902112</v>
      </c>
      <c r="DI40" s="22">
        <f t="shared" si="15"/>
        <v>31.182116026049062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12.1</v>
      </c>
      <c r="DO40" s="12">
        <f>IF('Données projet'!$A$166&gt;35,DO39+DN40-DW39,IF(A40&lt;'Données projet'!$A$166,$DL$205^A40,IF(A40='Données projet'!$A$166,'Données projet'!$B$166,DO39+DN40-DW39)))</f>
        <v>226.69999999999996</v>
      </c>
      <c r="DP40" s="17">
        <f>DO40*VLOOKUP('Données projet'!$B$14,Paramètres!$A$1:$I$89,3,0)*VLOOKUP('Données projet'!$B$14,Paramètres!$A$1:$I$89,5,0)</f>
        <v>166.21643999999998</v>
      </c>
      <c r="DQ40" s="13">
        <f t="shared" si="43"/>
        <v>42.241525171139848</v>
      </c>
      <c r="DR40" s="20">
        <f t="shared" si="16"/>
        <v>363.06428933973513</v>
      </c>
      <c r="DS40" s="59">
        <f t="shared" si="17"/>
        <v>656.39762267306844</v>
      </c>
      <c r="DT40" s="59">
        <f ca="1">AVERAGE(OFFSET($DS$3,0,0,'Données projet'!$E$14+1,1))-AVERAGE(OFFSET($H$3,0,0,'Données projet'!$E$14+1,1))</f>
        <v>234.09142087023463</v>
      </c>
      <c r="DU40" s="59">
        <f t="shared" si="44"/>
        <v>278.990685815294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2.1238804295577753</v>
      </c>
      <c r="EB40" s="21">
        <f>EXP(-LN(2)/25)*EB39+(1-EXP(-LN(2)/25))/(LN(2)/25)*Calculateur!DW40*Calculateur!DY40*VLOOKUP('Données projet'!$B$14,Paramètres!$A$1:$I$89,3,0)*0.475*44/12</f>
        <v>12.635743963820543</v>
      </c>
      <c r="EC40" s="21">
        <f>EXP(-LN(2)/2)*EC39+(1-EXP(-LN(2)/2))/(LN(2)/2)*DW40*DZ40*VLOOKUP('Données projet'!$B$14,Paramètres!$A$1:$I$89,3,0)*0.475*44/12</f>
        <v>1.9581218486890137</v>
      </c>
      <c r="ED40" s="22">
        <f t="shared" si="18"/>
        <v>16.717746242067332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12.4</v>
      </c>
      <c r="N41" s="13">
        <f>IF('Données projet'!$A$36&gt;35,N40+M41-V40,IF(A41&lt;'Données projet'!$A$36,$K$205^A41,IF(A41='Données projet'!$A$36,'Données projet'!$B$36,N40+M41-V40)))</f>
        <v>272.2000000000001</v>
      </c>
      <c r="O41" s="13">
        <f>N41*VLOOKUP('Données projet'!$B$9,Paramètres!$A$1:$I$89,3,0)*VLOOKUP('Données projet'!$B$9,Paramètres!$A$1:$I$89,5,0)</f>
        <v>162.77560000000005</v>
      </c>
      <c r="P41" s="13">
        <f t="shared" si="33"/>
        <v>41.467931707956311</v>
      </c>
      <c r="Q41" s="20">
        <f t="shared" si="53"/>
        <v>355.72415105802401</v>
      </c>
      <c r="R41" s="59">
        <f t="shared" si="0"/>
        <v>649.05748439135732</v>
      </c>
      <c r="S41" s="59">
        <f ca="1">AVERAGE(OFFSET($R$3,0,0,'Données projet'!$E$9+1,1))-AVERAGE(OFFSET($H$3,0,0,'Données projet'!$E$9+1,1))</f>
        <v>259.30247982593914</v>
      </c>
      <c r="T41" s="59">
        <f t="shared" si="34"/>
        <v>275.24740346220779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14.445703542114575</v>
      </c>
      <c r="AB41" s="21">
        <f>EXP(-LN(2)/2)*AB40+(1-EXP(-LN(2)/2))/(LN(2)/2)*V41*Y41*VLOOKUP('Données projet'!$B$9,Paramètres!$A$1:$I$89,3,0)*0.475*44/12</f>
        <v>1.7925293863665646</v>
      </c>
      <c r="AC41" s="22">
        <f t="shared" si="3"/>
        <v>16.238232928481139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24.6</v>
      </c>
      <c r="AI41" s="13">
        <f>IF('Données projet'!$A$62&gt;35,AI40+AH41-AQ40,IF(A41&lt;'Données projet'!$A$62,$AF$205^A41,IF(A41='Données projet'!$A$62,'Données projet'!$B$62,AI40+AH41-AQ40)))</f>
        <v>418.80000000000013</v>
      </c>
      <c r="AJ41" s="13">
        <f>AI41*VLOOKUP('Données projet'!$B$10,Paramètres!$A$1:$I$89,3,0)*VLOOKUP('Données projet'!$B$10,Paramètres!$A$1:$I$89,5,0)</f>
        <v>201.44280000000006</v>
      </c>
      <c r="AK41" s="13">
        <f t="shared" si="35"/>
        <v>50.061118723064368</v>
      </c>
      <c r="AL41" s="20">
        <f t="shared" si="4"/>
        <v>438.03599177600387</v>
      </c>
      <c r="AM41" s="59">
        <f t="shared" si="5"/>
        <v>731.36932510933718</v>
      </c>
      <c r="AN41" s="59">
        <f ca="1">AVERAGE(OFFSET($AM$3,0,0,'Données projet'!$E$10+1,1))-AVERAGE(OFFSET($H$3,0,0,'Données projet'!$E$10+1,1))</f>
        <v>297.21955661193238</v>
      </c>
      <c r="AO41" s="59">
        <f t="shared" si="36"/>
        <v>273.69206144662144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5.7508295395562445</v>
      </c>
      <c r="AV41" s="21">
        <f>EXP(-LN(2)/25)*AV40+(1-EXP(-LN(2)/25))/(LN(2)/25)*Calculateur!AQ41*Calculateur!AS41*VLOOKUP('Données projet'!$B$10,Paramètres!$A$1:$I$89,3,0)*0.475*44/12</f>
        <v>10.752869866625833</v>
      </c>
      <c r="AW41" s="21">
        <f>EXP(-LN(2)/2)*AW40+(1-EXP(-LN(2)/2))/(LN(2)/2)*AQ41*AT41*VLOOKUP('Données projet'!$B$10,Paramètres!$A$1:$I$89,3,0)*0.475*44/12</f>
        <v>1.3070489642645522</v>
      </c>
      <c r="AX41" s="21">
        <f t="shared" si="6"/>
        <v>17.810748370446632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10.8</v>
      </c>
      <c r="BD41" s="12">
        <f>IF('Données projet'!$A$88&gt;35,BD40+BC41-BL40,IF(A41&lt;'Données projet'!$A$88,$BA$205^A41,IF(A41='Données projet'!$A$88,'Données projet'!$B$88,BD40+BC41-BL40)))</f>
        <v>353.40000000000003</v>
      </c>
      <c r="BE41" s="13">
        <f>BD41*VLOOKUP('Données projet'!$B$11,Paramètres!$A$1:$I$89,3,0)*VLOOKUP('Données projet'!$B$11,Paramètres!$A$1:$I$89,5,0)</f>
        <v>226.03464000000002</v>
      </c>
      <c r="BF41" s="13">
        <f t="shared" si="37"/>
        <v>55.424412092407088</v>
      </c>
      <c r="BG41" s="20">
        <f t="shared" si="7"/>
        <v>490.20784906094235</v>
      </c>
      <c r="BH41" s="59">
        <f t="shared" si="8"/>
        <v>783.54118239427567</v>
      </c>
      <c r="BI41" s="59">
        <f ca="1">AVERAGE(OFFSET($BH$3,0,0,'Données projet'!$E$11+1,1))-AVERAGE(OFFSET($H$3,0,0,'Données projet'!$E$11+1,1))</f>
        <v>176.90404027101607</v>
      </c>
      <c r="BJ41" s="59">
        <f t="shared" si="38"/>
        <v>295.34177980841878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1.5139788466953783</v>
      </c>
      <c r="BQ41" s="21">
        <f>EXP(-LN(2)/25)*BQ40+(1-EXP(-LN(2)/25))/(LN(2)/25)*Calculateur!BL41*Calculateur!BN41*VLOOKUP('Données projet'!$B$11,Paramètres!$A$1:$I$89,3,0)*0.475*44/12</f>
        <v>6.601225768227037</v>
      </c>
      <c r="BR41" s="21">
        <f>EXP(-LN(2)/2)*BR40+(1-EXP(-LN(2)/2))/(LN(2)/2)*BL41*BO41*VLOOKUP('Données projet'!$B$11,Paramètres!$A$1:$I$89,3,0)*0.475*44/12</f>
        <v>2.1064061048302126E-3</v>
      </c>
      <c r="BS41" s="22">
        <f t="shared" si="9"/>
        <v>8.1173110210272466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22</v>
      </c>
      <c r="BY41" s="12">
        <f>IF('Données projet'!$A$114&gt;35,BY40+BX41-CG40,IF(A41&lt;'Données projet'!$A$114,$BV$205^A41,IF(A41='Données projet'!$A$114,'Données projet'!$B$114,BY40+BX41-CG40)))</f>
        <v>384.99999999999989</v>
      </c>
      <c r="BZ41" s="13">
        <f>BY41*VLOOKUP('Données projet'!$B$12,Paramètres!$A$1:$I$89,3,0)*VLOOKUP('Données projet'!$B$12,Paramètres!$A$1:$I$89,5,0)</f>
        <v>215.21499999999995</v>
      </c>
      <c r="CA41" s="13">
        <f t="shared" si="39"/>
        <v>53.073562353518611</v>
      </c>
      <c r="CB41" s="20">
        <f t="shared" si="10"/>
        <v>467.26924609904478</v>
      </c>
      <c r="CC41" s="59">
        <f t="shared" si="11"/>
        <v>760.60257943237809</v>
      </c>
      <c r="CD41" s="59">
        <f ca="1">AVERAGE(OFFSET($CC$3,0,0,'Données projet'!$E$12+1,1))-AVERAGE(OFFSET($H$3,0,0,'Données projet'!$E$12+1,1))</f>
        <v>326.31232746914907</v>
      </c>
      <c r="CE41" s="59">
        <f t="shared" si="40"/>
        <v>330.17137761430297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3.8986479536180854</v>
      </c>
      <c r="CL41" s="21">
        <f>EXP(-LN(2)/25)*CL40+(1-EXP(-LN(2)/25))/(LN(2)/25)*Calculateur!CG41*Calculateur!CI41*VLOOKUP('Données projet'!$B$12,Paramètres!$A$1:$I$89,3,0)*0.475*44/12</f>
        <v>24.1706399759939</v>
      </c>
      <c r="CM41" s="21">
        <f>EXP(-LN(2)/2)*CM40+(1-EXP(-LN(2)/2))/(LN(2)/2)*CG41*CJ41*VLOOKUP('Données projet'!$B$12,Paramètres!$A$1:$I$89,3,0)*0.475*44/12</f>
        <v>2.0326305231522026</v>
      </c>
      <c r="CN41" s="22">
        <f t="shared" si="12"/>
        <v>30.101918452764188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13.8</v>
      </c>
      <c r="CT41" s="12">
        <f>IF('Données projet'!$A$140&gt;35,CT40+CS41-DB40,IF(A41&lt;'Données projet'!$A$140,$CQ$205^A41,IF(A41='Données projet'!$A$140,'Données projet'!$B$140,CT40+CS41-DB40)))</f>
        <v>286.40000000000009</v>
      </c>
      <c r="CU41" s="17">
        <f>CT41*VLOOKUP('Données projet'!$B$13,Paramètres!$A$1:$I$89,3,0)*VLOOKUP('Données projet'!$B$13,Paramètres!$A$1:$I$89,5,0)</f>
        <v>156.37440000000007</v>
      </c>
      <c r="CV41" s="13">
        <f t="shared" si="41"/>
        <v>40.023663524293205</v>
      </c>
      <c r="CW41" s="20">
        <f t="shared" si="13"/>
        <v>342.0599606381441</v>
      </c>
      <c r="CX41" s="59">
        <f t="shared" si="14"/>
        <v>635.39329397147742</v>
      </c>
      <c r="CY41" s="59">
        <f ca="1">AVERAGE(OFFSET($CX$3,0,0,'Données projet'!$E$13+1,1))-AVERAGE(OFFSET($H$3,0,0,'Données projet'!$E$13+1,1))</f>
        <v>210.04871822652808</v>
      </c>
      <c r="CZ41" s="59">
        <f t="shared" si="42"/>
        <v>250.17540614049324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6.2312428180449704</v>
      </c>
      <c r="DG41" s="21">
        <f>EXP(-LN(2)/25)*DG40+(1-EXP(-LN(2)/25))/(LN(2)/25)*Calculateur!DB41*Calculateur!DD41*VLOOKUP('Données projet'!$B$13,Paramètres!$A$1:$I$89,3,0)*0.475*44/12</f>
        <v>22.294346324092835</v>
      </c>
      <c r="DH41" s="21">
        <f>EXP(-LN(2)/2)*DH40+(1-EXP(-LN(2)/2))/(LN(2)/2)*DB41*DE41*VLOOKUP('Données projet'!$B$13,Paramètres!$A$1:$I$89,3,0)*0.475*44/12</f>
        <v>1.3471180460844769</v>
      </c>
      <c r="DI41" s="22">
        <f t="shared" si="15"/>
        <v>29.872707188222282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12.1</v>
      </c>
      <c r="DO41" s="12">
        <f>IF('Données projet'!$A$166&gt;35,DO40+DN41-DW40,IF(A41&lt;'Données projet'!$A$166,$DL$205^A41,IF(A41='Données projet'!$A$166,'Données projet'!$B$166,DO40+DN41-DW40)))</f>
        <v>238.79999999999995</v>
      </c>
      <c r="DP41" s="17">
        <f>DO41*VLOOKUP('Données projet'!$B$14,Paramètres!$A$1:$I$89,3,0)*VLOOKUP('Données projet'!$B$14,Paramètres!$A$1:$I$89,5,0)</f>
        <v>175.08815999999996</v>
      </c>
      <c r="DQ41" s="13">
        <f t="shared" si="43"/>
        <v>44.227638845714424</v>
      </c>
      <c r="DR41" s="20">
        <f t="shared" si="16"/>
        <v>381.97501632295251</v>
      </c>
      <c r="DS41" s="59">
        <f t="shared" si="17"/>
        <v>675.30834965628583</v>
      </c>
      <c r="DT41" s="59">
        <f ca="1">AVERAGE(OFFSET($DS$3,0,0,'Données projet'!$E$14+1,1))-AVERAGE(OFFSET($H$3,0,0,'Données projet'!$E$14+1,1))</f>
        <v>234.09142087023463</v>
      </c>
      <c r="DU41" s="59">
        <f t="shared" si="44"/>
        <v>278.990685815294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2.0822324297732955</v>
      </c>
      <c r="EB41" s="21">
        <f>EXP(-LN(2)/25)*EB40+(1-EXP(-LN(2)/25))/(LN(2)/25)*Calculateur!DW41*Calculateur!DY41*VLOOKUP('Données projet'!$B$14,Paramètres!$A$1:$I$89,3,0)*0.475*44/12</f>
        <v>12.290218880644975</v>
      </c>
      <c r="EC41" s="21">
        <f>EXP(-LN(2)/2)*EC40+(1-EXP(-LN(2)/2))/(LN(2)/2)*DW41*DZ41*VLOOKUP('Données projet'!$B$14,Paramètres!$A$1:$I$89,3,0)*0.475*44/12</f>
        <v>1.3846012375975405</v>
      </c>
      <c r="ED41" s="22">
        <f t="shared" si="18"/>
        <v>15.75705254801581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12.4</v>
      </c>
      <c r="N42" s="13">
        <f>IF('Données projet'!$A$36&gt;35,N41+M42-V41,IF(A42&lt;'Données projet'!$A$36,$K$205^A42,IF(A42='Données projet'!$A$36,'Données projet'!$B$36,N41+M42-V41)))</f>
        <v>284.60000000000008</v>
      </c>
      <c r="O42" s="13">
        <f>N42*VLOOKUP('Données projet'!$B$9,Paramètres!$A$1:$I$89,3,0)*VLOOKUP('Données projet'!$B$9,Paramètres!$A$1:$I$89,5,0)</f>
        <v>170.19080000000008</v>
      </c>
      <c r="P42" s="13">
        <f t="shared" si="33"/>
        <v>43.132753648041643</v>
      </c>
      <c r="Q42" s="20">
        <f t="shared" si="53"/>
        <v>371.53852260367267</v>
      </c>
      <c r="R42" s="59">
        <f t="shared" si="0"/>
        <v>664.87185593700599</v>
      </c>
      <c r="S42" s="59">
        <f ca="1">AVERAGE(OFFSET($R$3,0,0,'Données projet'!$E$9+1,1))-AVERAGE(OFFSET($H$3,0,0,'Données projet'!$E$9+1,1))</f>
        <v>259.30247982593914</v>
      </c>
      <c r="T42" s="59">
        <f t="shared" si="34"/>
        <v>275.24740346220779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14.050685019088919</v>
      </c>
      <c r="AB42" s="21">
        <f>EXP(-LN(2)/2)*AB41+(1-EXP(-LN(2)/2))/(LN(2)/2)*V42*Y42*VLOOKUP('Données projet'!$B$9,Paramètres!$A$1:$I$89,3,0)*0.475*44/12</f>
        <v>1.2675096845759588</v>
      </c>
      <c r="AC42" s="22">
        <f t="shared" si="3"/>
        <v>15.318194703664878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24.6</v>
      </c>
      <c r="AI42" s="13">
        <f>IF('Données projet'!$A$62&gt;35,AI41+AH42-AQ41,IF(A42&lt;'Données projet'!$A$62,$AF$205^A42,IF(A42='Données projet'!$A$62,'Données projet'!$B$62,AI41+AH42-AQ41)))</f>
        <v>443.40000000000015</v>
      </c>
      <c r="AJ42" s="13">
        <f>AI42*VLOOKUP('Données projet'!$B$10,Paramètres!$A$1:$I$89,3,0)*VLOOKUP('Données projet'!$B$10,Paramètres!$A$1:$I$89,5,0)</f>
        <v>213.27540000000008</v>
      </c>
      <c r="AK42" s="13">
        <f t="shared" si="35"/>
        <v>52.650697015169015</v>
      </c>
      <c r="AL42" s="20">
        <f t="shared" si="4"/>
        <v>463.15461896808614</v>
      </c>
      <c r="AM42" s="59">
        <f t="shared" si="5"/>
        <v>756.48795230141945</v>
      </c>
      <c r="AN42" s="59">
        <f ca="1">AVERAGE(OFFSET($AM$3,0,0,'Données projet'!$E$10+1,1))-AVERAGE(OFFSET($H$3,0,0,'Données projet'!$E$10+1,1))</f>
        <v>297.21955661193238</v>
      </c>
      <c r="AO42" s="59">
        <f t="shared" si="36"/>
        <v>273.69206144662144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5.6380592799452129</v>
      </c>
      <c r="AV42" s="21">
        <f>EXP(-LN(2)/25)*AV41+(1-EXP(-LN(2)/25))/(LN(2)/25)*Calculateur!AQ42*Calculateur!AS42*VLOOKUP('Données projet'!$B$10,Paramètres!$A$1:$I$89,3,0)*0.475*44/12</f>
        <v>10.458832074654099</v>
      </c>
      <c r="AW42" s="21">
        <f>EXP(-LN(2)/2)*AW41+(1-EXP(-LN(2)/2))/(LN(2)/2)*AQ42*AT42*VLOOKUP('Données projet'!$B$10,Paramètres!$A$1:$I$89,3,0)*0.475*44/12</f>
        <v>0.9242231859743183</v>
      </c>
      <c r="AX42" s="21">
        <f t="shared" si="6"/>
        <v>17.021114540573631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10.8</v>
      </c>
      <c r="BD42" s="12">
        <f>IF('Données projet'!$A$88&gt;35,BD41+BC42-BL41,IF(A42&lt;'Données projet'!$A$88,$BA$205^A42,IF(A42='Données projet'!$A$88,'Données projet'!$B$88,BD41+BC42-BL41)))</f>
        <v>364.20000000000005</v>
      </c>
      <c r="BE42" s="13">
        <f>BD42*VLOOKUP('Données projet'!$B$11,Paramètres!$A$1:$I$89,3,0)*VLOOKUP('Données projet'!$B$11,Paramètres!$A$1:$I$89,5,0)</f>
        <v>232.94232000000002</v>
      </c>
      <c r="BF42" s="13">
        <f t="shared" si="37"/>
        <v>56.918408474523439</v>
      </c>
      <c r="BG42" s="20">
        <f t="shared" si="7"/>
        <v>504.84076875979491</v>
      </c>
      <c r="BH42" s="59">
        <f t="shared" si="8"/>
        <v>798.17410209312823</v>
      </c>
      <c r="BI42" s="59">
        <f ca="1">AVERAGE(OFFSET($BH$3,0,0,'Données projet'!$E$11+1,1))-AVERAGE(OFFSET($H$3,0,0,'Données projet'!$E$11+1,1))</f>
        <v>176.90404027101607</v>
      </c>
      <c r="BJ42" s="59">
        <f t="shared" si="38"/>
        <v>295.34177980841878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1.4842906449475968</v>
      </c>
      <c r="BQ42" s="21">
        <f>EXP(-LN(2)/25)*BQ41+(1-EXP(-LN(2)/25))/(LN(2)/25)*Calculateur!BL42*Calculateur!BN42*VLOOKUP('Données projet'!$B$11,Paramètres!$A$1:$I$89,3,0)*0.475*44/12</f>
        <v>6.4207149024514925</v>
      </c>
      <c r="BR42" s="21">
        <f>EXP(-LN(2)/2)*BR41+(1-EXP(-LN(2)/2))/(LN(2)/2)*BL42*BO42*VLOOKUP('Données projet'!$B$11,Paramètres!$A$1:$I$89,3,0)*0.475*44/12</f>
        <v>1.489454040658185E-3</v>
      </c>
      <c r="BS42" s="22">
        <f t="shared" si="9"/>
        <v>7.9064950014397466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22</v>
      </c>
      <c r="BY42" s="12">
        <f>IF('Données projet'!$A$114&gt;35,BY41+BX42-CG41,IF(A42&lt;'Données projet'!$A$114,$BV$205^A42,IF(A42='Données projet'!$A$114,'Données projet'!$B$114,BY41+BX42-CG41)))</f>
        <v>406.99999999999989</v>
      </c>
      <c r="BZ42" s="13">
        <f>BY42*VLOOKUP('Données projet'!$B$12,Paramètres!$A$1:$I$89,3,0)*VLOOKUP('Données projet'!$B$12,Paramètres!$A$1:$I$89,5,0)</f>
        <v>227.51299999999995</v>
      </c>
      <c r="CA42" s="13">
        <f t="shared" si="39"/>
        <v>55.744594200664011</v>
      </c>
      <c r="CB42" s="20">
        <f t="shared" si="10"/>
        <v>493.34030989948968</v>
      </c>
      <c r="CC42" s="59">
        <f t="shared" si="11"/>
        <v>786.673643232823</v>
      </c>
      <c r="CD42" s="59">
        <f ca="1">AVERAGE(OFFSET($CC$3,0,0,'Données projet'!$E$12+1,1))-AVERAGE(OFFSET($H$3,0,0,'Données projet'!$E$12+1,1))</f>
        <v>326.31232746914907</v>
      </c>
      <c r="CE42" s="59">
        <f t="shared" si="40"/>
        <v>330.17137761430297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3.8221978451880845</v>
      </c>
      <c r="CL42" s="21">
        <f>EXP(-LN(2)/25)*CL41+(1-EXP(-LN(2)/25))/(LN(2)/25)*Calculateur!CG42*Calculateur!CI42*VLOOKUP('Données projet'!$B$12,Paramètres!$A$1:$I$89,3,0)*0.475*44/12</f>
        <v>23.509692554771632</v>
      </c>
      <c r="CM42" s="21">
        <f>EXP(-LN(2)/2)*CM41+(1-EXP(-LN(2)/2))/(LN(2)/2)*CG42*CJ42*VLOOKUP('Données projet'!$B$12,Paramètres!$A$1:$I$89,3,0)*0.475*44/12</f>
        <v>1.4372868265676821</v>
      </c>
      <c r="CN42" s="22">
        <f t="shared" si="12"/>
        <v>28.7691772265274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13.8</v>
      </c>
      <c r="CT42" s="12">
        <f>IF('Données projet'!$A$140&gt;35,CT41+CS42-DB41,IF(A42&lt;'Données projet'!$A$140,$CQ$205^A42,IF(A42='Données projet'!$A$140,'Données projet'!$B$140,CT41+CS42-DB41)))</f>
        <v>300.2000000000001</v>
      </c>
      <c r="CU42" s="17">
        <f>CT42*VLOOKUP('Données projet'!$B$13,Paramètres!$A$1:$I$89,3,0)*VLOOKUP('Données projet'!$B$13,Paramètres!$A$1:$I$89,5,0)</f>
        <v>163.90920000000006</v>
      </c>
      <c r="CV42" s="13">
        <f t="shared" si="41"/>
        <v>41.723003836805745</v>
      </c>
      <c r="CW42" s="20">
        <f t="shared" si="13"/>
        <v>358.14275501577009</v>
      </c>
      <c r="CX42" s="59">
        <f t="shared" si="14"/>
        <v>651.47608834910341</v>
      </c>
      <c r="CY42" s="59">
        <f ca="1">AVERAGE(OFFSET($CX$3,0,0,'Données projet'!$E$13+1,1))-AVERAGE(OFFSET($H$3,0,0,'Données projet'!$E$13+1,1))</f>
        <v>210.04871822652808</v>
      </c>
      <c r="CZ42" s="59">
        <f t="shared" si="42"/>
        <v>250.17540614049324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6.1090519470659412</v>
      </c>
      <c r="DG42" s="21">
        <f>EXP(-LN(2)/25)*DG41+(1-EXP(-LN(2)/25))/(LN(2)/25)*Calculateur!DB42*Calculateur!DD42*VLOOKUP('Données projet'!$B$13,Paramètres!$A$1:$I$89,3,0)*0.475*44/12</f>
        <v>21.684706251451797</v>
      </c>
      <c r="DH42" s="21">
        <f>EXP(-LN(2)/2)*DH41+(1-EXP(-LN(2)/2))/(LN(2)/2)*DB42*DE42*VLOOKUP('Données projet'!$B$13,Paramètres!$A$1:$I$89,3,0)*0.475*44/12</f>
        <v>0.95255630544510572</v>
      </c>
      <c r="DI42" s="22">
        <f t="shared" si="15"/>
        <v>28.746314503962843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12.1</v>
      </c>
      <c r="DO42" s="12">
        <f>IF('Données projet'!$A$166&gt;35,DO41+DN42-DW41,IF(A42&lt;'Données projet'!$A$166,$DL$205^A42,IF(A42='Données projet'!$A$166,'Données projet'!$B$166,DO41+DN42-DW41)))</f>
        <v>250.89999999999995</v>
      </c>
      <c r="DP42" s="17">
        <f>DO42*VLOOKUP('Données projet'!$B$14,Paramètres!$A$1:$I$89,3,0)*VLOOKUP('Données projet'!$B$14,Paramètres!$A$1:$I$89,5,0)</f>
        <v>183.95987999999997</v>
      </c>
      <c r="DQ42" s="13">
        <f t="shared" si="43"/>
        <v>46.202067639979852</v>
      </c>
      <c r="DR42" s="20">
        <f t="shared" si="16"/>
        <v>400.86539213963152</v>
      </c>
      <c r="DS42" s="59">
        <f t="shared" si="17"/>
        <v>694.19872547296484</v>
      </c>
      <c r="DT42" s="59">
        <f ca="1">AVERAGE(OFFSET($DS$3,0,0,'Données projet'!$E$14+1,1))-AVERAGE(OFFSET($H$3,0,0,'Données projet'!$E$14+1,1))</f>
        <v>234.09142087023463</v>
      </c>
      <c r="DU42" s="59">
        <f t="shared" si="44"/>
        <v>278.990685815294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2.0414011218618175</v>
      </c>
      <c r="EB42" s="21">
        <f>EXP(-LN(2)/25)*EB41+(1-EXP(-LN(2)/25))/(LN(2)/25)*Calculateur!DW42*Calculateur!DY42*VLOOKUP('Données projet'!$B$14,Paramètres!$A$1:$I$89,3,0)*0.475*44/12</f>
        <v>11.954142199039216</v>
      </c>
      <c r="EC42" s="21">
        <f>EXP(-LN(2)/2)*EC41+(1-EXP(-LN(2)/2))/(LN(2)/2)*DW42*DZ42*VLOOKUP('Données projet'!$B$14,Paramètres!$A$1:$I$89,3,0)*0.475*44/12</f>
        <v>0.97906092434450709</v>
      </c>
      <c r="ED42" s="22">
        <f t="shared" si="18"/>
        <v>14.974604245245541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297</v>
      </c>
      <c r="L43" s="12">
        <f>VLOOKUP(A43,'Données projet'!$A$35:$I$55,9,0)</f>
        <v>12.4</v>
      </c>
      <c r="M43" s="12">
        <f t="array" ref="M43">INDEX(L:L,MIN(IF(ISNUMBER(L43:L239),ROW(L43:L239),"")))</f>
        <v>12.4</v>
      </c>
      <c r="N43" s="13">
        <f>IF('Données projet'!$A$36&gt;35,N42+M43-V42,IF(A43&lt;'Données projet'!$A$36,$K$205^A43,IF(A43='Données projet'!$A$36,'Données projet'!$B$36,N42+M43-V42)))</f>
        <v>297.00000000000006</v>
      </c>
      <c r="O43" s="13">
        <f>N43*VLOOKUP('Données projet'!$B$9,Paramètres!$A$1:$I$89,3,0)*VLOOKUP('Données projet'!$B$9,Paramètres!$A$1:$I$89,5,0)</f>
        <v>177.60600000000005</v>
      </c>
      <c r="P43" s="13">
        <f t="shared" si="33"/>
        <v>44.789150937858665</v>
      </c>
      <c r="Q43" s="20">
        <f t="shared" si="53"/>
        <v>387.33822121677059</v>
      </c>
      <c r="R43" s="59">
        <f t="shared" si="0"/>
        <v>680.67155455010391</v>
      </c>
      <c r="S43" s="59">
        <f ca="1">AVERAGE(OFFSET($R$3,0,0,'Données projet'!$E$9+1,1))-AVERAGE(OFFSET($H$3,0,0,'Données projet'!$E$9+1,1))</f>
        <v>259.30247982593914</v>
      </c>
      <c r="T43" s="59">
        <f t="shared" si="34"/>
        <v>275.24740346220779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84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13.666468298348521</v>
      </c>
      <c r="AB43" s="21">
        <f>EXP(-LN(2)/2)*AB42+(1-EXP(-LN(2)/2))/(LN(2)/2)*V43*Y43*VLOOKUP('Données projet'!$B$9,Paramètres!$A$1:$I$89,3,0)*0.475*44/12</f>
        <v>0.89626469318328239</v>
      </c>
      <c r="AC43" s="22">
        <f t="shared" si="3"/>
        <v>14.562732991531803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468</v>
      </c>
      <c r="AG43" s="12">
        <f>VLOOKUP(A43,'Données projet'!$A$61:$I$81,9,0)</f>
        <v>24.6</v>
      </c>
      <c r="AH43" s="12">
        <f t="array" ref="AH43">INDEX(AG:AG,MIN(IF(ISNUMBER(AG43:AG239),ROW(AG43:AG239),"")))</f>
        <v>24.6</v>
      </c>
      <c r="AI43" s="13">
        <f>IF('Données projet'!$A$62&gt;35,AI42+AH43-AQ42,IF(A43&lt;'Données projet'!$A$62,$AF$205^A43,IF(A43='Données projet'!$A$62,'Données projet'!$B$62,AI42+AH43-AQ42)))</f>
        <v>468.00000000000017</v>
      </c>
      <c r="AJ43" s="13">
        <f>AI43*VLOOKUP('Données projet'!$B$10,Paramètres!$A$1:$I$89,3,0)*VLOOKUP('Données projet'!$B$10,Paramètres!$A$1:$I$89,5,0)</f>
        <v>225.10800000000009</v>
      </c>
      <c r="AK43" s="13">
        <f t="shared" si="35"/>
        <v>55.22359687888963</v>
      </c>
      <c r="AL43" s="20">
        <f t="shared" si="4"/>
        <v>488.2441978973996</v>
      </c>
      <c r="AM43" s="59">
        <f t="shared" si="5"/>
        <v>781.57753123073292</v>
      </c>
      <c r="AN43" s="59">
        <f ca="1">AVERAGE(OFFSET($AM$3,0,0,'Données projet'!$E$10+1,1))-AVERAGE(OFFSET($H$3,0,0,'Données projet'!$E$10+1,1))</f>
        <v>297.21955661193238</v>
      </c>
      <c r="AO43" s="59">
        <f t="shared" si="36"/>
        <v>273.69206144662144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132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5.5275003763420871</v>
      </c>
      <c r="AV43" s="21">
        <f>EXP(-LN(2)/25)*AV42+(1-EXP(-LN(2)/25))/(LN(2)/25)*Calculateur!AQ43*Calculateur!AS43*VLOOKUP('Données projet'!$B$10,Paramètres!$A$1:$I$89,3,0)*0.475*44/12</f>
        <v>10.172834761566607</v>
      </c>
      <c r="AW43" s="21">
        <f>EXP(-LN(2)/2)*AW42+(1-EXP(-LN(2)/2))/(LN(2)/2)*AQ43*AT43*VLOOKUP('Données projet'!$B$10,Paramètres!$A$1:$I$89,3,0)*0.475*44/12</f>
        <v>0.6535244821322761</v>
      </c>
      <c r="AX43" s="21">
        <f t="shared" si="6"/>
        <v>16.353859620040971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375</v>
      </c>
      <c r="BB43" s="12">
        <f>VLOOKUP(A43,'Données projet'!$A$87:$I$107,9,0)</f>
        <v>10.8</v>
      </c>
      <c r="BC43" s="12">
        <f t="array" ref="BC43">INDEX(BB:BB,MIN(IF(ISNUMBER(BB43:BB239),ROW(BB43:BB239),"")))</f>
        <v>10.8</v>
      </c>
      <c r="BD43" s="12">
        <f>IF('Données projet'!$A$88&gt;35,BD42+BC43-BL42,IF(A43&lt;'Données projet'!$A$88,$BA$205^A43,IF(A43='Données projet'!$A$88,'Données projet'!$B$88,BD42+BC43-BL42)))</f>
        <v>375.00000000000006</v>
      </c>
      <c r="BE43" s="13">
        <f>BD43*VLOOKUP('Données projet'!$B$11,Paramètres!$A$1:$I$89,3,0)*VLOOKUP('Données projet'!$B$11,Paramètres!$A$1:$I$89,5,0)</f>
        <v>239.85</v>
      </c>
      <c r="BF43" s="13">
        <f t="shared" si="37"/>
        <v>58.40725607729383</v>
      </c>
      <c r="BG43" s="20">
        <f t="shared" si="7"/>
        <v>519.46472100128676</v>
      </c>
      <c r="BH43" s="59">
        <f t="shared" si="8"/>
        <v>812.79805433462002</v>
      </c>
      <c r="BI43" s="59">
        <f ca="1">AVERAGE(OFFSET($BH$3,0,0,'Données projet'!$E$11+1,1))-AVERAGE(OFFSET($H$3,0,0,'Données projet'!$E$11+1,1))</f>
        <v>176.90404027101607</v>
      </c>
      <c r="BJ43" s="59">
        <f t="shared" si="38"/>
        <v>295.34177980841878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375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1.4551846107280741</v>
      </c>
      <c r="BQ43" s="21">
        <f>EXP(-LN(2)/25)*BQ42+(1-EXP(-LN(2)/25))/(LN(2)/25)*Calculateur!BL43*Calculateur!BN43*VLOOKUP('Données projet'!$B$11,Paramètres!$A$1:$I$89,3,0)*0.475*44/12</f>
        <v>6.2451401157932347</v>
      </c>
      <c r="BR43" s="21">
        <f>EXP(-LN(2)/2)*BR42+(1-EXP(-LN(2)/2))/(LN(2)/2)*BL43*BO43*VLOOKUP('Données projet'!$B$11,Paramètres!$A$1:$I$89,3,0)*0.475*44/12</f>
        <v>1.0532030524151063E-3</v>
      </c>
      <c r="BS43" s="22">
        <f t="shared" si="9"/>
        <v>7.7013779295737246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429</v>
      </c>
      <c r="BW43" s="12">
        <f>VLOOKUP(A43,'Données projet'!$A$113:$I$133,9,0)</f>
        <v>22</v>
      </c>
      <c r="BX43" s="12">
        <f t="array" ref="BX43">INDEX(BW:BW,MIN(IF(ISNUMBER(BW43:BW239),ROW(BW43:BW239),"")))</f>
        <v>22</v>
      </c>
      <c r="BY43" s="12">
        <f>IF('Données projet'!$A$114&gt;35,BY42+BX43-CG42,IF(A43&lt;'Données projet'!$A$114,$BV$205^A43,IF(A43='Données projet'!$A$114,'Données projet'!$B$114,BY42+BX43-CG42)))</f>
        <v>428.99999999999989</v>
      </c>
      <c r="BZ43" s="13">
        <f>BY43*VLOOKUP('Données projet'!$B$12,Paramètres!$A$1:$I$89,3,0)*VLOOKUP('Données projet'!$B$12,Paramètres!$A$1:$I$89,5,0)</f>
        <v>239.81099999999992</v>
      </c>
      <c r="CA43" s="13">
        <f t="shared" si="39"/>
        <v>58.398864347229804</v>
      </c>
      <c r="CB43" s="20">
        <f t="shared" si="10"/>
        <v>519.3821804047584</v>
      </c>
      <c r="CC43" s="59">
        <f t="shared" si="11"/>
        <v>812.71551373809166</v>
      </c>
      <c r="CD43" s="59">
        <f ca="1">AVERAGE(OFFSET($CC$3,0,0,'Données projet'!$E$12+1,1))-AVERAGE(OFFSET($H$3,0,0,'Données projet'!$E$12+1,1))</f>
        <v>326.31232746914907</v>
      </c>
      <c r="CE43" s="59">
        <f t="shared" si="40"/>
        <v>330.17137761430297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112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3.747246876754434</v>
      </c>
      <c r="CL43" s="21">
        <f>EXP(-LN(2)/25)*CL42+(1-EXP(-LN(2)/25))/(LN(2)/25)*Calculateur!CG43*Calculateur!CI43*VLOOKUP('Données projet'!$B$12,Paramètres!$A$1:$I$89,3,0)*0.475*44/12</f>
        <v>22.866818775540402</v>
      </c>
      <c r="CM43" s="21">
        <f>EXP(-LN(2)/2)*CM42+(1-EXP(-LN(2)/2))/(LN(2)/2)*CG43*CJ43*VLOOKUP('Données projet'!$B$12,Paramètres!$A$1:$I$89,3,0)*0.475*44/12</f>
        <v>1.0163152615761013</v>
      </c>
      <c r="CN43" s="22">
        <f t="shared" si="12"/>
        <v>27.630380913870937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314</v>
      </c>
      <c r="CR43" s="12">
        <f>VLOOKUP(A43,'Données projet'!$A$139:$I$159,9,0)</f>
        <v>13.8</v>
      </c>
      <c r="CS43" s="12">
        <f t="array" ref="CS43">INDEX(CR:CR,MIN(IF(ISNUMBER(CR43:CR239),ROW(CR43:CR239),"")))</f>
        <v>13.8</v>
      </c>
      <c r="CT43" s="12">
        <f>IF('Données projet'!$A$140&gt;35,CT42+CS43-DB42,IF(A43&lt;'Données projet'!$A$140,$CQ$205^A43,IF(A43='Données projet'!$A$140,'Données projet'!$B$140,CT42+CS43-DB42)))</f>
        <v>314.00000000000011</v>
      </c>
      <c r="CU43" s="17">
        <f>CT43*VLOOKUP('Données projet'!$B$13,Paramètres!$A$1:$I$89,3,0)*VLOOKUP('Données projet'!$B$13,Paramètres!$A$1:$I$89,5,0)</f>
        <v>171.44400000000007</v>
      </c>
      <c r="CV43" s="13">
        <f t="shared" si="41"/>
        <v>43.413272173627242</v>
      </c>
      <c r="CW43" s="20">
        <f t="shared" si="13"/>
        <v>374.20974903573421</v>
      </c>
      <c r="CX43" s="59">
        <f t="shared" si="14"/>
        <v>667.54308236906752</v>
      </c>
      <c r="CY43" s="59">
        <f ca="1">AVERAGE(OFFSET($CX$3,0,0,'Données projet'!$E$13+1,1))-AVERAGE(OFFSET($H$3,0,0,'Données projet'!$E$13+1,1))</f>
        <v>210.04871822652808</v>
      </c>
      <c r="CZ43" s="59">
        <f t="shared" si="42"/>
        <v>250.17540614049324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80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5.9892571645377384</v>
      </c>
      <c r="DG43" s="21">
        <f>EXP(-LN(2)/25)*DG42+(1-EXP(-LN(2)/25))/(LN(2)/25)*Calculateur!DB43*Calculateur!DD43*VLOOKUP('Données projet'!$B$13,Paramètres!$A$1:$I$89,3,0)*0.475*44/12</f>
        <v>21.091736818656706</v>
      </c>
      <c r="DH43" s="21">
        <f>EXP(-LN(2)/2)*DH42+(1-EXP(-LN(2)/2))/(LN(2)/2)*DB43*DE43*VLOOKUP('Données projet'!$B$13,Paramètres!$A$1:$I$89,3,0)*0.475*44/12</f>
        <v>0.67355902304223858</v>
      </c>
      <c r="DI43" s="22">
        <f t="shared" si="15"/>
        <v>27.754553006236684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12.1</v>
      </c>
      <c r="DN43" s="12">
        <f t="array" ref="DN43">INDEX(DM:DM,MIN(IF(ISNUMBER(DM43:DM239),ROW(DM43:DM239),"")))</f>
        <v>12.1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192.83159999999995</v>
      </c>
      <c r="DQ43" s="13">
        <f t="shared" si="43"/>
        <v>48.165439402688818</v>
      </c>
      <c r="DR43" s="20">
        <f t="shared" si="16"/>
        <v>419.73651029301618</v>
      </c>
      <c r="DS43" s="59">
        <f t="shared" si="17"/>
        <v>713.06984362634944</v>
      </c>
      <c r="DT43" s="59">
        <f ca="1">AVERAGE(OFFSET($DS$3,0,0,'Données projet'!$E$14+1,1))-AVERAGE(OFFSET($H$3,0,0,'Données projet'!$E$14+1,1))</f>
        <v>234.09142087023463</v>
      </c>
      <c r="DU43" s="59">
        <f t="shared" si="44"/>
        <v>278.990685815294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2.0013704909938452</v>
      </c>
      <c r="EB43" s="21">
        <f>EXP(-LN(2)/25)*EB42+(1-EXP(-LN(2)/25))/(LN(2)/25)*Calculateur!DW43*Calculateur!DY43*VLOOKUP('Données projet'!$B$14,Paramètres!$A$1:$I$89,3,0)*0.475*44/12</f>
        <v>11.627255551965472</v>
      </c>
      <c r="EC43" s="21">
        <f>EXP(-LN(2)/2)*EC42+(1-EXP(-LN(2)/2))/(LN(2)/2)*DW43*DZ43*VLOOKUP('Données projet'!$B$14,Paramètres!$A$1:$I$89,3,0)*0.475*44/12</f>
        <v>0.69230061879877036</v>
      </c>
      <c r="ED43" s="22">
        <f t="shared" si="18"/>
        <v>14.320926661758088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</v>
      </c>
      <c r="N44" s="13">
        <f>IF('Données projet'!$A$36&gt;35,N43+M44-V43,IF(A44&lt;'Données projet'!$A$36,$K$205^A44,IF(A44='Données projet'!$A$36,'Données projet'!$B$36,N43+M44-V43)))</f>
        <v>231.80000000000007</v>
      </c>
      <c r="O44" s="13">
        <f>N44*VLOOKUP('Données projet'!$B$9,Paramètres!$A$1:$I$89,3,0)*VLOOKUP('Données projet'!$B$9,Paramètres!$A$1:$I$89,5,0)</f>
        <v>138.61640000000006</v>
      </c>
      <c r="P44" s="13">
        <f t="shared" si="33"/>
        <v>35.97985917844175</v>
      </c>
      <c r="Q44" s="20">
        <f t="shared" si="53"/>
        <v>304.08848473578615</v>
      </c>
      <c r="R44" s="59">
        <f t="shared" si="0"/>
        <v>597.42181806911947</v>
      </c>
      <c r="S44" s="59">
        <f ca="1">AVERAGE(OFFSET($R$3,0,0,'Données projet'!$E$9+1,1))-AVERAGE(OFFSET($H$3,0,0,'Données projet'!$E$9+1,1))</f>
        <v>259.30247982593914</v>
      </c>
      <c r="T44" s="59">
        <f t="shared" si="34"/>
        <v>275.24740346220779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13.292758004041849</v>
      </c>
      <c r="AB44" s="21">
        <f>EXP(-LN(2)/2)*AB43+(1-EXP(-LN(2)/2))/(LN(2)/2)*V44*Y44*VLOOKUP('Données projet'!$B$9,Paramètres!$A$1:$I$89,3,0)*0.475*44/12</f>
        <v>0.6337548422879794</v>
      </c>
      <c r="AC44" s="22">
        <f t="shared" si="3"/>
        <v>13.926512846329828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23.4</v>
      </c>
      <c r="AI44" s="13">
        <f>IF('Données projet'!$A$62&gt;35,AI43+AH44-AQ43,IF(A44&lt;'Données projet'!$A$62,$AF$205^A44,IF(A44='Données projet'!$A$62,'Données projet'!$B$62,AI43+AH44-AQ43)))</f>
        <v>359.40000000000015</v>
      </c>
      <c r="AJ44" s="13">
        <f>AI44*VLOOKUP('Données projet'!$B$10,Paramètres!$A$1:$I$89,3,0)*VLOOKUP('Données projet'!$B$10,Paramètres!$A$1:$I$89,5,0)</f>
        <v>172.87140000000008</v>
      </c>
      <c r="AK44" s="13">
        <f t="shared" si="35"/>
        <v>43.732493418684889</v>
      </c>
      <c r="AL44" s="20">
        <f t="shared" si="4"/>
        <v>377.25178103754297</v>
      </c>
      <c r="AM44" s="59">
        <f t="shared" si="5"/>
        <v>670.58511437087623</v>
      </c>
      <c r="AN44" s="59">
        <f ca="1">AVERAGE(OFFSET($AM$3,0,0,'Données projet'!$E$10+1,1))-AVERAGE(OFFSET($H$3,0,0,'Données projet'!$E$10+1,1))</f>
        <v>297.21955661193238</v>
      </c>
      <c r="AO44" s="59">
        <f t="shared" si="36"/>
        <v>273.69206144662144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5.4191094654043459</v>
      </c>
      <c r="AV44" s="21">
        <f>EXP(-LN(2)/25)*AV43+(1-EXP(-LN(2)/25))/(LN(2)/25)*Calculateur!AQ44*Calculateur!AS44*VLOOKUP('Données projet'!$B$10,Paramètres!$A$1:$I$89,3,0)*0.475*44/12</f>
        <v>9.8946580600454386</v>
      </c>
      <c r="AW44" s="21">
        <f>EXP(-LN(2)/2)*AW43+(1-EXP(-LN(2)/2))/(LN(2)/2)*AQ44*AT44*VLOOKUP('Données projet'!$B$10,Paramètres!$A$1:$I$89,3,0)*0.475*44/12</f>
        <v>0.46211159298715915</v>
      </c>
      <c r="AX44" s="21">
        <f t="shared" si="6"/>
        <v>15.775879118436944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5.6843418860808015E-14</v>
      </c>
      <c r="BE44" s="13">
        <f>BD44*VLOOKUP('Données projet'!$B$11,Paramètres!$A$1:$I$89,3,0)*VLOOKUP('Données projet'!$B$11,Paramètres!$A$1:$I$89,5,0)</f>
        <v>3.6357050703372803E-14</v>
      </c>
      <c r="BF44" s="13">
        <f t="shared" si="37"/>
        <v>6.1445232567661395E-13</v>
      </c>
      <c r="BG44" s="20">
        <f t="shared" si="7"/>
        <v>1.1334929971951436E-12</v>
      </c>
      <c r="BH44" s="59">
        <f t="shared" si="8"/>
        <v>293.33333333333445</v>
      </c>
      <c r="BI44" s="59">
        <f ca="1">AVERAGE(OFFSET($BH$3,0,0,'Données projet'!$E$11+1,1))-AVERAGE(OFFSET($H$3,0,0,'Données projet'!$E$11+1,1))</f>
        <v>176.90404027101607</v>
      </c>
      <c r="BJ44" s="59">
        <f t="shared" si="38"/>
        <v>295.34177980841878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1.4266493280866683</v>
      </c>
      <c r="BQ44" s="21">
        <f>EXP(-LN(2)/25)*BQ43+(1-EXP(-LN(2)/25))/(LN(2)/25)*Calculateur!BL44*Calculateur!BN44*VLOOKUP('Données projet'!$B$11,Paramètres!$A$1:$I$89,3,0)*0.475*44/12</f>
        <v>6.0743664309092233</v>
      </c>
      <c r="BR44" s="21">
        <f>EXP(-LN(2)/2)*BR43+(1-EXP(-LN(2)/2))/(LN(2)/2)*BL44*BO44*VLOOKUP('Données projet'!$B$11,Paramètres!$A$1:$I$89,3,0)*0.475*44/12</f>
        <v>7.4472702032909251E-4</v>
      </c>
      <c r="BS44" s="22">
        <f t="shared" si="9"/>
        <v>7.501760486016221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19.2</v>
      </c>
      <c r="BY44" s="12">
        <f>IF('Données projet'!$A$114&gt;35,BY43+BX44-CG43,IF(A44&lt;'Données projet'!$A$114,$BV$205^A44,IF(A44='Données projet'!$A$114,'Données projet'!$B$114,BY43+BX44-CG43)))</f>
        <v>336.19999999999987</v>
      </c>
      <c r="BZ44" s="13">
        <f>BY44*VLOOKUP('Données projet'!$B$12,Paramètres!$A$1:$I$89,3,0)*VLOOKUP('Données projet'!$B$12,Paramètres!$A$1:$I$89,5,0)</f>
        <v>187.93579999999994</v>
      </c>
      <c r="CA44" s="13">
        <f t="shared" si="39"/>
        <v>47.083297807364765</v>
      </c>
      <c r="CB44" s="20">
        <f t="shared" si="10"/>
        <v>409.3249286811602</v>
      </c>
      <c r="CC44" s="59">
        <f t="shared" si="11"/>
        <v>702.65826201449352</v>
      </c>
      <c r="CD44" s="59">
        <f ca="1">AVERAGE(OFFSET($CC$3,0,0,'Données projet'!$E$12+1,1))-AVERAGE(OFFSET($H$3,0,0,'Données projet'!$E$12+1,1))</f>
        <v>326.31232746914907</v>
      </c>
      <c r="CE44" s="59">
        <f t="shared" si="40"/>
        <v>330.17137761430297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3.6737656510961907</v>
      </c>
      <c r="CL44" s="21">
        <f>EXP(-LN(2)/25)*CL43+(1-EXP(-LN(2)/25))/(LN(2)/25)*Calculateur!CG44*Calculateur!CI44*VLOOKUP('Données projet'!$B$12,Paramètres!$A$1:$I$89,3,0)*0.475*44/12</f>
        <v>22.241524413609515</v>
      </c>
      <c r="CM44" s="21">
        <f>EXP(-LN(2)/2)*CM43+(1-EXP(-LN(2)/2))/(LN(2)/2)*CG44*CJ44*VLOOKUP('Données projet'!$B$12,Paramètres!$A$1:$I$89,3,0)*0.475*44/12</f>
        <v>0.71864341328384107</v>
      </c>
      <c r="CN44" s="22">
        <f t="shared" si="12"/>
        <v>26.633933477989544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11.5</v>
      </c>
      <c r="CT44" s="12">
        <f>IF('Données projet'!$A$140&gt;35,CT43+CS44-DB43,IF(A44&lt;'Données projet'!$A$140,$CQ$205^A44,IF(A44='Données projet'!$A$140,'Données projet'!$B$140,CT43+CS44-DB43)))</f>
        <v>245.50000000000011</v>
      </c>
      <c r="CU44" s="17">
        <f>CT44*VLOOKUP('Données projet'!$B$13,Paramètres!$A$1:$I$89,3,0)*VLOOKUP('Données projet'!$B$13,Paramètres!$A$1:$I$89,5,0)</f>
        <v>134.04300000000006</v>
      </c>
      <c r="CV44" s="13">
        <f t="shared" si="41"/>
        <v>34.928906226695894</v>
      </c>
      <c r="CW44" s="20">
        <f t="shared" si="13"/>
        <v>294.2927366781621</v>
      </c>
      <c r="CX44" s="59">
        <f t="shared" si="14"/>
        <v>587.62607001149536</v>
      </c>
      <c r="CY44" s="59">
        <f ca="1">AVERAGE(OFFSET($CX$3,0,0,'Données projet'!$E$13+1,1))-AVERAGE(OFFSET($H$3,0,0,'Données projet'!$E$13+1,1))</f>
        <v>210.04871822652808</v>
      </c>
      <c r="CZ44" s="59">
        <f t="shared" si="42"/>
        <v>250.17540614049324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5.8718114846273117</v>
      </c>
      <c r="DG44" s="21">
        <f>EXP(-LN(2)/25)*DG43+(1-EXP(-LN(2)/25))/(LN(2)/25)*Calculateur!DB44*Calculateur!DD44*VLOOKUP('Données projet'!$B$13,Paramètres!$A$1:$I$89,3,0)*0.475*44/12</f>
        <v>20.514982166184303</v>
      </c>
      <c r="DH44" s="21">
        <f>EXP(-LN(2)/2)*DH43+(1-EXP(-LN(2)/2))/(LN(2)/2)*DB44*DE44*VLOOKUP('Données projet'!$B$13,Paramètres!$A$1:$I$89,3,0)*0.475*44/12</f>
        <v>0.47627815272255297</v>
      </c>
      <c r="DI44" s="22">
        <f t="shared" si="15"/>
        <v>26.863071803534169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9.1999999999999993</v>
      </c>
      <c r="DO44" s="12">
        <f>IF('Données projet'!$A$166&gt;35,DO43+DN44-DW43,IF(A44&lt;'Données projet'!$A$166,$DL$205^A44,IF(A44='Données projet'!$A$166,'Données projet'!$B$166,DO43+DN44-DW43)))</f>
        <v>202.19999999999993</v>
      </c>
      <c r="DP44" s="17">
        <f>DO44*VLOOKUP('Données projet'!$B$14,Paramètres!$A$1:$I$89,3,0)*VLOOKUP('Données projet'!$B$14,Paramètres!$A$1:$I$89,5,0)</f>
        <v>148.25303999999994</v>
      </c>
      <c r="DQ44" s="13">
        <f t="shared" si="43"/>
        <v>38.181312421901637</v>
      </c>
      <c r="DR44" s="20">
        <f t="shared" si="16"/>
        <v>324.70649713481191</v>
      </c>
      <c r="DS44" s="59">
        <f t="shared" si="17"/>
        <v>618.03983046814528</v>
      </c>
      <c r="DT44" s="59">
        <f ca="1">AVERAGE(OFFSET($DS$3,0,0,'Données projet'!$E$14+1,1))-AVERAGE(OFFSET($H$3,0,0,'Données projet'!$E$14+1,1))</f>
        <v>234.09142087023463</v>
      </c>
      <c r="DU44" s="59">
        <f t="shared" si="44"/>
        <v>278.990685815294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1.9621248363809198</v>
      </c>
      <c r="EB44" s="21">
        <f>EXP(-LN(2)/25)*EB43+(1-EXP(-LN(2)/25))/(LN(2)/25)*Calculateur!DW44*Calculateur!DY44*VLOOKUP('Données projet'!$B$14,Paramètres!$A$1:$I$89,3,0)*0.475*44/12</f>
        <v>11.309307637446182</v>
      </c>
      <c r="EC44" s="21">
        <f>EXP(-LN(2)/2)*EC43+(1-EXP(-LN(2)/2))/(LN(2)/2)*DW44*DZ44*VLOOKUP('Données projet'!$B$14,Paramètres!$A$1:$I$89,3,0)*0.475*44/12</f>
        <v>0.4895304621722536</v>
      </c>
      <c r="ED44" s="22">
        <f t="shared" si="18"/>
        <v>13.760962935999355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18.8</v>
      </c>
      <c r="N45" s="13">
        <f>IF('Données projet'!$A$36&gt;35,N44+M45-V44,IF(A45&lt;'Données projet'!$A$36,$K$205^A45,IF(A45='Données projet'!$A$36,'Données projet'!$B$36,N44+M45-V44)))</f>
        <v>250.60000000000008</v>
      </c>
      <c r="O45" s="13">
        <f>N45*VLOOKUP('Données projet'!$B$9,Paramètres!$A$1:$I$89,3,0)*VLOOKUP('Données projet'!$B$9,Paramètres!$A$1:$I$89,5,0)</f>
        <v>149.85880000000006</v>
      </c>
      <c r="P45" s="13">
        <f t="shared" si="33"/>
        <v>38.546495655588949</v>
      </c>
      <c r="Q45" s="20">
        <f t="shared" si="53"/>
        <v>328.13922326681751</v>
      </c>
      <c r="R45" s="59">
        <f t="shared" si="0"/>
        <v>621.47255660015082</v>
      </c>
      <c r="S45" s="59">
        <f ca="1">AVERAGE(OFFSET($R$3,0,0,'Données projet'!$E$9+1,1))-AVERAGE(OFFSET($H$3,0,0,'Données projet'!$E$9+1,1))</f>
        <v>259.30247982593914</v>
      </c>
      <c r="T45" s="59">
        <f t="shared" si="34"/>
        <v>275.24740346220779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12.929266837385562</v>
      </c>
      <c r="AB45" s="21">
        <f>EXP(-LN(2)/2)*AB44+(1-EXP(-LN(2)/2))/(LN(2)/2)*V45*Y45*VLOOKUP('Données projet'!$B$9,Paramètres!$A$1:$I$89,3,0)*0.475*44/12</f>
        <v>0.4481323465916412</v>
      </c>
      <c r="AC45" s="22">
        <f t="shared" si="3"/>
        <v>13.377399183977204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23.4</v>
      </c>
      <c r="AI45" s="13">
        <f>IF('Données projet'!$A$62&gt;35,AI44+AH45-AQ44,IF(A45&lt;'Données projet'!$A$62,$AF$205^A45,IF(A45='Données projet'!$A$62,'Données projet'!$B$62,AI44+AH45-AQ44)))</f>
        <v>382.80000000000013</v>
      </c>
      <c r="AJ45" s="13">
        <f>AI45*VLOOKUP('Données projet'!$B$10,Paramètres!$A$1:$I$89,3,0)*VLOOKUP('Données projet'!$B$10,Paramètres!$A$1:$I$89,5,0)</f>
        <v>184.12680000000009</v>
      </c>
      <c r="AK45" s="13">
        <f t="shared" si="35"/>
        <v>46.239108362516738</v>
      </c>
      <c r="AL45" s="20">
        <f t="shared" si="4"/>
        <v>401.22062373138345</v>
      </c>
      <c r="AM45" s="59">
        <f t="shared" si="5"/>
        <v>694.55395706471677</v>
      </c>
      <c r="AN45" s="59">
        <f ca="1">AVERAGE(OFFSET($AM$3,0,0,'Données projet'!$E$10+1,1))-AVERAGE(OFFSET($H$3,0,0,'Données projet'!$E$10+1,1))</f>
        <v>297.21955661193238</v>
      </c>
      <c r="AO45" s="59">
        <f t="shared" si="36"/>
        <v>273.69206144662144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5.3128440341181662</v>
      </c>
      <c r="AV45" s="21">
        <f>EXP(-LN(2)/25)*AV44+(1-EXP(-LN(2)/25))/(LN(2)/25)*Calculateur!AQ45*Calculateur!AS45*VLOOKUP('Données projet'!$B$10,Paramètres!$A$1:$I$89,3,0)*0.475*44/12</f>
        <v>9.6240881150560433</v>
      </c>
      <c r="AW45" s="21">
        <f>EXP(-LN(2)/2)*AW44+(1-EXP(-LN(2)/2))/(LN(2)/2)*AQ45*AT45*VLOOKUP('Données projet'!$B$10,Paramètres!$A$1:$I$89,3,0)*0.475*44/12</f>
        <v>0.32676224106613805</v>
      </c>
      <c r="AX45" s="21">
        <f t="shared" si="6"/>
        <v>15.263694390240348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5.6843418860808015E-14</v>
      </c>
      <c r="BE45" s="13">
        <f>BD45*VLOOKUP('Données projet'!$B$11,Paramètres!$A$1:$I$89,3,0)*VLOOKUP('Données projet'!$B$11,Paramètres!$A$1:$I$89,5,0)</f>
        <v>3.6357050703372803E-14</v>
      </c>
      <c r="BF45" s="13">
        <f t="shared" si="37"/>
        <v>6.1445232567661395E-13</v>
      </c>
      <c r="BG45" s="20">
        <f t="shared" si="7"/>
        <v>1.1334929971951436E-12</v>
      </c>
      <c r="BH45" s="59">
        <f t="shared" si="8"/>
        <v>293.33333333333445</v>
      </c>
      <c r="BI45" s="59">
        <f ca="1">AVERAGE(OFFSET($BH$3,0,0,'Données projet'!$E$11+1,1))-AVERAGE(OFFSET($H$3,0,0,'Données projet'!$E$11+1,1))</f>
        <v>176.90404027101607</v>
      </c>
      <c r="BJ45" s="59">
        <f t="shared" si="38"/>
        <v>295.34177980841878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1.3986736049330568</v>
      </c>
      <c r="BQ45" s="21">
        <f>EXP(-LN(2)/25)*BQ44+(1-EXP(-LN(2)/25))/(LN(2)/25)*Calculateur!BL45*Calculateur!BN45*VLOOKUP('Données projet'!$B$11,Paramètres!$A$1:$I$89,3,0)*0.475*44/12</f>
        <v>5.9082625614189634</v>
      </c>
      <c r="BR45" s="21">
        <f>EXP(-LN(2)/2)*BR44+(1-EXP(-LN(2)/2))/(LN(2)/2)*BL45*BO45*VLOOKUP('Données projet'!$B$11,Paramètres!$A$1:$I$89,3,0)*0.475*44/12</f>
        <v>5.2660152620755314E-4</v>
      </c>
      <c r="BS45" s="22">
        <f t="shared" si="9"/>
        <v>7.3074627678782278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19.2</v>
      </c>
      <c r="BY45" s="12">
        <f>IF('Données projet'!$A$114&gt;35,BY44+BX45-CG44,IF(A45&lt;'Données projet'!$A$114,$BV$205^A45,IF(A45='Données projet'!$A$114,'Données projet'!$B$114,BY44+BX45-CG44)))</f>
        <v>355.39999999999986</v>
      </c>
      <c r="BZ45" s="13">
        <f>BY45*VLOOKUP('Données projet'!$B$12,Paramètres!$A$1:$I$89,3,0)*VLOOKUP('Données projet'!$B$12,Paramètres!$A$1:$I$89,5,0)</f>
        <v>198.66859999999994</v>
      </c>
      <c r="CA45" s="13">
        <f t="shared" si="39"/>
        <v>49.451452656287465</v>
      </c>
      <c r="CB45" s="20">
        <f t="shared" si="10"/>
        <v>432.14242504303388</v>
      </c>
      <c r="CC45" s="59">
        <f t="shared" si="11"/>
        <v>725.47575837636714</v>
      </c>
      <c r="CD45" s="59">
        <f ca="1">AVERAGE(OFFSET($CC$3,0,0,'Données projet'!$E$12+1,1))-AVERAGE(OFFSET($H$3,0,0,'Données projet'!$E$12+1,1))</f>
        <v>326.31232746914907</v>
      </c>
      <c r="CE45" s="59">
        <f t="shared" si="40"/>
        <v>330.17137761430297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3.6017253474539834</v>
      </c>
      <c r="CL45" s="21">
        <f>EXP(-LN(2)/25)*CL44+(1-EXP(-LN(2)/25))/(LN(2)/25)*Calculateur!CG45*Calculateur!CI45*VLOOKUP('Données projet'!$B$12,Paramètres!$A$1:$I$89,3,0)*0.475*44/12</f>
        <v>21.633328758888428</v>
      </c>
      <c r="CM45" s="21">
        <f>EXP(-LN(2)/2)*CM44+(1-EXP(-LN(2)/2))/(LN(2)/2)*CG45*CJ45*VLOOKUP('Données projet'!$B$12,Paramètres!$A$1:$I$89,3,0)*0.475*44/12</f>
        <v>0.50815763078805065</v>
      </c>
      <c r="CN45" s="22">
        <f t="shared" si="12"/>
        <v>25.743211737130462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11.5</v>
      </c>
      <c r="CT45" s="12">
        <f>IF('Données projet'!$A$140&gt;35,CT44+CS45-DB44,IF(A45&lt;'Données projet'!$A$140,$CQ$205^A45,IF(A45='Données projet'!$A$140,'Données projet'!$B$140,CT44+CS45-DB44)))</f>
        <v>257.00000000000011</v>
      </c>
      <c r="CU45" s="17">
        <f>CT45*VLOOKUP('Données projet'!$B$13,Paramètres!$A$1:$I$89,3,0)*VLOOKUP('Données projet'!$B$13,Paramètres!$A$1:$I$89,5,0)</f>
        <v>140.32200000000006</v>
      </c>
      <c r="CV45" s="13">
        <f t="shared" si="41"/>
        <v>36.370761307502896</v>
      </c>
      <c r="CW45" s="20">
        <f t="shared" si="13"/>
        <v>307.73989261056767</v>
      </c>
      <c r="CX45" s="59">
        <f t="shared" si="14"/>
        <v>601.07322594390098</v>
      </c>
      <c r="CY45" s="59">
        <f ca="1">AVERAGE(OFFSET($CX$3,0,0,'Données projet'!$E$13+1,1))-AVERAGE(OFFSET($H$3,0,0,'Données projet'!$E$13+1,1))</f>
        <v>210.04871822652808</v>
      </c>
      <c r="CZ45" s="59">
        <f t="shared" si="42"/>
        <v>250.17540614049324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5.7566688428651371</v>
      </c>
      <c r="DG45" s="21">
        <f>EXP(-LN(2)/25)*DG44+(1-EXP(-LN(2)/25))/(LN(2)/25)*Calculateur!DB45*Calculateur!DD45*VLOOKUP('Données projet'!$B$13,Paramètres!$A$1:$I$89,3,0)*0.475*44/12</f>
        <v>19.953998900013968</v>
      </c>
      <c r="DH45" s="21">
        <f>EXP(-LN(2)/2)*DH44+(1-EXP(-LN(2)/2))/(LN(2)/2)*DB45*DE45*VLOOKUP('Données projet'!$B$13,Paramètres!$A$1:$I$89,3,0)*0.475*44/12</f>
        <v>0.33677951152111935</v>
      </c>
      <c r="DI45" s="22">
        <f t="shared" si="15"/>
        <v>26.047447254400222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9.1999999999999993</v>
      </c>
      <c r="DO45" s="12">
        <f>IF('Données projet'!$A$166&gt;35,DO44+DN45-DW44,IF(A45&lt;'Données projet'!$A$166,$DL$205^A45,IF(A45='Données projet'!$A$166,'Données projet'!$B$166,DO44+DN45-DW44)))</f>
        <v>211.39999999999992</v>
      </c>
      <c r="DP45" s="17">
        <f>DO45*VLOOKUP('Données projet'!$B$14,Paramètres!$A$1:$I$89,3,0)*VLOOKUP('Données projet'!$B$14,Paramètres!$A$1:$I$89,5,0)</f>
        <v>154.99847999999994</v>
      </c>
      <c r="DQ45" s="13">
        <f t="shared" si="43"/>
        <v>39.712331964500009</v>
      </c>
      <c r="DR45" s="20">
        <f t="shared" si="16"/>
        <v>339.12133083817071</v>
      </c>
      <c r="DS45" s="59">
        <f t="shared" si="17"/>
        <v>632.45466417150396</v>
      </c>
      <c r="DT45" s="59">
        <f ca="1">AVERAGE(OFFSET($DS$3,0,0,'Données projet'!$E$14+1,1))-AVERAGE(OFFSET($H$3,0,0,'Données projet'!$E$14+1,1))</f>
        <v>234.09142087023463</v>
      </c>
      <c r="DU45" s="59">
        <f t="shared" si="44"/>
        <v>278.990685815294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1.9236487651174681</v>
      </c>
      <c r="EB45" s="21">
        <f>EXP(-LN(2)/25)*EB44+(1-EXP(-LN(2)/25))/(LN(2)/25)*Calculateur!DW45*Calculateur!DY45*VLOOKUP('Données projet'!$B$14,Paramètres!$A$1:$I$89,3,0)*0.475*44/12</f>
        <v>11.000054025369575</v>
      </c>
      <c r="EC45" s="21">
        <f>EXP(-LN(2)/2)*EC44+(1-EXP(-LN(2)/2))/(LN(2)/2)*DW45*DZ45*VLOOKUP('Données projet'!$B$14,Paramètres!$A$1:$I$89,3,0)*0.475*44/12</f>
        <v>0.34615030939938524</v>
      </c>
      <c r="ED45" s="22">
        <f t="shared" si="18"/>
        <v>13.269853099886429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</v>
      </c>
      <c r="N46" s="13">
        <f>IF('Données projet'!$A$36&gt;35,N45+M46-V45,IF(A46&lt;'Données projet'!$A$36,$K$205^A46,IF(A46='Données projet'!$A$36,'Données projet'!$B$36,N45+M46-V45)))</f>
        <v>269.40000000000009</v>
      </c>
      <c r="O46" s="13">
        <f>N46*VLOOKUP('Données projet'!$B$9,Paramètres!$A$1:$I$89,3,0)*VLOOKUP('Données projet'!$B$9,Paramètres!$A$1:$I$89,5,0)</f>
        <v>161.10120000000006</v>
      </c>
      <c r="P46" s="13">
        <f t="shared" si="33"/>
        <v>41.090794903447133</v>
      </c>
      <c r="Q46" s="20">
        <f t="shared" si="53"/>
        <v>352.15105779017057</v>
      </c>
      <c r="R46" s="59">
        <f t="shared" si="0"/>
        <v>645.48439112350388</v>
      </c>
      <c r="S46" s="59">
        <f ca="1">AVERAGE(OFFSET($R$3,0,0,'Données projet'!$E$9+1,1))-AVERAGE(OFFSET($H$3,0,0,'Données projet'!$E$9+1,1))</f>
        <v>259.30247982593914</v>
      </c>
      <c r="T46" s="59">
        <f t="shared" si="34"/>
        <v>275.24740346220779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12.57571535579666</v>
      </c>
      <c r="AB46" s="21">
        <f>EXP(-LN(2)/2)*AB45+(1-EXP(-LN(2)/2))/(LN(2)/2)*V46*Y46*VLOOKUP('Données projet'!$B$9,Paramètres!$A$1:$I$89,3,0)*0.475*44/12</f>
        <v>0.3168774211439897</v>
      </c>
      <c r="AC46" s="22">
        <f t="shared" si="3"/>
        <v>12.892592776940649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23.4</v>
      </c>
      <c r="AI46" s="13">
        <f>IF('Données projet'!$A$62&gt;35,AI45+AH46-AQ45,IF(A46&lt;'Données projet'!$A$62,$AF$205^A46,IF(A46='Données projet'!$A$62,'Données projet'!$B$62,AI45+AH46-AQ45)))</f>
        <v>406.2000000000001</v>
      </c>
      <c r="AJ46" s="13">
        <f>AI46*VLOOKUP('Données projet'!$B$10,Paramètres!$A$1:$I$89,3,0)*VLOOKUP('Données projet'!$B$10,Paramètres!$A$1:$I$89,5,0)</f>
        <v>195.38220000000007</v>
      </c>
      <c r="AK46" s="13">
        <f t="shared" si="35"/>
        <v>48.727939451029641</v>
      </c>
      <c r="AL46" s="20">
        <f t="shared" si="4"/>
        <v>425.15849287721011</v>
      </c>
      <c r="AM46" s="59">
        <f t="shared" si="5"/>
        <v>718.49182621054342</v>
      </c>
      <c r="AN46" s="59">
        <f ca="1">AVERAGE(OFFSET($AM$3,0,0,'Données projet'!$E$10+1,1))-AVERAGE(OFFSET($H$3,0,0,'Données projet'!$E$10+1,1))</f>
        <v>297.21955661193238</v>
      </c>
      <c r="AO46" s="59">
        <f t="shared" si="36"/>
        <v>273.69206144662144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5.2086624031239959</v>
      </c>
      <c r="AV46" s="21">
        <f>EXP(-LN(2)/25)*AV45+(1-EXP(-LN(2)/25))/(LN(2)/25)*Calculateur!AQ46*Calculateur!AS46*VLOOKUP('Données projet'!$B$10,Paramètres!$A$1:$I$89,3,0)*0.475*44/12</f>
        <v>9.3609169194410384</v>
      </c>
      <c r="AW46" s="21">
        <f>EXP(-LN(2)/2)*AW45+(1-EXP(-LN(2)/2))/(LN(2)/2)*AQ46*AT46*VLOOKUP('Données projet'!$B$10,Paramètres!$A$1:$I$89,3,0)*0.475*44/12</f>
        <v>0.23105579649357957</v>
      </c>
      <c r="AX46" s="21">
        <f t="shared" si="6"/>
        <v>14.800635119058613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5.6843418860808015E-14</v>
      </c>
      <c r="BE46" s="13">
        <f>BD46*VLOOKUP('Données projet'!$B$11,Paramètres!$A$1:$I$89,3,0)*VLOOKUP('Données projet'!$B$11,Paramètres!$A$1:$I$89,5,0)</f>
        <v>3.6357050703372803E-14</v>
      </c>
      <c r="BF46" s="13">
        <f t="shared" si="37"/>
        <v>6.1445232567661395E-13</v>
      </c>
      <c r="BG46" s="20">
        <f t="shared" si="7"/>
        <v>1.1334929971951436E-12</v>
      </c>
      <c r="BH46" s="59">
        <f t="shared" si="8"/>
        <v>293.33333333333445</v>
      </c>
      <c r="BI46" s="59">
        <f ca="1">AVERAGE(OFFSET($BH$3,0,0,'Données projet'!$E$11+1,1))-AVERAGE(OFFSET($H$3,0,0,'Données projet'!$E$11+1,1))</f>
        <v>176.90404027101607</v>
      </c>
      <c r="BJ46" s="59">
        <f t="shared" si="38"/>
        <v>295.34177980841878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1.3712464686469812</v>
      </c>
      <c r="BQ46" s="21">
        <f>EXP(-LN(2)/25)*BQ45+(1-EXP(-LN(2)/25))/(LN(2)/25)*Calculateur!BL46*Calculateur!BN46*VLOOKUP('Données projet'!$B$11,Paramètres!$A$1:$I$89,3,0)*0.475*44/12</f>
        <v>5.7467008109749376</v>
      </c>
      <c r="BR46" s="21">
        <f>EXP(-LN(2)/2)*BR45+(1-EXP(-LN(2)/2))/(LN(2)/2)*BL46*BO46*VLOOKUP('Données projet'!$B$11,Paramètres!$A$1:$I$89,3,0)*0.475*44/12</f>
        <v>3.7236351016454625E-4</v>
      </c>
      <c r="BS46" s="22">
        <f t="shared" si="9"/>
        <v>7.1183196431320832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19.2</v>
      </c>
      <c r="BY46" s="12">
        <f>IF('Données projet'!$A$114&gt;35,BY45+BX46-CG45,IF(A46&lt;'Données projet'!$A$114,$BV$205^A46,IF(A46='Données projet'!$A$114,'Données projet'!$B$114,BY45+BX46-CG45)))</f>
        <v>374.59999999999985</v>
      </c>
      <c r="BZ46" s="13">
        <f>BY46*VLOOKUP('Données projet'!$B$12,Paramètres!$A$1:$I$89,3,0)*VLOOKUP('Données projet'!$B$12,Paramètres!$A$1:$I$89,5,0)</f>
        <v>209.40139999999994</v>
      </c>
      <c r="CA46" s="13">
        <f t="shared" si="39"/>
        <v>51.804754813749405</v>
      </c>
      <c r="CB46" s="20">
        <f t="shared" si="10"/>
        <v>454.93405296728002</v>
      </c>
      <c r="CC46" s="59">
        <f t="shared" si="11"/>
        <v>748.26738630061334</v>
      </c>
      <c r="CD46" s="59">
        <f ca="1">AVERAGE(OFFSET($CC$3,0,0,'Données projet'!$E$12+1,1))-AVERAGE(OFFSET($H$3,0,0,'Données projet'!$E$12+1,1))</f>
        <v>326.31232746914907</v>
      </c>
      <c r="CE46" s="59">
        <f t="shared" si="40"/>
        <v>330.17137761430297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3.5310977102259531</v>
      </c>
      <c r="CL46" s="21">
        <f>EXP(-LN(2)/25)*CL45+(1-EXP(-LN(2)/25))/(LN(2)/25)*Calculateur!CG46*Calculateur!CI46*VLOOKUP('Données projet'!$B$12,Paramètres!$A$1:$I$89,3,0)*0.475*44/12</f>
        <v>21.041764246329308</v>
      </c>
      <c r="CM46" s="21">
        <f>EXP(-LN(2)/2)*CM45+(1-EXP(-LN(2)/2))/(LN(2)/2)*CG46*CJ46*VLOOKUP('Données projet'!$B$12,Paramètres!$A$1:$I$89,3,0)*0.475*44/12</f>
        <v>0.35932170664192054</v>
      </c>
      <c r="CN46" s="22">
        <f t="shared" si="12"/>
        <v>24.932183663197183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11.5</v>
      </c>
      <c r="CT46" s="12">
        <f>IF('Données projet'!$A$140&gt;35,CT45+CS46-DB45,IF(A46&lt;'Données projet'!$A$140,$CQ$205^A46,IF(A46='Données projet'!$A$140,'Données projet'!$B$140,CT45+CS46-DB45)))</f>
        <v>268.50000000000011</v>
      </c>
      <c r="CU46" s="17">
        <f>CT46*VLOOKUP('Données projet'!$B$13,Paramètres!$A$1:$I$89,3,0)*VLOOKUP('Données projet'!$B$13,Paramètres!$A$1:$I$89,5,0)</f>
        <v>146.60100000000006</v>
      </c>
      <c r="CV46" s="13">
        <f t="shared" si="41"/>
        <v>37.805123282858517</v>
      </c>
      <c r="CW46" s="20">
        <f t="shared" si="13"/>
        <v>321.1739980509787</v>
      </c>
      <c r="CX46" s="59">
        <f t="shared" si="14"/>
        <v>614.50733138431201</v>
      </c>
      <c r="CY46" s="59">
        <f ca="1">AVERAGE(OFFSET($CX$3,0,0,'Données projet'!$E$13+1,1))-AVERAGE(OFFSET($H$3,0,0,'Données projet'!$E$13+1,1))</f>
        <v>210.04871822652808</v>
      </c>
      <c r="CZ46" s="59">
        <f t="shared" si="42"/>
        <v>250.17540614049324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5.6437840780778412</v>
      </c>
      <c r="DG46" s="21">
        <f>EXP(-LN(2)/25)*DG45+(1-EXP(-LN(2)/25))/(LN(2)/25)*Calculateur!DB46*Calculateur!DD46*VLOOKUP('Données projet'!$B$13,Paramètres!$A$1:$I$89,3,0)*0.475*44/12</f>
        <v>19.408355750757888</v>
      </c>
      <c r="DH46" s="21">
        <f>EXP(-LN(2)/2)*DH45+(1-EXP(-LN(2)/2))/(LN(2)/2)*DB46*DE46*VLOOKUP('Données projet'!$B$13,Paramètres!$A$1:$I$89,3,0)*0.475*44/12</f>
        <v>0.23813907636127651</v>
      </c>
      <c r="DI46" s="22">
        <f t="shared" si="15"/>
        <v>25.290278905197003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9.1999999999999993</v>
      </c>
      <c r="DO46" s="12">
        <f>IF('Données projet'!$A$166&gt;35,DO45+DN46-DW45,IF(A46&lt;'Données projet'!$A$166,$DL$205^A46,IF(A46='Données projet'!$A$166,'Données projet'!$B$166,DO45+DN46-DW45)))</f>
        <v>220.59999999999991</v>
      </c>
      <c r="DP46" s="17">
        <f>DO46*VLOOKUP('Données projet'!$B$14,Paramètres!$A$1:$I$89,3,0)*VLOOKUP('Données projet'!$B$14,Paramètres!$A$1:$I$89,5,0)</f>
        <v>161.74391999999992</v>
      </c>
      <c r="DQ46" s="13">
        <f t="shared" si="43"/>
        <v>41.235612917424163</v>
      </c>
      <c r="DR46" s="20">
        <f t="shared" si="16"/>
        <v>353.52268649784691</v>
      </c>
      <c r="DS46" s="59">
        <f t="shared" si="17"/>
        <v>646.85601983118022</v>
      </c>
      <c r="DT46" s="59">
        <f ca="1">AVERAGE(OFFSET($DS$3,0,0,'Données projet'!$E$14+1,1))-AVERAGE(OFFSET($H$3,0,0,'Données projet'!$E$14+1,1))</f>
        <v>234.09142087023463</v>
      </c>
      <c r="DU46" s="59">
        <f t="shared" si="44"/>
        <v>278.990685815294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1.8859271861434066</v>
      </c>
      <c r="EB46" s="21">
        <f>EXP(-LN(2)/25)*EB45+(1-EXP(-LN(2)/25))/(LN(2)/25)*Calculateur!DW46*Calculateur!DY46*VLOOKUP('Données projet'!$B$14,Paramètres!$A$1:$I$89,3,0)*0.475*44/12</f>
        <v>10.699256969578144</v>
      </c>
      <c r="EC46" s="21">
        <f>EXP(-LN(2)/2)*EC45+(1-EXP(-LN(2)/2))/(LN(2)/2)*DW46*DZ46*VLOOKUP('Données projet'!$B$14,Paramètres!$A$1:$I$89,3,0)*0.475*44/12</f>
        <v>0.24476523108612683</v>
      </c>
      <c r="ED46" s="22">
        <f t="shared" si="18"/>
        <v>12.829949386807678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</v>
      </c>
      <c r="N47" s="13">
        <f>IF('Données projet'!$A$36&gt;35,N46+M47-V46,IF(A47&lt;'Données projet'!$A$36,$K$205^A47,IF(A47='Données projet'!$A$36,'Données projet'!$B$36,N46+M47-V46)))</f>
        <v>288.2000000000001</v>
      </c>
      <c r="O47" s="13">
        <f>N47*VLOOKUP('Données projet'!$B$9,Paramètres!$A$1:$I$89,3,0)*VLOOKUP('Données projet'!$B$9,Paramètres!$A$1:$I$89,5,0)</f>
        <v>172.34360000000009</v>
      </c>
      <c r="P47" s="13">
        <f t="shared" si="33"/>
        <v>43.614493030708267</v>
      </c>
      <c r="Q47" s="20">
        <f t="shared" si="53"/>
        <v>376.12701202848376</v>
      </c>
      <c r="R47" s="59">
        <f t="shared" si="0"/>
        <v>669.46034536181708</v>
      </c>
      <c r="S47" s="59">
        <f ca="1">AVERAGE(OFFSET($R$3,0,0,'Données projet'!$E$9+1,1))-AVERAGE(OFFSET($H$3,0,0,'Données projet'!$E$9+1,1))</f>
        <v>259.30247982593914</v>
      </c>
      <c r="T47" s="59">
        <f t="shared" si="34"/>
        <v>275.24740346220779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12.231831758064272</v>
      </c>
      <c r="AB47" s="21">
        <f>EXP(-LN(2)/2)*AB46+(1-EXP(-LN(2)/2))/(LN(2)/2)*V47*Y47*VLOOKUP('Données projet'!$B$9,Paramètres!$A$1:$I$89,3,0)*0.475*44/12</f>
        <v>0.2240661732958206</v>
      </c>
      <c r="AC47" s="22">
        <f t="shared" si="3"/>
        <v>12.455897931360093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23.4</v>
      </c>
      <c r="AI47" s="13">
        <f>IF('Données projet'!$A$62&gt;35,AI46+AH47-AQ46,IF(A47&lt;'Données projet'!$A$62,$AF$205^A47,IF(A47='Données projet'!$A$62,'Données projet'!$B$62,AI46+AH47-AQ46)))</f>
        <v>429.60000000000008</v>
      </c>
      <c r="AJ47" s="13">
        <f>AI47*VLOOKUP('Données projet'!$B$10,Paramètres!$A$1:$I$89,3,0)*VLOOKUP('Données projet'!$B$10,Paramètres!$A$1:$I$89,5,0)</f>
        <v>206.63760000000005</v>
      </c>
      <c r="AK47" s="13">
        <f t="shared" si="35"/>
        <v>51.200127881281993</v>
      </c>
      <c r="AL47" s="20">
        <f t="shared" si="4"/>
        <v>449.06737605989952</v>
      </c>
      <c r="AM47" s="59">
        <f t="shared" si="5"/>
        <v>742.40070939323277</v>
      </c>
      <c r="AN47" s="59">
        <f ca="1">AVERAGE(OFFSET($AM$3,0,0,'Données projet'!$E$10+1,1))-AVERAGE(OFFSET($H$3,0,0,'Données projet'!$E$10+1,1))</f>
        <v>297.21955661193238</v>
      </c>
      <c r="AO47" s="59">
        <f t="shared" si="36"/>
        <v>273.69206144662144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5.1065237103691006</v>
      </c>
      <c r="AV47" s="21">
        <f>EXP(-LN(2)/25)*AV46+(1-EXP(-LN(2)/25))/(LN(2)/25)*Calculateur!AQ47*Calculateur!AS47*VLOOKUP('Données projet'!$B$10,Paramètres!$A$1:$I$89,3,0)*0.475*44/12</f>
        <v>9.1049421540096969</v>
      </c>
      <c r="AW47" s="21">
        <f>EXP(-LN(2)/2)*AW46+(1-EXP(-LN(2)/2))/(LN(2)/2)*AQ47*AT47*VLOOKUP('Données projet'!$B$10,Paramètres!$A$1:$I$89,3,0)*0.475*44/12</f>
        <v>0.16338112053306902</v>
      </c>
      <c r="AX47" s="21">
        <f t="shared" si="6"/>
        <v>14.374846984911867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5.6843418860808015E-14</v>
      </c>
      <c r="BE47" s="13">
        <f>BD47*VLOOKUP('Données projet'!$B$11,Paramètres!$A$1:$I$89,3,0)*VLOOKUP('Données projet'!$B$11,Paramètres!$A$1:$I$89,5,0)</f>
        <v>3.6357050703372803E-14</v>
      </c>
      <c r="BF47" s="13">
        <f t="shared" si="37"/>
        <v>6.1445232567661395E-13</v>
      </c>
      <c r="BG47" s="20">
        <f t="shared" si="7"/>
        <v>1.1334929971951436E-12</v>
      </c>
      <c r="BH47" s="59">
        <f t="shared" si="8"/>
        <v>293.33333333333445</v>
      </c>
      <c r="BI47" s="59">
        <f ca="1">AVERAGE(OFFSET($BH$3,0,0,'Données projet'!$E$11+1,1))-AVERAGE(OFFSET($H$3,0,0,'Données projet'!$E$11+1,1))</f>
        <v>176.90404027101607</v>
      </c>
      <c r="BJ47" s="59">
        <f t="shared" si="38"/>
        <v>295.34177980841878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1.3443571617745742</v>
      </c>
      <c r="BQ47" s="21">
        <f>EXP(-LN(2)/25)*BQ46+(1-EXP(-LN(2)/25))/(LN(2)/25)*Calculateur!BL47*Calculateur!BN47*VLOOKUP('Données projet'!$B$11,Paramètres!$A$1:$I$89,3,0)*0.475*44/12</f>
        <v>5.5895569750929663</v>
      </c>
      <c r="BR47" s="21">
        <f>EXP(-LN(2)/2)*BR46+(1-EXP(-LN(2)/2))/(LN(2)/2)*BL47*BO47*VLOOKUP('Données projet'!$B$11,Paramètres!$A$1:$I$89,3,0)*0.475*44/12</f>
        <v>2.6330076310377657E-4</v>
      </c>
      <c r="BS47" s="22">
        <f t="shared" si="9"/>
        <v>6.9341774376306446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19.2</v>
      </c>
      <c r="BY47" s="12">
        <f>IF('Données projet'!$A$114&gt;35,BY46+BX47-CG46,IF(A47&lt;'Données projet'!$A$114,$BV$205^A47,IF(A47='Données projet'!$A$114,'Données projet'!$B$114,BY46+BX47-CG46)))</f>
        <v>393.79999999999984</v>
      </c>
      <c r="BZ47" s="13">
        <f>BY47*VLOOKUP('Données projet'!$B$12,Paramètres!$A$1:$I$89,3,0)*VLOOKUP('Données projet'!$B$12,Paramètres!$A$1:$I$89,5,0)</f>
        <v>220.13419999999991</v>
      </c>
      <c r="CA47" s="13">
        <f t="shared" si="39"/>
        <v>54.144052392262886</v>
      </c>
      <c r="CB47" s="20">
        <f t="shared" si="10"/>
        <v>477.701289583191</v>
      </c>
      <c r="CC47" s="59">
        <f t="shared" si="11"/>
        <v>771.03462291652431</v>
      </c>
      <c r="CD47" s="59">
        <f ca="1">AVERAGE(OFFSET($CC$3,0,0,'Données projet'!$E$12+1,1))-AVERAGE(OFFSET($H$3,0,0,'Données projet'!$E$12+1,1))</f>
        <v>326.31232746914907</v>
      </c>
      <c r="CE47" s="59">
        <f t="shared" si="40"/>
        <v>330.17137761430297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3.4618550378853596</v>
      </c>
      <c r="CL47" s="21">
        <f>EXP(-LN(2)/25)*CL46+(1-EXP(-LN(2)/25))/(LN(2)/25)*Calculateur!CG47*Calculateur!CI47*VLOOKUP('Données projet'!$B$12,Paramètres!$A$1:$I$89,3,0)*0.475*44/12</f>
        <v>20.466376096475141</v>
      </c>
      <c r="CM47" s="21">
        <f>EXP(-LN(2)/2)*CM46+(1-EXP(-LN(2)/2))/(LN(2)/2)*CG47*CJ47*VLOOKUP('Données projet'!$B$12,Paramètres!$A$1:$I$89,3,0)*0.475*44/12</f>
        <v>0.25407881539402533</v>
      </c>
      <c r="CN47" s="22">
        <f t="shared" si="12"/>
        <v>24.182309949754526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11.5</v>
      </c>
      <c r="CT47" s="12">
        <f>IF('Données projet'!$A$140&gt;35,CT46+CS47-DB46,IF(A47&lt;'Données projet'!$A$140,$CQ$205^A47,IF(A47='Données projet'!$A$140,'Données projet'!$B$140,CT46+CS47-DB46)))</f>
        <v>280.00000000000011</v>
      </c>
      <c r="CU47" s="17">
        <f>CT47*VLOOKUP('Données projet'!$B$13,Paramètres!$A$1:$I$89,3,0)*VLOOKUP('Données projet'!$B$13,Paramètres!$A$1:$I$89,5,0)</f>
        <v>152.88000000000005</v>
      </c>
      <c r="CV47" s="13">
        <f t="shared" si="41"/>
        <v>39.232349774697852</v>
      </c>
      <c r="CW47" s="20">
        <f t="shared" si="13"/>
        <v>334.59567585759885</v>
      </c>
      <c r="CX47" s="59">
        <f t="shared" si="14"/>
        <v>627.92900919093222</v>
      </c>
      <c r="CY47" s="59">
        <f ca="1">AVERAGE(OFFSET($CX$3,0,0,'Données projet'!$E$13+1,1))-AVERAGE(OFFSET($H$3,0,0,'Données projet'!$E$13+1,1))</f>
        <v>210.04871822652808</v>
      </c>
      <c r="CZ47" s="59">
        <f t="shared" si="42"/>
        <v>250.17540614049324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5.533112914675117</v>
      </c>
      <c r="DG47" s="21">
        <f>EXP(-LN(2)/25)*DG46+(1-EXP(-LN(2)/25))/(LN(2)/25)*Calculateur!DB47*Calculateur!DD47*VLOOKUP('Données projet'!$B$13,Paramètres!$A$1:$I$89,3,0)*0.475*44/12</f>
        <v>18.877633242112342</v>
      </c>
      <c r="DH47" s="21">
        <f>EXP(-LN(2)/2)*DH46+(1-EXP(-LN(2)/2))/(LN(2)/2)*DB47*DE47*VLOOKUP('Données projet'!$B$13,Paramètres!$A$1:$I$89,3,0)*0.475*44/12</f>
        <v>0.1683897557605597</v>
      </c>
      <c r="DI47" s="22">
        <f t="shared" si="15"/>
        <v>24.579135912548022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9.1999999999999993</v>
      </c>
      <c r="DO47" s="12">
        <f>IF('Données projet'!$A$166&gt;35,DO46+DN47-DW46,IF(A47&lt;'Données projet'!$A$166,$DL$205^A47,IF(A47='Données projet'!$A$166,'Données projet'!$B$166,DO46+DN47-DW46)))</f>
        <v>229.7999999999999</v>
      </c>
      <c r="DP47" s="17">
        <f>DO47*VLOOKUP('Données projet'!$B$14,Paramètres!$A$1:$I$89,3,0)*VLOOKUP('Données projet'!$B$14,Paramètres!$A$1:$I$89,5,0)</f>
        <v>168.48935999999992</v>
      </c>
      <c r="DQ47" s="13">
        <f t="shared" si="43"/>
        <v>42.75151491995225</v>
      </c>
      <c r="DR47" s="20">
        <f t="shared" si="16"/>
        <v>367.91119048558335</v>
      </c>
      <c r="DS47" s="59">
        <f t="shared" si="17"/>
        <v>661.2445238189166</v>
      </c>
      <c r="DT47" s="59">
        <f ca="1">AVERAGE(OFFSET($DS$3,0,0,'Données projet'!$E$14+1,1))-AVERAGE(OFFSET($H$3,0,0,'Données projet'!$E$14+1,1))</f>
        <v>234.09142087023463</v>
      </c>
      <c r="DU47" s="59">
        <f t="shared" si="44"/>
        <v>278.990685815294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1.8489453043251352</v>
      </c>
      <c r="EB47" s="21">
        <f>EXP(-LN(2)/25)*EB46+(1-EXP(-LN(2)/25))/(LN(2)/25)*Calculateur!DW47*Calculateur!DY47*VLOOKUP('Données projet'!$B$14,Paramètres!$A$1:$I$89,3,0)*0.475*44/12</f>
        <v>10.406685225095559</v>
      </c>
      <c r="EC47" s="21">
        <f>EXP(-LN(2)/2)*EC46+(1-EXP(-LN(2)/2))/(LN(2)/2)*DW47*DZ47*VLOOKUP('Données projet'!$B$14,Paramètres!$A$1:$I$89,3,0)*0.475*44/12</f>
        <v>0.17307515469969265</v>
      </c>
      <c r="ED47" s="22">
        <f t="shared" si="18"/>
        <v>12.428705684120386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18.8</v>
      </c>
      <c r="N48" s="13">
        <f>IF('Données projet'!$A$36&gt;35,N47+M48-V47,IF(A48&lt;'Données projet'!$A$36,$K$205^A48,IF(A48='Données projet'!$A$36,'Données projet'!$B$36,N47+M48-V47)))</f>
        <v>307.00000000000011</v>
      </c>
      <c r="O48" s="13">
        <f>N48*VLOOKUP('Données projet'!$B$9,Paramètres!$A$1:$I$89,3,0)*VLOOKUP('Données projet'!$B$9,Paramètres!$A$1:$I$89,5,0)</f>
        <v>183.58600000000007</v>
      </c>
      <c r="P48" s="13">
        <f t="shared" si="33"/>
        <v>46.119086835316438</v>
      </c>
      <c r="Q48" s="20">
        <f t="shared" si="53"/>
        <v>400.0696929048429</v>
      </c>
      <c r="R48" s="59">
        <f t="shared" si="0"/>
        <v>693.40302623817615</v>
      </c>
      <c r="S48" s="59">
        <f ca="1">AVERAGE(OFFSET($R$3,0,0,'Données projet'!$E$9+1,1))-AVERAGE(OFFSET($H$3,0,0,'Données projet'!$E$9+1,1))</f>
        <v>259.30247982593914</v>
      </c>
      <c r="T48" s="59">
        <f t="shared" si="34"/>
        <v>275.24740346220779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11.897351675395928</v>
      </c>
      <c r="AB48" s="21">
        <f>EXP(-LN(2)/2)*AB47+(1-EXP(-LN(2)/2))/(LN(2)/2)*V48*Y48*VLOOKUP('Données projet'!$B$9,Paramètres!$A$1:$I$89,3,0)*0.475*44/12</f>
        <v>0.15843871057199485</v>
      </c>
      <c r="AC48" s="22">
        <f t="shared" si="3"/>
        <v>12.055790385967923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23.4</v>
      </c>
      <c r="AI48" s="13">
        <f>IF('Données projet'!$A$62&gt;35,AI47+AH48-AQ47,IF(A48&lt;'Données projet'!$A$62,$AF$205^A48,IF(A48='Données projet'!$A$62,'Données projet'!$B$62,AI47+AH48-AQ47)))</f>
        <v>453.00000000000006</v>
      </c>
      <c r="AJ48" s="13">
        <f>AI48*VLOOKUP('Données projet'!$B$10,Paramètres!$A$1:$I$89,3,0)*VLOOKUP('Données projet'!$B$10,Paramètres!$A$1:$I$89,5,0)</f>
        <v>217.89300000000003</v>
      </c>
      <c r="AK48" s="13">
        <f t="shared" si="35"/>
        <v>53.65668350861781</v>
      </c>
      <c r="AL48" s="20">
        <f t="shared" si="4"/>
        <v>472.94903211084261</v>
      </c>
      <c r="AM48" s="59">
        <f t="shared" si="5"/>
        <v>766.28236544417587</v>
      </c>
      <c r="AN48" s="59">
        <f ca="1">AVERAGE(OFFSET($AM$3,0,0,'Données projet'!$E$10+1,1))-AVERAGE(OFFSET($H$3,0,0,'Données projet'!$E$10+1,1))</f>
        <v>297.21955661193238</v>
      </c>
      <c r="AO48" s="59">
        <f t="shared" si="36"/>
        <v>273.69206144662144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5.0063878950806773</v>
      </c>
      <c r="AV48" s="21">
        <f>EXP(-LN(2)/25)*AV47+(1-EXP(-LN(2)/25))/(LN(2)/25)*Calculateur!AQ48*Calculateur!AS48*VLOOKUP('Données projet'!$B$10,Paramètres!$A$1:$I$89,3,0)*0.475*44/12</f>
        <v>8.8559670320002031</v>
      </c>
      <c r="AW48" s="21">
        <f>EXP(-LN(2)/2)*AW47+(1-EXP(-LN(2)/2))/(LN(2)/2)*AQ48*AT48*VLOOKUP('Données projet'!$B$10,Paramètres!$A$1:$I$89,3,0)*0.475*44/12</f>
        <v>0.11552789824678979</v>
      </c>
      <c r="AX48" s="21">
        <f t="shared" si="6"/>
        <v>13.977882825327669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5.6843418860808015E-14</v>
      </c>
      <c r="BE48" s="13">
        <f>BD48*VLOOKUP('Données projet'!$B$11,Paramètres!$A$1:$I$89,3,0)*VLOOKUP('Données projet'!$B$11,Paramètres!$A$1:$I$89,5,0)</f>
        <v>3.6357050703372803E-14</v>
      </c>
      <c r="BF48" s="13">
        <f t="shared" si="37"/>
        <v>6.1445232567661395E-13</v>
      </c>
      <c r="BG48" s="20">
        <f t="shared" si="7"/>
        <v>1.1334929971951436E-12</v>
      </c>
      <c r="BH48" s="59">
        <f t="shared" si="8"/>
        <v>293.33333333333445</v>
      </c>
      <c r="BI48" s="59">
        <f ca="1">AVERAGE(OFFSET($BH$3,0,0,'Données projet'!$E$11+1,1))-AVERAGE(OFFSET($H$3,0,0,'Données projet'!$E$11+1,1))</f>
        <v>176.90404027101607</v>
      </c>
      <c r="BJ48" s="59">
        <f t="shared" si="38"/>
        <v>295.34177980841878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1.3179951378090775</v>
      </c>
      <c r="BQ48" s="21">
        <f>EXP(-LN(2)/25)*BQ47+(1-EXP(-LN(2)/25))/(LN(2)/25)*Calculateur!BL48*Calculateur!BN48*VLOOKUP('Données projet'!$B$11,Paramètres!$A$1:$I$89,3,0)*0.475*44/12</f>
        <v>5.4367102456670233</v>
      </c>
      <c r="BR48" s="21">
        <f>EXP(-LN(2)/2)*BR47+(1-EXP(-LN(2)/2))/(LN(2)/2)*BL48*BO48*VLOOKUP('Données projet'!$B$11,Paramètres!$A$1:$I$89,3,0)*0.475*44/12</f>
        <v>1.8618175508227313E-4</v>
      </c>
      <c r="BS48" s="22">
        <f t="shared" si="9"/>
        <v>6.7548915652311834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19.2</v>
      </c>
      <c r="BY48" s="12">
        <f>IF('Données projet'!$A$114&gt;35,BY47+BX48-CG47,IF(A48&lt;'Données projet'!$A$114,$BV$205^A48,IF(A48='Données projet'!$A$114,'Données projet'!$B$114,BY47+BX48-CG47)))</f>
        <v>412.99999999999983</v>
      </c>
      <c r="BZ48" s="13">
        <f>BY48*VLOOKUP('Données projet'!$B$12,Paramètres!$A$1:$I$89,3,0)*VLOOKUP('Données projet'!$B$12,Paramètres!$A$1:$I$89,5,0)</f>
        <v>230.8669999999999</v>
      </c>
      <c r="CA48" s="13">
        <f t="shared" si="39"/>
        <v>56.470106131334084</v>
      </c>
      <c r="CB48" s="20">
        <f t="shared" si="10"/>
        <v>500.44545984540667</v>
      </c>
      <c r="CC48" s="59">
        <f t="shared" si="11"/>
        <v>793.77879317873999</v>
      </c>
      <c r="CD48" s="59">
        <f ca="1">AVERAGE(OFFSET($CC$3,0,0,'Données projet'!$E$12+1,1))-AVERAGE(OFFSET($H$3,0,0,'Données projet'!$E$12+1,1))</f>
        <v>326.31232746914907</v>
      </c>
      <c r="CE48" s="59">
        <f t="shared" si="40"/>
        <v>330.17137761430297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3.3939701721155053</v>
      </c>
      <c r="CL48" s="21">
        <f>EXP(-LN(2)/25)*CL47+(1-EXP(-LN(2)/25))/(LN(2)/25)*Calculateur!CG48*Calculateur!CI48*VLOOKUP('Données projet'!$B$12,Paramètres!$A$1:$I$89,3,0)*0.475*44/12</f>
        <v>19.906721965837086</v>
      </c>
      <c r="CM48" s="21">
        <f>EXP(-LN(2)/2)*CM47+(1-EXP(-LN(2)/2))/(LN(2)/2)*CG48*CJ48*VLOOKUP('Données projet'!$B$12,Paramètres!$A$1:$I$89,3,0)*0.475*44/12</f>
        <v>0.17966085332096027</v>
      </c>
      <c r="CN48" s="22">
        <f t="shared" si="12"/>
        <v>23.480352991273552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11.5</v>
      </c>
      <c r="CT48" s="12">
        <f>IF('Données projet'!$A$140&gt;35,CT47+CS48-DB47,IF(A48&lt;'Données projet'!$A$140,$CQ$205^A48,IF(A48='Données projet'!$A$140,'Données projet'!$B$140,CT47+CS48-DB47)))</f>
        <v>291.50000000000011</v>
      </c>
      <c r="CU48" s="17">
        <f>CT48*VLOOKUP('Données projet'!$B$13,Paramètres!$A$1:$I$89,3,0)*VLOOKUP('Données projet'!$B$13,Paramètres!$A$1:$I$89,5,0)</f>
        <v>159.15900000000008</v>
      </c>
      <c r="CV48" s="13">
        <f t="shared" si="41"/>
        <v>40.65276736661405</v>
      </c>
      <c r="CW48" s="20">
        <f t="shared" si="13"/>
        <v>348.00549483018625</v>
      </c>
      <c r="CX48" s="59">
        <f t="shared" si="14"/>
        <v>641.33882816351957</v>
      </c>
      <c r="CY48" s="59">
        <f ca="1">AVERAGE(OFFSET($CX$3,0,0,'Données projet'!$E$13+1,1))-AVERAGE(OFFSET($H$3,0,0,'Données projet'!$E$13+1,1))</f>
        <v>210.04871822652808</v>
      </c>
      <c r="CZ48" s="59">
        <f t="shared" si="42"/>
        <v>250.17540614049324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5.4246119452839761</v>
      </c>
      <c r="DG48" s="21">
        <f>EXP(-LN(2)/25)*DG47+(1-EXP(-LN(2)/25))/(LN(2)/25)*Calculateur!DB48*Calculateur!DD48*VLOOKUP('Données projet'!$B$13,Paramètres!$A$1:$I$89,3,0)*0.475*44/12</f>
        <v>18.361423368375192</v>
      </c>
      <c r="DH48" s="21">
        <f>EXP(-LN(2)/2)*DH47+(1-EXP(-LN(2)/2))/(LN(2)/2)*DB48*DE48*VLOOKUP('Données projet'!$B$13,Paramètres!$A$1:$I$89,3,0)*0.475*44/12</f>
        <v>0.11906953818063827</v>
      </c>
      <c r="DI48" s="22">
        <f t="shared" si="15"/>
        <v>23.905104851839809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9.1999999999999993</v>
      </c>
      <c r="DO48" s="12">
        <f>IF('Données projet'!$A$166&gt;35,DO47+DN48-DW47,IF(A48&lt;'Données projet'!$A$166,$DL$205^A48,IF(A48='Données projet'!$A$166,'Données projet'!$B$166,DO47+DN48-DW47)))</f>
        <v>238.99999999999989</v>
      </c>
      <c r="DP48" s="17">
        <f>DO48*VLOOKUP('Données projet'!$B$14,Paramètres!$A$1:$I$89,3,0)*VLOOKUP('Données projet'!$B$14,Paramètres!$A$1:$I$89,5,0)</f>
        <v>175.23479999999992</v>
      </c>
      <c r="DQ48" s="13">
        <f t="shared" si="43"/>
        <v>44.260367185241478</v>
      </c>
      <c r="DR48" s="20">
        <f t="shared" si="16"/>
        <v>382.28741618096211</v>
      </c>
      <c r="DS48" s="59">
        <f t="shared" si="17"/>
        <v>675.62074951429543</v>
      </c>
      <c r="DT48" s="59">
        <f ca="1">AVERAGE(OFFSET($DS$3,0,0,'Données projet'!$E$14+1,1))-AVERAGE(OFFSET($H$3,0,0,'Données projet'!$E$14+1,1))</f>
        <v>234.09142087023463</v>
      </c>
      <c r="DU48" s="59">
        <f t="shared" si="44"/>
        <v>278.990685815294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1.8126886146525993</v>
      </c>
      <c r="EB48" s="21">
        <f>EXP(-LN(2)/25)*EB47+(1-EXP(-LN(2)/25))/(LN(2)/25)*Calculateur!DW48*Calculateur!DY48*VLOOKUP('Données projet'!$B$14,Paramètres!$A$1:$I$89,3,0)*0.475*44/12</f>
        <v>10.12211387035153</v>
      </c>
      <c r="EC48" s="21">
        <f>EXP(-LN(2)/2)*EC47+(1-EXP(-LN(2)/2))/(LN(2)/2)*DW48*DZ48*VLOOKUP('Données projet'!$B$14,Paramètres!$A$1:$I$89,3,0)*0.475*44/12</f>
        <v>0.12238261554306344</v>
      </c>
      <c r="ED48" s="22">
        <f t="shared" si="18"/>
        <v>12.057185100547192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18.8</v>
      </c>
      <c r="N49" s="13">
        <f>IF('Données projet'!$A$36&gt;35,N48+M49-V48,IF(A49&lt;'Données projet'!$A$36,$K$205^A49,IF(A49='Données projet'!$A$36,'Données projet'!$B$36,N48+M49-V48)))</f>
        <v>325.80000000000013</v>
      </c>
      <c r="O49" s="13">
        <f>N49*VLOOKUP('Données projet'!$B$9,Paramètres!$A$1:$I$89,3,0)*VLOOKUP('Données projet'!$B$9,Paramètres!$A$1:$I$89,5,0)</f>
        <v>194.82840000000007</v>
      </c>
      <c r="P49" s="13">
        <f t="shared" si="33"/>
        <v>48.605879434898576</v>
      </c>
      <c r="Q49" s="20">
        <f t="shared" si="53"/>
        <v>423.98137001578181</v>
      </c>
      <c r="R49" s="59">
        <f t="shared" si="0"/>
        <v>717.31470334911512</v>
      </c>
      <c r="S49" s="59">
        <f ca="1">AVERAGE(OFFSET($R$3,0,0,'Données projet'!$E$9+1,1))-AVERAGE(OFFSET($H$3,0,0,'Données projet'!$E$9+1,1))</f>
        <v>259.30247982593914</v>
      </c>
      <c r="T49" s="59">
        <f t="shared" si="34"/>
        <v>275.24740346220779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11.572017968177693</v>
      </c>
      <c r="AB49" s="21">
        <f>EXP(-LN(2)/2)*AB48+(1-EXP(-LN(2)/2))/(LN(2)/2)*V49*Y49*VLOOKUP('Données projet'!$B$9,Paramètres!$A$1:$I$89,3,0)*0.475*44/12</f>
        <v>0.1120330866479103</v>
      </c>
      <c r="AC49" s="22">
        <f t="shared" si="3"/>
        <v>11.684051054825604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23.4</v>
      </c>
      <c r="AI49" s="13">
        <f>IF('Données projet'!$A$62&gt;35,AI48+AH49-AQ48,IF(A49&lt;'Données projet'!$A$62,$AF$205^A49,IF(A49='Données projet'!$A$62,'Données projet'!$B$62,AI48+AH49-AQ48)))</f>
        <v>476.40000000000003</v>
      </c>
      <c r="AJ49" s="13">
        <f>AI49*VLOOKUP('Données projet'!$B$10,Paramètres!$A$1:$I$89,3,0)*VLOOKUP('Données projet'!$B$10,Paramètres!$A$1:$I$89,5,0)</f>
        <v>229.14840000000001</v>
      </c>
      <c r="AK49" s="13">
        <f t="shared" si="35"/>
        <v>56.098505966182572</v>
      </c>
      <c r="AL49" s="20">
        <f t="shared" si="4"/>
        <v>496.80502789110125</v>
      </c>
      <c r="AM49" s="59">
        <f t="shared" si="5"/>
        <v>790.13836122443456</v>
      </c>
      <c r="AN49" s="59">
        <f ca="1">AVERAGE(OFFSET($AM$3,0,0,'Données projet'!$E$10+1,1))-AVERAGE(OFFSET($H$3,0,0,'Données projet'!$E$10+1,1))</f>
        <v>297.21955661193238</v>
      </c>
      <c r="AO49" s="59">
        <f t="shared" si="36"/>
        <v>273.69206144662144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4.9082156820532434</v>
      </c>
      <c r="AV49" s="21">
        <f>EXP(-LN(2)/25)*AV48+(1-EXP(-LN(2)/25))/(LN(2)/25)*Calculateur!AQ49*Calculateur!AS49*VLOOKUP('Données projet'!$B$10,Paramètres!$A$1:$I$89,3,0)*0.475*44/12</f>
        <v>8.6138001477950912</v>
      </c>
      <c r="AW49" s="21">
        <f>EXP(-LN(2)/2)*AW48+(1-EXP(-LN(2)/2))/(LN(2)/2)*AQ49*AT49*VLOOKUP('Données projet'!$B$10,Paramètres!$A$1:$I$89,3,0)*0.475*44/12</f>
        <v>8.1690560266534512E-2</v>
      </c>
      <c r="AX49" s="21">
        <f t="shared" si="6"/>
        <v>13.603706390114869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5.6843418860808015E-14</v>
      </c>
      <c r="BE49" s="13">
        <f>BD49*VLOOKUP('Données projet'!$B$11,Paramètres!$A$1:$I$89,3,0)*VLOOKUP('Données projet'!$B$11,Paramètres!$A$1:$I$89,5,0)</f>
        <v>3.6357050703372803E-14</v>
      </c>
      <c r="BF49" s="13">
        <f t="shared" si="37"/>
        <v>6.1445232567661395E-13</v>
      </c>
      <c r="BG49" s="20">
        <f t="shared" si="7"/>
        <v>1.1334929971951436E-12</v>
      </c>
      <c r="BH49" s="59">
        <f t="shared" si="8"/>
        <v>293.33333333333445</v>
      </c>
      <c r="BI49" s="59">
        <f ca="1">AVERAGE(OFFSET($BH$3,0,0,'Données projet'!$E$11+1,1))-AVERAGE(OFFSET($H$3,0,0,'Données projet'!$E$11+1,1))</f>
        <v>176.90404027101607</v>
      </c>
      <c r="BJ49" s="59">
        <f t="shared" si="38"/>
        <v>295.34177980841878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1.2921500570542972</v>
      </c>
      <c r="BQ49" s="21">
        <f>EXP(-LN(2)/25)*BQ48+(1-EXP(-LN(2)/25))/(LN(2)/25)*Calculateur!BL49*Calculateur!BN49*VLOOKUP('Données projet'!$B$11,Paramètres!$A$1:$I$89,3,0)*0.475*44/12</f>
        <v>5.2880431180950929</v>
      </c>
      <c r="BR49" s="21">
        <f>EXP(-LN(2)/2)*BR48+(1-EXP(-LN(2)/2))/(LN(2)/2)*BL49*BO49*VLOOKUP('Données projet'!$B$11,Paramètres!$A$1:$I$89,3,0)*0.475*44/12</f>
        <v>1.3165038155188828E-4</v>
      </c>
      <c r="BS49" s="22">
        <f t="shared" si="9"/>
        <v>6.5803248255309414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19.2</v>
      </c>
      <c r="BY49" s="12">
        <f>IF('Données projet'!$A$114&gt;35,BY48+BX49-CG48,IF(A49&lt;'Données projet'!$A$114,$BV$205^A49,IF(A49='Données projet'!$A$114,'Données projet'!$B$114,BY48+BX49-CG48)))</f>
        <v>432.19999999999982</v>
      </c>
      <c r="BZ49" s="13">
        <f>BY49*VLOOKUP('Données projet'!$B$12,Paramètres!$A$1:$I$89,3,0)*VLOOKUP('Données projet'!$B$12,Paramètres!$A$1:$I$89,5,0)</f>
        <v>241.5997999999999</v>
      </c>
      <c r="CA49" s="13">
        <f t="shared" si="39"/>
        <v>58.783602040793284</v>
      </c>
      <c r="CB49" s="20">
        <f t="shared" si="10"/>
        <v>523.16775855438141</v>
      </c>
      <c r="CC49" s="59">
        <f t="shared" si="11"/>
        <v>816.50109188771467</v>
      </c>
      <c r="CD49" s="59">
        <f ca="1">AVERAGE(OFFSET($CC$3,0,0,'Données projet'!$E$12+1,1))-AVERAGE(OFFSET($H$3,0,0,'Données projet'!$E$12+1,1))</f>
        <v>326.31232746914907</v>
      </c>
      <c r="CE49" s="59">
        <f t="shared" si="40"/>
        <v>330.17137761430297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3.3274164871577181</v>
      </c>
      <c r="CL49" s="21">
        <f>EXP(-LN(2)/25)*CL48+(1-EXP(-LN(2)/25))/(LN(2)/25)*Calculateur!CG49*Calculateur!CI49*VLOOKUP('Données projet'!$B$12,Paramètres!$A$1:$I$89,3,0)*0.475*44/12</f>
        <v>19.362371606832259</v>
      </c>
      <c r="CM49" s="21">
        <f>EXP(-LN(2)/2)*CM48+(1-EXP(-LN(2)/2))/(LN(2)/2)*CG49*CJ49*VLOOKUP('Données projet'!$B$12,Paramètres!$A$1:$I$89,3,0)*0.475*44/12</f>
        <v>0.12703940769701266</v>
      </c>
      <c r="CN49" s="22">
        <f t="shared" si="12"/>
        <v>22.816827501686987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11.5</v>
      </c>
      <c r="CT49" s="12">
        <f>IF('Données projet'!$A$140&gt;35,CT48+CS49-DB48,IF(A49&lt;'Données projet'!$A$140,$CQ$205^A49,IF(A49='Données projet'!$A$140,'Données projet'!$B$140,CT48+CS49-DB48)))</f>
        <v>303.00000000000011</v>
      </c>
      <c r="CU49" s="17">
        <f>CT49*VLOOKUP('Données projet'!$B$13,Paramètres!$A$1:$I$89,3,0)*VLOOKUP('Données projet'!$B$13,Paramètres!$A$1:$I$89,5,0)</f>
        <v>165.43800000000007</v>
      </c>
      <c r="CV49" s="13">
        <f t="shared" si="41"/>
        <v>42.066675415215805</v>
      </c>
      <c r="CW49" s="20">
        <f t="shared" si="13"/>
        <v>361.40397634816759</v>
      </c>
      <c r="CX49" s="59">
        <f t="shared" si="14"/>
        <v>654.73730968150085</v>
      </c>
      <c r="CY49" s="59">
        <f ca="1">AVERAGE(OFFSET($CX$3,0,0,'Données projet'!$E$13+1,1))-AVERAGE(OFFSET($H$3,0,0,'Données projet'!$E$13+1,1))</f>
        <v>210.04871822652808</v>
      </c>
      <c r="CZ49" s="59">
        <f t="shared" si="42"/>
        <v>250.17540614049324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5.3182386137235387</v>
      </c>
      <c r="DG49" s="21">
        <f>EXP(-LN(2)/25)*DG48+(1-EXP(-LN(2)/25))/(LN(2)/25)*Calculateur!DB49*Calculateur!DD49*VLOOKUP('Données projet'!$B$13,Paramètres!$A$1:$I$89,3,0)*0.475*44/12</f>
        <v>17.859329280781683</v>
      </c>
      <c r="DH49" s="21">
        <f>EXP(-LN(2)/2)*DH48+(1-EXP(-LN(2)/2))/(LN(2)/2)*DB49*DE49*VLOOKUP('Données projet'!$B$13,Paramètres!$A$1:$I$89,3,0)*0.475*44/12</f>
        <v>8.4194877880279864E-2</v>
      </c>
      <c r="DI49" s="22">
        <f t="shared" si="15"/>
        <v>23.261762772385502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9.1999999999999993</v>
      </c>
      <c r="DO49" s="12">
        <f>IF('Données projet'!$A$166&gt;35,DO48+DN49-DW48,IF(A49&lt;'Données projet'!$A$166,$DL$205^A49,IF(A49='Données projet'!$A$166,'Données projet'!$B$166,DO48+DN49-DW48)))</f>
        <v>248.19999999999987</v>
      </c>
      <c r="DP49" s="17">
        <f>DO49*VLOOKUP('Données projet'!$B$14,Paramètres!$A$1:$I$89,3,0)*VLOOKUP('Données projet'!$B$14,Paramètres!$A$1:$I$89,5,0)</f>
        <v>181.98023999999992</v>
      </c>
      <c r="DQ49" s="13">
        <f t="shared" si="43"/>
        <v>45.762472145848697</v>
      </c>
      <c r="DR49" s="20">
        <f t="shared" si="16"/>
        <v>396.65189032068633</v>
      </c>
      <c r="DS49" s="59">
        <f t="shared" si="17"/>
        <v>689.98522365401959</v>
      </c>
      <c r="DT49" s="59">
        <f ca="1">AVERAGE(OFFSET($DS$3,0,0,'Données projet'!$E$14+1,1))-AVERAGE(OFFSET($H$3,0,0,'Données projet'!$E$14+1,1))</f>
        <v>234.09142087023463</v>
      </c>
      <c r="DU49" s="59">
        <f t="shared" si="44"/>
        <v>278.990685815294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1.7771428965501448</v>
      </c>
      <c r="EB49" s="21">
        <f>EXP(-LN(2)/25)*EB48+(1-EXP(-LN(2)/25))/(LN(2)/25)*Calculateur!DW49*Calculateur!DY49*VLOOKUP('Données projet'!$B$14,Paramètres!$A$1:$I$89,3,0)*0.475*44/12</f>
        <v>9.8453241342679334</v>
      </c>
      <c r="EC49" s="21">
        <f>EXP(-LN(2)/2)*EC48+(1-EXP(-LN(2)/2))/(LN(2)/2)*DW49*DZ49*VLOOKUP('Données projet'!$B$14,Paramètres!$A$1:$I$89,3,0)*0.475*44/12</f>
        <v>8.6537577349846337E-2</v>
      </c>
      <c r="ED49" s="22">
        <f t="shared" si="18"/>
        <v>11.709004608167925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18.8</v>
      </c>
      <c r="N50" s="13">
        <f>IF('Données projet'!$A$36&gt;35,N49+M50-V49,IF(A50&lt;'Données projet'!$A$36,$K$205^A50,IF(A50='Données projet'!$A$36,'Données projet'!$B$36,N49+M50-V49)))</f>
        <v>344.60000000000014</v>
      </c>
      <c r="O50" s="13">
        <f>N50*VLOOKUP('Données projet'!$B$9,Paramètres!$A$1:$I$89,3,0)*VLOOKUP('Données projet'!$B$9,Paramètres!$A$1:$I$89,5,0)</f>
        <v>206.07080000000011</v>
      </c>
      <c r="P50" s="13">
        <f t="shared" si="33"/>
        <v>51.076015061754575</v>
      </c>
      <c r="Q50" s="20">
        <f t="shared" si="53"/>
        <v>447.86403623255609</v>
      </c>
      <c r="R50" s="59">
        <f t="shared" si="0"/>
        <v>741.1973695658894</v>
      </c>
      <c r="S50" s="59">
        <f ca="1">AVERAGE(OFFSET($R$3,0,0,'Données projet'!$E$9+1,1))-AVERAGE(OFFSET($H$3,0,0,'Données projet'!$E$9+1,1))</f>
        <v>259.30247982593914</v>
      </c>
      <c r="T50" s="59">
        <f t="shared" si="34"/>
        <v>275.24740346220779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11.255580528291897</v>
      </c>
      <c r="AB50" s="21">
        <f>EXP(-LN(2)/2)*AB49+(1-EXP(-LN(2)/2))/(LN(2)/2)*V50*Y50*VLOOKUP('Données projet'!$B$9,Paramètres!$A$1:$I$89,3,0)*0.475*44/12</f>
        <v>7.9219355285997425E-2</v>
      </c>
      <c r="AC50" s="22">
        <f t="shared" si="3"/>
        <v>11.334799883577896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23.4</v>
      </c>
      <c r="AI50" s="13">
        <f>IF('Données projet'!$A$62&gt;35,AI49+AH50-AQ49,IF(A50&lt;'Données projet'!$A$62,$AF$205^A50,IF(A50='Données projet'!$A$62,'Données projet'!$B$62,AI49+AH50-AQ49)))</f>
        <v>499.8</v>
      </c>
      <c r="AJ50" s="13">
        <f>AI50*VLOOKUP('Données projet'!$B$10,Paramètres!$A$1:$I$89,3,0)*VLOOKUP('Données projet'!$B$10,Paramètres!$A$1:$I$89,5,0)</f>
        <v>240.40380000000002</v>
      </c>
      <c r="AK50" s="13">
        <f t="shared" si="35"/>
        <v>58.526401517229864</v>
      </c>
      <c r="AL50" s="20">
        <f t="shared" si="4"/>
        <v>520.63676764250874</v>
      </c>
      <c r="AM50" s="59">
        <f t="shared" si="5"/>
        <v>813.97010097584212</v>
      </c>
      <c r="AN50" s="59">
        <f ca="1">AVERAGE(OFFSET($AM$3,0,0,'Données projet'!$E$10+1,1))-AVERAGE(OFFSET($H$3,0,0,'Données projet'!$E$10+1,1))</f>
        <v>297.21955661193238</v>
      </c>
      <c r="AO50" s="59">
        <f t="shared" si="36"/>
        <v>273.69206144662144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4.8119685662441407</v>
      </c>
      <c r="AV50" s="21">
        <f>EXP(-LN(2)/25)*AV49+(1-EXP(-LN(2)/25))/(LN(2)/25)*Calculateur!AQ50*Calculateur!AS50*VLOOKUP('Données projet'!$B$10,Paramètres!$A$1:$I$89,3,0)*0.475*44/12</f>
        <v>8.3782553297735713</v>
      </c>
      <c r="AW50" s="21">
        <f>EXP(-LN(2)/2)*AW49+(1-EXP(-LN(2)/2))/(LN(2)/2)*AQ50*AT50*VLOOKUP('Données projet'!$B$10,Paramètres!$A$1:$I$89,3,0)*0.475*44/12</f>
        <v>5.7763949123394893E-2</v>
      </c>
      <c r="AX50" s="21">
        <f t="shared" si="6"/>
        <v>13.247987845141107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5.6843418860808015E-14</v>
      </c>
      <c r="BE50" s="13">
        <f>BD50*VLOOKUP('Données projet'!$B$11,Paramètres!$A$1:$I$89,3,0)*VLOOKUP('Données projet'!$B$11,Paramètres!$A$1:$I$89,5,0)</f>
        <v>3.6357050703372803E-14</v>
      </c>
      <c r="BF50" s="13">
        <f t="shared" si="37"/>
        <v>6.1445232567661395E-13</v>
      </c>
      <c r="BG50" s="20">
        <f t="shared" si="7"/>
        <v>1.1334929971951436E-12</v>
      </c>
      <c r="BH50" s="59">
        <f t="shared" si="8"/>
        <v>293.33333333333445</v>
      </c>
      <c r="BI50" s="59">
        <f ca="1">AVERAGE(OFFSET($BH$3,0,0,'Données projet'!$E$11+1,1))-AVERAGE(OFFSET($H$3,0,0,'Données projet'!$E$11+1,1))</f>
        <v>176.90404027101607</v>
      </c>
      <c r="BJ50" s="59">
        <f t="shared" si="38"/>
        <v>295.34177980841878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1.2668117825691756</v>
      </c>
      <c r="BQ50" s="21">
        <f>EXP(-LN(2)/25)*BQ49+(1-EXP(-LN(2)/25))/(LN(2)/25)*Calculateur!BL50*Calculateur!BN50*VLOOKUP('Données projet'!$B$11,Paramètres!$A$1:$I$89,3,0)*0.475*44/12</f>
        <v>5.1434413009446809</v>
      </c>
      <c r="BR50" s="21">
        <f>EXP(-LN(2)/2)*BR49+(1-EXP(-LN(2)/2))/(LN(2)/2)*BL50*BO50*VLOOKUP('Données projet'!$B$11,Paramètres!$A$1:$I$89,3,0)*0.475*44/12</f>
        <v>9.3090877541136564E-5</v>
      </c>
      <c r="BS50" s="22">
        <f t="shared" si="9"/>
        <v>6.410346174391397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19.2</v>
      </c>
      <c r="BY50" s="12">
        <f>IF('Données projet'!$A$114&gt;35,BY49+BX50-CG49,IF(A50&lt;'Données projet'!$A$114,$BV$205^A50,IF(A50='Données projet'!$A$114,'Données projet'!$B$114,BY49+BX50-CG49)))</f>
        <v>451.39999999999981</v>
      </c>
      <c r="BZ50" s="13">
        <f>BY50*VLOOKUP('Données projet'!$B$12,Paramètres!$A$1:$I$89,3,0)*VLOOKUP('Données projet'!$B$12,Paramètres!$A$1:$I$89,5,0)</f>
        <v>252.3325999999999</v>
      </c>
      <c r="CA50" s="13">
        <f t="shared" si="39"/>
        <v>61.08516173401626</v>
      </c>
      <c r="CB50" s="20">
        <f t="shared" si="10"/>
        <v>545.86926835341148</v>
      </c>
      <c r="CC50" s="59">
        <f t="shared" si="11"/>
        <v>839.20260168674486</v>
      </c>
      <c r="CD50" s="59">
        <f ca="1">AVERAGE(OFFSET($CC$3,0,0,'Données projet'!$E$12+1,1))-AVERAGE(OFFSET($H$3,0,0,'Données projet'!$E$12+1,1))</f>
        <v>326.31232746914907</v>
      </c>
      <c r="CE50" s="59">
        <f t="shared" si="40"/>
        <v>330.17137761430297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3.2621678793682136</v>
      </c>
      <c r="CL50" s="21">
        <f>EXP(-LN(2)/25)*CL49+(1-EXP(-LN(2)/25))/(LN(2)/25)*Calculateur!CG50*Calculateur!CI50*VLOOKUP('Données projet'!$B$12,Paramètres!$A$1:$I$89,3,0)*0.475*44/12</f>
        <v>18.832906537020563</v>
      </c>
      <c r="CM50" s="21">
        <f>EXP(-LN(2)/2)*CM49+(1-EXP(-LN(2)/2))/(LN(2)/2)*CG50*CJ50*VLOOKUP('Données projet'!$B$12,Paramètres!$A$1:$I$89,3,0)*0.475*44/12</f>
        <v>8.9830426660480134E-2</v>
      </c>
      <c r="CN50" s="22">
        <f t="shared" si="12"/>
        <v>22.184904843049257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11.5</v>
      </c>
      <c r="CT50" s="12">
        <f>IF('Données projet'!$A$140&gt;35,CT49+CS50-DB49,IF(A50&lt;'Données projet'!$A$140,$CQ$205^A50,IF(A50='Données projet'!$A$140,'Données projet'!$B$140,CT49+CS50-DB49)))</f>
        <v>314.50000000000011</v>
      </c>
      <c r="CU50" s="17">
        <f>CT50*VLOOKUP('Données projet'!$B$13,Paramètres!$A$1:$I$89,3,0)*VLOOKUP('Données projet'!$B$13,Paramètres!$A$1:$I$89,5,0)</f>
        <v>171.71700000000004</v>
      </c>
      <c r="CV50" s="13">
        <f t="shared" si="41"/>
        <v>43.474349266591211</v>
      </c>
      <c r="CW50" s="20">
        <f t="shared" si="13"/>
        <v>374.79159997264645</v>
      </c>
      <c r="CX50" s="59">
        <f t="shared" si="14"/>
        <v>668.12493330597977</v>
      </c>
      <c r="CY50" s="59">
        <f ca="1">AVERAGE(OFFSET($CX$3,0,0,'Données projet'!$E$13+1,1))-AVERAGE(OFFSET($H$3,0,0,'Données projet'!$E$13+1,1))</f>
        <v>210.04871822652808</v>
      </c>
      <c r="CZ50" s="59">
        <f t="shared" si="42"/>
        <v>250.17540614049324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5.2139511983136755</v>
      </c>
      <c r="DG50" s="21">
        <f>EXP(-LN(2)/25)*DG49+(1-EXP(-LN(2)/25))/(LN(2)/25)*Calculateur!DB50*Calculateur!DD50*VLOOKUP('Données projet'!$B$13,Paramètres!$A$1:$I$89,3,0)*0.475*44/12</f>
        <v>17.370964982417398</v>
      </c>
      <c r="DH50" s="21">
        <f>EXP(-LN(2)/2)*DH49+(1-EXP(-LN(2)/2))/(LN(2)/2)*DB50*DE50*VLOOKUP('Données projet'!$B$13,Paramètres!$A$1:$I$89,3,0)*0.475*44/12</f>
        <v>5.9534769090319149E-2</v>
      </c>
      <c r="DI50" s="22">
        <f t="shared" si="15"/>
        <v>22.644450949821394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9.1999999999999993</v>
      </c>
      <c r="DO50" s="12">
        <f>IF('Données projet'!$A$166&gt;35,DO49+DN50-DW49,IF(A50&lt;'Données projet'!$A$166,$DL$205^A50,IF(A50='Données projet'!$A$166,'Données projet'!$B$166,DO49+DN50-DW49)))</f>
        <v>257.39999999999986</v>
      </c>
      <c r="DP50" s="17">
        <f>DO50*VLOOKUP('Données projet'!$B$14,Paramètres!$A$1:$I$89,3,0)*VLOOKUP('Données projet'!$B$14,Paramètres!$A$1:$I$89,5,0)</f>
        <v>188.7256799999999</v>
      </c>
      <c r="DQ50" s="13">
        <f t="shared" si="43"/>
        <v>47.258108543543521</v>
      </c>
      <c r="DR50" s="20">
        <f t="shared" si="16"/>
        <v>411.00509838000477</v>
      </c>
      <c r="DS50" s="59">
        <f t="shared" si="17"/>
        <v>704.33843171333808</v>
      </c>
      <c r="DT50" s="59">
        <f ca="1">AVERAGE(OFFSET($DS$3,0,0,'Données projet'!$E$14+1,1))-AVERAGE(OFFSET($H$3,0,0,'Données projet'!$E$14+1,1))</f>
        <v>234.09142087023463</v>
      </c>
      <c r="DU50" s="59">
        <f t="shared" si="44"/>
        <v>278.990685815294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1.7422942082989321</v>
      </c>
      <c r="EB50" s="21">
        <f>EXP(-LN(2)/25)*EB49+(1-EXP(-LN(2)/25))/(LN(2)/25)*Calculateur!DW50*Calculateur!DY50*VLOOKUP('Données projet'!$B$14,Paramètres!$A$1:$I$89,3,0)*0.475*44/12</f>
        <v>9.5761032280732827</v>
      </c>
      <c r="EC50" s="21">
        <f>EXP(-LN(2)/2)*EC49+(1-EXP(-LN(2)/2))/(LN(2)/2)*DW50*DZ50*VLOOKUP('Données projet'!$B$14,Paramètres!$A$1:$I$89,3,0)*0.475*44/12</f>
        <v>6.1191307771531728E-2</v>
      </c>
      <c r="ED50" s="22">
        <f t="shared" si="18"/>
        <v>11.379588744143748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18.8</v>
      </c>
      <c r="N51" s="13">
        <f>IF('Données projet'!$A$36&gt;35,N50+M51-V50,IF(A51&lt;'Données projet'!$A$36,$K$205^A51,IF(A51='Données projet'!$A$36,'Données projet'!$B$36,N50+M51-V50)))</f>
        <v>363.40000000000015</v>
      </c>
      <c r="O51" s="13">
        <f>N51*VLOOKUP('Données projet'!$B$9,Paramètres!$A$1:$I$89,3,0)*VLOOKUP('Données projet'!$B$9,Paramètres!$A$1:$I$89,5,0)</f>
        <v>217.31320000000011</v>
      </c>
      <c r="P51" s="13">
        <f t="shared" si="33"/>
        <v>53.530506047441797</v>
      </c>
      <c r="Q51" s="20">
        <f t="shared" si="53"/>
        <v>471.71945469929466</v>
      </c>
      <c r="R51" s="59">
        <f t="shared" si="0"/>
        <v>765.05278803262797</v>
      </c>
      <c r="S51" s="59">
        <f ca="1">AVERAGE(OFFSET($R$3,0,0,'Données projet'!$E$9+1,1))-AVERAGE(OFFSET($H$3,0,0,'Données projet'!$E$9+1,1))</f>
        <v>259.30247982593914</v>
      </c>
      <c r="T51" s="59">
        <f t="shared" si="34"/>
        <v>275.24740346220779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10.947796086840501</v>
      </c>
      <c r="AB51" s="21">
        <f>EXP(-LN(2)/2)*AB50+(1-EXP(-LN(2)/2))/(LN(2)/2)*V51*Y51*VLOOKUP('Données projet'!$B$9,Paramètres!$A$1:$I$89,3,0)*0.475*44/12</f>
        <v>5.6016543323955149E-2</v>
      </c>
      <c r="AC51" s="22">
        <f t="shared" si="3"/>
        <v>11.003812630164456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23.4</v>
      </c>
      <c r="AI51" s="13">
        <f>IF('Données projet'!$A$62&gt;35,AI50+AH51-AQ50,IF(A51&lt;'Données projet'!$A$62,$AF$205^A51,IF(A51='Données projet'!$A$62,'Données projet'!$B$62,AI50+AH51-AQ50)))</f>
        <v>523.20000000000005</v>
      </c>
      <c r="AJ51" s="13">
        <f>AI51*VLOOKUP('Données projet'!$B$10,Paramètres!$A$1:$I$89,3,0)*VLOOKUP('Données projet'!$B$10,Paramètres!$A$1:$I$89,5,0)</f>
        <v>251.65920000000003</v>
      </c>
      <c r="AK51" s="13">
        <f t="shared" si="35"/>
        <v>60.941096662073818</v>
      </c>
      <c r="AL51" s="20">
        <f t="shared" si="4"/>
        <v>544.44551668644533</v>
      </c>
      <c r="AM51" s="59">
        <f t="shared" si="5"/>
        <v>837.7788500197787</v>
      </c>
      <c r="AN51" s="59">
        <f ca="1">AVERAGE(OFFSET($AM$3,0,0,'Données projet'!$E$10+1,1))-AVERAGE(OFFSET($H$3,0,0,'Données projet'!$E$10+1,1))</f>
        <v>297.21955661193238</v>
      </c>
      <c r="AO51" s="59">
        <f t="shared" si="36"/>
        <v>273.69206144662144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4.7176087976711099</v>
      </c>
      <c r="AV51" s="21">
        <f>EXP(-LN(2)/25)*AV50+(1-EXP(-LN(2)/25))/(LN(2)/25)*Calculateur!AQ51*Calculateur!AS51*VLOOKUP('Données projet'!$B$10,Paramètres!$A$1:$I$89,3,0)*0.475*44/12</f>
        <v>8.1491514971876136</v>
      </c>
      <c r="AW51" s="21">
        <f>EXP(-LN(2)/2)*AW50+(1-EXP(-LN(2)/2))/(LN(2)/2)*AQ51*AT51*VLOOKUP('Données projet'!$B$10,Paramètres!$A$1:$I$89,3,0)*0.475*44/12</f>
        <v>4.0845280133267256E-2</v>
      </c>
      <c r="AX51" s="21">
        <f t="shared" si="6"/>
        <v>12.90760557499199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5.6843418860808015E-14</v>
      </c>
      <c r="BE51" s="13">
        <f>BD51*VLOOKUP('Données projet'!$B$11,Paramètres!$A$1:$I$89,3,0)*VLOOKUP('Données projet'!$B$11,Paramètres!$A$1:$I$89,5,0)</f>
        <v>3.6357050703372803E-14</v>
      </c>
      <c r="BF51" s="13">
        <f t="shared" si="37"/>
        <v>6.1445232567661395E-13</v>
      </c>
      <c r="BG51" s="20">
        <f t="shared" si="7"/>
        <v>1.1334929971951436E-12</v>
      </c>
      <c r="BH51" s="59">
        <f t="shared" si="8"/>
        <v>293.33333333333445</v>
      </c>
      <c r="BI51" s="59">
        <f ca="1">AVERAGE(OFFSET($BH$3,0,0,'Données projet'!$E$11+1,1))-AVERAGE(OFFSET($H$3,0,0,'Données projet'!$E$11+1,1))</f>
        <v>176.90404027101607</v>
      </c>
      <c r="BJ51" s="59">
        <f t="shared" si="38"/>
        <v>295.34177980841878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1.2419703761918857</v>
      </c>
      <c r="BQ51" s="21">
        <f>EXP(-LN(2)/25)*BQ50+(1-EXP(-LN(2)/25))/(LN(2)/25)*Calculateur!BL51*Calculateur!BN51*VLOOKUP('Données projet'!$B$11,Paramètres!$A$1:$I$89,3,0)*0.475*44/12</f>
        <v>5.0027936280885257</v>
      </c>
      <c r="BR51" s="21">
        <f>EXP(-LN(2)/2)*BR50+(1-EXP(-LN(2)/2))/(LN(2)/2)*BL51*BO51*VLOOKUP('Données projet'!$B$11,Paramètres!$A$1:$I$89,3,0)*0.475*44/12</f>
        <v>6.5825190775944142E-5</v>
      </c>
      <c r="BS51" s="22">
        <f t="shared" si="9"/>
        <v>6.2448298294711879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19.2</v>
      </c>
      <c r="BY51" s="12">
        <f>IF('Données projet'!$A$114&gt;35,BY50+BX51-CG50,IF(A51&lt;'Données projet'!$A$114,$BV$205^A51,IF(A51='Données projet'!$A$114,'Données projet'!$B$114,BY50+BX51-CG50)))</f>
        <v>470.5999999999998</v>
      </c>
      <c r="BZ51" s="13">
        <f>BY51*VLOOKUP('Données projet'!$B$12,Paramètres!$A$1:$I$89,3,0)*VLOOKUP('Données projet'!$B$12,Paramètres!$A$1:$I$89,5,0)</f>
        <v>263.0653999999999</v>
      </c>
      <c r="CA51" s="13">
        <f t="shared" si="39"/>
        <v>63.375350953508303</v>
      </c>
      <c r="CB51" s="20">
        <f t="shared" si="10"/>
        <v>568.55097457736008</v>
      </c>
      <c r="CC51" s="59">
        <f t="shared" si="11"/>
        <v>861.88430791069345</v>
      </c>
      <c r="CD51" s="59">
        <f ca="1">AVERAGE(OFFSET($CC$3,0,0,'Données projet'!$E$12+1,1))-AVERAGE(OFFSET($H$3,0,0,'Données projet'!$E$12+1,1))</f>
        <v>326.31232746914907</v>
      </c>
      <c r="CE51" s="59">
        <f t="shared" si="40"/>
        <v>330.17137761430297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3.1981987569797403</v>
      </c>
      <c r="CL51" s="21">
        <f>EXP(-LN(2)/25)*CL50+(1-EXP(-LN(2)/25))/(LN(2)/25)*Calculateur!CG51*Calculateur!CI51*VLOOKUP('Données projet'!$B$12,Paramètres!$A$1:$I$89,3,0)*0.475*44/12</f>
        <v>18.317919717386225</v>
      </c>
      <c r="CM51" s="21">
        <f>EXP(-LN(2)/2)*CM50+(1-EXP(-LN(2)/2))/(LN(2)/2)*CG51*CJ51*VLOOKUP('Données projet'!$B$12,Paramètres!$A$1:$I$89,3,0)*0.475*44/12</f>
        <v>6.3519703848506331E-2</v>
      </c>
      <c r="CN51" s="22">
        <f t="shared" si="12"/>
        <v>21.57963817821447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11.5</v>
      </c>
      <c r="CT51" s="12">
        <f>IF('Données projet'!$A$140&gt;35,CT50+CS51-DB50,IF(A51&lt;'Données projet'!$A$140,$CQ$205^A51,IF(A51='Données projet'!$A$140,'Données projet'!$B$140,CT50+CS51-DB50)))</f>
        <v>326.00000000000011</v>
      </c>
      <c r="CU51" s="17">
        <f>CT51*VLOOKUP('Données projet'!$B$13,Paramètres!$A$1:$I$89,3,0)*VLOOKUP('Données projet'!$B$13,Paramètres!$A$1:$I$89,5,0)</f>
        <v>177.99600000000007</v>
      </c>
      <c r="CV51" s="13">
        <f t="shared" si="41"/>
        <v>44.876042989096391</v>
      </c>
      <c r="CW51" s="20">
        <f t="shared" si="13"/>
        <v>388.1688082060096</v>
      </c>
      <c r="CX51" s="59">
        <f t="shared" si="14"/>
        <v>681.50214153934292</v>
      </c>
      <c r="CY51" s="59">
        <f ca="1">AVERAGE(OFFSET($CX$3,0,0,'Données projet'!$E$13+1,1))-AVERAGE(OFFSET($H$3,0,0,'Données projet'!$E$13+1,1))</f>
        <v>210.04871822652808</v>
      </c>
      <c r="CZ51" s="59">
        <f t="shared" si="42"/>
        <v>250.17540614049324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5.1117087955109568</v>
      </c>
      <c r="DG51" s="21">
        <f>EXP(-LN(2)/25)*DG50+(1-EXP(-LN(2)/25))/(LN(2)/25)*Calculateur!DB51*Calculateur!DD51*VLOOKUP('Données projet'!$B$13,Paramètres!$A$1:$I$89,3,0)*0.475*44/12</f>
        <v>16.895955031473846</v>
      </c>
      <c r="DH51" s="21">
        <f>EXP(-LN(2)/2)*DH50+(1-EXP(-LN(2)/2))/(LN(2)/2)*DB51*DE51*VLOOKUP('Données projet'!$B$13,Paramètres!$A$1:$I$89,3,0)*0.475*44/12</f>
        <v>4.2097438940139939E-2</v>
      </c>
      <c r="DI51" s="22">
        <f t="shared" si="15"/>
        <v>22.049761265924943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9.1999999999999993</v>
      </c>
      <c r="DO51" s="12">
        <f>IF('Données projet'!$A$166&gt;35,DO50+DN51-DW50,IF(A51&lt;'Données projet'!$A$166,$DL$205^A51,IF(A51='Données projet'!$A$166,'Données projet'!$B$166,DO50+DN51-DW50)))</f>
        <v>266.59999999999985</v>
      </c>
      <c r="DP51" s="17">
        <f>DO51*VLOOKUP('Données projet'!$B$14,Paramètres!$A$1:$I$89,3,0)*VLOOKUP('Données projet'!$B$14,Paramètres!$A$1:$I$89,5,0)</f>
        <v>195.47111999999987</v>
      </c>
      <c r="DQ51" s="13">
        <f t="shared" si="43"/>
        <v>48.747534064963503</v>
      </c>
      <c r="DR51" s="20">
        <f t="shared" si="16"/>
        <v>425.34748916314453</v>
      </c>
      <c r="DS51" s="59">
        <f t="shared" si="17"/>
        <v>718.68082249647784</v>
      </c>
      <c r="DT51" s="59">
        <f ca="1">AVERAGE(OFFSET($DS$3,0,0,'Données projet'!$E$14+1,1))-AVERAGE(OFFSET($H$3,0,0,'Données projet'!$E$14+1,1))</f>
        <v>234.09142087023463</v>
      </c>
      <c r="DU51" s="59">
        <f t="shared" si="44"/>
        <v>278.990685815294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1.7081288815687248</v>
      </c>
      <c r="EB51" s="21">
        <f>EXP(-LN(2)/25)*EB50+(1-EXP(-LN(2)/25))/(LN(2)/25)*Calculateur!DW51*Calculateur!DY51*VLOOKUP('Données projet'!$B$14,Paramètres!$A$1:$I$89,3,0)*0.475*44/12</f>
        <v>9.3142441817162371</v>
      </c>
      <c r="EC51" s="21">
        <f>EXP(-LN(2)/2)*EC50+(1-EXP(-LN(2)/2))/(LN(2)/2)*DW51*DZ51*VLOOKUP('Données projet'!$B$14,Paramètres!$A$1:$I$89,3,0)*0.475*44/12</f>
        <v>4.3268788674923175E-2</v>
      </c>
      <c r="ED51" s="22">
        <f t="shared" si="18"/>
        <v>11.065641851959885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18.8</v>
      </c>
      <c r="N52" s="13">
        <f>IF('Données projet'!$A$36&gt;35,N51+M52-V51,IF(A52&lt;'Données projet'!$A$36,$K$205^A52,IF(A52='Données projet'!$A$36,'Données projet'!$B$36,N51+M52-V51)))</f>
        <v>382.20000000000016</v>
      </c>
      <c r="O52" s="13">
        <f>N52*VLOOKUP('Données projet'!$B$9,Paramètres!$A$1:$I$89,3,0)*VLOOKUP('Données projet'!$B$9,Paramètres!$A$1:$I$89,5,0)</f>
        <v>228.55560000000008</v>
      </c>
      <c r="P52" s="13">
        <f t="shared" si="33"/>
        <v>55.97025406423657</v>
      </c>
      <c r="Q52" s="20">
        <f t="shared" si="53"/>
        <v>495.54919582854546</v>
      </c>
      <c r="R52" s="59">
        <f t="shared" si="0"/>
        <v>788.88252916187878</v>
      </c>
      <c r="S52" s="59">
        <f ca="1">AVERAGE(OFFSET($R$3,0,0,'Données projet'!$E$9+1,1))-AVERAGE(OFFSET($H$3,0,0,'Données projet'!$E$9+1,1))</f>
        <v>259.30247982593914</v>
      </c>
      <c r="T52" s="59">
        <f t="shared" si="34"/>
        <v>275.24740346220779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10.648428027126274</v>
      </c>
      <c r="AB52" s="21">
        <f>EXP(-LN(2)/2)*AB51+(1-EXP(-LN(2)/2))/(LN(2)/2)*V52*Y52*VLOOKUP('Données projet'!$B$9,Paramètres!$A$1:$I$89,3,0)*0.475*44/12</f>
        <v>3.9609677642998713E-2</v>
      </c>
      <c r="AC52" s="22">
        <f t="shared" si="3"/>
        <v>10.688037704769272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23.4</v>
      </c>
      <c r="AI52" s="13">
        <f>IF('Données projet'!$A$62&gt;35,AI51+AH52-AQ51,IF(A52&lt;'Données projet'!$A$62,$AF$205^A52,IF(A52='Données projet'!$A$62,'Données projet'!$B$62,AI51+AH52-AQ51)))</f>
        <v>546.6</v>
      </c>
      <c r="AJ52" s="13">
        <f>AI52*VLOOKUP('Données projet'!$B$10,Paramètres!$A$1:$I$89,3,0)*VLOOKUP('Données projet'!$B$10,Paramètres!$A$1:$I$89,5,0)</f>
        <v>262.91460000000001</v>
      </c>
      <c r="AK52" s="13">
        <f t="shared" si="35"/>
        <v>63.343249242006998</v>
      </c>
      <c r="AL52" s="20">
        <f t="shared" si="4"/>
        <v>568.23242076316217</v>
      </c>
      <c r="AM52" s="59">
        <f t="shared" si="5"/>
        <v>861.56575409649554</v>
      </c>
      <c r="AN52" s="59">
        <f ca="1">AVERAGE(OFFSET($AM$3,0,0,'Données projet'!$E$10+1,1))-AVERAGE(OFFSET($H$3,0,0,'Données projet'!$E$10+1,1))</f>
        <v>297.21955661193238</v>
      </c>
      <c r="AO52" s="59">
        <f t="shared" si="36"/>
        <v>273.69206144662144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4.6250993666060207</v>
      </c>
      <c r="AV52" s="21">
        <f>EXP(-LN(2)/25)*AV51+(1-EXP(-LN(2)/25))/(LN(2)/25)*Calculateur!AQ52*Calculateur!AS52*VLOOKUP('Données projet'!$B$10,Paramètres!$A$1:$I$89,3,0)*0.475*44/12</f>
        <v>7.9263125209517664</v>
      </c>
      <c r="AW52" s="21">
        <f>EXP(-LN(2)/2)*AW51+(1-EXP(-LN(2)/2))/(LN(2)/2)*AQ52*AT52*VLOOKUP('Données projet'!$B$10,Paramètres!$A$1:$I$89,3,0)*0.475*44/12</f>
        <v>2.8881974561697447E-2</v>
      </c>
      <c r="AX52" s="21">
        <f t="shared" si="6"/>
        <v>12.580293862119484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5.6843418860808015E-14</v>
      </c>
      <c r="BE52" s="13">
        <f>BD52*VLOOKUP('Données projet'!$B$11,Paramètres!$A$1:$I$89,3,0)*VLOOKUP('Données projet'!$B$11,Paramètres!$A$1:$I$89,5,0)</f>
        <v>3.6357050703372803E-14</v>
      </c>
      <c r="BF52" s="13">
        <f t="shared" si="37"/>
        <v>6.1445232567661395E-13</v>
      </c>
      <c r="BG52" s="20">
        <f t="shared" si="7"/>
        <v>1.1334929971951436E-12</v>
      </c>
      <c r="BH52" s="59">
        <f t="shared" si="8"/>
        <v>293.33333333333445</v>
      </c>
      <c r="BI52" s="59">
        <f ca="1">AVERAGE(OFFSET($BH$3,0,0,'Données projet'!$E$11+1,1))-AVERAGE(OFFSET($H$3,0,0,'Données projet'!$E$11+1,1))</f>
        <v>176.90404027101607</v>
      </c>
      <c r="BJ52" s="59">
        <f t="shared" si="38"/>
        <v>295.34177980841878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1.2176160946418926</v>
      </c>
      <c r="BQ52" s="21">
        <f>EXP(-LN(2)/25)*BQ51+(1-EXP(-LN(2)/25))/(LN(2)/25)*Calculateur!BL52*Calculateur!BN52*VLOOKUP('Données projet'!$B$11,Paramètres!$A$1:$I$89,3,0)*0.475*44/12</f>
        <v>4.865991973242962</v>
      </c>
      <c r="BR52" s="21">
        <f>EXP(-LN(2)/2)*BR51+(1-EXP(-LN(2)/2))/(LN(2)/2)*BL52*BO52*VLOOKUP('Données projet'!$B$11,Paramètres!$A$1:$I$89,3,0)*0.475*44/12</f>
        <v>4.6545438770568282E-5</v>
      </c>
      <c r="BS52" s="22">
        <f t="shared" si="9"/>
        <v>6.0836546133236258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19.2</v>
      </c>
      <c r="BY52" s="12">
        <f>IF('Données projet'!$A$114&gt;35,BY51+BX52-CG51,IF(A52&lt;'Données projet'!$A$114,$BV$205^A52,IF(A52='Données projet'!$A$114,'Données projet'!$B$114,BY51+BX52-CG51)))</f>
        <v>489.79999999999978</v>
      </c>
      <c r="BZ52" s="13">
        <f>BY52*VLOOKUP('Données projet'!$B$12,Paramètres!$A$1:$I$89,3,0)*VLOOKUP('Données projet'!$B$12,Paramètres!$A$1:$I$89,5,0)</f>
        <v>273.79819999999989</v>
      </c>
      <c r="CA52" s="13">
        <f t="shared" si="39"/>
        <v>65.654686665964775</v>
      </c>
      <c r="CB52" s="20">
        <f t="shared" si="10"/>
        <v>591.21377760988844</v>
      </c>
      <c r="CC52" s="59">
        <f t="shared" si="11"/>
        <v>884.5471109432217</v>
      </c>
      <c r="CD52" s="59">
        <f ca="1">AVERAGE(OFFSET($CC$3,0,0,'Données projet'!$E$12+1,1))-AVERAGE(OFFSET($H$3,0,0,'Données projet'!$E$12+1,1))</f>
        <v>326.31232746914907</v>
      </c>
      <c r="CE52" s="59">
        <f t="shared" si="40"/>
        <v>330.17137761430297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3.135484030063993</v>
      </c>
      <c r="CL52" s="21">
        <f>EXP(-LN(2)/25)*CL51+(1-EXP(-LN(2)/25))/(LN(2)/25)*Calculateur!CG52*Calculateur!CI52*VLOOKUP('Données projet'!$B$12,Paramètres!$A$1:$I$89,3,0)*0.475*44/12</f>
        <v>17.817015239416765</v>
      </c>
      <c r="CM52" s="21">
        <f>EXP(-LN(2)/2)*CM51+(1-EXP(-LN(2)/2))/(LN(2)/2)*CG52*CJ52*VLOOKUP('Données projet'!$B$12,Paramètres!$A$1:$I$89,3,0)*0.475*44/12</f>
        <v>4.4915213330240067E-2</v>
      </c>
      <c r="CN52" s="22">
        <f t="shared" si="12"/>
        <v>20.997414482810996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11.5</v>
      </c>
      <c r="CT52" s="12">
        <f>IF('Données projet'!$A$140&gt;35,CT51+CS52-DB51,IF(A52&lt;'Données projet'!$A$140,$CQ$205^A52,IF(A52='Données projet'!$A$140,'Données projet'!$B$140,CT51+CS52-DB51)))</f>
        <v>337.50000000000011</v>
      </c>
      <c r="CU52" s="17">
        <f>CT52*VLOOKUP('Données projet'!$B$13,Paramètres!$A$1:$I$89,3,0)*VLOOKUP('Données projet'!$B$13,Paramètres!$A$1:$I$89,5,0)</f>
        <v>184.27500000000003</v>
      </c>
      <c r="CV52" s="13">
        <f t="shared" si="41"/>
        <v>46.27199170970021</v>
      </c>
      <c r="CW52" s="20">
        <f t="shared" si="13"/>
        <v>401.53601056106123</v>
      </c>
      <c r="CX52" s="59">
        <f t="shared" si="14"/>
        <v>694.86934389439455</v>
      </c>
      <c r="CY52" s="59">
        <f ca="1">AVERAGE(OFFSET($CX$3,0,0,'Données projet'!$E$13+1,1))-AVERAGE(OFFSET($H$3,0,0,'Données projet'!$E$13+1,1))</f>
        <v>210.04871822652808</v>
      </c>
      <c r="CZ52" s="59">
        <f t="shared" si="42"/>
        <v>250.17540614049324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5.0114713038654912</v>
      </c>
      <c r="DG52" s="21">
        <f>EXP(-LN(2)/25)*DG51+(1-EXP(-LN(2)/25))/(LN(2)/25)*Calculateur!DB52*Calculateur!DD52*VLOOKUP('Données projet'!$B$13,Paramètres!$A$1:$I$89,3,0)*0.475*44/12</f>
        <v>16.433934252618535</v>
      </c>
      <c r="DH52" s="21">
        <f>EXP(-LN(2)/2)*DH51+(1-EXP(-LN(2)/2))/(LN(2)/2)*DB52*DE52*VLOOKUP('Données projet'!$B$13,Paramètres!$A$1:$I$89,3,0)*0.475*44/12</f>
        <v>2.9767384545159578E-2</v>
      </c>
      <c r="DI52" s="22">
        <f t="shared" si="15"/>
        <v>21.475172941029186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9.1999999999999993</v>
      </c>
      <c r="DO52" s="12">
        <f>IF('Données projet'!$A$166&gt;35,DO51+DN52-DW51,IF(A52&lt;'Données projet'!$A$166,$DL$205^A52,IF(A52='Données projet'!$A$166,'Données projet'!$B$166,DO51+DN52-DW51)))</f>
        <v>275.79999999999984</v>
      </c>
      <c r="DP52" s="17">
        <f>DO52*VLOOKUP('Données projet'!$B$14,Paramètres!$A$1:$I$89,3,0)*VLOOKUP('Données projet'!$B$14,Paramètres!$A$1:$I$89,5,0)</f>
        <v>202.21655999999987</v>
      </c>
      <c r="DQ52" s="13">
        <f t="shared" si="43"/>
        <v>50.230987603236251</v>
      </c>
      <c r="DR52" s="20">
        <f t="shared" si="16"/>
        <v>439.67947874230293</v>
      </c>
      <c r="DS52" s="59">
        <f t="shared" si="17"/>
        <v>733.01281207563625</v>
      </c>
      <c r="DT52" s="59">
        <f ca="1">AVERAGE(OFFSET($DS$3,0,0,'Données projet'!$E$14+1,1))-AVERAGE(OFFSET($H$3,0,0,'Données projet'!$E$14+1,1))</f>
        <v>234.09142087023463</v>
      </c>
      <c r="DU52" s="59">
        <f t="shared" si="44"/>
        <v>278.990685815294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1.674633516056905</v>
      </c>
      <c r="EB52" s="21">
        <f>EXP(-LN(2)/25)*EB51+(1-EXP(-LN(2)/25))/(LN(2)/25)*Calculateur!DW52*Calculateur!DY52*VLOOKUP('Données projet'!$B$14,Paramètres!$A$1:$I$89,3,0)*0.475*44/12</f>
        <v>9.0595456847523934</v>
      </c>
      <c r="EC52" s="21">
        <f>EXP(-LN(2)/2)*EC51+(1-EXP(-LN(2)/2))/(LN(2)/2)*DW52*DZ52*VLOOKUP('Données projet'!$B$14,Paramètres!$A$1:$I$89,3,0)*0.475*44/12</f>
        <v>3.0595653885765871E-2</v>
      </c>
      <c r="ED52" s="22">
        <f t="shared" si="18"/>
        <v>10.764774854695064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401</v>
      </c>
      <c r="L53" s="12">
        <f>VLOOKUP(A53,'Données projet'!$A$35:$I$55,9,0)</f>
        <v>18.8</v>
      </c>
      <c r="M53" s="12">
        <f t="array" ref="M53">INDEX(L:L,MIN(IF(ISNUMBER(L53:L249),ROW(L53:L249),"")))</f>
        <v>18.8</v>
      </c>
      <c r="N53" s="13">
        <f>IF('Données projet'!$A$36&gt;35,N52+M53-V52,IF(A53&lt;'Données projet'!$A$36,$K$205^A53,IF(A53='Données projet'!$A$36,'Données projet'!$B$36,N52+M53-V52)))</f>
        <v>401.00000000000017</v>
      </c>
      <c r="O53" s="13">
        <f>N53*VLOOKUP('Données projet'!$B$9,Paramètres!$A$1:$I$89,3,0)*VLOOKUP('Données projet'!$B$9,Paramètres!$A$1:$I$89,5,0)</f>
        <v>239.79800000000012</v>
      </c>
      <c r="P53" s="13">
        <f t="shared" si="33"/>
        <v>58.396067068575292</v>
      </c>
      <c r="Q53" s="20">
        <f t="shared" si="53"/>
        <v>519.35466681110222</v>
      </c>
      <c r="R53" s="59">
        <f t="shared" si="0"/>
        <v>812.68800014443559</v>
      </c>
      <c r="S53" s="59">
        <f ca="1">AVERAGE(OFFSET($R$3,0,0,'Données projet'!$E$9+1,1))-AVERAGE(OFFSET($H$3,0,0,'Données projet'!$E$9+1,1))</f>
        <v>259.30247982593914</v>
      </c>
      <c r="T53" s="59">
        <f t="shared" si="34"/>
        <v>275.24740346220779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82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10.357246202748014</v>
      </c>
      <c r="AB53" s="21">
        <f>EXP(-LN(2)/2)*AB52+(1-EXP(-LN(2)/2))/(LN(2)/2)*V53*Y53*VLOOKUP('Données projet'!$B$9,Paramètres!$A$1:$I$89,3,0)*0.475*44/12</f>
        <v>2.8008271661977575E-2</v>
      </c>
      <c r="AC53" s="22">
        <f t="shared" si="3"/>
        <v>10.385254474409992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570</v>
      </c>
      <c r="AG53" s="12">
        <f>VLOOKUP(A53,'Données projet'!$A$61:$I$81,9,0)</f>
        <v>23.4</v>
      </c>
      <c r="AH53" s="12">
        <f t="array" ref="AH53">INDEX(AG:AG,MIN(IF(ISNUMBER(AG53:AG249),ROW(AG53:AG249),"")))</f>
        <v>23.4</v>
      </c>
      <c r="AI53" s="13">
        <f>IF('Données projet'!$A$62&gt;35,AI52+AH53-AQ52,IF(A53&lt;'Données projet'!$A$62,$AF$205^A53,IF(A53='Données projet'!$A$62,'Données projet'!$B$62,AI52+AH53-AQ52)))</f>
        <v>570</v>
      </c>
      <c r="AJ53" s="13">
        <f>AI53*VLOOKUP('Données projet'!$B$10,Paramètres!$A$1:$I$89,3,0)*VLOOKUP('Données projet'!$B$10,Paramètres!$A$1:$I$89,5,0)</f>
        <v>274.17</v>
      </c>
      <c r="AK53" s="13">
        <f t="shared" si="35"/>
        <v>65.73345758815563</v>
      </c>
      <c r="AL53" s="20">
        <f t="shared" si="4"/>
        <v>591.99852196603786</v>
      </c>
      <c r="AM53" s="59">
        <f t="shared" si="5"/>
        <v>885.33185529937123</v>
      </c>
      <c r="AN53" s="59">
        <f ca="1">AVERAGE(OFFSET($AM$3,0,0,'Données projet'!$E$10+1,1))-AVERAGE(OFFSET($H$3,0,0,'Données projet'!$E$10+1,1))</f>
        <v>297.21955661193238</v>
      </c>
      <c r="AO53" s="59">
        <f t="shared" si="36"/>
        <v>273.69206144662144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132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4.5344039890589363</v>
      </c>
      <c r="AV53" s="21">
        <f>EXP(-LN(2)/25)*AV52+(1-EXP(-LN(2)/25))/(LN(2)/25)*Calculateur!AQ53*Calculateur!AS53*VLOOKUP('Données projet'!$B$10,Paramètres!$A$1:$I$89,3,0)*0.475*44/12</f>
        <v>7.7095670882396803</v>
      </c>
      <c r="AW53" s="21">
        <f>EXP(-LN(2)/2)*AW52+(1-EXP(-LN(2)/2))/(LN(2)/2)*AQ53*AT53*VLOOKUP('Données projet'!$B$10,Paramètres!$A$1:$I$89,3,0)*0.475*44/12</f>
        <v>2.0422640066633628E-2</v>
      </c>
      <c r="AX53" s="21">
        <f t="shared" si="6"/>
        <v>12.264393717365252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5.6843418860808015E-14</v>
      </c>
      <c r="BE53" s="13">
        <f>BD53*VLOOKUP('Données projet'!$B$11,Paramètres!$A$1:$I$89,3,0)*VLOOKUP('Données projet'!$B$11,Paramètres!$A$1:$I$89,5,0)</f>
        <v>3.6357050703372803E-14</v>
      </c>
      <c r="BF53" s="13">
        <f t="shared" si="37"/>
        <v>6.1445232567661395E-13</v>
      </c>
      <c r="BG53" s="20">
        <f t="shared" si="7"/>
        <v>1.1334929971951436E-12</v>
      </c>
      <c r="BH53" s="59">
        <f t="shared" si="8"/>
        <v>293.33333333333445</v>
      </c>
      <c r="BI53" s="59">
        <f ca="1">AVERAGE(OFFSET($BH$3,0,0,'Données projet'!$E$11+1,1))-AVERAGE(OFFSET($H$3,0,0,'Données projet'!$E$11+1,1))</f>
        <v>176.90404027101607</v>
      </c>
      <c r="BJ53" s="59">
        <f t="shared" si="38"/>
        <v>295.34177980841878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1.19373938569845</v>
      </c>
      <c r="BQ53" s="21">
        <f>EXP(-LN(2)/25)*BQ52+(1-EXP(-LN(2)/25))/(LN(2)/25)*Calculateur!BL53*Calculateur!BN53*VLOOKUP('Données projet'!$B$11,Paramètres!$A$1:$I$89,3,0)*0.475*44/12</f>
        <v>4.7329311668432368</v>
      </c>
      <c r="BR53" s="21">
        <f>EXP(-LN(2)/2)*BR52+(1-EXP(-LN(2)/2))/(LN(2)/2)*BL53*BO53*VLOOKUP('Données projet'!$B$11,Paramètres!$A$1:$I$89,3,0)*0.475*44/12</f>
        <v>3.2912595387972071E-5</v>
      </c>
      <c r="BS53" s="22">
        <f t="shared" si="9"/>
        <v>5.9267034651370745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509</v>
      </c>
      <c r="BW53" s="12">
        <f>VLOOKUP(A53,'Données projet'!$A$113:$I$133,9,0)</f>
        <v>19.2</v>
      </c>
      <c r="BX53" s="12">
        <f t="array" ref="BX53">INDEX(BW:BW,MIN(IF(ISNUMBER(BW53:BW249),ROW(BW53:BW249),"")))</f>
        <v>19.2</v>
      </c>
      <c r="BY53" s="12">
        <f>IF('Données projet'!$A$114&gt;35,BY52+BX53-CG52,IF(A53&lt;'Données projet'!$A$114,$BV$205^A53,IF(A53='Données projet'!$A$114,'Données projet'!$B$114,BY52+BX53-CG52)))</f>
        <v>508.99999999999977</v>
      </c>
      <c r="BZ53" s="13">
        <f>BY53*VLOOKUP('Données projet'!$B$12,Paramètres!$A$1:$I$89,3,0)*VLOOKUP('Données projet'!$B$12,Paramètres!$A$1:$I$89,5,0)</f>
        <v>284.53099999999989</v>
      </c>
      <c r="CA53" s="13">
        <f t="shared" si="39"/>
        <v>67.92364301353318</v>
      </c>
      <c r="CB53" s="20">
        <f t="shared" si="10"/>
        <v>613.85850324857017</v>
      </c>
      <c r="CC53" s="59">
        <f t="shared" si="11"/>
        <v>907.19183658190354</v>
      </c>
      <c r="CD53" s="59">
        <f ca="1">AVERAGE(OFFSET($CC$3,0,0,'Données projet'!$E$12+1,1))-AVERAGE(OFFSET($H$3,0,0,'Données projet'!$E$12+1,1))</f>
        <v>326.31232746914907</v>
      </c>
      <c r="CE53" s="59">
        <f t="shared" si="40"/>
        <v>330.17137761430297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108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3.0739991006908571</v>
      </c>
      <c r="CL53" s="21">
        <f>EXP(-LN(2)/25)*CL52+(1-EXP(-LN(2)/25))/(LN(2)/25)*Calculateur!CG53*Calculateur!CI53*VLOOKUP('Données projet'!$B$12,Paramètres!$A$1:$I$89,3,0)*0.475*44/12</f>
        <v>17.329808020738803</v>
      </c>
      <c r="CM53" s="21">
        <f>EXP(-LN(2)/2)*CM52+(1-EXP(-LN(2)/2))/(LN(2)/2)*CG53*CJ53*VLOOKUP('Données projet'!$B$12,Paramètres!$A$1:$I$89,3,0)*0.475*44/12</f>
        <v>3.1759851924253166E-2</v>
      </c>
      <c r="CN53" s="22">
        <f t="shared" si="12"/>
        <v>20.435566973353911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349</v>
      </c>
      <c r="CR53" s="12">
        <f>VLOOKUP(A53,'Données projet'!$A$139:$I$159,9,0)</f>
        <v>11.5</v>
      </c>
      <c r="CS53" s="12">
        <f t="array" ref="CS53">INDEX(CR:CR,MIN(IF(ISNUMBER(CR53:CR249),ROW(CR53:CR249),"")))</f>
        <v>11.5</v>
      </c>
      <c r="CT53" s="12">
        <f>IF('Données projet'!$A$140&gt;35,CT52+CS53-DB52,IF(A53&lt;'Données projet'!$A$140,$CQ$205^A53,IF(A53='Données projet'!$A$140,'Données projet'!$B$140,CT52+CS53-DB52)))</f>
        <v>349.00000000000011</v>
      </c>
      <c r="CU53" s="17">
        <f>CT53*VLOOKUP('Données projet'!$B$13,Paramètres!$A$1:$I$89,3,0)*VLOOKUP('Données projet'!$B$13,Paramètres!$A$1:$I$89,5,0)</f>
        <v>190.55400000000006</v>
      </c>
      <c r="CV53" s="13">
        <f t="shared" si="41"/>
        <v>47.662413622948378</v>
      </c>
      <c r="CW53" s="20">
        <f t="shared" si="13"/>
        <v>414.89358705996847</v>
      </c>
      <c r="CX53" s="59">
        <f t="shared" si="14"/>
        <v>708.22692039330173</v>
      </c>
      <c r="CY53" s="59">
        <f ca="1">AVERAGE(OFFSET($CX$3,0,0,'Données projet'!$E$13+1,1))-AVERAGE(OFFSET($H$3,0,0,'Données projet'!$E$13+1,1))</f>
        <v>210.04871822652808</v>
      </c>
      <c r="CZ53" s="59">
        <f t="shared" si="42"/>
        <v>250.17540614049324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65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4.9131994082923605</v>
      </c>
      <c r="DG53" s="21">
        <f>EXP(-LN(2)/25)*DG52+(1-EXP(-LN(2)/25))/(LN(2)/25)*Calculateur!DB53*Calculateur!DD53*VLOOKUP('Données projet'!$B$13,Paramètres!$A$1:$I$89,3,0)*0.475*44/12</f>
        <v>15.984547456257639</v>
      </c>
      <c r="DH53" s="21">
        <f>EXP(-LN(2)/2)*DH52+(1-EXP(-LN(2)/2))/(LN(2)/2)*DB53*DE53*VLOOKUP('Données projet'!$B$13,Paramètres!$A$1:$I$89,3,0)*0.475*44/12</f>
        <v>2.1048719470069973E-2</v>
      </c>
      <c r="DI53" s="22">
        <f t="shared" si="15"/>
        <v>20.918795584020071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285</v>
      </c>
      <c r="DM53" s="12">
        <f>VLOOKUP(A53,'Données projet'!$A$165:$I$185,9,0)</f>
        <v>9.1999999999999993</v>
      </c>
      <c r="DN53" s="12">
        <f t="array" ref="DN53">INDEX(DM:DM,MIN(IF(ISNUMBER(DM53:DM249),ROW(DM53:DM249),"")))</f>
        <v>9.1999999999999993</v>
      </c>
      <c r="DO53" s="12">
        <f>IF('Données projet'!$A$166&gt;35,DO52+DN53-DW52,IF(A53&lt;'Données projet'!$A$166,$DL$205^A53,IF(A53='Données projet'!$A$166,'Données projet'!$B$166,DO52+DN53-DW52)))</f>
        <v>284.99999999999983</v>
      </c>
      <c r="DP53" s="17">
        <f>DO53*VLOOKUP('Données projet'!$B$14,Paramètres!$A$1:$I$89,3,0)*VLOOKUP('Données projet'!$B$14,Paramètres!$A$1:$I$89,5,0)</f>
        <v>208.96199999999985</v>
      </c>
      <c r="DQ53" s="13">
        <f t="shared" si="43"/>
        <v>51.708691209356381</v>
      </c>
      <c r="DR53" s="20">
        <f t="shared" si="16"/>
        <v>454.00145385629543</v>
      </c>
      <c r="DS53" s="59">
        <f t="shared" si="17"/>
        <v>747.33478718962874</v>
      </c>
      <c r="DT53" s="59">
        <f ca="1">AVERAGE(OFFSET($DS$3,0,0,'Données projet'!$E$14+1,1))-AVERAGE(OFFSET($H$3,0,0,'Données projet'!$E$14+1,1))</f>
        <v>234.09142087023463</v>
      </c>
      <c r="DU53" s="59">
        <f t="shared" si="44"/>
        <v>278.990685815294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43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1.6417949742326166</v>
      </c>
      <c r="EB53" s="21">
        <f>EXP(-LN(2)/25)*EB52+(1-EXP(-LN(2)/25))/(LN(2)/25)*Calculateur!DW53*Calculateur!DY53*VLOOKUP('Données projet'!$B$14,Paramètres!$A$1:$I$89,3,0)*0.475*44/12</f>
        <v>8.8118119315820369</v>
      </c>
      <c r="EC53" s="21">
        <f>EXP(-LN(2)/2)*EC52+(1-EXP(-LN(2)/2))/(LN(2)/2)*DW53*DZ53*VLOOKUP('Données projet'!$B$14,Paramètres!$A$1:$I$89,3,0)*0.475*44/12</f>
        <v>2.1634394337461591E-2</v>
      </c>
      <c r="ED53" s="22">
        <f t="shared" si="18"/>
        <v>10.475241300152115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</v>
      </c>
      <c r="N54" s="13">
        <f>IF('Données projet'!$A$36&gt;35,N53+M54-V53,IF(A54&lt;'Données projet'!$A$36,$K$205^A54,IF(A54='Données projet'!$A$36,'Données projet'!$B$36,N53+M54-V53)))</f>
        <v>331.80000000000018</v>
      </c>
      <c r="O54" s="13">
        <f>N54*VLOOKUP('Données projet'!$B$9,Paramètres!$A$1:$I$89,3,0)*VLOOKUP('Données projet'!$B$9,Paramètres!$A$1:$I$89,5,0)</f>
        <v>198.41640000000012</v>
      </c>
      <c r="P54" s="13">
        <f t="shared" si="33"/>
        <v>49.395979521019925</v>
      </c>
      <c r="Q54" s="20">
        <f t="shared" si="53"/>
        <v>431.60656099910989</v>
      </c>
      <c r="R54" s="59">
        <f t="shared" si="0"/>
        <v>724.93989433244315</v>
      </c>
      <c r="S54" s="59">
        <f ca="1">AVERAGE(OFFSET($R$3,0,0,'Données projet'!$E$9+1,1))-AVERAGE(OFFSET($H$3,0,0,'Données projet'!$E$9+1,1))</f>
        <v>259.30247982593914</v>
      </c>
      <c r="T54" s="59">
        <f t="shared" si="34"/>
        <v>275.24740346220779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10.074026760669964</v>
      </c>
      <c r="AB54" s="21">
        <f>EXP(-LN(2)/2)*AB53+(1-EXP(-LN(2)/2))/(LN(2)/2)*V54*Y54*VLOOKUP('Données projet'!$B$9,Paramètres!$A$1:$I$89,3,0)*0.475*44/12</f>
        <v>1.9804838821499356E-2</v>
      </c>
      <c r="AC54" s="22">
        <f t="shared" si="3"/>
        <v>10.093831599491464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19.2</v>
      </c>
      <c r="AI54" s="13">
        <f>IF('Données projet'!$A$62&gt;35,AI53+AH54-AQ53,IF(A54&lt;'Données projet'!$A$62,$AF$205^A54,IF(A54='Données projet'!$A$62,'Données projet'!$B$62,AI53+AH54-AQ53)))</f>
        <v>457.20000000000005</v>
      </c>
      <c r="AJ54" s="13">
        <f>AI54*VLOOKUP('Données projet'!$B$10,Paramètres!$A$1:$I$89,3,0)*VLOOKUP('Données projet'!$B$10,Paramètres!$A$1:$I$89,5,0)</f>
        <v>219.91320000000002</v>
      </c>
      <c r="AK54" s="13">
        <f t="shared" si="35"/>
        <v>54.096019736193234</v>
      </c>
      <c r="AL54" s="20">
        <f t="shared" si="4"/>
        <v>477.23272437386987</v>
      </c>
      <c r="AM54" s="59">
        <f t="shared" si="5"/>
        <v>770.56605770720319</v>
      </c>
      <c r="AN54" s="59">
        <f ca="1">AVERAGE(OFFSET($AM$3,0,0,'Données projet'!$E$10+1,1))-AVERAGE(OFFSET($H$3,0,0,'Données projet'!$E$10+1,1))</f>
        <v>297.21955661193238</v>
      </c>
      <c r="AO54" s="59">
        <f t="shared" si="36"/>
        <v>273.69206144662144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4.4454870925468324</v>
      </c>
      <c r="AV54" s="21">
        <f>EXP(-LN(2)/25)*AV53+(1-EXP(-LN(2)/25))/(LN(2)/25)*Calculateur!AQ54*Calculateur!AS54*VLOOKUP('Données projet'!$B$10,Paramètres!$A$1:$I$89,3,0)*0.475*44/12</f>
        <v>7.4987485707832535</v>
      </c>
      <c r="AW54" s="21">
        <f>EXP(-LN(2)/2)*AW53+(1-EXP(-LN(2)/2))/(LN(2)/2)*AQ54*AT54*VLOOKUP('Données projet'!$B$10,Paramètres!$A$1:$I$89,3,0)*0.475*44/12</f>
        <v>1.4440987280848723E-2</v>
      </c>
      <c r="AX54" s="21">
        <f t="shared" si="6"/>
        <v>11.958676650610936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5.6843418860808015E-14</v>
      </c>
      <c r="BE54" s="13">
        <f>BD54*VLOOKUP('Données projet'!$B$11,Paramètres!$A$1:$I$89,3,0)*VLOOKUP('Données projet'!$B$11,Paramètres!$A$1:$I$89,5,0)</f>
        <v>3.6357050703372803E-14</v>
      </c>
      <c r="BF54" s="13">
        <f t="shared" si="37"/>
        <v>6.1445232567661395E-13</v>
      </c>
      <c r="BG54" s="20">
        <f t="shared" si="7"/>
        <v>1.1334929971951436E-12</v>
      </c>
      <c r="BH54" s="59">
        <f t="shared" si="8"/>
        <v>293.33333333333445</v>
      </c>
      <c r="BI54" s="59">
        <f ca="1">AVERAGE(OFFSET($BH$3,0,0,'Données projet'!$E$11+1,1))-AVERAGE(OFFSET($H$3,0,0,'Données projet'!$E$11+1,1))</f>
        <v>176.90404027101607</v>
      </c>
      <c r="BJ54" s="59">
        <f t="shared" si="38"/>
        <v>295.34177980841878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1.1703308844540339</v>
      </c>
      <c r="BQ54" s="21">
        <f>EXP(-LN(2)/25)*BQ53+(1-EXP(-LN(2)/25))/(LN(2)/25)*Calculateur!BL54*Calculateur!BN54*VLOOKUP('Données projet'!$B$11,Paramètres!$A$1:$I$89,3,0)*0.475*44/12</f>
        <v>4.6035089151918758</v>
      </c>
      <c r="BR54" s="21">
        <f>EXP(-LN(2)/2)*BR53+(1-EXP(-LN(2)/2))/(LN(2)/2)*BL54*BO54*VLOOKUP('Données projet'!$B$11,Paramètres!$A$1:$I$89,3,0)*0.475*44/12</f>
        <v>2.3272719385284141E-5</v>
      </c>
      <c r="BS54" s="22">
        <f t="shared" si="9"/>
        <v>5.7738630723652946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16.2</v>
      </c>
      <c r="BY54" s="12">
        <f>IF('Données projet'!$A$114&gt;35,BY53+BX54-CG53,IF(A54&lt;'Données projet'!$A$114,$BV$205^A54,IF(A54='Données projet'!$A$114,'Données projet'!$B$114,BY53+BX54-CG53)))</f>
        <v>417.19999999999982</v>
      </c>
      <c r="BZ54" s="13">
        <f>BY54*VLOOKUP('Données projet'!$B$12,Paramètres!$A$1:$I$89,3,0)*VLOOKUP('Données projet'!$B$12,Paramètres!$A$1:$I$89,5,0)</f>
        <v>233.21479999999991</v>
      </c>
      <c r="CA54" s="13">
        <f t="shared" si="39"/>
        <v>56.977233907865298</v>
      </c>
      <c r="CB54" s="20">
        <f t="shared" si="10"/>
        <v>505.41779238953194</v>
      </c>
      <c r="CC54" s="59">
        <f t="shared" si="11"/>
        <v>798.75112572286525</v>
      </c>
      <c r="CD54" s="59">
        <f ca="1">AVERAGE(OFFSET($CC$3,0,0,'Données projet'!$E$12+1,1))-AVERAGE(OFFSET($H$3,0,0,'Données projet'!$E$12+1,1))</f>
        <v>326.31232746914907</v>
      </c>
      <c r="CE54" s="59">
        <f t="shared" si="40"/>
        <v>330.17137761430297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3.0137198532806244</v>
      </c>
      <c r="CL54" s="21">
        <f>EXP(-LN(2)/25)*CL53+(1-EXP(-LN(2)/25))/(LN(2)/25)*Calculateur!CG54*Calculateur!CI54*VLOOKUP('Données projet'!$B$12,Paramètres!$A$1:$I$89,3,0)*0.475*44/12</f>
        <v>16.855923509076703</v>
      </c>
      <c r="CM54" s="21">
        <f>EXP(-LN(2)/2)*CM53+(1-EXP(-LN(2)/2))/(LN(2)/2)*CG54*CJ54*VLOOKUP('Données projet'!$B$12,Paramètres!$A$1:$I$89,3,0)*0.475*44/12</f>
        <v>2.2457606665120033E-2</v>
      </c>
      <c r="CN54" s="22">
        <f t="shared" si="12"/>
        <v>19.892100969022447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9.8000000000000007</v>
      </c>
      <c r="CT54" s="12">
        <f>IF('Données projet'!$A$140&gt;35,CT53+CS54-DB53,IF(A54&lt;'Données projet'!$A$140,$CQ$205^A54,IF(A54='Données projet'!$A$140,'Données projet'!$B$140,CT53+CS54-DB53)))</f>
        <v>293.80000000000013</v>
      </c>
      <c r="CU54" s="17">
        <f>CT54*VLOOKUP('Données projet'!$B$13,Paramètres!$A$1:$I$89,3,0)*VLOOKUP('Données projet'!$B$13,Paramètres!$A$1:$I$89,5,0)</f>
        <v>160.41480000000007</v>
      </c>
      <c r="CV54" s="13">
        <f t="shared" si="41"/>
        <v>40.936060601587023</v>
      </c>
      <c r="CW54" s="20">
        <f t="shared" si="13"/>
        <v>350.68608221443083</v>
      </c>
      <c r="CX54" s="59">
        <f t="shared" si="14"/>
        <v>644.01941554776408</v>
      </c>
      <c r="CY54" s="59">
        <f ca="1">AVERAGE(OFFSET($CX$3,0,0,'Données projet'!$E$13+1,1))-AVERAGE(OFFSET($H$3,0,0,'Données projet'!$E$13+1,1))</f>
        <v>210.04871822652808</v>
      </c>
      <c r="CZ54" s="59">
        <f t="shared" si="42"/>
        <v>250.17540614049324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4.8168545646514813</v>
      </c>
      <c r="DG54" s="21">
        <f>EXP(-LN(2)/25)*DG53+(1-EXP(-LN(2)/25))/(LN(2)/25)*Calculateur!DB54*Calculateur!DD54*VLOOKUP('Données projet'!$B$13,Paramètres!$A$1:$I$89,3,0)*0.475*44/12</f>
        <v>15.547449165475456</v>
      </c>
      <c r="DH54" s="21">
        <f>EXP(-LN(2)/2)*DH53+(1-EXP(-LN(2)/2))/(LN(2)/2)*DB54*DE54*VLOOKUP('Données projet'!$B$13,Paramètres!$A$1:$I$89,3,0)*0.475*44/12</f>
        <v>1.4883692272579793E-2</v>
      </c>
      <c r="DI54" s="22">
        <f t="shared" si="15"/>
        <v>20.379187422399518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248.79999999999984</v>
      </c>
      <c r="DP54" s="17">
        <f>DO54*VLOOKUP('Données projet'!$B$14,Paramètres!$A$1:$I$89,3,0)*VLOOKUP('Données projet'!$B$14,Paramètres!$A$1:$I$89,5,0)</f>
        <v>182.4201599999999</v>
      </c>
      <c r="DQ54" s="13">
        <f t="shared" si="43"/>
        <v>45.860207931046851</v>
      </c>
      <c r="DR54" s="20">
        <f t="shared" si="16"/>
        <v>397.58830747990646</v>
      </c>
      <c r="DS54" s="59">
        <f t="shared" si="17"/>
        <v>690.92164081323972</v>
      </c>
      <c r="DT54" s="59">
        <f ca="1">AVERAGE(OFFSET($DS$3,0,0,'Données projet'!$E$14+1,1))-AVERAGE(OFFSET($H$3,0,0,'Données projet'!$E$14+1,1))</f>
        <v>234.09142087023463</v>
      </c>
      <c r="DU54" s="59">
        <f t="shared" si="44"/>
        <v>278.990685815294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1.6096003761839697</v>
      </c>
      <c r="EB54" s="21">
        <f>EXP(-LN(2)/25)*EB53+(1-EXP(-LN(2)/25))/(LN(2)/25)*Calculateur!DW54*Calculateur!DY54*VLOOKUP('Données projet'!$B$14,Paramètres!$A$1:$I$89,3,0)*0.475*44/12</f>
        <v>8.5708524709198759</v>
      </c>
      <c r="EC54" s="21">
        <f>EXP(-LN(2)/2)*EC53+(1-EXP(-LN(2)/2))/(LN(2)/2)*DW54*DZ54*VLOOKUP('Données projet'!$B$14,Paramètres!$A$1:$I$89,3,0)*0.475*44/12</f>
        <v>1.5297826942882937E-2</v>
      </c>
      <c r="ED54" s="22">
        <f t="shared" si="18"/>
        <v>10.195750674046728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</v>
      </c>
      <c r="N55" s="13">
        <f>IF('Données projet'!$A$36&gt;35,N54+M55-V54,IF(A55&lt;'Données projet'!$A$36,$K$205^A55,IF(A55='Données projet'!$A$36,'Données projet'!$B$36,N54+M55-V54)))</f>
        <v>344.60000000000019</v>
      </c>
      <c r="O55" s="13">
        <f>N55*VLOOKUP('Données projet'!$B$9,Paramètres!$A$1:$I$89,3,0)*VLOOKUP('Données projet'!$B$9,Paramètres!$A$1:$I$89,5,0)</f>
        <v>206.07080000000013</v>
      </c>
      <c r="P55" s="13">
        <f t="shared" si="33"/>
        <v>51.076015061754575</v>
      </c>
      <c r="Q55" s="20">
        <f t="shared" si="53"/>
        <v>447.86403623255609</v>
      </c>
      <c r="R55" s="59">
        <f t="shared" si="0"/>
        <v>741.1973695658894</v>
      </c>
      <c r="S55" s="59">
        <f ca="1">AVERAGE(OFFSET($R$3,0,0,'Données projet'!$E$9+1,1))-AVERAGE(OFFSET($H$3,0,0,'Données projet'!$E$9+1,1))</f>
        <v>259.30247982593914</v>
      </c>
      <c r="T55" s="59">
        <f t="shared" si="34"/>
        <v>275.24740346220779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9.7985519691294005</v>
      </c>
      <c r="AB55" s="21">
        <f>EXP(-LN(2)/2)*AB54+(1-EXP(-LN(2)/2))/(LN(2)/2)*V55*Y55*VLOOKUP('Données projet'!$B$9,Paramètres!$A$1:$I$89,3,0)*0.475*44/12</f>
        <v>1.4004135830988787E-2</v>
      </c>
      <c r="AC55" s="22">
        <f t="shared" si="3"/>
        <v>9.8125561049603895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19.2</v>
      </c>
      <c r="AI55" s="13">
        <f>IF('Données projet'!$A$62&gt;35,AI54+AH55-AQ54,IF(A55&lt;'Données projet'!$A$62,$AF$205^A55,IF(A55='Données projet'!$A$62,'Données projet'!$B$62,AI54+AH55-AQ54)))</f>
        <v>476.40000000000003</v>
      </c>
      <c r="AJ55" s="13">
        <f>AI55*VLOOKUP('Données projet'!$B$10,Paramètres!$A$1:$I$89,3,0)*VLOOKUP('Données projet'!$B$10,Paramètres!$A$1:$I$89,5,0)</f>
        <v>229.14840000000001</v>
      </c>
      <c r="AK55" s="13">
        <f t="shared" si="35"/>
        <v>56.098505966182572</v>
      </c>
      <c r="AL55" s="20">
        <f t="shared" si="4"/>
        <v>496.80502789110125</v>
      </c>
      <c r="AM55" s="59">
        <f t="shared" si="5"/>
        <v>790.13836122443456</v>
      </c>
      <c r="AN55" s="59">
        <f ca="1">AVERAGE(OFFSET($AM$3,0,0,'Données projet'!$E$10+1,1))-AVERAGE(OFFSET($H$3,0,0,'Données projet'!$E$10+1,1))</f>
        <v>297.21955661193238</v>
      </c>
      <c r="AO55" s="59">
        <f t="shared" si="36"/>
        <v>273.69206144662144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4.358313802141379</v>
      </c>
      <c r="AV55" s="21">
        <f>EXP(-LN(2)/25)*AV54+(1-EXP(-LN(2)/25))/(LN(2)/25)*Calculateur!AQ55*Calculateur!AS55*VLOOKUP('Données projet'!$B$10,Paramètres!$A$1:$I$89,3,0)*0.475*44/12</f>
        <v>7.293694896773137</v>
      </c>
      <c r="AW55" s="21">
        <f>EXP(-LN(2)/2)*AW54+(1-EXP(-LN(2)/2))/(LN(2)/2)*AQ55*AT55*VLOOKUP('Données projet'!$B$10,Paramètres!$A$1:$I$89,3,0)*0.475*44/12</f>
        <v>1.0211320033316814E-2</v>
      </c>
      <c r="AX55" s="21">
        <f t="shared" si="6"/>
        <v>11.662220018947833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5.6843418860808015E-14</v>
      </c>
      <c r="BE55" s="13">
        <f>BD55*VLOOKUP('Données projet'!$B$11,Paramètres!$A$1:$I$89,3,0)*VLOOKUP('Données projet'!$B$11,Paramètres!$A$1:$I$89,5,0)</f>
        <v>3.6357050703372803E-14</v>
      </c>
      <c r="BF55" s="13">
        <f t="shared" si="37"/>
        <v>6.1445232567661395E-13</v>
      </c>
      <c r="BG55" s="20">
        <f t="shared" si="7"/>
        <v>1.1334929971951436E-12</v>
      </c>
      <c r="BH55" s="59">
        <f t="shared" si="8"/>
        <v>293.33333333333445</v>
      </c>
      <c r="BI55" s="59">
        <f ca="1">AVERAGE(OFFSET($BH$3,0,0,'Données projet'!$E$11+1,1))-AVERAGE(OFFSET($H$3,0,0,'Données projet'!$E$11+1,1))</f>
        <v>176.90404027101607</v>
      </c>
      <c r="BJ55" s="59">
        <f t="shared" si="38"/>
        <v>295.34177980841878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1.1473814096412449</v>
      </c>
      <c r="BQ55" s="21">
        <f>EXP(-LN(2)/25)*BQ54+(1-EXP(-LN(2)/25))/(LN(2)/25)*Calculateur!BL55*Calculateur!BN55*VLOOKUP('Données projet'!$B$11,Paramètres!$A$1:$I$89,3,0)*0.475*44/12</f>
        <v>4.4776257218179412</v>
      </c>
      <c r="BR55" s="21">
        <f>EXP(-LN(2)/2)*BR54+(1-EXP(-LN(2)/2))/(LN(2)/2)*BL55*BO55*VLOOKUP('Données projet'!$B$11,Paramètres!$A$1:$I$89,3,0)*0.475*44/12</f>
        <v>1.6456297693986036E-5</v>
      </c>
      <c r="BS55" s="22">
        <f t="shared" si="9"/>
        <v>5.6250235877568802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16.2</v>
      </c>
      <c r="BY55" s="12">
        <f>IF('Données projet'!$A$114&gt;35,BY54+BX55-CG54,IF(A55&lt;'Données projet'!$A$114,$BV$205^A55,IF(A55='Données projet'!$A$114,'Données projet'!$B$114,BY54+BX55-CG54)))</f>
        <v>433.39999999999981</v>
      </c>
      <c r="BZ55" s="13">
        <f>BY55*VLOOKUP('Données projet'!$B$12,Paramètres!$A$1:$I$89,3,0)*VLOOKUP('Données projet'!$B$12,Paramètres!$A$1:$I$89,5,0)</f>
        <v>242.27059999999989</v>
      </c>
      <c r="CA55" s="13">
        <f t="shared" si="39"/>
        <v>58.927793080541385</v>
      </c>
      <c r="CB55" s="20">
        <f t="shared" si="10"/>
        <v>524.58720128194273</v>
      </c>
      <c r="CC55" s="59">
        <f t="shared" si="11"/>
        <v>817.92053461527598</v>
      </c>
      <c r="CD55" s="59">
        <f ca="1">AVERAGE(OFFSET($CC$3,0,0,'Données projet'!$E$12+1,1))-AVERAGE(OFFSET($H$3,0,0,'Données projet'!$E$12+1,1))</f>
        <v>326.31232746914907</v>
      </c>
      <c r="CE55" s="59">
        <f t="shared" si="40"/>
        <v>330.17137761430297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2.9546226451453959</v>
      </c>
      <c r="CL55" s="21">
        <f>EXP(-LN(2)/25)*CL54+(1-EXP(-LN(2)/25))/(LN(2)/25)*Calculateur!CG55*Calculateur!CI55*VLOOKUP('Données projet'!$B$12,Paramètres!$A$1:$I$89,3,0)*0.475*44/12</f>
        <v>16.394997394306507</v>
      </c>
      <c r="CM55" s="21">
        <f>EXP(-LN(2)/2)*CM54+(1-EXP(-LN(2)/2))/(LN(2)/2)*CG55*CJ55*VLOOKUP('Données projet'!$B$12,Paramètres!$A$1:$I$89,3,0)*0.475*44/12</f>
        <v>1.5879925962126583E-2</v>
      </c>
      <c r="CN55" s="22">
        <f t="shared" si="12"/>
        <v>19.365499965414031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9.8000000000000007</v>
      </c>
      <c r="CT55" s="12">
        <f>IF('Données projet'!$A$140&gt;35,CT54+CS55-DB54,IF(A55&lt;'Données projet'!$A$140,$CQ$205^A55,IF(A55='Données projet'!$A$140,'Données projet'!$B$140,CT54+CS55-DB54)))</f>
        <v>303.60000000000014</v>
      </c>
      <c r="CU55" s="17">
        <f>CT55*VLOOKUP('Données projet'!$B$13,Paramètres!$A$1:$I$89,3,0)*VLOOKUP('Données projet'!$B$13,Paramètres!$A$1:$I$89,5,0)</f>
        <v>165.76560000000009</v>
      </c>
      <c r="CV55" s="13">
        <f t="shared" si="41"/>
        <v>42.140271125684301</v>
      </c>
      <c r="CW55" s="20">
        <f t="shared" si="13"/>
        <v>362.10272554390031</v>
      </c>
      <c r="CX55" s="59">
        <f t="shared" si="14"/>
        <v>655.43605887723356</v>
      </c>
      <c r="CY55" s="59">
        <f ca="1">AVERAGE(OFFSET($CX$3,0,0,'Données projet'!$E$13+1,1))-AVERAGE(OFFSET($H$3,0,0,'Données projet'!$E$13+1,1))</f>
        <v>210.04871822652808</v>
      </c>
      <c r="CZ55" s="59">
        <f t="shared" si="42"/>
        <v>250.17540614049324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4.722398984629848</v>
      </c>
      <c r="DG55" s="21">
        <f>EXP(-LN(2)/25)*DG54+(1-EXP(-LN(2)/25))/(LN(2)/25)*Calculateur!DB55*Calculateur!DD55*VLOOKUP('Données projet'!$B$13,Paramètres!$A$1:$I$89,3,0)*0.475*44/12</f>
        <v>15.122303350440712</v>
      </c>
      <c r="DH55" s="21">
        <f>EXP(-LN(2)/2)*DH54+(1-EXP(-LN(2)/2))/(LN(2)/2)*DB55*DE55*VLOOKUP('Données projet'!$B$13,Paramètres!$A$1:$I$89,3,0)*0.475*44/12</f>
        <v>1.0524359735034988E-2</v>
      </c>
      <c r="DI55" s="22">
        <f t="shared" si="15"/>
        <v>19.855226694805594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255.59999999999985</v>
      </c>
      <c r="DP55" s="17">
        <f>DO55*VLOOKUP('Données projet'!$B$14,Paramètres!$A$1:$I$89,3,0)*VLOOKUP('Données projet'!$B$14,Paramètres!$A$1:$I$89,5,0)</f>
        <v>187.4059199999999</v>
      </c>
      <c r="DQ55" s="13">
        <f t="shared" si="43"/>
        <v>46.965980543441781</v>
      </c>
      <c r="DR55" s="20">
        <f t="shared" si="16"/>
        <v>408.19772677982763</v>
      </c>
      <c r="DS55" s="59">
        <f t="shared" si="17"/>
        <v>701.53106011316095</v>
      </c>
      <c r="DT55" s="59">
        <f ca="1">AVERAGE(OFFSET($DS$3,0,0,'Données projet'!$E$14+1,1))-AVERAGE(OFFSET($H$3,0,0,'Données projet'!$E$14+1,1))</f>
        <v>234.09142087023463</v>
      </c>
      <c r="DU55" s="59">
        <f t="shared" si="44"/>
        <v>278.990685815294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1.5780370945662909</v>
      </c>
      <c r="EB55" s="21">
        <f>EXP(-LN(2)/25)*EB54+(1-EXP(-LN(2)/25))/(LN(2)/25)*Calculateur!DW55*Calculateur!DY55*VLOOKUP('Données projet'!$B$14,Paramètres!$A$1:$I$89,3,0)*0.475*44/12</f>
        <v>8.33648205938103</v>
      </c>
      <c r="EC55" s="21">
        <f>EXP(-LN(2)/2)*EC54+(1-EXP(-LN(2)/2))/(LN(2)/2)*DW55*DZ55*VLOOKUP('Données projet'!$B$14,Paramètres!$A$1:$I$89,3,0)*0.475*44/12</f>
        <v>1.0817197168730797E-2</v>
      </c>
      <c r="ED55" s="22">
        <f t="shared" si="18"/>
        <v>9.9253363511160515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</v>
      </c>
      <c r="N56" s="13">
        <f>IF('Données projet'!$A$36&gt;35,N55+M56-V55,IF(A56&lt;'Données projet'!$A$36,$K$205^A56,IF(A56='Données projet'!$A$36,'Données projet'!$B$36,N55+M56-V55)))</f>
        <v>357.4000000000002</v>
      </c>
      <c r="O56" s="13">
        <f>N56*VLOOKUP('Données projet'!$B$9,Paramètres!$A$1:$I$89,3,0)*VLOOKUP('Données projet'!$B$9,Paramètres!$A$1:$I$89,5,0)</f>
        <v>213.72520000000014</v>
      </c>
      <c r="P56" s="13">
        <f t="shared" si="33"/>
        <v>52.748800684046955</v>
      </c>
      <c r="Q56" s="20">
        <f t="shared" si="53"/>
        <v>464.10888452471528</v>
      </c>
      <c r="R56" s="59">
        <f t="shared" si="0"/>
        <v>757.44221785804859</v>
      </c>
      <c r="S56" s="59">
        <f ca="1">AVERAGE(OFFSET($R$3,0,0,'Données projet'!$E$9+1,1))-AVERAGE(OFFSET($H$3,0,0,'Données projet'!$E$9+1,1))</f>
        <v>259.30247982593914</v>
      </c>
      <c r="T56" s="59">
        <f t="shared" si="34"/>
        <v>275.24740346220779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9.5306100502501039</v>
      </c>
      <c r="AB56" s="21">
        <f>EXP(-LN(2)/2)*AB55+(1-EXP(-LN(2)/2))/(LN(2)/2)*V56*Y56*VLOOKUP('Données projet'!$B$9,Paramètres!$A$1:$I$89,3,0)*0.475*44/12</f>
        <v>9.9024194107496782E-3</v>
      </c>
      <c r="AC56" s="22">
        <f t="shared" si="3"/>
        <v>9.5405124696608539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19.2</v>
      </c>
      <c r="AI56" s="13">
        <f>IF('Données projet'!$A$62&gt;35,AI55+AH56-AQ55,IF(A56&lt;'Données projet'!$A$62,$AF$205^A56,IF(A56='Données projet'!$A$62,'Données projet'!$B$62,AI55+AH56-AQ55)))</f>
        <v>495.6</v>
      </c>
      <c r="AJ56" s="13">
        <f>AI56*VLOOKUP('Données projet'!$B$10,Paramètres!$A$1:$I$89,3,0)*VLOOKUP('Données projet'!$B$10,Paramètres!$A$1:$I$89,5,0)</f>
        <v>238.38360000000003</v>
      </c>
      <c r="AK56" s="13">
        <f t="shared" si="35"/>
        <v>58.091617484887593</v>
      </c>
      <c r="AL56" s="20">
        <f t="shared" si="4"/>
        <v>516.36100378617914</v>
      </c>
      <c r="AM56" s="59">
        <f t="shared" si="5"/>
        <v>809.69433711951251</v>
      </c>
      <c r="AN56" s="59">
        <f ca="1">AVERAGE(OFFSET($AM$3,0,0,'Données projet'!$E$10+1,1))-AVERAGE(OFFSET($H$3,0,0,'Données projet'!$E$10+1,1))</f>
        <v>297.21955661193238</v>
      </c>
      <c r="AO56" s="59">
        <f t="shared" si="36"/>
        <v>273.69206144662144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4.2728499267903199</v>
      </c>
      <c r="AV56" s="21">
        <f>EXP(-LN(2)/25)*AV55+(1-EXP(-LN(2)/25))/(LN(2)/25)*Calculateur!AQ56*Calculateur!AS56*VLOOKUP('Données projet'!$B$10,Paramètres!$A$1:$I$89,3,0)*0.475*44/12</f>
        <v>7.0942484262621308</v>
      </c>
      <c r="AW56" s="21">
        <f>EXP(-LN(2)/2)*AW55+(1-EXP(-LN(2)/2))/(LN(2)/2)*AQ56*AT56*VLOOKUP('Données projet'!$B$10,Paramètres!$A$1:$I$89,3,0)*0.475*44/12</f>
        <v>7.2204936404243617E-3</v>
      </c>
      <c r="AX56" s="21">
        <f t="shared" si="6"/>
        <v>11.374318846692876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5.6843418860808015E-14</v>
      </c>
      <c r="BE56" s="13">
        <f>BD56*VLOOKUP('Données projet'!$B$11,Paramètres!$A$1:$I$89,3,0)*VLOOKUP('Données projet'!$B$11,Paramètres!$A$1:$I$89,5,0)</f>
        <v>3.6357050703372803E-14</v>
      </c>
      <c r="BF56" s="13">
        <f t="shared" si="37"/>
        <v>6.1445232567661395E-13</v>
      </c>
      <c r="BG56" s="20">
        <f t="shared" si="7"/>
        <v>1.1334929971951436E-12</v>
      </c>
      <c r="BH56" s="59">
        <f t="shared" si="8"/>
        <v>293.33333333333445</v>
      </c>
      <c r="BI56" s="59">
        <f ca="1">AVERAGE(OFFSET($BH$3,0,0,'Données projet'!$E$11+1,1))-AVERAGE(OFFSET($H$3,0,0,'Données projet'!$E$11+1,1))</f>
        <v>176.90404027101607</v>
      </c>
      <c r="BJ56" s="59">
        <f t="shared" si="38"/>
        <v>295.34177980841878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1.1248819600317372</v>
      </c>
      <c r="BQ56" s="21">
        <f>EXP(-LN(2)/25)*BQ55+(1-EXP(-LN(2)/25))/(LN(2)/25)*Calculateur!BL56*Calculateur!BN56*VLOOKUP('Données projet'!$B$11,Paramètres!$A$1:$I$89,3,0)*0.475*44/12</f>
        <v>4.3551848109867262</v>
      </c>
      <c r="BR56" s="21">
        <f>EXP(-LN(2)/2)*BR55+(1-EXP(-LN(2)/2))/(LN(2)/2)*BL56*BO56*VLOOKUP('Données projet'!$B$11,Paramètres!$A$1:$I$89,3,0)*0.475*44/12</f>
        <v>1.163635969264207E-5</v>
      </c>
      <c r="BS56" s="22">
        <f t="shared" si="9"/>
        <v>5.4800784073781559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16.2</v>
      </c>
      <c r="BY56" s="12">
        <f>IF('Données projet'!$A$114&gt;35,BY55+BX56-CG55,IF(A56&lt;'Données projet'!$A$114,$BV$205^A56,IF(A56='Données projet'!$A$114,'Données projet'!$B$114,BY55+BX56-CG55)))</f>
        <v>449.5999999999998</v>
      </c>
      <c r="BZ56" s="13">
        <f>BY56*VLOOKUP('Données projet'!$B$12,Paramètres!$A$1:$I$89,3,0)*VLOOKUP('Données projet'!$B$12,Paramètres!$A$1:$I$89,5,0)</f>
        <v>251.32639999999989</v>
      </c>
      <c r="CA56" s="13">
        <f t="shared" si="39"/>
        <v>60.869881917806573</v>
      </c>
      <c r="CB56" s="20">
        <f t="shared" si="10"/>
        <v>543.74185767351298</v>
      </c>
      <c r="CC56" s="59">
        <f t="shared" si="11"/>
        <v>837.07519100684635</v>
      </c>
      <c r="CD56" s="59">
        <f ca="1">AVERAGE(OFFSET($CC$3,0,0,'Données projet'!$E$12+1,1))-AVERAGE(OFFSET($H$3,0,0,'Données projet'!$E$12+1,1))</f>
        <v>326.31232746914907</v>
      </c>
      <c r="CE56" s="59">
        <f t="shared" si="40"/>
        <v>330.17137761430297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2.8966842972159617</v>
      </c>
      <c r="CL56" s="21">
        <f>EXP(-LN(2)/25)*CL55+(1-EXP(-LN(2)/25))/(LN(2)/25)*Calculateur!CG56*Calculateur!CI56*VLOOKUP('Données projet'!$B$12,Paramètres!$A$1:$I$89,3,0)*0.475*44/12</f>
        <v>15.946675328383755</v>
      </c>
      <c r="CM56" s="21">
        <f>EXP(-LN(2)/2)*CM55+(1-EXP(-LN(2)/2))/(LN(2)/2)*CG56*CJ56*VLOOKUP('Données projet'!$B$12,Paramètres!$A$1:$I$89,3,0)*0.475*44/12</f>
        <v>1.1228803332560017E-2</v>
      </c>
      <c r="CN56" s="22">
        <f t="shared" si="12"/>
        <v>18.854588428932278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9.8000000000000007</v>
      </c>
      <c r="CT56" s="12">
        <f>IF('Données projet'!$A$140&gt;35,CT55+CS56-DB55,IF(A56&lt;'Données projet'!$A$140,$CQ$205^A56,IF(A56='Données projet'!$A$140,'Données projet'!$B$140,CT55+CS56-DB55)))</f>
        <v>313.40000000000015</v>
      </c>
      <c r="CU56" s="17">
        <f>CT56*VLOOKUP('Données projet'!$B$13,Paramètres!$A$1:$I$89,3,0)*VLOOKUP('Données projet'!$B$13,Paramètres!$A$1:$I$89,5,0)</f>
        <v>171.11640000000011</v>
      </c>
      <c r="CV56" s="13">
        <f t="shared" si="41"/>
        <v>43.339964715636555</v>
      </c>
      <c r="CW56" s="20">
        <f t="shared" si="13"/>
        <v>373.51150187973388</v>
      </c>
      <c r="CX56" s="59">
        <f t="shared" si="14"/>
        <v>666.8448352130672</v>
      </c>
      <c r="CY56" s="59">
        <f ca="1">AVERAGE(OFFSET($CX$3,0,0,'Données projet'!$E$13+1,1))-AVERAGE(OFFSET($H$3,0,0,'Données projet'!$E$13+1,1))</f>
        <v>210.04871822652808</v>
      </c>
      <c r="CZ56" s="59">
        <f t="shared" si="42"/>
        <v>250.17540614049324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4.6297956209202233</v>
      </c>
      <c r="DG56" s="21">
        <f>EXP(-LN(2)/25)*DG55+(1-EXP(-LN(2)/25))/(LN(2)/25)*Calculateur!DB56*Calculateur!DD56*VLOOKUP('Données projet'!$B$13,Paramètres!$A$1:$I$89,3,0)*0.475*44/12</f>
        <v>14.70878317007554</v>
      </c>
      <c r="DH56" s="21">
        <f>EXP(-LN(2)/2)*DH55+(1-EXP(-LN(2)/2))/(LN(2)/2)*DB56*DE56*VLOOKUP('Données projet'!$B$13,Paramètres!$A$1:$I$89,3,0)*0.475*44/12</f>
        <v>7.4418461362898971E-3</v>
      </c>
      <c r="DI56" s="22">
        <f t="shared" si="15"/>
        <v>19.34602063713205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262.39999999999986</v>
      </c>
      <c r="DP56" s="17">
        <f>DO56*VLOOKUP('Données projet'!$B$14,Paramètres!$A$1:$I$89,3,0)*VLOOKUP('Données projet'!$B$14,Paramètres!$A$1:$I$89,5,0)</f>
        <v>192.39167999999989</v>
      </c>
      <c r="DQ56" s="13">
        <f t="shared" si="43"/>
        <v>48.068333764993156</v>
      </c>
      <c r="DR56" s="20">
        <f t="shared" si="16"/>
        <v>418.80119064069623</v>
      </c>
      <c r="DS56" s="59">
        <f t="shared" si="17"/>
        <v>712.13452397402955</v>
      </c>
      <c r="DT56" s="59">
        <f ca="1">AVERAGE(OFFSET($DS$3,0,0,'Données projet'!$E$14+1,1))-AVERAGE(OFFSET($H$3,0,0,'Données projet'!$E$14+1,1))</f>
        <v>234.09142087023463</v>
      </c>
      <c r="DU56" s="59">
        <f t="shared" si="44"/>
        <v>278.990685815294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1.547092749649434</v>
      </c>
      <c r="EB56" s="21">
        <f>EXP(-LN(2)/25)*EB55+(1-EXP(-LN(2)/25))/(LN(2)/25)*Calculateur!DW56*Calculateur!DY56*VLOOKUP('Données projet'!$B$14,Paramètres!$A$1:$I$89,3,0)*0.475*44/12</f>
        <v>8.1085205190707175</v>
      </c>
      <c r="EC56" s="21">
        <f>EXP(-LN(2)/2)*EC55+(1-EXP(-LN(2)/2))/(LN(2)/2)*DW56*DZ56*VLOOKUP('Données projet'!$B$14,Paramètres!$A$1:$I$89,3,0)*0.475*44/12</f>
        <v>7.6489134714414694E-3</v>
      </c>
      <c r="ED56" s="22">
        <f t="shared" si="18"/>
        <v>9.6632621821915929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</v>
      </c>
      <c r="N57" s="13">
        <f>IF('Données projet'!$A$36&gt;35,N56+M57-V56,IF(A57&lt;'Données projet'!$A$36,$K$205^A57,IF(A57='Données projet'!$A$36,'Données projet'!$B$36,N56+M57-V56)))</f>
        <v>370.20000000000022</v>
      </c>
      <c r="O57" s="13">
        <f>N57*VLOOKUP('Données projet'!$B$9,Paramètres!$A$1:$I$89,3,0)*VLOOKUP('Données projet'!$B$9,Paramètres!$A$1:$I$89,5,0)</f>
        <v>221.37960000000015</v>
      </c>
      <c r="P57" s="13">
        <f t="shared" si="33"/>
        <v>54.414625783743794</v>
      </c>
      <c r="Q57" s="20">
        <f t="shared" si="53"/>
        <v>480.34160990668738</v>
      </c>
      <c r="R57" s="59">
        <f t="shared" si="0"/>
        <v>773.67494324002064</v>
      </c>
      <c r="S57" s="59">
        <f ca="1">AVERAGE(OFFSET($R$3,0,0,'Données projet'!$E$9+1,1))-AVERAGE(OFFSET($H$3,0,0,'Données projet'!$E$9+1,1))</f>
        <v>259.30247982593914</v>
      </c>
      <c r="T57" s="59">
        <f t="shared" si="34"/>
        <v>275.24740346220779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9.2699950172330148</v>
      </c>
      <c r="AB57" s="21">
        <f>EXP(-LN(2)/2)*AB56+(1-EXP(-LN(2)/2))/(LN(2)/2)*V57*Y57*VLOOKUP('Données projet'!$B$9,Paramètres!$A$1:$I$89,3,0)*0.475*44/12</f>
        <v>7.0020679154943937E-3</v>
      </c>
      <c r="AC57" s="22">
        <f t="shared" si="3"/>
        <v>9.2769970851485084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19.2</v>
      </c>
      <c r="AI57" s="13">
        <f>IF('Données projet'!$A$62&gt;35,AI56+AH57-AQ56,IF(A57&lt;'Données projet'!$A$62,$AF$205^A57,IF(A57='Données projet'!$A$62,'Données projet'!$B$62,AI56+AH57-AQ56)))</f>
        <v>514.80000000000007</v>
      </c>
      <c r="AJ57" s="13">
        <f>AI57*VLOOKUP('Données projet'!$B$10,Paramètres!$A$1:$I$89,3,0)*VLOOKUP('Données projet'!$B$10,Paramètres!$A$1:$I$89,5,0)</f>
        <v>247.61880000000005</v>
      </c>
      <c r="AK57" s="13">
        <f t="shared" si="35"/>
        <v>60.075759045345535</v>
      </c>
      <c r="AL57" s="20">
        <f t="shared" si="4"/>
        <v>535.90135700397695</v>
      </c>
      <c r="AM57" s="59">
        <f t="shared" si="5"/>
        <v>829.23469033731021</v>
      </c>
      <c r="AN57" s="59">
        <f ca="1">AVERAGE(OFFSET($AM$3,0,0,'Données projet'!$E$10+1,1))-AVERAGE(OFFSET($H$3,0,0,'Données projet'!$E$10+1,1))</f>
        <v>297.21955661193238</v>
      </c>
      <c r="AO57" s="59">
        <f t="shared" si="36"/>
        <v>273.69206144662144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4.1890619459070777</v>
      </c>
      <c r="AV57" s="21">
        <f>EXP(-LN(2)/25)*AV56+(1-EXP(-LN(2)/25))/(LN(2)/25)*Calculateur!AQ57*Calculateur!AS57*VLOOKUP('Données projet'!$B$10,Paramètres!$A$1:$I$89,3,0)*0.475*44/12</f>
        <v>6.9002558299756824</v>
      </c>
      <c r="AW57" s="21">
        <f>EXP(-LN(2)/2)*AW56+(1-EXP(-LN(2)/2))/(LN(2)/2)*AQ57*AT57*VLOOKUP('Données projet'!$B$10,Paramètres!$A$1:$I$89,3,0)*0.475*44/12</f>
        <v>5.105660016658407E-3</v>
      </c>
      <c r="AX57" s="21">
        <f t="shared" si="6"/>
        <v>11.094423435899419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5.6843418860808015E-14</v>
      </c>
      <c r="BE57" s="13">
        <f>BD57*VLOOKUP('Données projet'!$B$11,Paramètres!$A$1:$I$89,3,0)*VLOOKUP('Données projet'!$B$11,Paramètres!$A$1:$I$89,5,0)</f>
        <v>3.6357050703372803E-14</v>
      </c>
      <c r="BF57" s="13">
        <f t="shared" si="37"/>
        <v>6.1445232567661395E-13</v>
      </c>
      <c r="BG57" s="20">
        <f t="shared" si="7"/>
        <v>1.1334929971951436E-12</v>
      </c>
      <c r="BH57" s="59">
        <f t="shared" si="8"/>
        <v>293.33333333333445</v>
      </c>
      <c r="BI57" s="59">
        <f ca="1">AVERAGE(OFFSET($BH$3,0,0,'Données projet'!$E$11+1,1))-AVERAGE(OFFSET($H$3,0,0,'Données projet'!$E$11+1,1))</f>
        <v>176.90404027101607</v>
      </c>
      <c r="BJ57" s="59">
        <f t="shared" si="38"/>
        <v>295.34177980841878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1.1028237109057628</v>
      </c>
      <c r="BQ57" s="21">
        <f>EXP(-LN(2)/25)*BQ56+(1-EXP(-LN(2)/25))/(LN(2)/25)*Calculateur!BL57*Calculateur!BN57*VLOOKUP('Données projet'!$B$11,Paramètres!$A$1:$I$89,3,0)*0.475*44/12</f>
        <v>4.2360920533010784</v>
      </c>
      <c r="BR57" s="21">
        <f>EXP(-LN(2)/2)*BR56+(1-EXP(-LN(2)/2))/(LN(2)/2)*BL57*BO57*VLOOKUP('Données projet'!$B$11,Paramètres!$A$1:$I$89,3,0)*0.475*44/12</f>
        <v>8.2281488469930178E-6</v>
      </c>
      <c r="BS57" s="22">
        <f t="shared" si="9"/>
        <v>5.3389239923556877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16.2</v>
      </c>
      <c r="BY57" s="12">
        <f>IF('Données projet'!$A$114&gt;35,BY56+BX57-CG56,IF(A57&lt;'Données projet'!$A$114,$BV$205^A57,IF(A57='Données projet'!$A$114,'Données projet'!$B$114,BY56+BX57-CG56)))</f>
        <v>465.79999999999978</v>
      </c>
      <c r="BZ57" s="13">
        <f>BY57*VLOOKUP('Données projet'!$B$12,Paramètres!$A$1:$I$89,3,0)*VLOOKUP('Données projet'!$B$12,Paramètres!$A$1:$I$89,5,0)</f>
        <v>260.3821999999999</v>
      </c>
      <c r="CA57" s="13">
        <f t="shared" si="39"/>
        <v>62.803840584871082</v>
      </c>
      <c r="CB57" s="20">
        <f t="shared" si="10"/>
        <v>562.88235401865029</v>
      </c>
      <c r="CC57" s="59">
        <f t="shared" si="11"/>
        <v>856.21568735198366</v>
      </c>
      <c r="CD57" s="59">
        <f ca="1">AVERAGE(OFFSET($CC$3,0,0,'Données projet'!$E$12+1,1))-AVERAGE(OFFSET($H$3,0,0,'Données projet'!$E$12+1,1))</f>
        <v>326.31232746914907</v>
      </c>
      <c r="CE57" s="59">
        <f t="shared" si="40"/>
        <v>330.17137761430297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2.8398820849505206</v>
      </c>
      <c r="CL57" s="21">
        <f>EXP(-LN(2)/25)*CL56+(1-EXP(-LN(2)/25))/(LN(2)/25)*Calculateur!CG57*Calculateur!CI57*VLOOKUP('Données projet'!$B$12,Paramètres!$A$1:$I$89,3,0)*0.475*44/12</f>
        <v>15.510612652929892</v>
      </c>
      <c r="CM57" s="21">
        <f>EXP(-LN(2)/2)*CM56+(1-EXP(-LN(2)/2))/(LN(2)/2)*CG57*CJ57*VLOOKUP('Données projet'!$B$12,Paramètres!$A$1:$I$89,3,0)*0.475*44/12</f>
        <v>7.9399629810632914E-3</v>
      </c>
      <c r="CN57" s="22">
        <f t="shared" si="12"/>
        <v>18.358434700861473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9.8000000000000007</v>
      </c>
      <c r="CT57" s="12">
        <f>IF('Données projet'!$A$140&gt;35,CT56+CS57-DB56,IF(A57&lt;'Données projet'!$A$140,$CQ$205^A57,IF(A57='Données projet'!$A$140,'Données projet'!$B$140,CT56+CS57-DB56)))</f>
        <v>323.20000000000016</v>
      </c>
      <c r="CU57" s="17">
        <f>CT57*VLOOKUP('Données projet'!$B$13,Paramètres!$A$1:$I$89,3,0)*VLOOKUP('Données projet'!$B$13,Paramètres!$A$1:$I$89,5,0)</f>
        <v>176.46720000000008</v>
      </c>
      <c r="CV57" s="13">
        <f t="shared" si="41"/>
        <v>44.535298821989436</v>
      </c>
      <c r="CW57" s="20">
        <f t="shared" si="13"/>
        <v>384.91268544829836</v>
      </c>
      <c r="CX57" s="59">
        <f t="shared" si="14"/>
        <v>678.24601878163162</v>
      </c>
      <c r="CY57" s="59">
        <f ca="1">AVERAGE(OFFSET($CX$3,0,0,'Données projet'!$E$13+1,1))-AVERAGE(OFFSET($H$3,0,0,'Données projet'!$E$13+1,1))</f>
        <v>210.04871822652808</v>
      </c>
      <c r="CZ57" s="59">
        <f t="shared" si="42"/>
        <v>250.17540614049324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4.53900815269047</v>
      </c>
      <c r="DG57" s="21">
        <f>EXP(-LN(2)/25)*DG56+(1-EXP(-LN(2)/25))/(LN(2)/25)*Calculateur!DB57*Calculateur!DD57*VLOOKUP('Données projet'!$B$13,Paramètres!$A$1:$I$89,3,0)*0.475*44/12</f>
        <v>14.306570720788535</v>
      </c>
      <c r="DH57" s="21">
        <f>EXP(-LN(2)/2)*DH56+(1-EXP(-LN(2)/2))/(LN(2)/2)*DB57*DE57*VLOOKUP('Données projet'!$B$13,Paramètres!$A$1:$I$89,3,0)*0.475*44/12</f>
        <v>5.262179867517495E-3</v>
      </c>
      <c r="DI57" s="22">
        <f t="shared" si="15"/>
        <v>18.850841053346524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269.19999999999987</v>
      </c>
      <c r="DP57" s="17">
        <f>DO57*VLOOKUP('Données projet'!$B$14,Paramètres!$A$1:$I$89,3,0)*VLOOKUP('Données projet'!$B$14,Paramètres!$A$1:$I$89,5,0)</f>
        <v>197.37743999999989</v>
      </c>
      <c r="DQ57" s="13">
        <f t="shared" si="43"/>
        <v>49.167366395757924</v>
      </c>
      <c r="DR57" s="20">
        <f t="shared" si="16"/>
        <v>429.39887113927813</v>
      </c>
      <c r="DS57" s="59">
        <f t="shared" si="17"/>
        <v>722.73220447261144</v>
      </c>
      <c r="DT57" s="59">
        <f ca="1">AVERAGE(OFFSET($DS$3,0,0,'Données projet'!$E$14+1,1))-AVERAGE(OFFSET($H$3,0,0,'Données projet'!$E$14+1,1))</f>
        <v>234.09142087023463</v>
      </c>
      <c r="DU57" s="59">
        <f t="shared" si="44"/>
        <v>278.990685815294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1.5167552044622099</v>
      </c>
      <c r="EB57" s="21">
        <f>EXP(-LN(2)/25)*EB56+(1-EXP(-LN(2)/25))/(LN(2)/25)*Calculateur!DW57*Calculateur!DY57*VLOOKUP('Données projet'!$B$14,Paramètres!$A$1:$I$89,3,0)*0.475*44/12</f>
        <v>7.8867925990681673</v>
      </c>
      <c r="EC57" s="21">
        <f>EXP(-LN(2)/2)*EC56+(1-EXP(-LN(2)/2))/(LN(2)/2)*DW57*DZ57*VLOOKUP('Données projet'!$B$14,Paramètres!$A$1:$I$89,3,0)*0.475*44/12</f>
        <v>5.4085985843653995E-3</v>
      </c>
      <c r="ED57" s="22">
        <f t="shared" si="18"/>
        <v>9.4089564021147432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</v>
      </c>
      <c r="N58" s="13">
        <f>IF('Données projet'!$A$36&gt;35,N57+M58-V57,IF(A58&lt;'Données projet'!$A$36,$K$205^A58,IF(A58='Données projet'!$A$36,'Données projet'!$B$36,N57+M58-V57)))</f>
        <v>383.00000000000023</v>
      </c>
      <c r="O58" s="13">
        <f>N58*VLOOKUP('Données projet'!$B$9,Paramètres!$A$1:$I$89,3,0)*VLOOKUP('Données projet'!$B$9,Paramètres!$A$1:$I$89,5,0)</f>
        <v>229.03400000000016</v>
      </c>
      <c r="P58" s="13">
        <f t="shared" si="33"/>
        <v>56.073758609460775</v>
      </c>
      <c r="Q58" s="20">
        <f t="shared" si="53"/>
        <v>496.56267957814447</v>
      </c>
      <c r="R58" s="59">
        <f t="shared" si="0"/>
        <v>789.89601291147778</v>
      </c>
      <c r="S58" s="59">
        <f ca="1">AVERAGE(OFFSET($R$3,0,0,'Données projet'!$E$9+1,1))-AVERAGE(OFFSET($H$3,0,0,'Données projet'!$E$9+1,1))</f>
        <v>259.30247982593914</v>
      </c>
      <c r="T58" s="59">
        <f t="shared" si="34"/>
        <v>275.24740346220779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9.0165065159989268</v>
      </c>
      <c r="AB58" s="21">
        <f>EXP(-LN(2)/2)*AB57+(1-EXP(-LN(2)/2))/(LN(2)/2)*V58*Y58*VLOOKUP('Données projet'!$B$9,Paramètres!$A$1:$I$89,3,0)*0.475*44/12</f>
        <v>4.9512097053748391E-3</v>
      </c>
      <c r="AC58" s="22">
        <f t="shared" si="3"/>
        <v>9.0214577257043018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19.2</v>
      </c>
      <c r="AI58" s="13">
        <f>IF('Données projet'!$A$62&gt;35,AI57+AH58-AQ57,IF(A58&lt;'Données projet'!$A$62,$AF$205^A58,IF(A58='Données projet'!$A$62,'Données projet'!$B$62,AI57+AH58-AQ57)))</f>
        <v>534.00000000000011</v>
      </c>
      <c r="AJ58" s="13">
        <f>AI58*VLOOKUP('Données projet'!$B$10,Paramètres!$A$1:$I$89,3,0)*VLOOKUP('Données projet'!$B$10,Paramètres!$A$1:$I$89,5,0)</f>
        <v>256.85400000000004</v>
      </c>
      <c r="AK58" s="13">
        <f t="shared" si="35"/>
        <v>62.051303498751508</v>
      </c>
      <c r="AL58" s="20">
        <f t="shared" si="4"/>
        <v>555.42673692699225</v>
      </c>
      <c r="AM58" s="59">
        <f t="shared" si="5"/>
        <v>848.76007026032562</v>
      </c>
      <c r="AN58" s="59">
        <f ca="1">AVERAGE(OFFSET($AM$3,0,0,'Données projet'!$E$10+1,1))-AVERAGE(OFFSET($H$3,0,0,'Données projet'!$E$10+1,1))</f>
        <v>297.21955661193238</v>
      </c>
      <c r="AO58" s="59">
        <f t="shared" si="36"/>
        <v>273.69206144662144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4.1069169962233341</v>
      </c>
      <c r="AV58" s="21">
        <f>EXP(-LN(2)/25)*AV57+(1-EXP(-LN(2)/25))/(LN(2)/25)*Calculateur!AQ58*Calculateur!AS58*VLOOKUP('Données projet'!$B$10,Paramètres!$A$1:$I$89,3,0)*0.475*44/12</f>
        <v>6.7115679714363141</v>
      </c>
      <c r="AW58" s="21">
        <f>EXP(-LN(2)/2)*AW57+(1-EXP(-LN(2)/2))/(LN(2)/2)*AQ58*AT58*VLOOKUP('Données projet'!$B$10,Paramètres!$A$1:$I$89,3,0)*0.475*44/12</f>
        <v>3.6102468202121808E-3</v>
      </c>
      <c r="AX58" s="21">
        <f t="shared" si="6"/>
        <v>10.822095214479861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5.6843418860808015E-14</v>
      </c>
      <c r="BE58" s="13">
        <f>BD58*VLOOKUP('Données projet'!$B$11,Paramètres!$A$1:$I$89,3,0)*VLOOKUP('Données projet'!$B$11,Paramètres!$A$1:$I$89,5,0)</f>
        <v>3.6357050703372803E-14</v>
      </c>
      <c r="BF58" s="13">
        <f t="shared" si="37"/>
        <v>6.1445232567661395E-13</v>
      </c>
      <c r="BG58" s="20">
        <f t="shared" si="7"/>
        <v>1.1334929971951436E-12</v>
      </c>
      <c r="BH58" s="59">
        <f t="shared" si="8"/>
        <v>293.33333333333445</v>
      </c>
      <c r="BI58" s="59">
        <f ca="1">AVERAGE(OFFSET($BH$3,0,0,'Données projet'!$E$11+1,1))-AVERAGE(OFFSET($H$3,0,0,'Données projet'!$E$11+1,1))</f>
        <v>176.90404027101607</v>
      </c>
      <c r="BJ58" s="59">
        <f t="shared" si="38"/>
        <v>295.34177980841878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1.0811980105909451</v>
      </c>
      <c r="BQ58" s="21">
        <f>EXP(-LN(2)/25)*BQ57+(1-EXP(-LN(2)/25))/(LN(2)/25)*Calculateur!BL58*Calculateur!BN58*VLOOKUP('Données projet'!$B$11,Paramètres!$A$1:$I$89,3,0)*0.475*44/12</f>
        <v>4.1202558933371609</v>
      </c>
      <c r="BR58" s="21">
        <f>EXP(-LN(2)/2)*BR57+(1-EXP(-LN(2)/2))/(LN(2)/2)*BL58*BO58*VLOOKUP('Données projet'!$B$11,Paramètres!$A$1:$I$89,3,0)*0.475*44/12</f>
        <v>5.8181798463210352E-6</v>
      </c>
      <c r="BS58" s="22">
        <f t="shared" si="9"/>
        <v>5.2014597221079528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16.2</v>
      </c>
      <c r="BY58" s="12">
        <f>IF('Données projet'!$A$114&gt;35,BY57+BX58-CG57,IF(A58&lt;'Données projet'!$A$114,$BV$205^A58,IF(A58='Données projet'!$A$114,'Données projet'!$B$114,BY57+BX58-CG57)))</f>
        <v>481.99999999999977</v>
      </c>
      <c r="BZ58" s="13">
        <f>BY58*VLOOKUP('Données projet'!$B$12,Paramètres!$A$1:$I$89,3,0)*VLOOKUP('Données projet'!$B$12,Paramètres!$A$1:$I$89,5,0)</f>
        <v>269.43799999999987</v>
      </c>
      <c r="CA58" s="13">
        <f t="shared" si="39"/>
        <v>64.729984244002736</v>
      </c>
      <c r="CB58" s="20">
        <f t="shared" si="10"/>
        <v>582.00923922497111</v>
      </c>
      <c r="CC58" s="59">
        <f t="shared" si="11"/>
        <v>875.34257255830448</v>
      </c>
      <c r="CD58" s="59">
        <f ca="1">AVERAGE(OFFSET($CC$3,0,0,'Données projet'!$E$12+1,1))-AVERAGE(OFFSET($H$3,0,0,'Données projet'!$E$12+1,1))</f>
        <v>326.31232746914907</v>
      </c>
      <c r="CE58" s="59">
        <f t="shared" si="40"/>
        <v>330.17137761430297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2.7841937294216765</v>
      </c>
      <c r="CL58" s="21">
        <f>EXP(-LN(2)/25)*CL57+(1-EXP(-LN(2)/25))/(LN(2)/25)*Calculateur!CG58*Calculateur!CI58*VLOOKUP('Données projet'!$B$12,Paramètres!$A$1:$I$89,3,0)*0.475*44/12</f>
        <v>15.086474134267855</v>
      </c>
      <c r="CM58" s="21">
        <f>EXP(-LN(2)/2)*CM57+(1-EXP(-LN(2)/2))/(LN(2)/2)*CG58*CJ58*VLOOKUP('Données projet'!$B$12,Paramètres!$A$1:$I$89,3,0)*0.475*44/12</f>
        <v>5.6144016662800084E-3</v>
      </c>
      <c r="CN58" s="22">
        <f t="shared" si="12"/>
        <v>17.876282265355808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9.8000000000000007</v>
      </c>
      <c r="CT58" s="12">
        <f>IF('Données projet'!$A$140&gt;35,CT57+CS58-DB57,IF(A58&lt;'Données projet'!$A$140,$CQ$205^A58,IF(A58='Données projet'!$A$140,'Données projet'!$B$140,CT57+CS58-DB57)))</f>
        <v>333.00000000000017</v>
      </c>
      <c r="CU58" s="17">
        <f>CT58*VLOOKUP('Données projet'!$B$13,Paramètres!$A$1:$I$89,3,0)*VLOOKUP('Données projet'!$B$13,Paramètres!$A$1:$I$89,5,0)</f>
        <v>181.8180000000001</v>
      </c>
      <c r="CV58" s="13">
        <f t="shared" si="41"/>
        <v>45.726420804334332</v>
      </c>
      <c r="CW58" s="20">
        <f t="shared" si="13"/>
        <v>396.30653290088247</v>
      </c>
      <c r="CX58" s="59">
        <f t="shared" si="14"/>
        <v>689.63986623421579</v>
      </c>
      <c r="CY58" s="59">
        <f ca="1">AVERAGE(OFFSET($CX$3,0,0,'Données projet'!$E$13+1,1))-AVERAGE(OFFSET($H$3,0,0,'Données projet'!$E$13+1,1))</f>
        <v>210.04871822652808</v>
      </c>
      <c r="CZ58" s="59">
        <f t="shared" si="42"/>
        <v>250.17540614049324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4.4500009713378139</v>
      </c>
      <c r="DG58" s="21">
        <f>EXP(-LN(2)/25)*DG57+(1-EXP(-LN(2)/25))/(LN(2)/25)*Calculateur!DB58*Calculateur!DD58*VLOOKUP('Données projet'!$B$13,Paramètres!$A$1:$I$89,3,0)*0.475*44/12</f>
        <v>13.915356792078716</v>
      </c>
      <c r="DH58" s="21">
        <f>EXP(-LN(2)/2)*DH57+(1-EXP(-LN(2)/2))/(LN(2)/2)*DB58*DE58*VLOOKUP('Données projet'!$B$13,Paramètres!$A$1:$I$89,3,0)*0.475*44/12</f>
        <v>3.7209230681449494E-3</v>
      </c>
      <c r="DI58" s="22">
        <f t="shared" si="15"/>
        <v>18.369078686484674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275.99999999999989</v>
      </c>
      <c r="DP58" s="17">
        <f>DO58*VLOOKUP('Données projet'!$B$14,Paramètres!$A$1:$I$89,3,0)*VLOOKUP('Données projet'!$B$14,Paramètres!$A$1:$I$89,5,0)</f>
        <v>202.36319999999992</v>
      </c>
      <c r="DQ58" s="13">
        <f t="shared" si="43"/>
        <v>50.263171959975132</v>
      </c>
      <c r="DR58" s="20">
        <f t="shared" si="16"/>
        <v>439.9909311636232</v>
      </c>
      <c r="DS58" s="59">
        <f t="shared" si="17"/>
        <v>733.32426449695652</v>
      </c>
      <c r="DT58" s="59">
        <f ca="1">AVERAGE(OFFSET($DS$3,0,0,'Données projet'!$E$14+1,1))-AVERAGE(OFFSET($H$3,0,0,'Données projet'!$E$14+1,1))</f>
        <v>234.09142087023463</v>
      </c>
      <c r="DU58" s="59">
        <f t="shared" si="44"/>
        <v>278.990685815294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1.4870125600320319</v>
      </c>
      <c r="EB58" s="21">
        <f>EXP(-LN(2)/25)*EB57+(1-EXP(-LN(2)/25))/(LN(2)/25)*Calculateur!DW58*Calculateur!DY58*VLOOKUP('Données projet'!$B$14,Paramètres!$A$1:$I$89,3,0)*0.475*44/12</f>
        <v>7.6711278406982508</v>
      </c>
      <c r="EC58" s="21">
        <f>EXP(-LN(2)/2)*EC57+(1-EXP(-LN(2)/2))/(LN(2)/2)*DW58*DZ58*VLOOKUP('Données projet'!$B$14,Paramètres!$A$1:$I$89,3,0)*0.475*44/12</f>
        <v>3.8244567357207356E-3</v>
      </c>
      <c r="ED58" s="22">
        <f t="shared" si="18"/>
        <v>9.1619648574660033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12.8</v>
      </c>
      <c r="N59" s="13">
        <f>IF('Données projet'!$A$36&gt;35,N58+M59-V58,IF(A59&lt;'Données projet'!$A$36,$K$205^A59,IF(A59='Données projet'!$A$36,'Données projet'!$B$36,N58+M59-V58)))</f>
        <v>395.80000000000024</v>
      </c>
      <c r="O59" s="13">
        <f>N59*VLOOKUP('Données projet'!$B$9,Paramètres!$A$1:$I$89,3,0)*VLOOKUP('Données projet'!$B$9,Paramètres!$A$1:$I$89,5,0)</f>
        <v>236.68840000000017</v>
      </c>
      <c r="P59" s="13">
        <f t="shared" si="33"/>
        <v>57.726448462488456</v>
      </c>
      <c r="Q59" s="20">
        <f t="shared" si="53"/>
        <v>512.77252773883436</v>
      </c>
      <c r="R59" s="59">
        <f t="shared" si="0"/>
        <v>806.10586107216773</v>
      </c>
      <c r="S59" s="59">
        <f ca="1">AVERAGE(OFFSET($R$3,0,0,'Données projet'!$E$9+1,1))-AVERAGE(OFFSET($H$3,0,0,'Données projet'!$E$9+1,1))</f>
        <v>259.30247982593914</v>
      </c>
      <c r="T59" s="59">
        <f t="shared" si="34"/>
        <v>275.24740346220779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8.7699496711614664</v>
      </c>
      <c r="AB59" s="21">
        <f>EXP(-LN(2)/2)*AB58+(1-EXP(-LN(2)/2))/(LN(2)/2)*V59*Y59*VLOOKUP('Données projet'!$B$9,Paramètres!$A$1:$I$89,3,0)*0.475*44/12</f>
        <v>3.5010339577471968E-3</v>
      </c>
      <c r="AC59" s="22">
        <f t="shared" si="3"/>
        <v>8.7734507051192132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19.2</v>
      </c>
      <c r="AI59" s="13">
        <f>IF('Données projet'!$A$62&gt;35,AI58+AH59-AQ58,IF(A59&lt;'Données projet'!$A$62,$AF$205^A59,IF(A59='Données projet'!$A$62,'Données projet'!$B$62,AI58+AH59-AQ58)))</f>
        <v>553.20000000000016</v>
      </c>
      <c r="AJ59" s="13">
        <f>AI59*VLOOKUP('Données projet'!$B$10,Paramètres!$A$1:$I$89,3,0)*VLOOKUP('Données projet'!$B$10,Paramètres!$A$1:$I$89,5,0)</f>
        <v>266.08920000000006</v>
      </c>
      <c r="AK59" s="13">
        <f t="shared" si="35"/>
        <v>64.018595364759364</v>
      </c>
      <c r="AL59" s="20">
        <f t="shared" si="4"/>
        <v>574.93774359362271</v>
      </c>
      <c r="AM59" s="59">
        <f t="shared" si="5"/>
        <v>868.27107692695608</v>
      </c>
      <c r="AN59" s="59">
        <f ca="1">AVERAGE(OFFSET($AM$3,0,0,'Données projet'!$E$10+1,1))-AVERAGE(OFFSET($H$3,0,0,'Données projet'!$E$10+1,1))</f>
        <v>297.21955661193238</v>
      </c>
      <c r="AO59" s="59">
        <f t="shared" si="36"/>
        <v>273.69206144662144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4.0263828588994164</v>
      </c>
      <c r="AV59" s="21">
        <f>EXP(-LN(2)/25)*AV58+(1-EXP(-LN(2)/25))/(LN(2)/25)*Calculateur!AQ59*Calculateur!AS59*VLOOKUP('Données projet'!$B$10,Paramètres!$A$1:$I$89,3,0)*0.475*44/12</f>
        <v>6.5280397923113682</v>
      </c>
      <c r="AW59" s="21">
        <f>EXP(-LN(2)/2)*AW58+(1-EXP(-LN(2)/2))/(LN(2)/2)*AQ59*AT59*VLOOKUP('Données projet'!$B$10,Paramètres!$A$1:$I$89,3,0)*0.475*44/12</f>
        <v>2.5528300083292035E-3</v>
      </c>
      <c r="AX59" s="21">
        <f t="shared" si="6"/>
        <v>10.556975481219114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5.6843418860808015E-14</v>
      </c>
      <c r="BE59" s="13">
        <f>BD59*VLOOKUP('Données projet'!$B$11,Paramètres!$A$1:$I$89,3,0)*VLOOKUP('Données projet'!$B$11,Paramètres!$A$1:$I$89,5,0)</f>
        <v>3.6357050703372803E-14</v>
      </c>
      <c r="BF59" s="13">
        <f t="shared" si="37"/>
        <v>6.1445232567661395E-13</v>
      </c>
      <c r="BG59" s="20">
        <f t="shared" si="7"/>
        <v>1.1334929971951436E-12</v>
      </c>
      <c r="BH59" s="59">
        <f t="shared" si="8"/>
        <v>293.33333333333445</v>
      </c>
      <c r="BI59" s="59">
        <f ca="1">AVERAGE(OFFSET($BH$3,0,0,'Données projet'!$E$11+1,1))-AVERAGE(OFFSET($H$3,0,0,'Données projet'!$E$11+1,1))</f>
        <v>176.90404027101607</v>
      </c>
      <c r="BJ59" s="59">
        <f t="shared" si="38"/>
        <v>295.34177980841878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1.0599963770689262</v>
      </c>
      <c r="BQ59" s="21">
        <f>EXP(-LN(2)/25)*BQ58+(1-EXP(-LN(2)/25))/(LN(2)/25)*Calculateur!BL59*Calculateur!BN59*VLOOKUP('Données projet'!$B$11,Paramètres!$A$1:$I$89,3,0)*0.475*44/12</f>
        <v>4.0075872792590159</v>
      </c>
      <c r="BR59" s="21">
        <f>EXP(-LN(2)/2)*BR58+(1-EXP(-LN(2)/2))/(LN(2)/2)*BL59*BO59*VLOOKUP('Données projet'!$B$11,Paramètres!$A$1:$I$89,3,0)*0.475*44/12</f>
        <v>4.1140744234965089E-6</v>
      </c>
      <c r="BS59" s="22">
        <f t="shared" si="9"/>
        <v>5.0675877704023655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16.2</v>
      </c>
      <c r="BY59" s="12">
        <f>IF('Données projet'!$A$114&gt;35,BY58+BX59-CG58,IF(A59&lt;'Données projet'!$A$114,$BV$205^A59,IF(A59='Données projet'!$A$114,'Données projet'!$B$114,BY58+BX59-CG58)))</f>
        <v>498.19999999999976</v>
      </c>
      <c r="BZ59" s="13">
        <f>BY59*VLOOKUP('Données projet'!$B$12,Paramètres!$A$1:$I$89,3,0)*VLOOKUP('Données projet'!$B$12,Paramètres!$A$1:$I$89,5,0)</f>
        <v>278.49379999999985</v>
      </c>
      <c r="CA59" s="13">
        <f t="shared" si="39"/>
        <v>66.648605670285122</v>
      </c>
      <c r="CB59" s="20">
        <f t="shared" si="10"/>
        <v>601.12302320907963</v>
      </c>
      <c r="CC59" s="59">
        <f t="shared" si="11"/>
        <v>894.456356542413</v>
      </c>
      <c r="CD59" s="59">
        <f ca="1">AVERAGE(OFFSET($CC$3,0,0,'Données projet'!$E$12+1,1))-AVERAGE(OFFSET($H$3,0,0,'Données projet'!$E$12+1,1))</f>
        <v>326.31232746914907</v>
      </c>
      <c r="CE59" s="59">
        <f t="shared" si="40"/>
        <v>330.17137761430297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2.7295973885782101</v>
      </c>
      <c r="CL59" s="21">
        <f>EXP(-LN(2)/25)*CL58+(1-EXP(-LN(2)/25))/(LN(2)/25)*Calculateur!CG59*Calculateur!CI59*VLOOKUP('Données projet'!$B$12,Paramètres!$A$1:$I$89,3,0)*0.475*44/12</f>
        <v>14.673933705703107</v>
      </c>
      <c r="CM59" s="21">
        <f>EXP(-LN(2)/2)*CM58+(1-EXP(-LN(2)/2))/(LN(2)/2)*CG59*CJ59*VLOOKUP('Données projet'!$B$12,Paramètres!$A$1:$I$89,3,0)*0.475*44/12</f>
        <v>3.9699814905316457E-3</v>
      </c>
      <c r="CN59" s="22">
        <f t="shared" si="12"/>
        <v>17.407501075771847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9.8000000000000007</v>
      </c>
      <c r="CT59" s="12">
        <f>IF('Données projet'!$A$140&gt;35,CT58+CS59-DB58,IF(A59&lt;'Données projet'!$A$140,$CQ$205^A59,IF(A59='Données projet'!$A$140,'Données projet'!$B$140,CT58+CS59-DB58)))</f>
        <v>342.80000000000018</v>
      </c>
      <c r="CU59" s="17">
        <f>CT59*VLOOKUP('Données projet'!$B$13,Paramètres!$A$1:$I$89,3,0)*VLOOKUP('Données projet'!$B$13,Paramètres!$A$1:$I$89,5,0)</f>
        <v>187.16880000000012</v>
      </c>
      <c r="CV59" s="13">
        <f t="shared" si="41"/>
        <v>46.913468855747631</v>
      </c>
      <c r="CW59" s="20">
        <f t="shared" si="13"/>
        <v>407.6932849237607</v>
      </c>
      <c r="CX59" s="59">
        <f t="shared" si="14"/>
        <v>701.02661825709401</v>
      </c>
      <c r="CY59" s="59">
        <f ca="1">AVERAGE(OFFSET($CX$3,0,0,'Données projet'!$E$13+1,1))-AVERAGE(OFFSET($H$3,0,0,'Données projet'!$E$13+1,1))</f>
        <v>210.04871822652808</v>
      </c>
      <c r="CZ59" s="59">
        <f t="shared" si="42"/>
        <v>250.17540614049324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4.3627391665224637</v>
      </c>
      <c r="DG59" s="21">
        <f>EXP(-LN(2)/25)*DG58+(1-EXP(-LN(2)/25))/(LN(2)/25)*Calculateur!DB59*Calculateur!DD59*VLOOKUP('Données projet'!$B$13,Paramètres!$A$1:$I$89,3,0)*0.475*44/12</f>
        <v>13.534840628822515</v>
      </c>
      <c r="DH59" s="21">
        <f>EXP(-LN(2)/2)*DH58+(1-EXP(-LN(2)/2))/(LN(2)/2)*DB59*DE59*VLOOKUP('Données projet'!$B$13,Paramètres!$A$1:$I$89,3,0)*0.475*44/12</f>
        <v>2.6310899337587479E-3</v>
      </c>
      <c r="DI59" s="22">
        <f t="shared" si="15"/>
        <v>17.900210885278735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6.8</v>
      </c>
      <c r="DO59" s="12">
        <f>IF('Données projet'!$A$166&gt;35,DO58+DN59-DW58,IF(A59&lt;'Données projet'!$A$166,$DL$205^A59,IF(A59='Données projet'!$A$166,'Données projet'!$B$166,DO58+DN59-DW58)))</f>
        <v>282.7999999999999</v>
      </c>
      <c r="DP59" s="17">
        <f>DO59*VLOOKUP('Données projet'!$B$14,Paramètres!$A$1:$I$89,3,0)*VLOOKUP('Données projet'!$B$14,Paramètres!$A$1:$I$89,5,0)</f>
        <v>207.34895999999992</v>
      </c>
      <c r="DQ59" s="13">
        <f t="shared" si="43"/>
        <v>51.355839110732845</v>
      </c>
      <c r="DR59" s="20">
        <f t="shared" si="16"/>
        <v>450.57752511785958</v>
      </c>
      <c r="DS59" s="59">
        <f t="shared" si="17"/>
        <v>743.91085845119289</v>
      </c>
      <c r="DT59" s="59">
        <f ca="1">AVERAGE(OFFSET($DS$3,0,0,'Données projet'!$E$14+1,1))-AVERAGE(OFFSET($H$3,0,0,'Données projet'!$E$14+1,1))</f>
        <v>234.09142087023463</v>
      </c>
      <c r="DU59" s="59">
        <f t="shared" si="44"/>
        <v>278.990685815294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1.4578531507179078</v>
      </c>
      <c r="EB59" s="21">
        <f>EXP(-LN(2)/25)*EB58+(1-EXP(-LN(2)/25))/(LN(2)/25)*Calculateur!DW59*Calculateur!DY59*VLOOKUP('Données projet'!$B$14,Paramètres!$A$1:$I$89,3,0)*0.475*44/12</f>
        <v>7.4613604464872765</v>
      </c>
      <c r="EC59" s="21">
        <f>EXP(-LN(2)/2)*EC58+(1-EXP(-LN(2)/2))/(LN(2)/2)*DW59*DZ59*VLOOKUP('Données projet'!$B$14,Paramètres!$A$1:$I$89,3,0)*0.475*44/12</f>
        <v>2.7042992921827002E-3</v>
      </c>
      <c r="ED59" s="22">
        <f t="shared" si="18"/>
        <v>8.9219178964973676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12.8</v>
      </c>
      <c r="N60" s="13">
        <f>IF('Données projet'!$A$36&gt;35,N59+M60-V59,IF(A60&lt;'Données projet'!$A$36,$K$205^A60,IF(A60='Données projet'!$A$36,'Données projet'!$B$36,N59+M60-V59)))</f>
        <v>408.60000000000025</v>
      </c>
      <c r="O60" s="13">
        <f>N60*VLOOKUP('Données projet'!$B$9,Paramètres!$A$1:$I$89,3,0)*VLOOKUP('Données projet'!$B$9,Paramètres!$A$1:$I$89,5,0)</f>
        <v>244.34280000000018</v>
      </c>
      <c r="P60" s="13">
        <f t="shared" si="33"/>
        <v>59.372927604128122</v>
      </c>
      <c r="Q60" s="20">
        <f t="shared" si="53"/>
        <v>528.97155891052341</v>
      </c>
      <c r="R60" s="59">
        <f t="shared" si="0"/>
        <v>822.30489224385678</v>
      </c>
      <c r="S60" s="59">
        <f ca="1">AVERAGE(OFFSET($R$3,0,0,'Données projet'!$E$9+1,1))-AVERAGE(OFFSET($H$3,0,0,'Données projet'!$E$9+1,1))</f>
        <v>259.30247982593914</v>
      </c>
      <c r="T60" s="59">
        <f t="shared" si="34"/>
        <v>275.24740346220779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8.5301349362119474</v>
      </c>
      <c r="AB60" s="21">
        <f>EXP(-LN(2)/2)*AB59+(1-EXP(-LN(2)/2))/(LN(2)/2)*V60*Y60*VLOOKUP('Données projet'!$B$9,Paramètres!$A$1:$I$89,3,0)*0.475*44/12</f>
        <v>2.4756048526874195E-3</v>
      </c>
      <c r="AC60" s="22">
        <f t="shared" si="3"/>
        <v>8.5326105410646349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19.2</v>
      </c>
      <c r="AI60" s="13">
        <f>IF('Données projet'!$A$62&gt;35,AI59+AH60-AQ59,IF(A60&lt;'Données projet'!$A$62,$AF$205^A60,IF(A60='Données projet'!$A$62,'Données projet'!$B$62,AI59+AH60-AQ59)))</f>
        <v>572.4000000000002</v>
      </c>
      <c r="AJ60" s="13">
        <f>AI60*VLOOKUP('Données projet'!$B$10,Paramètres!$A$1:$I$89,3,0)*VLOOKUP('Données projet'!$B$10,Paramètres!$A$1:$I$89,5,0)</f>
        <v>275.32440000000008</v>
      </c>
      <c r="AK60" s="13">
        <f t="shared" si="35"/>
        <v>65.977953892196268</v>
      </c>
      <c r="AL60" s="20">
        <f t="shared" si="4"/>
        <v>594.43493302890863</v>
      </c>
      <c r="AM60" s="59">
        <f t="shared" si="5"/>
        <v>887.768266362242</v>
      </c>
      <c r="AN60" s="59">
        <f ca="1">AVERAGE(OFFSET($AM$3,0,0,'Données projet'!$E$10+1,1))-AVERAGE(OFFSET($H$3,0,0,'Données projet'!$E$10+1,1))</f>
        <v>297.21955661193238</v>
      </c>
      <c r="AO60" s="59">
        <f t="shared" si="36"/>
        <v>273.69206144662144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3.9474279468874478</v>
      </c>
      <c r="AV60" s="21">
        <f>EXP(-LN(2)/25)*AV59+(1-EXP(-LN(2)/25))/(LN(2)/25)*Calculateur!AQ60*Calculateur!AS60*VLOOKUP('Données projet'!$B$10,Paramètres!$A$1:$I$89,3,0)*0.475*44/12</f>
        <v>6.3495302008959209</v>
      </c>
      <c r="AW60" s="21">
        <f>EXP(-LN(2)/2)*AW59+(1-EXP(-LN(2)/2))/(LN(2)/2)*AQ60*AT60*VLOOKUP('Données projet'!$B$10,Paramètres!$A$1:$I$89,3,0)*0.475*44/12</f>
        <v>1.8051234101060904E-3</v>
      </c>
      <c r="AX60" s="21">
        <f t="shared" si="6"/>
        <v>10.298763271193474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5.6843418860808015E-14</v>
      </c>
      <c r="BE60" s="13">
        <f>BD60*VLOOKUP('Données projet'!$B$11,Paramètres!$A$1:$I$89,3,0)*VLOOKUP('Données projet'!$B$11,Paramètres!$A$1:$I$89,5,0)</f>
        <v>3.6357050703372803E-14</v>
      </c>
      <c r="BF60" s="13">
        <f t="shared" si="37"/>
        <v>6.1445232567661395E-13</v>
      </c>
      <c r="BG60" s="20">
        <f t="shared" si="7"/>
        <v>1.1334929971951436E-12</v>
      </c>
      <c r="BH60" s="59">
        <f t="shared" si="8"/>
        <v>293.33333333333445</v>
      </c>
      <c r="BI60" s="59">
        <f ca="1">AVERAGE(OFFSET($BH$3,0,0,'Données projet'!$E$11+1,1))-AVERAGE(OFFSET($H$3,0,0,'Données projet'!$E$11+1,1))</f>
        <v>176.90404027101607</v>
      </c>
      <c r="BJ60" s="59">
        <f t="shared" si="38"/>
        <v>295.34177980841878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1.0392104946485548</v>
      </c>
      <c r="BQ60" s="21">
        <f>EXP(-LN(2)/25)*BQ59+(1-EXP(-LN(2)/25))/(LN(2)/25)*Calculateur!BL60*Calculateur!BN60*VLOOKUP('Données projet'!$B$11,Paramètres!$A$1:$I$89,3,0)*0.475*44/12</f>
        <v>3.8979995943578225</v>
      </c>
      <c r="BR60" s="21">
        <f>EXP(-LN(2)/2)*BR59+(1-EXP(-LN(2)/2))/(LN(2)/2)*BL60*BO60*VLOOKUP('Données projet'!$B$11,Paramètres!$A$1:$I$89,3,0)*0.475*44/12</f>
        <v>2.9090899231605176E-6</v>
      </c>
      <c r="BS60" s="22">
        <f t="shared" si="9"/>
        <v>4.9372129980963004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16.2</v>
      </c>
      <c r="BY60" s="12">
        <f>IF('Données projet'!$A$114&gt;35,BY59+BX60-CG59,IF(A60&lt;'Données projet'!$A$114,$BV$205^A60,IF(A60='Données projet'!$A$114,'Données projet'!$B$114,BY59+BX60-CG59)))</f>
        <v>514.39999999999975</v>
      </c>
      <c r="BZ60" s="13">
        <f>BY60*VLOOKUP('Données projet'!$B$12,Paramètres!$A$1:$I$89,3,0)*VLOOKUP('Données projet'!$B$12,Paramètres!$A$1:$I$89,5,0)</f>
        <v>287.54959999999988</v>
      </c>
      <c r="CA60" s="13">
        <f t="shared" si="39"/>
        <v>68.559977517591122</v>
      </c>
      <c r="CB60" s="20">
        <f t="shared" si="10"/>
        <v>620.22418084313767</v>
      </c>
      <c r="CC60" s="59">
        <f t="shared" si="11"/>
        <v>913.55751417647093</v>
      </c>
      <c r="CD60" s="59">
        <f ca="1">AVERAGE(OFFSET($CC$3,0,0,'Données projet'!$E$12+1,1))-AVERAGE(OFFSET($H$3,0,0,'Données projet'!$E$12+1,1))</f>
        <v>326.31232746914907</v>
      </c>
      <c r="CE60" s="59">
        <f t="shared" si="40"/>
        <v>330.17137761430297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2.6760716486782044</v>
      </c>
      <c r="CL60" s="21">
        <f>EXP(-LN(2)/25)*CL59+(1-EXP(-LN(2)/25))/(LN(2)/25)*Calculateur!CG60*Calculateur!CI60*VLOOKUP('Données projet'!$B$12,Paramètres!$A$1:$I$89,3,0)*0.475*44/12</f>
        <v>14.272674216852019</v>
      </c>
      <c r="CM60" s="21">
        <f>EXP(-LN(2)/2)*CM59+(1-EXP(-LN(2)/2))/(LN(2)/2)*CG60*CJ60*VLOOKUP('Données projet'!$B$12,Paramètres!$A$1:$I$89,3,0)*0.475*44/12</f>
        <v>2.8072008331400042E-3</v>
      </c>
      <c r="CN60" s="22">
        <f t="shared" si="12"/>
        <v>16.951553066363363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9.8000000000000007</v>
      </c>
      <c r="CT60" s="12">
        <f>IF('Données projet'!$A$140&gt;35,CT59+CS60-DB59,IF(A60&lt;'Données projet'!$A$140,$CQ$205^A60,IF(A60='Données projet'!$A$140,'Données projet'!$B$140,CT59+CS60-DB59)))</f>
        <v>352.60000000000019</v>
      </c>
      <c r="CU60" s="17">
        <f>CT60*VLOOKUP('Données projet'!$B$13,Paramètres!$A$1:$I$89,3,0)*VLOOKUP('Données projet'!$B$13,Paramètres!$A$1:$I$89,5,0)</f>
        <v>192.51960000000011</v>
      </c>
      <c r="CV60" s="13">
        <f t="shared" si="41"/>
        <v>48.096572818546932</v>
      </c>
      <c r="CW60" s="20">
        <f t="shared" si="13"/>
        <v>419.0731676589694</v>
      </c>
      <c r="CX60" s="59">
        <f t="shared" si="14"/>
        <v>712.40650099230265</v>
      </c>
      <c r="CY60" s="59">
        <f ca="1">AVERAGE(OFFSET($CX$3,0,0,'Données projet'!$E$13+1,1))-AVERAGE(OFFSET($H$3,0,0,'Données projet'!$E$13+1,1))</f>
        <v>210.04871822652808</v>
      </c>
      <c r="CZ60" s="59">
        <f t="shared" si="42"/>
        <v>250.17540614049324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4.2771885124750968</v>
      </c>
      <c r="DG60" s="21">
        <f>EXP(-LN(2)/25)*DG59+(1-EXP(-LN(2)/25))/(LN(2)/25)*Calculateur!DB60*Calculateur!DD60*VLOOKUP('Données projet'!$B$13,Paramètres!$A$1:$I$89,3,0)*0.475*44/12</f>
        <v>13.164729700061029</v>
      </c>
      <c r="DH60" s="21">
        <f>EXP(-LN(2)/2)*DH59+(1-EXP(-LN(2)/2))/(LN(2)/2)*DB60*DE60*VLOOKUP('Données projet'!$B$13,Paramètres!$A$1:$I$89,3,0)*0.475*44/12</f>
        <v>1.8604615340724749E-3</v>
      </c>
      <c r="DI60" s="22">
        <f t="shared" si="15"/>
        <v>17.443778674070199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6.8</v>
      </c>
      <c r="DO60" s="12">
        <f>IF('Données projet'!$A$166&gt;35,DO59+DN60-DW59,IF(A60&lt;'Données projet'!$A$166,$DL$205^A60,IF(A60='Données projet'!$A$166,'Données projet'!$B$166,DO59+DN60-DW59)))</f>
        <v>289.59999999999991</v>
      </c>
      <c r="DP60" s="17">
        <f>DO60*VLOOKUP('Données projet'!$B$14,Paramètres!$A$1:$I$89,3,0)*VLOOKUP('Données projet'!$B$14,Paramètres!$A$1:$I$89,5,0)</f>
        <v>212.33471999999992</v>
      </c>
      <c r="DQ60" s="13">
        <f t="shared" si="43"/>
        <v>52.445451994617102</v>
      </c>
      <c r="DR60" s="20">
        <f t="shared" si="16"/>
        <v>461.15879955729133</v>
      </c>
      <c r="DS60" s="59">
        <f t="shared" si="17"/>
        <v>754.49213289062459</v>
      </c>
      <c r="DT60" s="59">
        <f ca="1">AVERAGE(OFFSET($DS$3,0,0,'Données projet'!$E$14+1,1))-AVERAGE(OFFSET($H$3,0,0,'Données projet'!$E$14+1,1))</f>
        <v>234.09142087023463</v>
      </c>
      <c r="DU60" s="59">
        <f t="shared" si="44"/>
        <v>278.990685815294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1.4292655396349501</v>
      </c>
      <c r="EB60" s="21">
        <f>EXP(-LN(2)/25)*EB59+(1-EXP(-LN(2)/25))/(LN(2)/25)*Calculateur!DW60*Calculateur!DY60*VLOOKUP('Données projet'!$B$14,Paramètres!$A$1:$I$89,3,0)*0.475*44/12</f>
        <v>7.257329152702189</v>
      </c>
      <c r="EC60" s="21">
        <f>EXP(-LN(2)/2)*EC59+(1-EXP(-LN(2)/2))/(LN(2)/2)*DW60*DZ60*VLOOKUP('Données projet'!$B$14,Paramètres!$A$1:$I$89,3,0)*0.475*44/12</f>
        <v>1.912228367860368E-3</v>
      </c>
      <c r="ED60" s="22">
        <f t="shared" si="18"/>
        <v>8.6885069207049987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12.8</v>
      </c>
      <c r="N61" s="13">
        <f>IF('Données projet'!$A$36&gt;35,N60+M61-V60,IF(A61&lt;'Données projet'!$A$36,$K$205^A61,IF(A61='Données projet'!$A$36,'Données projet'!$B$36,N60+M61-V60)))</f>
        <v>421.40000000000026</v>
      </c>
      <c r="O61" s="13">
        <f>N61*VLOOKUP('Données projet'!$B$9,Paramètres!$A$1:$I$89,3,0)*VLOOKUP('Données projet'!$B$9,Paramètres!$A$1:$I$89,5,0)</f>
        <v>251.99720000000019</v>
      </c>
      <c r="P61" s="13">
        <f t="shared" si="33"/>
        <v>61.013412917313239</v>
      </c>
      <c r="Q61" s="20">
        <f t="shared" si="53"/>
        <v>545.16015083098762</v>
      </c>
      <c r="R61" s="59">
        <f t="shared" si="0"/>
        <v>838.49348416432099</v>
      </c>
      <c r="S61" s="59">
        <f ca="1">AVERAGE(OFFSET($R$3,0,0,'Données projet'!$E$9+1,1))-AVERAGE(OFFSET($H$3,0,0,'Données projet'!$E$9+1,1))</f>
        <v>259.30247982593914</v>
      </c>
      <c r="T61" s="59">
        <f t="shared" si="34"/>
        <v>275.24740346220779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8.2968779478009314</v>
      </c>
      <c r="AB61" s="21">
        <f>EXP(-LN(2)/2)*AB60+(1-EXP(-LN(2)/2))/(LN(2)/2)*V61*Y61*VLOOKUP('Données projet'!$B$9,Paramètres!$A$1:$I$89,3,0)*0.475*44/12</f>
        <v>1.7505169788735984E-3</v>
      </c>
      <c r="AC61" s="22">
        <f t="shared" si="3"/>
        <v>8.2986284647798048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19.2</v>
      </c>
      <c r="AI61" s="13">
        <f>IF('Données projet'!$A$62&gt;35,AI60+AH61-AQ60,IF(A61&lt;'Données projet'!$A$62,$AF$205^A61,IF(A61='Données projet'!$A$62,'Données projet'!$B$62,AI60+AH61-AQ60)))</f>
        <v>591.60000000000025</v>
      </c>
      <c r="AJ61" s="13">
        <f>AI61*VLOOKUP('Données projet'!$B$10,Paramètres!$A$1:$I$89,3,0)*VLOOKUP('Données projet'!$B$10,Paramètres!$A$1:$I$89,5,0)</f>
        <v>284.5596000000001</v>
      </c>
      <c r="AK61" s="13">
        <f t="shared" si="35"/>
        <v>67.929675697579739</v>
      </c>
      <c r="AL61" s="20">
        <f t="shared" si="4"/>
        <v>613.91882183995142</v>
      </c>
      <c r="AM61" s="59">
        <f t="shared" si="5"/>
        <v>907.25215517328479</v>
      </c>
      <c r="AN61" s="59">
        <f ca="1">AVERAGE(OFFSET($AM$3,0,0,'Données projet'!$E$10+1,1))-AVERAGE(OFFSET($H$3,0,0,'Données projet'!$E$10+1,1))</f>
        <v>297.21955661193238</v>
      </c>
      <c r="AO61" s="59">
        <f t="shared" si="36"/>
        <v>273.69206144662144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3.8700212925422925</v>
      </c>
      <c r="AV61" s="21">
        <f>EXP(-LN(2)/25)*AV60+(1-EXP(-LN(2)/25))/(LN(2)/25)*Calculateur!AQ61*Calculateur!AS61*VLOOKUP('Données projet'!$B$10,Paramètres!$A$1:$I$89,3,0)*0.475*44/12</f>
        <v>6.1759019636451411</v>
      </c>
      <c r="AW61" s="21">
        <f>EXP(-LN(2)/2)*AW60+(1-EXP(-LN(2)/2))/(LN(2)/2)*AQ61*AT61*VLOOKUP('Données projet'!$B$10,Paramètres!$A$1:$I$89,3,0)*0.475*44/12</f>
        <v>1.2764150041646018E-3</v>
      </c>
      <c r="AX61" s="21">
        <f t="shared" si="6"/>
        <v>10.047199671191599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5.6843418860808015E-14</v>
      </c>
      <c r="BE61" s="13">
        <f>BD61*VLOOKUP('Données projet'!$B$11,Paramètres!$A$1:$I$89,3,0)*VLOOKUP('Données projet'!$B$11,Paramètres!$A$1:$I$89,5,0)</f>
        <v>3.6357050703372803E-14</v>
      </c>
      <c r="BF61" s="13">
        <f t="shared" si="37"/>
        <v>6.1445232567661395E-13</v>
      </c>
      <c r="BG61" s="20">
        <f t="shared" si="7"/>
        <v>1.1334929971951436E-12</v>
      </c>
      <c r="BH61" s="59">
        <f t="shared" si="8"/>
        <v>293.33333333333445</v>
      </c>
      <c r="BI61" s="59">
        <f ca="1">AVERAGE(OFFSET($BH$3,0,0,'Données projet'!$E$11+1,1))-AVERAGE(OFFSET($H$3,0,0,'Données projet'!$E$11+1,1))</f>
        <v>176.90404027101607</v>
      </c>
      <c r="BJ61" s="59">
        <f t="shared" si="38"/>
        <v>295.34177980841878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1.0188322107043102</v>
      </c>
      <c r="BQ61" s="21">
        <f>EXP(-LN(2)/25)*BQ60+(1-EXP(-LN(2)/25))/(LN(2)/25)*Calculateur!BL61*Calculateur!BN61*VLOOKUP('Données projet'!$B$11,Paramètres!$A$1:$I$89,3,0)*0.475*44/12</f>
        <v>3.791408590463218</v>
      </c>
      <c r="BR61" s="21">
        <f>EXP(-LN(2)/2)*BR60+(1-EXP(-LN(2)/2))/(LN(2)/2)*BL61*BO61*VLOOKUP('Données projet'!$B$11,Paramètres!$A$1:$I$89,3,0)*0.475*44/12</f>
        <v>2.0570372117482544E-6</v>
      </c>
      <c r="BS61" s="22">
        <f t="shared" si="9"/>
        <v>4.8102428582047398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16.2</v>
      </c>
      <c r="BY61" s="12">
        <f>IF('Données projet'!$A$114&gt;35,BY60+BX61-CG60,IF(A61&lt;'Données projet'!$A$114,$BV$205^A61,IF(A61='Données projet'!$A$114,'Données projet'!$B$114,BY60+BX61-CG60)))</f>
        <v>530.5999999999998</v>
      </c>
      <c r="BZ61" s="13">
        <f>BY61*VLOOKUP('Données projet'!$B$12,Paramètres!$A$1:$I$89,3,0)*VLOOKUP('Données projet'!$B$12,Paramètres!$A$1:$I$89,5,0)</f>
        <v>296.60539999999986</v>
      </c>
      <c r="CA61" s="13">
        <f t="shared" si="39"/>
        <v>70.464354291088782</v>
      </c>
      <c r="CB61" s="20">
        <f t="shared" si="10"/>
        <v>639.31315539031277</v>
      </c>
      <c r="CC61" s="59">
        <f t="shared" si="11"/>
        <v>932.64648872364614</v>
      </c>
      <c r="CD61" s="59">
        <f ca="1">AVERAGE(OFFSET($CC$3,0,0,'Données projet'!$E$12+1,1))-AVERAGE(OFFSET($H$3,0,0,'Données projet'!$E$12+1,1))</f>
        <v>326.31232746914907</v>
      </c>
      <c r="CE61" s="59">
        <f t="shared" si="40"/>
        <v>330.17137761430297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2.6235955158901598</v>
      </c>
      <c r="CL61" s="21">
        <f>EXP(-LN(2)/25)*CL60+(1-EXP(-LN(2)/25))/(LN(2)/25)*Calculateur!CG61*Calculateur!CI61*VLOOKUP('Données projet'!$B$12,Paramètres!$A$1:$I$89,3,0)*0.475*44/12</f>
        <v>13.882387189824884</v>
      </c>
      <c r="CM61" s="21">
        <f>EXP(-LN(2)/2)*CM60+(1-EXP(-LN(2)/2))/(LN(2)/2)*CG61*CJ61*VLOOKUP('Données projet'!$B$12,Paramètres!$A$1:$I$89,3,0)*0.475*44/12</f>
        <v>1.9849907452658229E-3</v>
      </c>
      <c r="CN61" s="22">
        <f t="shared" si="12"/>
        <v>16.507967696460312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9.8000000000000007</v>
      </c>
      <c r="CT61" s="12">
        <f>IF('Données projet'!$A$140&gt;35,CT60+CS61-DB60,IF(A61&lt;'Données projet'!$A$140,$CQ$205^A61,IF(A61='Données projet'!$A$140,'Données projet'!$B$140,CT60+CS61-DB60)))</f>
        <v>362.4000000000002</v>
      </c>
      <c r="CU61" s="17">
        <f>CT61*VLOOKUP('Données projet'!$B$13,Paramètres!$A$1:$I$89,3,0)*VLOOKUP('Données projet'!$B$13,Paramètres!$A$1:$I$89,5,0)</f>
        <v>197.8704000000001</v>
      </c>
      <c r="CV61" s="13">
        <f t="shared" si="41"/>
        <v>49.275854906806309</v>
      </c>
      <c r="CW61" s="20">
        <f t="shared" si="13"/>
        <v>430.44639396268781</v>
      </c>
      <c r="CX61" s="59">
        <f t="shared" si="14"/>
        <v>723.77972729602106</v>
      </c>
      <c r="CY61" s="59">
        <f ca="1">AVERAGE(OFFSET($CX$3,0,0,'Données projet'!$E$13+1,1))-AVERAGE(OFFSET($H$3,0,0,'Données projet'!$E$13+1,1))</f>
        <v>210.04871822652808</v>
      </c>
      <c r="CZ61" s="59">
        <f t="shared" si="42"/>
        <v>250.17540614049324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4.1933154545728524</v>
      </c>
      <c r="DG61" s="21">
        <f>EXP(-LN(2)/25)*DG60+(1-EXP(-LN(2)/25))/(LN(2)/25)*Calculateur!DB61*Calculateur!DD61*VLOOKUP('Données projet'!$B$13,Paramètres!$A$1:$I$89,3,0)*0.475*44/12</f>
        <v>12.804739474109814</v>
      </c>
      <c r="DH61" s="21">
        <f>EXP(-LN(2)/2)*DH60+(1-EXP(-LN(2)/2))/(LN(2)/2)*DB61*DE61*VLOOKUP('Données projet'!$B$13,Paramètres!$A$1:$I$89,3,0)*0.475*44/12</f>
        <v>1.3155449668793742E-3</v>
      </c>
      <c r="DI61" s="22">
        <f t="shared" si="15"/>
        <v>16.999370473649545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6.8</v>
      </c>
      <c r="DO61" s="12">
        <f>IF('Données projet'!$A$166&gt;35,DO60+DN61-DW60,IF(A61&lt;'Données projet'!$A$166,$DL$205^A61,IF(A61='Données projet'!$A$166,'Données projet'!$B$166,DO60+DN61-DW60)))</f>
        <v>296.39999999999992</v>
      </c>
      <c r="DP61" s="17">
        <f>DO61*VLOOKUP('Données projet'!$B$14,Paramètres!$A$1:$I$89,3,0)*VLOOKUP('Données projet'!$B$14,Paramètres!$A$1:$I$89,5,0)</f>
        <v>217.32047999999995</v>
      </c>
      <c r="DQ61" s="13">
        <f t="shared" si="43"/>
        <v>53.532090581147429</v>
      </c>
      <c r="DR61" s="20">
        <f t="shared" si="16"/>
        <v>471.73489376216497</v>
      </c>
      <c r="DS61" s="59">
        <f t="shared" si="17"/>
        <v>765.06822709549829</v>
      </c>
      <c r="DT61" s="59">
        <f ca="1">AVERAGE(OFFSET($DS$3,0,0,'Données projet'!$E$14+1,1))-AVERAGE(OFFSET($H$3,0,0,'Données projet'!$E$14+1,1))</f>
        <v>234.09142087023463</v>
      </c>
      <c r="DU61" s="59">
        <f t="shared" si="44"/>
        <v>278.990685815294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1.4012385141686081</v>
      </c>
      <c r="EB61" s="21">
        <f>EXP(-LN(2)/25)*EB60+(1-EXP(-LN(2)/25))/(LN(2)/25)*Calculateur!DW61*Calculateur!DY61*VLOOKUP('Données projet'!$B$14,Paramètres!$A$1:$I$89,3,0)*0.475*44/12</f>
        <v>7.0588771053751946</v>
      </c>
      <c r="EC61" s="21">
        <f>EXP(-LN(2)/2)*EC60+(1-EXP(-LN(2)/2))/(LN(2)/2)*DW61*DZ61*VLOOKUP('Données projet'!$B$14,Paramètres!$A$1:$I$89,3,0)*0.475*44/12</f>
        <v>1.3521496460913503E-3</v>
      </c>
      <c r="ED61" s="22">
        <f t="shared" si="18"/>
        <v>8.4614677691898947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12.8</v>
      </c>
      <c r="N62" s="13">
        <f>IF('Données projet'!$A$36&gt;35,N61+M62-V61,IF(A62&lt;'Données projet'!$A$36,$K$205^A62,IF(A62='Données projet'!$A$36,'Données projet'!$B$36,N61+M62-V61)))</f>
        <v>434.20000000000027</v>
      </c>
      <c r="O62" s="13">
        <f>N62*VLOOKUP('Données projet'!$B$9,Paramètres!$A$1:$I$89,3,0)*VLOOKUP('Données projet'!$B$9,Paramètres!$A$1:$I$89,5,0)</f>
        <v>259.6516000000002</v>
      </c>
      <c r="P62" s="13">
        <f t="shared" si="33"/>
        <v>62.6481073606721</v>
      </c>
      <c r="Q62" s="20">
        <f t="shared" si="53"/>
        <v>561.33865698650425</v>
      </c>
      <c r="R62" s="59">
        <f t="shared" si="0"/>
        <v>854.67199031983751</v>
      </c>
      <c r="S62" s="59">
        <f ca="1">AVERAGE(OFFSET($R$3,0,0,'Données projet'!$E$9+1,1))-AVERAGE(OFFSET($H$3,0,0,'Données projet'!$E$9+1,1))</f>
        <v>259.30247982593914</v>
      </c>
      <c r="T62" s="59">
        <f t="shared" si="34"/>
        <v>275.24740346220779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8.0699993840044666</v>
      </c>
      <c r="AB62" s="21">
        <f>EXP(-LN(2)/2)*AB61+(1-EXP(-LN(2)/2))/(LN(2)/2)*V62*Y62*VLOOKUP('Données projet'!$B$9,Paramètres!$A$1:$I$89,3,0)*0.475*44/12</f>
        <v>1.2378024263437098E-3</v>
      </c>
      <c r="AC62" s="22">
        <f t="shared" si="3"/>
        <v>8.0712371864308103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19.2</v>
      </c>
      <c r="AI62" s="13">
        <f>IF('Données projet'!$A$62&gt;35,AI61+AH62-AQ61,IF(A62&lt;'Données projet'!$A$62,$AF$205^A62,IF(A62='Données projet'!$A$62,'Données projet'!$B$62,AI61+AH62-AQ61)))</f>
        <v>610.8000000000003</v>
      </c>
      <c r="AJ62" s="13">
        <f>AI62*VLOOKUP('Données projet'!$B$10,Paramètres!$A$1:$I$89,3,0)*VLOOKUP('Données projet'!$B$10,Paramètres!$A$1:$I$89,5,0)</f>
        <v>293.79480000000012</v>
      </c>
      <c r="AK62" s="13">
        <f t="shared" si="35"/>
        <v>69.874037051486752</v>
      </c>
      <c r="AL62" s="20">
        <f t="shared" si="4"/>
        <v>633.38989119800635</v>
      </c>
      <c r="AM62" s="59">
        <f t="shared" si="5"/>
        <v>926.72322453133961</v>
      </c>
      <c r="AN62" s="59">
        <f ca="1">AVERAGE(OFFSET($AM$3,0,0,'Données projet'!$E$10+1,1))-AVERAGE(OFFSET($H$3,0,0,'Données projet'!$E$10+1,1))</f>
        <v>297.21955661193238</v>
      </c>
      <c r="AO62" s="59">
        <f t="shared" si="36"/>
        <v>273.69206144662144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3.7941325354754487</v>
      </c>
      <c r="AV62" s="21">
        <f>EXP(-LN(2)/25)*AV61+(1-EXP(-LN(2)/25))/(LN(2)/25)*Calculateur!AQ62*Calculateur!AS62*VLOOKUP('Données projet'!$B$10,Paramètres!$A$1:$I$89,3,0)*0.475*44/12</f>
        <v>6.0070215996726954</v>
      </c>
      <c r="AW62" s="21">
        <f>EXP(-LN(2)/2)*AW61+(1-EXP(-LN(2)/2))/(LN(2)/2)*AQ62*AT62*VLOOKUP('Données projet'!$B$10,Paramètres!$A$1:$I$89,3,0)*0.475*44/12</f>
        <v>9.0256170505304521E-4</v>
      </c>
      <c r="AX62" s="21">
        <f t="shared" si="6"/>
        <v>9.8020566968531959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5.6843418860808015E-14</v>
      </c>
      <c r="BE62" s="13">
        <f>BD62*VLOOKUP('Données projet'!$B$11,Paramètres!$A$1:$I$89,3,0)*VLOOKUP('Données projet'!$B$11,Paramètres!$A$1:$I$89,5,0)</f>
        <v>3.6357050703372803E-14</v>
      </c>
      <c r="BF62" s="13">
        <f t="shared" si="37"/>
        <v>6.1445232567661395E-13</v>
      </c>
      <c r="BG62" s="20">
        <f t="shared" si="7"/>
        <v>1.1334929971951436E-12</v>
      </c>
      <c r="BH62" s="59">
        <f t="shared" si="8"/>
        <v>293.33333333333445</v>
      </c>
      <c r="BI62" s="59">
        <f ca="1">AVERAGE(OFFSET($BH$3,0,0,'Données projet'!$E$11+1,1))-AVERAGE(OFFSET($H$3,0,0,'Données projet'!$E$11+1,1))</f>
        <v>176.90404027101607</v>
      </c>
      <c r="BJ62" s="59">
        <f t="shared" si="38"/>
        <v>295.34177980841878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0.99885353247868647</v>
      </c>
      <c r="BQ62" s="21">
        <f>EXP(-LN(2)/25)*BQ61+(1-EXP(-LN(2)/25))/(LN(2)/25)*Calculateur!BL62*Calculateur!BN62*VLOOKUP('Données projet'!$B$11,Paramètres!$A$1:$I$89,3,0)*0.475*44/12</f>
        <v>3.687732323175489</v>
      </c>
      <c r="BR62" s="21">
        <f>EXP(-LN(2)/2)*BR61+(1-EXP(-LN(2)/2))/(LN(2)/2)*BL62*BO62*VLOOKUP('Données projet'!$B$11,Paramètres!$A$1:$I$89,3,0)*0.475*44/12</f>
        <v>1.4545449615802588E-6</v>
      </c>
      <c r="BS62" s="22">
        <f t="shared" si="9"/>
        <v>4.6865873101991378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16.2</v>
      </c>
      <c r="BY62" s="12">
        <f>IF('Données projet'!$A$114&gt;35,BY61+BX62-CG61,IF(A62&lt;'Données projet'!$A$114,$BV$205^A62,IF(A62='Données projet'!$A$114,'Données projet'!$B$114,BY61+BX62-CG61)))</f>
        <v>546.79999999999984</v>
      </c>
      <c r="BZ62" s="13">
        <f>BY62*VLOOKUP('Données projet'!$B$12,Paramètres!$A$1:$I$89,3,0)*VLOOKUP('Données projet'!$B$12,Paramètres!$A$1:$I$89,5,0)</f>
        <v>305.66119999999995</v>
      </c>
      <c r="CA62" s="13">
        <f t="shared" si="39"/>
        <v>72.361974072085076</v>
      </c>
      <c r="CB62" s="20">
        <f t="shared" si="10"/>
        <v>658.39036150888137</v>
      </c>
      <c r="CC62" s="59">
        <f t="shared" si="11"/>
        <v>951.72369484221463</v>
      </c>
      <c r="CD62" s="59">
        <f ca="1">AVERAGE(OFFSET($CC$3,0,0,'Données projet'!$E$12+1,1))-AVERAGE(OFFSET($H$3,0,0,'Données projet'!$E$12+1,1))</f>
        <v>326.31232746914907</v>
      </c>
      <c r="CE62" s="59">
        <f t="shared" si="40"/>
        <v>330.17137761430297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2.5721484080588084</v>
      </c>
      <c r="CL62" s="21">
        <f>EXP(-LN(2)/25)*CL61+(1-EXP(-LN(2)/25))/(LN(2)/25)*Calculateur!CG62*Calculateur!CI62*VLOOKUP('Données projet'!$B$12,Paramètres!$A$1:$I$89,3,0)*0.475*44/12</f>
        <v>13.502772582076108</v>
      </c>
      <c r="CM62" s="21">
        <f>EXP(-LN(2)/2)*CM61+(1-EXP(-LN(2)/2))/(LN(2)/2)*CG62*CJ62*VLOOKUP('Données projet'!$B$12,Paramètres!$A$1:$I$89,3,0)*0.475*44/12</f>
        <v>1.4036004165700021E-3</v>
      </c>
      <c r="CN62" s="22">
        <f t="shared" si="12"/>
        <v>16.076324590551486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9.8000000000000007</v>
      </c>
      <c r="CT62" s="12">
        <f>IF('Données projet'!$A$140&gt;35,CT61+CS62-DB61,IF(A62&lt;'Données projet'!$A$140,$CQ$205^A62,IF(A62='Données projet'!$A$140,'Données projet'!$B$140,CT61+CS62-DB61)))</f>
        <v>372.20000000000022</v>
      </c>
      <c r="CU62" s="17">
        <f>CT62*VLOOKUP('Données projet'!$B$13,Paramètres!$A$1:$I$89,3,0)*VLOOKUP('Données projet'!$B$13,Paramètres!$A$1:$I$89,5,0)</f>
        <v>203.22120000000012</v>
      </c>
      <c r="CV62" s="13">
        <f t="shared" si="41"/>
        <v>50.451430348521406</v>
      </c>
      <c r="CW62" s="20">
        <f t="shared" si="13"/>
        <v>441.81316452367497</v>
      </c>
      <c r="CX62" s="59">
        <f t="shared" si="14"/>
        <v>735.14649785700828</v>
      </c>
      <c r="CY62" s="59">
        <f ca="1">AVERAGE(OFFSET($CX$3,0,0,'Données projet'!$E$13+1,1))-AVERAGE(OFFSET($H$3,0,0,'Données projet'!$E$13+1,1))</f>
        <v>210.04871822652808</v>
      </c>
      <c r="CZ62" s="59">
        <f t="shared" si="42"/>
        <v>250.17540614049324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4.1110870961785571</v>
      </c>
      <c r="DG62" s="21">
        <f>EXP(-LN(2)/25)*DG61+(1-EXP(-LN(2)/25))/(LN(2)/25)*Calculateur!DB62*Calculateur!DD62*VLOOKUP('Données projet'!$B$13,Paramètres!$A$1:$I$89,3,0)*0.475*44/12</f>
        <v>12.454593199818298</v>
      </c>
      <c r="DH62" s="21">
        <f>EXP(-LN(2)/2)*DH61+(1-EXP(-LN(2)/2))/(LN(2)/2)*DB62*DE62*VLOOKUP('Données projet'!$B$13,Paramètres!$A$1:$I$89,3,0)*0.475*44/12</f>
        <v>9.3023076703623757E-4</v>
      </c>
      <c r="DI62" s="22">
        <f t="shared" si="15"/>
        <v>16.566610526763892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</v>
      </c>
      <c r="DO62" s="12">
        <f>IF('Données projet'!$A$166&gt;35,DO61+DN62-DW61,IF(A62&lt;'Données projet'!$A$166,$DL$205^A62,IF(A62='Données projet'!$A$166,'Données projet'!$B$166,DO61+DN62-DW61)))</f>
        <v>303.19999999999993</v>
      </c>
      <c r="DP62" s="17">
        <f>DO62*VLOOKUP('Données projet'!$B$14,Paramètres!$A$1:$I$89,3,0)*VLOOKUP('Données projet'!$B$14,Paramètres!$A$1:$I$89,5,0)</f>
        <v>222.30623999999995</v>
      </c>
      <c r="DQ62" s="13">
        <f t="shared" si="43"/>
        <v>54.615830961128815</v>
      </c>
      <c r="DR62" s="20">
        <f t="shared" si="16"/>
        <v>482.3059402572992</v>
      </c>
      <c r="DS62" s="59">
        <f t="shared" si="17"/>
        <v>775.63927359063246</v>
      </c>
      <c r="DT62" s="59">
        <f ca="1">AVERAGE(OFFSET($DS$3,0,0,'Données projet'!$E$14+1,1))-AVERAGE(OFFSET($H$3,0,0,'Données projet'!$E$14+1,1))</f>
        <v>234.09142087023463</v>
      </c>
      <c r="DU62" s="59">
        <f t="shared" si="44"/>
        <v>278.990685815294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1.3737610815768635</v>
      </c>
      <c r="EB62" s="21">
        <f>EXP(-LN(2)/25)*EB61+(1-EXP(-LN(2)/25))/(LN(2)/25)*Calculateur!DW62*Calculateur!DY62*VLOOKUP('Données projet'!$B$14,Paramètres!$A$1:$I$89,3,0)*0.475*44/12</f>
        <v>6.8658517397184964</v>
      </c>
      <c r="EC62" s="21">
        <f>EXP(-LN(2)/2)*EC61+(1-EXP(-LN(2)/2))/(LN(2)/2)*DW62*DZ62*VLOOKUP('Données projet'!$B$14,Paramètres!$A$1:$I$89,3,0)*0.475*44/12</f>
        <v>9.5611418393018422E-4</v>
      </c>
      <c r="ED62" s="22">
        <f t="shared" si="18"/>
        <v>8.2405689354792901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447</v>
      </c>
      <c r="L63" s="12">
        <f>VLOOKUP(A63,'Données projet'!$A$35:$I$55,9,0)</f>
        <v>12.8</v>
      </c>
      <c r="M63" s="12">
        <f t="array" ref="M63">INDEX(L:L,MIN(IF(ISNUMBER(L63:L259),ROW(L63:L259),"")))</f>
        <v>12.8</v>
      </c>
      <c r="N63" s="13">
        <f>IF('Données projet'!$A$36&gt;35,N62+M63-V62,IF(A63&lt;'Données projet'!$A$36,$K$205^A63,IF(A63='Données projet'!$A$36,'Données projet'!$B$36,N62+M63-V62)))</f>
        <v>447.00000000000028</v>
      </c>
      <c r="O63" s="13">
        <f>N63*VLOOKUP('Données projet'!$B$9,Paramètres!$A$1:$I$89,3,0)*VLOOKUP('Données projet'!$B$9,Paramètres!$A$1:$I$89,5,0)</f>
        <v>267.30600000000021</v>
      </c>
      <c r="P63" s="13">
        <f t="shared" si="33"/>
        <v>64.27720124631206</v>
      </c>
      <c r="Q63" s="20">
        <f t="shared" si="53"/>
        <v>577.50740883732726</v>
      </c>
      <c r="R63" s="59">
        <f t="shared" si="0"/>
        <v>870.84074217066063</v>
      </c>
      <c r="S63" s="59">
        <f ca="1">AVERAGE(OFFSET($R$3,0,0,'Données projet'!$E$9+1,1))-AVERAGE(OFFSET($H$3,0,0,'Données projet'!$E$9+1,1))</f>
        <v>259.30247982593914</v>
      </c>
      <c r="T63" s="59">
        <f t="shared" si="34"/>
        <v>275.24740346220779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64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7.8493248264660407</v>
      </c>
      <c r="AB63" s="21">
        <f>EXP(-LN(2)/2)*AB62+(1-EXP(-LN(2)/2))/(LN(2)/2)*V63*Y63*VLOOKUP('Données projet'!$B$9,Paramètres!$A$1:$I$89,3,0)*0.475*44/12</f>
        <v>8.7525848943679921E-4</v>
      </c>
      <c r="AC63" s="22">
        <f t="shared" si="3"/>
        <v>7.8502000849554774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630</v>
      </c>
      <c r="AG63" s="12">
        <f>VLOOKUP(A63,'Données projet'!$A$61:$I$81,9,0)</f>
        <v>19.2</v>
      </c>
      <c r="AH63" s="12">
        <f t="array" ref="AH63">INDEX(AG:AG,MIN(IF(ISNUMBER(AG63:AG259),ROW(AG63:AG259),"")))</f>
        <v>19.2</v>
      </c>
      <c r="AI63" s="13">
        <f>IF('Données projet'!$A$62&gt;35,AI62+AH63-AQ62,IF(A63&lt;'Données projet'!$A$62,$AF$205^A63,IF(A63='Données projet'!$A$62,'Données projet'!$B$62,AI62+AH63-AQ62)))</f>
        <v>630.00000000000034</v>
      </c>
      <c r="AJ63" s="13">
        <f>AI63*VLOOKUP('Données projet'!$B$10,Paramètres!$A$1:$I$89,3,0)*VLOOKUP('Données projet'!$B$10,Paramètres!$A$1:$I$89,5,0)</f>
        <v>303.0300000000002</v>
      </c>
      <c r="AK63" s="13">
        <f t="shared" si="35"/>
        <v>71.811295869366887</v>
      </c>
      <c r="AL63" s="20">
        <f t="shared" si="4"/>
        <v>652.84859030581424</v>
      </c>
      <c r="AM63" s="59">
        <f t="shared" si="5"/>
        <v>946.1819236391475</v>
      </c>
      <c r="AN63" s="59">
        <f ca="1">AVERAGE(OFFSET($AM$3,0,0,'Données projet'!$E$10+1,1))-AVERAGE(OFFSET($H$3,0,0,'Données projet'!$E$10+1,1))</f>
        <v>297.21955661193238</v>
      </c>
      <c r="AO63" s="59">
        <f t="shared" si="36"/>
        <v>273.69206144662144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106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3.7197319106471145</v>
      </c>
      <c r="AV63" s="21">
        <f>EXP(-LN(2)/25)*AV62+(1-EXP(-LN(2)/25))/(LN(2)/25)*Calculateur!AQ63*Calculateur!AS63*VLOOKUP('Données projet'!$B$10,Paramètres!$A$1:$I$89,3,0)*0.475*44/12</f>
        <v>5.8427592781341087</v>
      </c>
      <c r="AW63" s="21">
        <f>EXP(-LN(2)/2)*AW62+(1-EXP(-LN(2)/2))/(LN(2)/2)*AQ63*AT63*VLOOKUP('Données projet'!$B$10,Paramètres!$A$1:$I$89,3,0)*0.475*44/12</f>
        <v>6.3820750208230088E-4</v>
      </c>
      <c r="AX63" s="21">
        <f t="shared" si="6"/>
        <v>9.5631293962833048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5.6843418860808015E-14</v>
      </c>
      <c r="BE63" s="13">
        <f>BD63*VLOOKUP('Données projet'!$B$11,Paramètres!$A$1:$I$89,3,0)*VLOOKUP('Données projet'!$B$11,Paramètres!$A$1:$I$89,5,0)</f>
        <v>3.6357050703372803E-14</v>
      </c>
      <c r="BF63" s="13">
        <f t="shared" si="37"/>
        <v>6.1445232567661395E-13</v>
      </c>
      <c r="BG63" s="20">
        <f t="shared" si="7"/>
        <v>1.1334929971951436E-12</v>
      </c>
      <c r="BH63" s="59">
        <f t="shared" si="8"/>
        <v>293.33333333333445</v>
      </c>
      <c r="BI63" s="59">
        <f ca="1">AVERAGE(OFFSET($BH$3,0,0,'Données projet'!$E$11+1,1))-AVERAGE(OFFSET($H$3,0,0,'Données projet'!$E$11+1,1))</f>
        <v>176.90404027101607</v>
      </c>
      <c r="BJ63" s="59">
        <f t="shared" si="38"/>
        <v>295.34177980841878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0.9792666239472767</v>
      </c>
      <c r="BQ63" s="21">
        <f>EXP(-LN(2)/25)*BQ62+(1-EXP(-LN(2)/25))/(LN(2)/25)*Calculateur!BL63*Calculateur!BN63*VLOOKUP('Données projet'!$B$11,Paramètres!$A$1:$I$89,3,0)*0.475*44/12</f>
        <v>3.5868910888688408</v>
      </c>
      <c r="BR63" s="21">
        <f>EXP(-LN(2)/2)*BR62+(1-EXP(-LN(2)/2))/(LN(2)/2)*BL63*BO63*VLOOKUP('Données projet'!$B$11,Paramètres!$A$1:$I$89,3,0)*0.475*44/12</f>
        <v>1.0285186058741272E-6</v>
      </c>
      <c r="BS63" s="22">
        <f t="shared" si="9"/>
        <v>4.566158741334724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563</v>
      </c>
      <c r="BW63" s="12">
        <f>VLOOKUP(A63,'Données projet'!$A$113:$I$133,9,0)</f>
        <v>16.2</v>
      </c>
      <c r="BX63" s="12">
        <f t="array" ref="BX63">INDEX(BW:BW,MIN(IF(ISNUMBER(BW63:BW259),ROW(BW63:BW259),"")))</f>
        <v>16.2</v>
      </c>
      <c r="BY63" s="12">
        <f>IF('Données projet'!$A$114&gt;35,BY62+BX63-CG62,IF(A63&lt;'Données projet'!$A$114,$BV$205^A63,IF(A63='Données projet'!$A$114,'Données projet'!$B$114,BY62+BX63-CG62)))</f>
        <v>562.99999999999989</v>
      </c>
      <c r="BZ63" s="13">
        <f>BY63*VLOOKUP('Données projet'!$B$12,Paramètres!$A$1:$I$89,3,0)*VLOOKUP('Données projet'!$B$12,Paramètres!$A$1:$I$89,5,0)</f>
        <v>314.71699999999993</v>
      </c>
      <c r="CA63" s="13">
        <f t="shared" si="39"/>
        <v>74.253060032718466</v>
      </c>
      <c r="CB63" s="20">
        <f t="shared" si="10"/>
        <v>677.45618789031789</v>
      </c>
      <c r="CC63" s="59">
        <f t="shared" si="11"/>
        <v>970.78952122365126</v>
      </c>
      <c r="CD63" s="59">
        <f ca="1">AVERAGE(OFFSET($CC$3,0,0,'Données projet'!$E$12+1,1))-AVERAGE(OFFSET($H$3,0,0,'Données projet'!$E$12+1,1))</f>
        <v>326.31232746914907</v>
      </c>
      <c r="CE63" s="59">
        <f t="shared" si="40"/>
        <v>330.17137761430297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83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2.5217101466323926</v>
      </c>
      <c r="CL63" s="21">
        <f>EXP(-LN(2)/25)*CL62+(1-EXP(-LN(2)/25))/(LN(2)/25)*Calculateur!CG63*Calculateur!CI63*VLOOKUP('Données projet'!$B$12,Paramètres!$A$1:$I$89,3,0)*0.475*44/12</f>
        <v>13.133538555739289</v>
      </c>
      <c r="CM63" s="21">
        <f>EXP(-LN(2)/2)*CM62+(1-EXP(-LN(2)/2))/(LN(2)/2)*CG63*CJ63*VLOOKUP('Données projet'!$B$12,Paramètres!$A$1:$I$89,3,0)*0.475*44/12</f>
        <v>9.9249537263291143E-4</v>
      </c>
      <c r="CN63" s="22">
        <f t="shared" si="12"/>
        <v>15.656241197744315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382</v>
      </c>
      <c r="CR63" s="12">
        <f>VLOOKUP(A63,'Données projet'!$A$139:$I$159,9,0)</f>
        <v>9.8000000000000007</v>
      </c>
      <c r="CS63" s="12">
        <f t="array" ref="CS63">INDEX(CR:CR,MIN(IF(ISNUMBER(CR63:CR259),ROW(CR63:CR259),"")))</f>
        <v>9.8000000000000007</v>
      </c>
      <c r="CT63" s="12">
        <f>IF('Données projet'!$A$140&gt;35,CT62+CS63-DB62,IF(A63&lt;'Données projet'!$A$140,$CQ$205^A63,IF(A63='Données projet'!$A$140,'Données projet'!$B$140,CT62+CS63-DB62)))</f>
        <v>382.00000000000023</v>
      </c>
      <c r="CU63" s="17">
        <f>CT63*VLOOKUP('Données projet'!$B$13,Paramètres!$A$1:$I$89,3,0)*VLOOKUP('Données projet'!$B$13,Paramètres!$A$1:$I$89,5,0)</f>
        <v>208.57200000000012</v>
      </c>
      <c r="CV63" s="13">
        <f t="shared" si="41"/>
        <v>51.623407958239042</v>
      </c>
      <c r="CW63" s="20">
        <f t="shared" si="13"/>
        <v>453.17366886059989</v>
      </c>
      <c r="CX63" s="59">
        <f t="shared" si="14"/>
        <v>746.5070021939332</v>
      </c>
      <c r="CY63" s="59">
        <f ca="1">AVERAGE(OFFSET($CX$3,0,0,'Données projet'!$E$13+1,1))-AVERAGE(OFFSET($H$3,0,0,'Données projet'!$E$13+1,1))</f>
        <v>210.04871822652808</v>
      </c>
      <c r="CZ63" s="59">
        <f t="shared" si="42"/>
        <v>250.17540614049324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56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4.030471185738028</v>
      </c>
      <c r="DG63" s="21">
        <f>EXP(-LN(2)/25)*DG62+(1-EXP(-LN(2)/25))/(LN(2)/25)*Calculateur!DB63*Calculateur!DD63*VLOOKUP('Données projet'!$B$13,Paramètres!$A$1:$I$89,3,0)*0.475*44/12</f>
        <v>12.114021693810676</v>
      </c>
      <c r="DH63" s="21">
        <f>EXP(-LN(2)/2)*DH62+(1-EXP(-LN(2)/2))/(LN(2)/2)*DB63*DE63*VLOOKUP('Données projet'!$B$13,Paramètres!$A$1:$I$89,3,0)*0.475*44/12</f>
        <v>6.577724834396872E-4</v>
      </c>
      <c r="DI63" s="22">
        <f t="shared" si="15"/>
        <v>16.145150652032143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6.8</v>
      </c>
      <c r="DN63" s="12">
        <f t="array" ref="DN63">INDEX(DM:DM,MIN(IF(ISNUMBER(DM63:DM259),ROW(DM63:DM259),"")))</f>
        <v>6.8</v>
      </c>
      <c r="DO63" s="12">
        <f>IF('Données projet'!$A$166&gt;35,DO62+DN63-DW62,IF(A63&lt;'Données projet'!$A$166,$DL$205^A63,IF(A63='Données projet'!$A$166,'Données projet'!$B$166,DO62+DN63-DW62)))</f>
        <v>309.99999999999994</v>
      </c>
      <c r="DP63" s="17">
        <f>DO63*VLOOKUP('Données projet'!$B$14,Paramètres!$A$1:$I$89,3,0)*VLOOKUP('Données projet'!$B$14,Paramètres!$A$1:$I$89,5,0)</f>
        <v>227.29199999999994</v>
      </c>
      <c r="DQ63" s="13">
        <f t="shared" si="43"/>
        <v>55.6967456174837</v>
      </c>
      <c r="DR63" s="20">
        <f t="shared" si="16"/>
        <v>492.87206528378402</v>
      </c>
      <c r="DS63" s="59">
        <f t="shared" si="17"/>
        <v>786.20539861711734</v>
      </c>
      <c r="DT63" s="59">
        <f ca="1">AVERAGE(OFFSET($DS$3,0,0,'Données projet'!$E$14+1,1))-AVERAGE(OFFSET($H$3,0,0,'Données projet'!$E$14+1,1))</f>
        <v>234.09142087023463</v>
      </c>
      <c r="DU63" s="59">
        <f t="shared" si="44"/>
        <v>278.990685815294</v>
      </c>
      <c r="DV63" s="15">
        <f>IF(ISNA(VLOOKUP(A63,'Données projet'!$A$165:$I$185,3,0)),0,VLOOKUP(A63,'Données projet'!$A$165:$I$185,3,0))</f>
        <v>6</v>
      </c>
      <c r="DW63" s="15">
        <f>IF(ISNA(VLOOKUP(A63,'Données projet'!$A$165:$I$185,4,0)),0,VLOOKUP(A63,'Données projet'!$A$165:$I$185,4,0))</f>
        <v>30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1.3468224646786642</v>
      </c>
      <c r="EB63" s="21">
        <f>EXP(-LN(2)/25)*EB62+(1-EXP(-LN(2)/25))/(LN(2)/25)*Calculateur!DW63*Calculateur!DY63*VLOOKUP('Données projet'!$B$14,Paramètres!$A$1:$I$89,3,0)*0.475*44/12</f>
        <v>6.6781046628364429</v>
      </c>
      <c r="EC63" s="21">
        <f>EXP(-LN(2)/2)*EC62+(1-EXP(-LN(2)/2))/(LN(2)/2)*DW63*DZ63*VLOOKUP('Données projet'!$B$14,Paramètres!$A$1:$I$89,3,0)*0.475*44/12</f>
        <v>6.7607482304567527E-4</v>
      </c>
      <c r="ED63" s="22">
        <f t="shared" si="18"/>
        <v>8.0256032023381536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10.7</v>
      </c>
      <c r="N64" s="13">
        <f>IF('Données projet'!$A$36&gt;35,N63+M64-V63,IF(A64&lt;'Données projet'!$A$36,$K$205^A64,IF(A64='Données projet'!$A$36,'Données projet'!$B$36,N63+M64-V63)))</f>
        <v>393.70000000000027</v>
      </c>
      <c r="O64" s="13">
        <f>N64*VLOOKUP('Données projet'!$B$9,Paramètres!$A$1:$I$89,3,0)*VLOOKUP('Données projet'!$B$9,Paramètres!$A$1:$I$89,5,0)</f>
        <v>235.43260000000021</v>
      </c>
      <c r="P64" s="13">
        <f t="shared" si="33"/>
        <v>57.455735904492705</v>
      </c>
      <c r="Q64" s="20">
        <f t="shared" si="53"/>
        <v>510.11385170032509</v>
      </c>
      <c r="R64" s="59">
        <f t="shared" si="0"/>
        <v>803.44718503365834</v>
      </c>
      <c r="S64" s="59">
        <f ca="1">AVERAGE(OFFSET($R$3,0,0,'Données projet'!$E$9+1,1))-AVERAGE(OFFSET($H$3,0,0,'Données projet'!$E$9+1,1))</f>
        <v>259.30247982593914</v>
      </c>
      <c r="T64" s="59">
        <f t="shared" si="34"/>
        <v>275.24740346220779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7.6346846263082737</v>
      </c>
      <c r="AB64" s="21">
        <f>EXP(-LN(2)/2)*AB63+(1-EXP(-LN(2)/2))/(LN(2)/2)*V64*Y64*VLOOKUP('Données projet'!$B$9,Paramètres!$A$1:$I$89,3,0)*0.475*44/12</f>
        <v>6.1890121317185489E-4</v>
      </c>
      <c r="AC64" s="22">
        <f t="shared" si="3"/>
        <v>7.6353035275214456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17</v>
      </c>
      <c r="AI64" s="13">
        <f>IF('Données projet'!$A$62&gt;35,AI63+AH64-AQ63,IF(A64&lt;'Données projet'!$A$62,$AF$205^A64,IF(A64='Données projet'!$A$62,'Données projet'!$B$62,AI63+AH64-AQ63)))</f>
        <v>541.00000000000034</v>
      </c>
      <c r="AJ64" s="13">
        <f>AI64*VLOOKUP('Données projet'!$B$10,Paramètres!$A$1:$I$89,3,0)*VLOOKUP('Données projet'!$B$10,Paramètres!$A$1:$I$89,5,0)</f>
        <v>260.22100000000017</v>
      </c>
      <c r="AK64" s="13">
        <f t="shared" si="35"/>
        <v>62.769483895641194</v>
      </c>
      <c r="AL64" s="20">
        <f t="shared" si="4"/>
        <v>562.54175945157533</v>
      </c>
      <c r="AM64" s="59">
        <f t="shared" si="5"/>
        <v>855.8750927849087</v>
      </c>
      <c r="AN64" s="59">
        <f ca="1">AVERAGE(OFFSET($AM$3,0,0,'Données projet'!$E$10+1,1))-AVERAGE(OFFSET($H$3,0,0,'Données projet'!$E$10+1,1))</f>
        <v>297.21955661193238</v>
      </c>
      <c r="AO64" s="59">
        <f t="shared" si="36"/>
        <v>273.69206144662144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3.6467902366917633</v>
      </c>
      <c r="AV64" s="21">
        <f>EXP(-LN(2)/25)*AV63+(1-EXP(-LN(2)/25))/(LN(2)/25)*Calculateur!AQ64*Calculateur!AS64*VLOOKUP('Données projet'!$B$10,Paramètres!$A$1:$I$89,3,0)*0.475*44/12</f>
        <v>5.6829887184161745</v>
      </c>
      <c r="AW64" s="21">
        <f>EXP(-LN(2)/2)*AW63+(1-EXP(-LN(2)/2))/(LN(2)/2)*AQ64*AT64*VLOOKUP('Données projet'!$B$10,Paramètres!$A$1:$I$89,3,0)*0.475*44/12</f>
        <v>4.5128085252652261E-4</v>
      </c>
      <c r="AX64" s="21">
        <f t="shared" si="6"/>
        <v>9.3302302359604639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5.6843418860808015E-14</v>
      </c>
      <c r="BE64" s="13">
        <f>BD64*VLOOKUP('Données projet'!$B$11,Paramètres!$A$1:$I$89,3,0)*VLOOKUP('Données projet'!$B$11,Paramètres!$A$1:$I$89,5,0)</f>
        <v>3.6357050703372803E-14</v>
      </c>
      <c r="BF64" s="13">
        <f t="shared" si="37"/>
        <v>6.1445232567661395E-13</v>
      </c>
      <c r="BG64" s="20">
        <f t="shared" si="7"/>
        <v>1.1334929971951436E-12</v>
      </c>
      <c r="BH64" s="59">
        <f t="shared" si="8"/>
        <v>293.33333333333445</v>
      </c>
      <c r="BI64" s="59">
        <f ca="1">AVERAGE(OFFSET($BH$3,0,0,'Données projet'!$E$11+1,1))-AVERAGE(OFFSET($H$3,0,0,'Données projet'!$E$11+1,1))</f>
        <v>176.90404027101607</v>
      </c>
      <c r="BJ64" s="59">
        <f t="shared" si="38"/>
        <v>295.34177980841878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0.96006380274533332</v>
      </c>
      <c r="BQ64" s="21">
        <f>EXP(-LN(2)/25)*BQ63+(1-EXP(-LN(2)/25))/(LN(2)/25)*Calculateur!BL64*Calculateur!BN64*VLOOKUP('Données projet'!$B$11,Paramètres!$A$1:$I$89,3,0)*0.475*44/12</f>
        <v>3.488807363417318</v>
      </c>
      <c r="BR64" s="21">
        <f>EXP(-LN(2)/2)*BR63+(1-EXP(-LN(2)/2))/(LN(2)/2)*BL64*BO64*VLOOKUP('Données projet'!$B$11,Paramètres!$A$1:$I$89,3,0)*0.475*44/12</f>
        <v>7.272724807901294E-7</v>
      </c>
      <c r="BS64" s="22">
        <f t="shared" si="9"/>
        <v>4.4488718934351317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13.4</v>
      </c>
      <c r="BY64" s="12">
        <f>IF('Données projet'!$A$114&gt;35,BY63+BX64-CG63,IF(A64&lt;'Données projet'!$A$114,$BV$205^A64,IF(A64='Données projet'!$A$114,'Données projet'!$B$114,BY63+BX64-CG63)))</f>
        <v>493.39999999999986</v>
      </c>
      <c r="BZ64" s="13">
        <f>BY64*VLOOKUP('Données projet'!$B$12,Paramètres!$A$1:$I$89,3,0)*VLOOKUP('Données projet'!$B$12,Paramètres!$A$1:$I$89,5,0)</f>
        <v>275.81059999999997</v>
      </c>
      <c r="CA64" s="13">
        <f t="shared" si="39"/>
        <v>66.080892951487996</v>
      </c>
      <c r="CB64" s="20">
        <f t="shared" si="10"/>
        <v>595.46101689050818</v>
      </c>
      <c r="CC64" s="59">
        <f t="shared" si="11"/>
        <v>888.79435022384155</v>
      </c>
      <c r="CD64" s="59">
        <f ca="1">AVERAGE(OFFSET($CC$3,0,0,'Données projet'!$E$12+1,1))-AVERAGE(OFFSET($H$3,0,0,'Données projet'!$E$12+1,1))</f>
        <v>326.31232746914907</v>
      </c>
      <c r="CE64" s="59">
        <f t="shared" si="40"/>
        <v>330.17137761430297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2.472260948748247</v>
      </c>
      <c r="CL64" s="21">
        <f>EXP(-LN(2)/25)*CL63+(1-EXP(-LN(2)/25))/(LN(2)/25)*Calculateur!CG64*Calculateur!CI64*VLOOKUP('Données projet'!$B$12,Paramètres!$A$1:$I$89,3,0)*0.475*44/12</f>
        <v>12.774401253269822</v>
      </c>
      <c r="CM64" s="21">
        <f>EXP(-LN(2)/2)*CM63+(1-EXP(-LN(2)/2))/(LN(2)/2)*CG64*CJ64*VLOOKUP('Données projet'!$B$12,Paramètres!$A$1:$I$89,3,0)*0.475*44/12</f>
        <v>7.0180020828500105E-4</v>
      </c>
      <c r="CN64" s="22">
        <f t="shared" si="12"/>
        <v>15.247364002226353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8.5</v>
      </c>
      <c r="CT64" s="12">
        <f>IF('Données projet'!$A$140&gt;35,CT63+CS64-DB63,IF(A64&lt;'Données projet'!$A$140,$CQ$205^A64,IF(A64='Données projet'!$A$140,'Données projet'!$B$140,CT63+CS64-DB63)))</f>
        <v>334.50000000000023</v>
      </c>
      <c r="CU64" s="17">
        <f>CT64*VLOOKUP('Données projet'!$B$13,Paramètres!$A$1:$I$89,3,0)*VLOOKUP('Données projet'!$B$13,Paramètres!$A$1:$I$89,5,0)</f>
        <v>182.63700000000014</v>
      </c>
      <c r="CV64" s="13">
        <f t="shared" si="41"/>
        <v>45.908372564566413</v>
      </c>
      <c r="CW64" s="20">
        <f t="shared" si="13"/>
        <v>398.04985721662001</v>
      </c>
      <c r="CX64" s="59">
        <f t="shared" si="14"/>
        <v>691.38319054995327</v>
      </c>
      <c r="CY64" s="59">
        <f ca="1">AVERAGE(OFFSET($CX$3,0,0,'Données projet'!$E$13+1,1))-AVERAGE(OFFSET($H$3,0,0,'Données projet'!$E$13+1,1))</f>
        <v>210.04871822652808</v>
      </c>
      <c r="CZ64" s="59">
        <f t="shared" si="42"/>
        <v>250.17540614049324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3.9514361041303872</v>
      </c>
      <c r="DG64" s="21">
        <f>EXP(-LN(2)/25)*DG63+(1-EXP(-LN(2)/25))/(LN(2)/25)*Calculateur!DB64*Calculateur!DD64*VLOOKUP('Données projet'!$B$13,Paramètres!$A$1:$I$89,3,0)*0.475*44/12</f>
        <v>11.782763133544709</v>
      </c>
      <c r="DH64" s="21">
        <f>EXP(-LN(2)/2)*DH63+(1-EXP(-LN(2)/2))/(LN(2)/2)*DB64*DE64*VLOOKUP('Données projet'!$B$13,Paramètres!$A$1:$I$89,3,0)*0.475*44/12</f>
        <v>4.651153835181189E-4</v>
      </c>
      <c r="DI64" s="22">
        <f t="shared" si="15"/>
        <v>15.734664353058614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4.9000000000000004</v>
      </c>
      <c r="DO64" s="12">
        <f>IF('Données projet'!$A$166&gt;35,DO63+DN64-DW63,IF(A64&lt;'Données projet'!$A$166,$DL$205^A64,IF(A64='Données projet'!$A$166,'Données projet'!$B$166,DO63+DN64-DW63)))</f>
        <v>284.89999999999992</v>
      </c>
      <c r="DP64" s="17">
        <f>DO64*VLOOKUP('Données projet'!$B$14,Paramètres!$A$1:$I$89,3,0)*VLOOKUP('Données projet'!$B$14,Paramètres!$A$1:$I$89,5,0)</f>
        <v>208.88867999999994</v>
      </c>
      <c r="DQ64" s="13">
        <f t="shared" si="43"/>
        <v>51.692659373318428</v>
      </c>
      <c r="DR64" s="20">
        <f t="shared" si="16"/>
        <v>453.84583274186275</v>
      </c>
      <c r="DS64" s="59">
        <f t="shared" si="17"/>
        <v>747.17916607519601</v>
      </c>
      <c r="DT64" s="59">
        <f ca="1">AVERAGE(OFFSET($DS$3,0,0,'Données projet'!$E$14+1,1))-AVERAGE(OFFSET($H$3,0,0,'Données projet'!$E$14+1,1))</f>
        <v>234.09142087023463</v>
      </c>
      <c r="DU64" s="59">
        <f t="shared" si="44"/>
        <v>278.990685815294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1.3204120976269045</v>
      </c>
      <c r="EB64" s="21">
        <f>EXP(-LN(2)/25)*EB63+(1-EXP(-LN(2)/25))/(LN(2)/25)*Calculateur!DW64*Calculateur!DY64*VLOOKUP('Données projet'!$B$14,Paramètres!$A$1:$I$89,3,0)*0.475*44/12</f>
        <v>6.4954915396449193</v>
      </c>
      <c r="EC64" s="21">
        <f>EXP(-LN(2)/2)*EC63+(1-EXP(-LN(2)/2))/(LN(2)/2)*DW64*DZ64*VLOOKUP('Données projet'!$B$14,Paramètres!$A$1:$I$89,3,0)*0.475*44/12</f>
        <v>4.7805709196509217E-4</v>
      </c>
      <c r="ED64" s="22">
        <f t="shared" si="18"/>
        <v>7.8163816943637885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10.7</v>
      </c>
      <c r="N65" s="13">
        <f>IF('Données projet'!$A$36&gt;35,N64+M65-V64,IF(A65&lt;'Données projet'!$A$36,$K$205^A65,IF(A65='Données projet'!$A$36,'Données projet'!$B$36,N64+M65-V64)))</f>
        <v>404.40000000000026</v>
      </c>
      <c r="O65" s="13">
        <f>N65*VLOOKUP('Données projet'!$B$9,Paramètres!$A$1:$I$89,3,0)*VLOOKUP('Données projet'!$B$9,Paramètres!$A$1:$I$89,5,0)</f>
        <v>241.83120000000017</v>
      </c>
      <c r="P65" s="13">
        <f t="shared" si="33"/>
        <v>58.833347619210102</v>
      </c>
      <c r="Q65" s="20">
        <f t="shared" si="53"/>
        <v>523.65742043679131</v>
      </c>
      <c r="R65" s="59">
        <f t="shared" si="0"/>
        <v>816.99075377012468</v>
      </c>
      <c r="S65" s="59">
        <f ca="1">AVERAGE(OFFSET($R$3,0,0,'Données projet'!$E$9+1,1))-AVERAGE(OFFSET($H$3,0,0,'Données projet'!$E$9+1,1))</f>
        <v>259.30247982593914</v>
      </c>
      <c r="T65" s="59">
        <f t="shared" si="34"/>
        <v>275.24740346220779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7.425913773711259</v>
      </c>
      <c r="AB65" s="21">
        <f>EXP(-LN(2)/2)*AB64+(1-EXP(-LN(2)/2))/(LN(2)/2)*V65*Y65*VLOOKUP('Données projet'!$B$9,Paramètres!$A$1:$I$89,3,0)*0.475*44/12</f>
        <v>4.376292447183996E-4</v>
      </c>
      <c r="AC65" s="22">
        <f t="shared" si="3"/>
        <v>7.4263514029559774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17</v>
      </c>
      <c r="AI65" s="13">
        <f>IF('Données projet'!$A$62&gt;35,AI64+AH65-AQ64,IF(A65&lt;'Données projet'!$A$62,$AF$205^A65,IF(A65='Données projet'!$A$62,'Données projet'!$B$62,AI64+AH65-AQ64)))</f>
        <v>558.00000000000034</v>
      </c>
      <c r="AJ65" s="13">
        <f>AI65*VLOOKUP('Données projet'!$B$10,Paramètres!$A$1:$I$89,3,0)*VLOOKUP('Données projet'!$B$10,Paramètres!$A$1:$I$89,5,0)</f>
        <v>268.3980000000002</v>
      </c>
      <c r="AK65" s="13">
        <f t="shared" si="35"/>
        <v>64.5091667924669</v>
      </c>
      <c r="AL65" s="20">
        <f t="shared" si="4"/>
        <v>579.81331549688014</v>
      </c>
      <c r="AM65" s="59">
        <f t="shared" si="5"/>
        <v>873.14664883021351</v>
      </c>
      <c r="AN65" s="59">
        <f ca="1">AVERAGE(OFFSET($AM$3,0,0,'Données projet'!$E$10+1,1))-AVERAGE(OFFSET($H$3,0,0,'Données projet'!$E$10+1,1))</f>
        <v>297.21955661193238</v>
      </c>
      <c r="AO65" s="59">
        <f t="shared" si="36"/>
        <v>273.69206144662144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3.5752789044726487</v>
      </c>
      <c r="AV65" s="21">
        <f>EXP(-LN(2)/25)*AV64+(1-EXP(-LN(2)/25))/(LN(2)/25)*Calculateur!AQ65*Calculateur!AS65*VLOOKUP('Données projet'!$B$10,Paramètres!$A$1:$I$89,3,0)*0.475*44/12</f>
        <v>5.5275870930556961</v>
      </c>
      <c r="AW65" s="21">
        <f>EXP(-LN(2)/2)*AW64+(1-EXP(-LN(2)/2))/(LN(2)/2)*AQ65*AT65*VLOOKUP('Données projet'!$B$10,Paramètres!$A$1:$I$89,3,0)*0.475*44/12</f>
        <v>3.1910375104115044E-4</v>
      </c>
      <c r="AX65" s="21">
        <f t="shared" si="6"/>
        <v>9.1031851012793847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5.6843418860808015E-14</v>
      </c>
      <c r="BE65" s="13">
        <f>BD65*VLOOKUP('Données projet'!$B$11,Paramètres!$A$1:$I$89,3,0)*VLOOKUP('Données projet'!$B$11,Paramètres!$A$1:$I$89,5,0)</f>
        <v>3.6357050703372803E-14</v>
      </c>
      <c r="BF65" s="13">
        <f t="shared" si="37"/>
        <v>6.1445232567661395E-13</v>
      </c>
      <c r="BG65" s="20">
        <f t="shared" si="7"/>
        <v>1.1334929971951436E-12</v>
      </c>
      <c r="BH65" s="59">
        <f t="shared" si="8"/>
        <v>293.33333333333445</v>
      </c>
      <c r="BI65" s="59">
        <f ca="1">AVERAGE(OFFSET($BH$3,0,0,'Données projet'!$E$11+1,1))-AVERAGE(OFFSET($H$3,0,0,'Données projet'!$E$11+1,1))</f>
        <v>176.90404027101607</v>
      </c>
      <c r="BJ65" s="59">
        <f t="shared" si="38"/>
        <v>295.34177980841878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0.94123753715459568</v>
      </c>
      <c r="BQ65" s="21">
        <f>EXP(-LN(2)/25)*BQ64+(1-EXP(-LN(2)/25))/(LN(2)/25)*Calculateur!BL65*Calculateur!BN65*VLOOKUP('Données projet'!$B$11,Paramètres!$A$1:$I$89,3,0)*0.475*44/12</f>
        <v>3.3934057425962658</v>
      </c>
      <c r="BR65" s="21">
        <f>EXP(-LN(2)/2)*BR64+(1-EXP(-LN(2)/2))/(LN(2)/2)*BL65*BO65*VLOOKUP('Données projet'!$B$11,Paramètres!$A$1:$I$89,3,0)*0.475*44/12</f>
        <v>5.1425930293706361E-7</v>
      </c>
      <c r="BS65" s="22">
        <f t="shared" si="9"/>
        <v>4.3346437940101641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13.4</v>
      </c>
      <c r="BY65" s="12">
        <f>IF('Données projet'!$A$114&gt;35,BY64+BX65-CG64,IF(A65&lt;'Données projet'!$A$114,$BV$205^A65,IF(A65='Données projet'!$A$114,'Données projet'!$B$114,BY64+BX65-CG64)))</f>
        <v>506.79999999999984</v>
      </c>
      <c r="BZ65" s="13">
        <f>BY65*VLOOKUP('Données projet'!$B$12,Paramètres!$A$1:$I$89,3,0)*VLOOKUP('Données projet'!$B$12,Paramètres!$A$1:$I$89,5,0)</f>
        <v>283.30119999999988</v>
      </c>
      <c r="CA65" s="13">
        <f t="shared" si="39"/>
        <v>67.664170722499449</v>
      </c>
      <c r="CB65" s="20">
        <f t="shared" si="10"/>
        <v>611.26468734168623</v>
      </c>
      <c r="CC65" s="59">
        <f t="shared" si="11"/>
        <v>904.5980206750196</v>
      </c>
      <c r="CD65" s="59">
        <f ca="1">AVERAGE(OFFSET($CC$3,0,0,'Données projet'!$E$12+1,1))-AVERAGE(OFFSET($H$3,0,0,'Données projet'!$E$12+1,1))</f>
        <v>326.31232746914907</v>
      </c>
      <c r="CE65" s="59">
        <f t="shared" si="40"/>
        <v>330.17137761430297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2.4237814194735767</v>
      </c>
      <c r="CL65" s="21">
        <f>EXP(-LN(2)/25)*CL64+(1-EXP(-LN(2)/25))/(LN(2)/25)*Calculateur!CG65*Calculateur!CI65*VLOOKUP('Données projet'!$B$12,Paramètres!$A$1:$I$89,3,0)*0.475*44/12</f>
        <v>12.425084579222593</v>
      </c>
      <c r="CM65" s="21">
        <f>EXP(-LN(2)/2)*CM64+(1-EXP(-LN(2)/2))/(LN(2)/2)*CG65*CJ65*VLOOKUP('Données projet'!$B$12,Paramètres!$A$1:$I$89,3,0)*0.475*44/12</f>
        <v>4.9624768631645571E-4</v>
      </c>
      <c r="CN65" s="22">
        <f t="shared" si="12"/>
        <v>14.849362246382485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8.5</v>
      </c>
      <c r="CT65" s="12">
        <f>IF('Données projet'!$A$140&gt;35,CT64+CS65-DB64,IF(A65&lt;'Données projet'!$A$140,$CQ$205^A65,IF(A65='Données projet'!$A$140,'Données projet'!$B$140,CT64+CS65-DB64)))</f>
        <v>343.00000000000023</v>
      </c>
      <c r="CU65" s="17">
        <f>CT65*VLOOKUP('Données projet'!$B$13,Paramètres!$A$1:$I$89,3,0)*VLOOKUP('Données projet'!$B$13,Paramètres!$A$1:$I$89,5,0)</f>
        <v>187.27800000000013</v>
      </c>
      <c r="CV65" s="13">
        <f t="shared" si="41"/>
        <v>46.937652831145158</v>
      </c>
      <c r="CW65" s="20">
        <f t="shared" si="13"/>
        <v>407.92559534757805</v>
      </c>
      <c r="CX65" s="59">
        <f t="shared" si="14"/>
        <v>701.25892868091137</v>
      </c>
      <c r="CY65" s="59">
        <f ca="1">AVERAGE(OFFSET($CX$3,0,0,'Données projet'!$E$13+1,1))-AVERAGE(OFFSET($H$3,0,0,'Données projet'!$E$13+1,1))</f>
        <v>210.04871822652808</v>
      </c>
      <c r="CZ65" s="59">
        <f t="shared" si="42"/>
        <v>250.17540614049324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3.8739508522664323</v>
      </c>
      <c r="DG65" s="21">
        <f>EXP(-LN(2)/25)*DG64+(1-EXP(-LN(2)/25))/(LN(2)/25)*Calculateur!DB65*Calculateur!DD65*VLOOKUP('Données projet'!$B$13,Paramètres!$A$1:$I$89,3,0)*0.475*44/12</f>
        <v>11.460562856029345</v>
      </c>
      <c r="DH65" s="21">
        <f>EXP(-LN(2)/2)*DH64+(1-EXP(-LN(2)/2))/(LN(2)/2)*DB65*DE65*VLOOKUP('Données projet'!$B$13,Paramètres!$A$1:$I$89,3,0)*0.475*44/12</f>
        <v>3.2888624171984365E-4</v>
      </c>
      <c r="DI65" s="22">
        <f t="shared" si="15"/>
        <v>15.334842594537497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4.9000000000000004</v>
      </c>
      <c r="DO65" s="12">
        <f>IF('Données projet'!$A$166&gt;35,DO64+DN65-DW64,IF(A65&lt;'Données projet'!$A$166,$DL$205^A65,IF(A65='Données projet'!$A$166,'Données projet'!$B$166,DO64+DN65-DW64)))</f>
        <v>289.7999999999999</v>
      </c>
      <c r="DP65" s="17">
        <f>DO65*VLOOKUP('Données projet'!$B$14,Paramètres!$A$1:$I$89,3,0)*VLOOKUP('Données projet'!$B$14,Paramètres!$A$1:$I$89,5,0)</f>
        <v>212.48135999999991</v>
      </c>
      <c r="DQ65" s="13">
        <f t="shared" si="43"/>
        <v>52.477454024498286</v>
      </c>
      <c r="DR65" s="20">
        <f t="shared" si="16"/>
        <v>461.46993442600098</v>
      </c>
      <c r="DS65" s="59">
        <f t="shared" si="17"/>
        <v>754.80326775933429</v>
      </c>
      <c r="DT65" s="59">
        <f ca="1">AVERAGE(OFFSET($DS$3,0,0,'Données projet'!$E$14+1,1))-AVERAGE(OFFSET($H$3,0,0,'Données projet'!$E$14+1,1))</f>
        <v>234.09142087023463</v>
      </c>
      <c r="DU65" s="59">
        <f t="shared" si="44"/>
        <v>278.990685815294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1.2945196217642965</v>
      </c>
      <c r="EB65" s="21">
        <f>EXP(-LN(2)/25)*EB64+(1-EXP(-LN(2)/25))/(LN(2)/25)*Calculateur!DW65*Calculateur!DY65*VLOOKUP('Données projet'!$B$14,Paramètres!$A$1:$I$89,3,0)*0.475*44/12</f>
        <v>6.3178719819102742</v>
      </c>
      <c r="EC65" s="21">
        <f>EXP(-LN(2)/2)*EC64+(1-EXP(-LN(2)/2))/(LN(2)/2)*DW65*DZ65*VLOOKUP('Données projet'!$B$14,Paramètres!$A$1:$I$89,3,0)*0.475*44/12</f>
        <v>3.3803741152283769E-4</v>
      </c>
      <c r="ED65" s="22">
        <f t="shared" si="18"/>
        <v>7.6127296410860934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10.7</v>
      </c>
      <c r="N66" s="13">
        <f>IF('Données projet'!$A$36&gt;35,N65+M66-V65,IF(A66&lt;'Données projet'!$A$36,$K$205^A66,IF(A66='Données projet'!$A$36,'Données projet'!$B$36,N65+M66-V65)))</f>
        <v>415.10000000000025</v>
      </c>
      <c r="O66" s="13">
        <f>N66*VLOOKUP('Données projet'!$B$9,Paramètres!$A$1:$I$89,3,0)*VLOOKUP('Données projet'!$B$9,Paramètres!$A$1:$I$89,5,0)</f>
        <v>248.22980000000015</v>
      </c>
      <c r="P66" s="13">
        <f t="shared" si="33"/>
        <v>60.206722539547698</v>
      </c>
      <c r="Q66" s="20">
        <f t="shared" si="53"/>
        <v>537.19361008971248</v>
      </c>
      <c r="R66" s="59">
        <f t="shared" si="0"/>
        <v>830.52694342304585</v>
      </c>
      <c r="S66" s="59">
        <f ca="1">AVERAGE(OFFSET($R$3,0,0,'Données projet'!$E$9+1,1))-AVERAGE(OFFSET($H$3,0,0,'Données projet'!$E$9+1,1))</f>
        <v>259.30247982593914</v>
      </c>
      <c r="T66" s="59">
        <f t="shared" si="34"/>
        <v>275.24740346220779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7.2228517710572913</v>
      </c>
      <c r="AB66" s="21">
        <f>EXP(-LN(2)/2)*AB65+(1-EXP(-LN(2)/2))/(LN(2)/2)*V66*Y66*VLOOKUP('Données projet'!$B$9,Paramètres!$A$1:$I$89,3,0)*0.475*44/12</f>
        <v>3.0945060658592744E-4</v>
      </c>
      <c r="AC66" s="22">
        <f t="shared" si="3"/>
        <v>7.2231612216638768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17</v>
      </c>
      <c r="AI66" s="13">
        <f>IF('Données projet'!$A$62&gt;35,AI65+AH66-AQ65,IF(A66&lt;'Données projet'!$A$62,$AF$205^A66,IF(A66='Données projet'!$A$62,'Données projet'!$B$62,AI65+AH66-AQ65)))</f>
        <v>575.00000000000034</v>
      </c>
      <c r="AJ66" s="13">
        <f>AI66*VLOOKUP('Données projet'!$B$10,Paramètres!$A$1:$I$89,3,0)*VLOOKUP('Données projet'!$B$10,Paramètres!$A$1:$I$89,5,0)</f>
        <v>276.57500000000016</v>
      </c>
      <c r="AK66" s="13">
        <f t="shared" si="35"/>
        <v>66.242690281501467</v>
      </c>
      <c r="AL66" s="20">
        <f t="shared" si="4"/>
        <v>597.07414390694873</v>
      </c>
      <c r="AM66" s="59">
        <f t="shared" si="5"/>
        <v>890.40747724028211</v>
      </c>
      <c r="AN66" s="59">
        <f ca="1">AVERAGE(OFFSET($AM$3,0,0,'Données projet'!$E$10+1,1))-AVERAGE(OFFSET($H$3,0,0,'Données projet'!$E$10+1,1))</f>
        <v>297.21955661193238</v>
      </c>
      <c r="AO66" s="59">
        <f t="shared" si="36"/>
        <v>273.69206144662144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3.5051698658607453</v>
      </c>
      <c r="AV66" s="21">
        <f>EXP(-LN(2)/25)*AV65+(1-EXP(-LN(2)/25))/(LN(2)/25)*Calculateur!AQ66*Calculateur!AS66*VLOOKUP('Données projet'!$B$10,Paramètres!$A$1:$I$89,3,0)*0.475*44/12</f>
        <v>5.3764349333129164</v>
      </c>
      <c r="AW66" s="21">
        <f>EXP(-LN(2)/2)*AW65+(1-EXP(-LN(2)/2))/(LN(2)/2)*AQ66*AT66*VLOOKUP('Données projet'!$B$10,Paramètres!$A$1:$I$89,3,0)*0.475*44/12</f>
        <v>2.256404262632613E-4</v>
      </c>
      <c r="AX66" s="21">
        <f t="shared" si="6"/>
        <v>8.8818304395999252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5.6843418860808015E-14</v>
      </c>
      <c r="BE66" s="13">
        <f>BD66*VLOOKUP('Données projet'!$B$11,Paramètres!$A$1:$I$89,3,0)*VLOOKUP('Données projet'!$B$11,Paramètres!$A$1:$I$89,5,0)</f>
        <v>3.6357050703372803E-14</v>
      </c>
      <c r="BF66" s="13">
        <f t="shared" si="37"/>
        <v>6.1445232567661395E-13</v>
      </c>
      <c r="BG66" s="20">
        <f t="shared" si="7"/>
        <v>1.1334929971951436E-12</v>
      </c>
      <c r="BH66" s="59">
        <f t="shared" si="8"/>
        <v>293.33333333333445</v>
      </c>
      <c r="BI66" s="59">
        <f ca="1">AVERAGE(OFFSET($BH$3,0,0,'Données projet'!$E$11+1,1))-AVERAGE(OFFSET($H$3,0,0,'Données projet'!$E$11+1,1))</f>
        <v>176.90404027101607</v>
      </c>
      <c r="BJ66" s="59">
        <f t="shared" si="38"/>
        <v>295.34177980841878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0.92278044314920427</v>
      </c>
      <c r="BQ66" s="21">
        <f>EXP(-LN(2)/25)*BQ65+(1-EXP(-LN(2)/25))/(LN(2)/25)*Calculateur!BL66*Calculateur!BN66*VLOOKUP('Données projet'!$B$11,Paramètres!$A$1:$I$89,3,0)*0.475*44/12</f>
        <v>3.3006128841135185</v>
      </c>
      <c r="BR66" s="21">
        <f>EXP(-LN(2)/2)*BR65+(1-EXP(-LN(2)/2))/(LN(2)/2)*BL66*BO66*VLOOKUP('Données projet'!$B$11,Paramètres!$A$1:$I$89,3,0)*0.475*44/12</f>
        <v>3.636362403950647E-7</v>
      </c>
      <c r="BS66" s="22">
        <f t="shared" si="9"/>
        <v>4.2233936908989627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13.4</v>
      </c>
      <c r="BY66" s="12">
        <f>IF('Données projet'!$A$114&gt;35,BY65+BX66-CG65,IF(A66&lt;'Données projet'!$A$114,$BV$205^A66,IF(A66='Données projet'!$A$114,'Données projet'!$B$114,BY65+BX66-CG65)))</f>
        <v>520.19999999999982</v>
      </c>
      <c r="BZ66" s="13">
        <f>BY66*VLOOKUP('Données projet'!$B$12,Paramètres!$A$1:$I$89,3,0)*VLOOKUP('Données projet'!$B$12,Paramètres!$A$1:$I$89,5,0)</f>
        <v>290.79179999999991</v>
      </c>
      <c r="CA66" s="13">
        <f t="shared" si="39"/>
        <v>69.242582588470327</v>
      </c>
      <c r="CB66" s="20">
        <f t="shared" si="10"/>
        <v>627.05988300825231</v>
      </c>
      <c r="CC66" s="59">
        <f t="shared" si="11"/>
        <v>920.39321634158568</v>
      </c>
      <c r="CD66" s="59">
        <f ca="1">AVERAGE(OFFSET($CC$3,0,0,'Données projet'!$E$12+1,1))-AVERAGE(OFFSET($H$3,0,0,'Données projet'!$E$12+1,1))</f>
        <v>326.31232746914907</v>
      </c>
      <c r="CE66" s="59">
        <f t="shared" si="40"/>
        <v>330.17137761430297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2.3762525441983899</v>
      </c>
      <c r="CL66" s="21">
        <f>EXP(-LN(2)/25)*CL65+(1-EXP(-LN(2)/25))/(LN(2)/25)*Calculateur!CG66*Calculateur!CI66*VLOOKUP('Données projet'!$B$12,Paramètres!$A$1:$I$89,3,0)*0.475*44/12</f>
        <v>12.085319987996952</v>
      </c>
      <c r="CM66" s="21">
        <f>EXP(-LN(2)/2)*CM65+(1-EXP(-LN(2)/2))/(LN(2)/2)*CG66*CJ66*VLOOKUP('Données projet'!$B$12,Paramètres!$A$1:$I$89,3,0)*0.475*44/12</f>
        <v>3.5090010414250052E-4</v>
      </c>
      <c r="CN66" s="22">
        <f t="shared" si="12"/>
        <v>14.461923432299486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8.5</v>
      </c>
      <c r="CT66" s="12">
        <f>IF('Données projet'!$A$140&gt;35,CT65+CS66-DB65,IF(A66&lt;'Données projet'!$A$140,$CQ$205^A66,IF(A66='Données projet'!$A$140,'Données projet'!$B$140,CT65+CS66-DB65)))</f>
        <v>351.50000000000023</v>
      </c>
      <c r="CU66" s="17">
        <f>CT66*VLOOKUP('Données projet'!$B$13,Paramètres!$A$1:$I$89,3,0)*VLOOKUP('Données projet'!$B$13,Paramètres!$A$1:$I$89,5,0)</f>
        <v>191.91900000000012</v>
      </c>
      <c r="CV66" s="13">
        <f t="shared" si="41"/>
        <v>47.963968046563231</v>
      </c>
      <c r="CW66" s="20">
        <f t="shared" si="13"/>
        <v>417.79616934776453</v>
      </c>
      <c r="CX66" s="59">
        <f t="shared" si="14"/>
        <v>711.12950268109785</v>
      </c>
      <c r="CY66" s="59">
        <f ca="1">AVERAGE(OFFSET($CX$3,0,0,'Données projet'!$E$13+1,1))-AVERAGE(OFFSET($H$3,0,0,'Données projet'!$E$13+1,1))</f>
        <v>210.04871822652808</v>
      </c>
      <c r="CZ66" s="59">
        <f t="shared" si="42"/>
        <v>250.17540614049324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3.7979850389301926</v>
      </c>
      <c r="DG66" s="21">
        <f>EXP(-LN(2)/25)*DG65+(1-EXP(-LN(2)/25))/(LN(2)/25)*Calculateur!DB66*Calculateur!DD66*VLOOKUP('Données projet'!$B$13,Paramètres!$A$1:$I$89,3,0)*0.475*44/12</f>
        <v>11.147173162046416</v>
      </c>
      <c r="DH66" s="21">
        <f>EXP(-LN(2)/2)*DH65+(1-EXP(-LN(2)/2))/(LN(2)/2)*DB66*DE66*VLOOKUP('Données projet'!$B$13,Paramètres!$A$1:$I$89,3,0)*0.475*44/12</f>
        <v>2.3255769175905947E-4</v>
      </c>
      <c r="DI66" s="22">
        <f t="shared" si="15"/>
        <v>14.945390758668369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4.9000000000000004</v>
      </c>
      <c r="DO66" s="12">
        <f>IF('Données projet'!$A$166&gt;35,DO65+DN66-DW65,IF(A66&lt;'Données projet'!$A$166,$DL$205^A66,IF(A66='Données projet'!$A$166,'Données projet'!$B$166,DO65+DN66-DW65)))</f>
        <v>294.69999999999987</v>
      </c>
      <c r="DP66" s="17">
        <f>DO66*VLOOKUP('Données projet'!$B$14,Paramètres!$A$1:$I$89,3,0)*VLOOKUP('Données projet'!$B$14,Paramètres!$A$1:$I$89,5,0)</f>
        <v>216.07403999999988</v>
      </c>
      <c r="DQ66" s="13">
        <f t="shared" si="43"/>
        <v>53.260705550025733</v>
      </c>
      <c r="DR66" s="20">
        <f t="shared" si="16"/>
        <v>469.09134849962794</v>
      </c>
      <c r="DS66" s="59">
        <f t="shared" si="17"/>
        <v>762.42468183296126</v>
      </c>
      <c r="DT66" s="59">
        <f ca="1">AVERAGE(OFFSET($DS$3,0,0,'Données projet'!$E$14+1,1))-AVERAGE(OFFSET($H$3,0,0,'Données projet'!$E$14+1,1))</f>
        <v>234.09142087023463</v>
      </c>
      <c r="DU66" s="59">
        <f t="shared" si="44"/>
        <v>278.990685815294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1.2691348815605035</v>
      </c>
      <c r="EB66" s="21">
        <f>EXP(-LN(2)/25)*EB65+(1-EXP(-LN(2)/25))/(LN(2)/25)*Calculateur!DW66*Calculateur!DY66*VLOOKUP('Données projet'!$B$14,Paramètres!$A$1:$I$89,3,0)*0.475*44/12</f>
        <v>6.1451094403224902</v>
      </c>
      <c r="EC66" s="21">
        <f>EXP(-LN(2)/2)*EC65+(1-EXP(-LN(2)/2))/(LN(2)/2)*DW66*DZ66*VLOOKUP('Données projet'!$B$14,Paramètres!$A$1:$I$89,3,0)*0.475*44/12</f>
        <v>2.3902854598254614E-4</v>
      </c>
      <c r="ED66" s="22">
        <f t="shared" si="18"/>
        <v>7.4144833504289753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10.7</v>
      </c>
      <c r="N67" s="13">
        <f>IF('Données projet'!$A$36&gt;35,N66+M67-V66,IF(A67&lt;'Données projet'!$A$36,$K$205^A67,IF(A67='Données projet'!$A$36,'Données projet'!$B$36,N66+M67-V66)))</f>
        <v>425.80000000000024</v>
      </c>
      <c r="O67" s="13">
        <f>N67*VLOOKUP('Données projet'!$B$9,Paramètres!$A$1:$I$89,3,0)*VLOOKUP('Données projet'!$B$9,Paramètres!$A$1:$I$89,5,0)</f>
        <v>254.62840000000014</v>
      </c>
      <c r="P67" s="13">
        <f t="shared" si="33"/>
        <v>61.575982433801578</v>
      </c>
      <c r="Q67" s="20">
        <f t="shared" ref="Q67:Q98" si="54">(O67+P67)*0.475*44/12</f>
        <v>550.7226327388712</v>
      </c>
      <c r="R67" s="59">
        <f t="shared" ref="R67:R130" si="55">Q67+(I67+J67)*44/12</f>
        <v>844.05596607220446</v>
      </c>
      <c r="S67" s="59">
        <f ca="1">AVERAGE(OFFSET($R$3,0,0,'Données projet'!$E$9+1,1))-AVERAGE(OFFSET($H$3,0,0,'Données projet'!$E$9+1,1))</f>
        <v>259.30247982593914</v>
      </c>
      <c r="T67" s="59">
        <f t="shared" si="34"/>
        <v>275.24740346220779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7.0253425095444628</v>
      </c>
      <c r="AB67" s="21">
        <f>EXP(-LN(2)/2)*AB66+(1-EXP(-LN(2)/2))/(LN(2)/2)*V67*Y67*VLOOKUP('Données projet'!$B$9,Paramètres!$A$1:$I$89,3,0)*0.475*44/12</f>
        <v>2.188146223591998E-4</v>
      </c>
      <c r="AC67" s="22">
        <f t="shared" si="3"/>
        <v>7.025561324166822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17</v>
      </c>
      <c r="AI67" s="13">
        <f>IF('Données projet'!$A$62&gt;35,AI66+AH67-AQ66,IF(A67&lt;'Données projet'!$A$62,$AF$205^A67,IF(A67='Données projet'!$A$62,'Données projet'!$B$62,AI66+AH67-AQ66)))</f>
        <v>592.00000000000034</v>
      </c>
      <c r="AJ67" s="13">
        <f>AI67*VLOOKUP('Données projet'!$B$10,Paramètres!$A$1:$I$89,3,0)*VLOOKUP('Données projet'!$B$10,Paramètres!$A$1:$I$89,5,0)</f>
        <v>284.75200000000018</v>
      </c>
      <c r="AK67" s="13">
        <f t="shared" si="35"/>
        <v>67.970257374451933</v>
      </c>
      <c r="AL67" s="20">
        <f t="shared" si="4"/>
        <v>614.32459826050399</v>
      </c>
      <c r="AM67" s="59">
        <f t="shared" si="5"/>
        <v>907.65793159383725</v>
      </c>
      <c r="AN67" s="59">
        <f ca="1">AVERAGE(OFFSET($AM$3,0,0,'Données projet'!$E$10+1,1))-AVERAGE(OFFSET($H$3,0,0,'Données projet'!$E$10+1,1))</f>
        <v>297.21955661193238</v>
      </c>
      <c r="AO67" s="59">
        <f t="shared" si="36"/>
        <v>273.69206144662144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3.4364356227337298</v>
      </c>
      <c r="AV67" s="21">
        <f>EXP(-LN(2)/25)*AV66+(1-EXP(-LN(2)/25))/(LN(2)/25)*Calculateur!AQ67*Calculateur!AS67*VLOOKUP('Données projet'!$B$10,Paramètres!$A$1:$I$89,3,0)*0.475*44/12</f>
        <v>5.2294160373270495</v>
      </c>
      <c r="AW67" s="21">
        <f>EXP(-LN(2)/2)*AW66+(1-EXP(-LN(2)/2))/(LN(2)/2)*AQ67*AT67*VLOOKUP('Données projet'!$B$10,Paramètres!$A$1:$I$89,3,0)*0.475*44/12</f>
        <v>1.5955187552057522E-4</v>
      </c>
      <c r="AX67" s="21">
        <f t="shared" si="6"/>
        <v>8.6660112119363006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5.6843418860808015E-14</v>
      </c>
      <c r="BE67" s="13">
        <f>BD67*VLOOKUP('Données projet'!$B$11,Paramètres!$A$1:$I$89,3,0)*VLOOKUP('Données projet'!$B$11,Paramètres!$A$1:$I$89,5,0)</f>
        <v>3.6357050703372803E-14</v>
      </c>
      <c r="BF67" s="13">
        <f t="shared" si="37"/>
        <v>6.1445232567661395E-13</v>
      </c>
      <c r="BG67" s="20">
        <f t="shared" si="7"/>
        <v>1.1334929971951436E-12</v>
      </c>
      <c r="BH67" s="59">
        <f t="shared" si="8"/>
        <v>293.33333333333445</v>
      </c>
      <c r="BI67" s="59">
        <f ca="1">AVERAGE(OFFSET($BH$3,0,0,'Données projet'!$E$11+1,1))-AVERAGE(OFFSET($H$3,0,0,'Données projet'!$E$11+1,1))</f>
        <v>176.90404027101607</v>
      </c>
      <c r="BJ67" s="59">
        <f t="shared" si="38"/>
        <v>295.34177980841878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0.90468528149954286</v>
      </c>
      <c r="BQ67" s="21">
        <f>EXP(-LN(2)/25)*BQ66+(1-EXP(-LN(2)/25))/(LN(2)/25)*Calculateur!BL67*Calculateur!BN67*VLOOKUP('Données projet'!$B$11,Paramètres!$A$1:$I$89,3,0)*0.475*44/12</f>
        <v>3.2103574512257462</v>
      </c>
      <c r="BR67" s="21">
        <f>EXP(-LN(2)/2)*BR66+(1-EXP(-LN(2)/2))/(LN(2)/2)*BL67*BO67*VLOOKUP('Données projet'!$B$11,Paramètres!$A$1:$I$89,3,0)*0.475*44/12</f>
        <v>2.5712965146853181E-7</v>
      </c>
      <c r="BS67" s="22">
        <f t="shared" si="9"/>
        <v>4.115042989854941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13.4</v>
      </c>
      <c r="BY67" s="12">
        <f>IF('Données projet'!$A$114&gt;35,BY66+BX67-CG66,IF(A67&lt;'Données projet'!$A$114,$BV$205^A67,IF(A67='Données projet'!$A$114,'Données projet'!$B$114,BY66+BX67-CG66)))</f>
        <v>533.5999999999998</v>
      </c>
      <c r="BZ67" s="13">
        <f>BY67*VLOOKUP('Données projet'!$B$12,Paramètres!$A$1:$I$89,3,0)*VLOOKUP('Données projet'!$B$12,Paramètres!$A$1:$I$89,5,0)</f>
        <v>298.28239999999988</v>
      </c>
      <c r="CA67" s="13">
        <f t="shared" si="39"/>
        <v>70.816268303381889</v>
      </c>
      <c r="CB67" s="20">
        <f t="shared" si="10"/>
        <v>642.84684729505659</v>
      </c>
      <c r="CC67" s="59">
        <f t="shared" si="11"/>
        <v>936.18018062838996</v>
      </c>
      <c r="CD67" s="59">
        <f ca="1">AVERAGE(OFFSET($CC$3,0,0,'Données projet'!$E$12+1,1))-AVERAGE(OFFSET($H$3,0,0,'Données projet'!$E$12+1,1))</f>
        <v>326.31232746914907</v>
      </c>
      <c r="CE67" s="59">
        <f t="shared" si="40"/>
        <v>330.17137761430297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2.3296556811775981</v>
      </c>
      <c r="CL67" s="21">
        <f>EXP(-LN(2)/25)*CL66+(1-EXP(-LN(2)/25))/(LN(2)/25)*Calculateur!CG67*Calculateur!CI67*VLOOKUP('Données projet'!$B$12,Paramètres!$A$1:$I$89,3,0)*0.475*44/12</f>
        <v>11.754846277385818</v>
      </c>
      <c r="CM67" s="21">
        <f>EXP(-LN(2)/2)*CM66+(1-EXP(-LN(2)/2))/(LN(2)/2)*CG67*CJ67*VLOOKUP('Données projet'!$B$12,Paramètres!$A$1:$I$89,3,0)*0.475*44/12</f>
        <v>2.4812384315822786E-4</v>
      </c>
      <c r="CN67" s="22">
        <f t="shared" si="12"/>
        <v>14.084750082406575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8.5</v>
      </c>
      <c r="CT67" s="12">
        <f>IF('Données projet'!$A$140&gt;35,CT66+CS67-DB66,IF(A67&lt;'Données projet'!$A$140,$CQ$205^A67,IF(A67='Données projet'!$A$140,'Données projet'!$B$140,CT66+CS67-DB66)))</f>
        <v>360.00000000000023</v>
      </c>
      <c r="CU67" s="17">
        <f>CT67*VLOOKUP('Données projet'!$B$13,Paramètres!$A$1:$I$89,3,0)*VLOOKUP('Données projet'!$B$13,Paramètres!$A$1:$I$89,5,0)</f>
        <v>196.56000000000014</v>
      </c>
      <c r="CV67" s="13">
        <f t="shared" si="41"/>
        <v>48.987398161128134</v>
      </c>
      <c r="CW67" s="20">
        <f t="shared" si="13"/>
        <v>427.66171846396509</v>
      </c>
      <c r="CX67" s="59">
        <f t="shared" si="14"/>
        <v>720.9950517972984</v>
      </c>
      <c r="CY67" s="59">
        <f ca="1">AVERAGE(OFFSET($CX$3,0,0,'Données projet'!$E$13+1,1))-AVERAGE(OFFSET($H$3,0,0,'Données projet'!$E$13+1,1))</f>
        <v>210.04871822652808</v>
      </c>
      <c r="CZ67" s="59">
        <f t="shared" si="42"/>
        <v>250.17540614049324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3.7235088688589055</v>
      </c>
      <c r="DG67" s="21">
        <f>EXP(-LN(2)/25)*DG66+(1-EXP(-LN(2)/25))/(LN(2)/25)*Calculateur!DB67*Calculateur!DD67*VLOOKUP('Données projet'!$B$13,Paramètres!$A$1:$I$89,3,0)*0.475*44/12</f>
        <v>10.842353125725896</v>
      </c>
      <c r="DH67" s="21">
        <f>EXP(-LN(2)/2)*DH66+(1-EXP(-LN(2)/2))/(LN(2)/2)*DB67*DE67*VLOOKUP('Données projet'!$B$13,Paramètres!$A$1:$I$89,3,0)*0.475*44/12</f>
        <v>1.6444312085992185E-4</v>
      </c>
      <c r="DI67" s="22">
        <f t="shared" si="15"/>
        <v>14.566026437705663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4.9000000000000004</v>
      </c>
      <c r="DO67" s="12">
        <f>IF('Données projet'!$A$166&gt;35,DO66+DN67-DW66,IF(A67&lt;'Données projet'!$A$166,$DL$205^A67,IF(A67='Données projet'!$A$166,'Données projet'!$B$166,DO66+DN67-DW66)))</f>
        <v>299.59999999999985</v>
      </c>
      <c r="DP67" s="17">
        <f>DO67*VLOOKUP('Données projet'!$B$14,Paramètres!$A$1:$I$89,3,0)*VLOOKUP('Données projet'!$B$14,Paramètres!$A$1:$I$89,5,0)</f>
        <v>219.66671999999988</v>
      </c>
      <c r="DQ67" s="13">
        <f t="shared" si="43"/>
        <v>54.042442569081146</v>
      </c>
      <c r="DR67" s="20">
        <f t="shared" si="16"/>
        <v>476.71012480781616</v>
      </c>
      <c r="DS67" s="59">
        <f t="shared" si="17"/>
        <v>770.04345814114947</v>
      </c>
      <c r="DT67" s="59">
        <f ca="1">AVERAGE(OFFSET($DS$3,0,0,'Données projet'!$E$14+1,1))-AVERAGE(OFFSET($H$3,0,0,'Données projet'!$E$14+1,1))</f>
        <v>234.09142087023463</v>
      </c>
      <c r="DU67" s="59">
        <f t="shared" si="44"/>
        <v>278.990685815294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1.2442479206289441</v>
      </c>
      <c r="EB67" s="21">
        <f>EXP(-LN(2)/25)*EB66+(1-EXP(-LN(2)/25))/(LN(2)/25)*Calculateur!DW67*Calculateur!DY67*VLOOKUP('Données projet'!$B$14,Paramètres!$A$1:$I$89,3,0)*0.475*44/12</f>
        <v>5.9770710995196108</v>
      </c>
      <c r="EC67" s="21">
        <f>EXP(-LN(2)/2)*EC66+(1-EXP(-LN(2)/2))/(LN(2)/2)*DW67*DZ67*VLOOKUP('Données projet'!$B$14,Paramètres!$A$1:$I$89,3,0)*0.475*44/12</f>
        <v>1.6901870576141887E-4</v>
      </c>
      <c r="ED67" s="22">
        <f t="shared" si="18"/>
        <v>7.2214880388543161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10.7</v>
      </c>
      <c r="N68" s="13">
        <f>IF('Données projet'!$A$36&gt;35,N67+M68-V67,IF(A68&lt;'Données projet'!$A$36,$K$205^A68,IF(A68='Données projet'!$A$36,'Données projet'!$B$36,N67+M68-V67)))</f>
        <v>436.50000000000023</v>
      </c>
      <c r="O68" s="13">
        <f>N68*VLOOKUP('Données projet'!$B$9,Paramètres!$A$1:$I$89,3,0)*VLOOKUP('Données projet'!$B$9,Paramètres!$A$1:$I$89,5,0)</f>
        <v>261.02700000000016</v>
      </c>
      <c r="P68" s="13">
        <f t="shared" si="33"/>
        <v>62.941242601628787</v>
      </c>
      <c r="Q68" s="20">
        <f t="shared" si="54"/>
        <v>564.24468919783703</v>
      </c>
      <c r="R68" s="59">
        <f t="shared" si="55"/>
        <v>857.57802253117029</v>
      </c>
      <c r="S68" s="59">
        <f ca="1">AVERAGE(OFFSET($R$3,0,0,'Données projet'!$E$9+1,1))-AVERAGE(OFFSET($H$3,0,0,'Données projet'!$E$9+1,1))</f>
        <v>259.30247982593914</v>
      </c>
      <c r="T68" s="59">
        <f t="shared" si="34"/>
        <v>275.24740346220779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6.8332341491742632</v>
      </c>
      <c r="AB68" s="21">
        <f>EXP(-LN(2)/2)*AB67+(1-EXP(-LN(2)/2))/(LN(2)/2)*V68*Y68*VLOOKUP('Données projet'!$B$9,Paramètres!$A$1:$I$89,3,0)*0.475*44/12</f>
        <v>1.5472530329296372E-4</v>
      </c>
      <c r="AC68" s="22">
        <f t="shared" ref="AC68:AC131" si="57">SUM(Z68:AB68)</f>
        <v>6.8333888744775564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17</v>
      </c>
      <c r="AI68" s="13">
        <f>IF('Données projet'!$A$62&gt;35,AI67+AH68-AQ67,IF(A68&lt;'Données projet'!$A$62,$AF$205^A68,IF(A68='Données projet'!$A$62,'Données projet'!$B$62,AI67+AH68-AQ67)))</f>
        <v>609.00000000000034</v>
      </c>
      <c r="AJ68" s="13">
        <f>AI68*VLOOKUP('Données projet'!$B$10,Paramètres!$A$1:$I$89,3,0)*VLOOKUP('Données projet'!$B$10,Paramètres!$A$1:$I$89,5,0)</f>
        <v>292.9290000000002</v>
      </c>
      <c r="AK68" s="13">
        <f t="shared" si="35"/>
        <v>69.692058760461109</v>
      </c>
      <c r="AL68" s="20">
        <f t="shared" ref="AL68:AL131" si="58">(AJ68+AK68)*0.475*44/12</f>
        <v>631.56501067447016</v>
      </c>
      <c r="AM68" s="59">
        <f t="shared" ref="AM68:AM131" si="59">AL68+(AD68+AE68)*44/12</f>
        <v>924.89834400780342</v>
      </c>
      <c r="AN68" s="59">
        <f ca="1">AVERAGE(OFFSET($AM$3,0,0,'Données projet'!$E$10+1,1))-AVERAGE(OFFSET($H$3,0,0,'Données projet'!$E$10+1,1))</f>
        <v>297.21955661193238</v>
      </c>
      <c r="AO68" s="59">
        <f t="shared" si="36"/>
        <v>273.69206144662144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3.3690492161906866</v>
      </c>
      <c r="AV68" s="21">
        <f>EXP(-LN(2)/25)*AV67+(1-EXP(-LN(2)/25))/(LN(2)/25)*Calculateur!AQ68*Calculateur!AS68*VLOOKUP('Données projet'!$B$10,Paramètres!$A$1:$I$89,3,0)*0.475*44/12</f>
        <v>5.0864173807833035</v>
      </c>
      <c r="AW68" s="21">
        <f>EXP(-LN(2)/2)*AW67+(1-EXP(-LN(2)/2))/(LN(2)/2)*AQ68*AT68*VLOOKUP('Données projet'!$B$10,Paramètres!$A$1:$I$89,3,0)*0.475*44/12</f>
        <v>1.1282021313163065E-4</v>
      </c>
      <c r="AX68" s="21">
        <f t="shared" ref="AX68:AX131" si="60">SUM(AU68:AW68)</f>
        <v>8.4555794171871206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5.6843418860808015E-14</v>
      </c>
      <c r="BE68" s="13">
        <f>BD68*VLOOKUP('Données projet'!$B$11,Paramètres!$A$1:$I$89,3,0)*VLOOKUP('Données projet'!$B$11,Paramètres!$A$1:$I$89,5,0)</f>
        <v>3.6357050703372803E-14</v>
      </c>
      <c r="BF68" s="13">
        <f t="shared" si="37"/>
        <v>6.1445232567661395E-13</v>
      </c>
      <c r="BG68" s="20">
        <f t="shared" ref="BG68:BG131" si="61">(BE68+BF68)*0.475*44/12</f>
        <v>1.1334929971951436E-12</v>
      </c>
      <c r="BH68" s="59">
        <f t="shared" ref="BH68:BH131" si="62">BG68+(AY68+AZ68)*44/12</f>
        <v>293.33333333333445</v>
      </c>
      <c r="BI68" s="59">
        <f ca="1">AVERAGE(OFFSET($BH$3,0,0,'Données projet'!$E$11+1,1))-AVERAGE(OFFSET($H$3,0,0,'Données projet'!$E$11+1,1))</f>
        <v>176.90404027101607</v>
      </c>
      <c r="BJ68" s="59">
        <f t="shared" si="38"/>
        <v>295.34177980841878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0.88694495493287251</v>
      </c>
      <c r="BQ68" s="21">
        <f>EXP(-LN(2)/25)*BQ67+(1-EXP(-LN(2)/25))/(LN(2)/25)*Calculateur!BL68*Calculateur!BN68*VLOOKUP('Données projet'!$B$11,Paramètres!$A$1:$I$89,3,0)*0.475*44/12</f>
        <v>3.1225700578966173</v>
      </c>
      <c r="BR68" s="21">
        <f>EXP(-LN(2)/2)*BR67+(1-EXP(-LN(2)/2))/(LN(2)/2)*BL68*BO68*VLOOKUP('Données projet'!$B$11,Paramètres!$A$1:$I$89,3,0)*0.475*44/12</f>
        <v>1.8181812019753235E-7</v>
      </c>
      <c r="BS68" s="22">
        <f t="shared" ref="BS68:BS131" si="63">SUM(BP68:BR68)</f>
        <v>4.0095151946476104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13.4</v>
      </c>
      <c r="BY68" s="12">
        <f>IF('Données projet'!$A$114&gt;35,BY67+BX68-CG67,IF(A68&lt;'Données projet'!$A$114,$BV$205^A68,IF(A68='Données projet'!$A$114,'Données projet'!$B$114,BY67+BX68-CG67)))</f>
        <v>546.99999999999977</v>
      </c>
      <c r="BZ68" s="13">
        <f>BY68*VLOOKUP('Données projet'!$B$12,Paramètres!$A$1:$I$89,3,0)*VLOOKUP('Données projet'!$B$12,Paramètres!$A$1:$I$89,5,0)</f>
        <v>305.77299999999985</v>
      </c>
      <c r="CA68" s="13">
        <f t="shared" si="39"/>
        <v>72.385360202068057</v>
      </c>
      <c r="CB68" s="20">
        <f t="shared" ref="CB68:CB131" si="64">(BZ68+CA68)*0.475*44/12</f>
        <v>658.62581068526822</v>
      </c>
      <c r="CC68" s="59">
        <f t="shared" ref="CC68:CC131" si="65">CB68+(BT68+BU68)*44/12</f>
        <v>951.95914401860159</v>
      </c>
      <c r="CD68" s="59">
        <f ca="1">AVERAGE(OFFSET($CC$3,0,0,'Données projet'!$E$12+1,1))-AVERAGE(OFFSET($H$3,0,0,'Données projet'!$E$12+1,1))</f>
        <v>326.31232746914907</v>
      </c>
      <c r="CE68" s="59">
        <f t="shared" si="40"/>
        <v>330.17137761430297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2.2839725542193636</v>
      </c>
      <c r="CL68" s="21">
        <f>EXP(-LN(2)/25)*CL67+(1-EXP(-LN(2)/25))/(LN(2)/25)*Calculateur!CG68*Calculateur!CI68*VLOOKUP('Données projet'!$B$12,Paramètres!$A$1:$I$89,3,0)*0.475*44/12</f>
        <v>11.433409387770203</v>
      </c>
      <c r="CM68" s="21">
        <f>EXP(-LN(2)/2)*CM67+(1-EXP(-LN(2)/2))/(LN(2)/2)*CG68*CJ68*VLOOKUP('Données projet'!$B$12,Paramètres!$A$1:$I$89,3,0)*0.475*44/12</f>
        <v>1.7545005207125026E-4</v>
      </c>
      <c r="CN68" s="22">
        <f t="shared" ref="CN68:CN131" si="66">SUM(CK68:CM68)</f>
        <v>13.717557392041638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8.5</v>
      </c>
      <c r="CT68" s="12">
        <f>IF('Données projet'!$A$140&gt;35,CT67+CS68-DB67,IF(A68&lt;'Données projet'!$A$140,$CQ$205^A68,IF(A68='Données projet'!$A$140,'Données projet'!$B$140,CT67+CS68-DB67)))</f>
        <v>368.50000000000023</v>
      </c>
      <c r="CU68" s="17">
        <f>CT68*VLOOKUP('Données projet'!$B$13,Paramètres!$A$1:$I$89,3,0)*VLOOKUP('Données projet'!$B$13,Paramètres!$A$1:$I$89,5,0)</f>
        <v>201.20100000000014</v>
      </c>
      <c r="CV68" s="13">
        <f t="shared" si="41"/>
        <v>50.008019134354747</v>
      </c>
      <c r="CW68" s="20">
        <f t="shared" ref="CW68:CW131" si="67">(CU68+CV68)*0.475*44/12</f>
        <v>437.52237499233479</v>
      </c>
      <c r="CX68" s="59">
        <f t="shared" ref="CX68:CX131" si="68">CW68+(CO68+CP68)*44/12</f>
        <v>730.85570832566805</v>
      </c>
      <c r="CY68" s="59">
        <f ca="1">AVERAGE(OFFSET($CX$3,0,0,'Données projet'!$E$13+1,1))-AVERAGE(OFFSET($H$3,0,0,'Données projet'!$E$13+1,1))</f>
        <v>210.04871822652808</v>
      </c>
      <c r="CZ68" s="59">
        <f t="shared" si="42"/>
        <v>250.17540614049324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3.6504931310567383</v>
      </c>
      <c r="DG68" s="21">
        <f>EXP(-LN(2)/25)*DG67+(1-EXP(-LN(2)/25))/(LN(2)/25)*Calculateur!DB68*Calculateur!DD68*VLOOKUP('Données projet'!$B$13,Paramètres!$A$1:$I$89,3,0)*0.475*44/12</f>
        <v>10.545868409328351</v>
      </c>
      <c r="DH68" s="21">
        <f>EXP(-LN(2)/2)*DH67+(1-EXP(-LN(2)/2))/(LN(2)/2)*DB68*DE68*VLOOKUP('Données projet'!$B$13,Paramètres!$A$1:$I$89,3,0)*0.475*44/12</f>
        <v>1.1627884587952976E-4</v>
      </c>
      <c r="DI68" s="22">
        <f t="shared" ref="DI68:DI131" si="69">SUM(DF68:DH68)</f>
        <v>14.196477819230969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4.9000000000000004</v>
      </c>
      <c r="DO68" s="12">
        <f>IF('Données projet'!$A$166&gt;35,DO67+DN68-DW67,IF(A68&lt;'Données projet'!$A$166,$DL$205^A68,IF(A68='Données projet'!$A$166,'Données projet'!$B$166,DO67+DN68-DW67)))</f>
        <v>304.49999999999983</v>
      </c>
      <c r="DP68" s="17">
        <f>DO68*VLOOKUP('Données projet'!$B$14,Paramètres!$A$1:$I$89,3,0)*VLOOKUP('Données projet'!$B$14,Paramètres!$A$1:$I$89,5,0)</f>
        <v>223.25939999999989</v>
      </c>
      <c r="DQ68" s="13">
        <f t="shared" si="43"/>
        <v>54.822692711030363</v>
      </c>
      <c r="DR68" s="20">
        <f t="shared" ref="DR68:DR131" si="70">(DP68+DQ68)*0.475*44/12</f>
        <v>484.32631147171105</v>
      </c>
      <c r="DS68" s="59">
        <f t="shared" ref="DS68:DS131" si="71">DR68+(DJ68+DK68)*44/12</f>
        <v>777.65964480504431</v>
      </c>
      <c r="DT68" s="59">
        <f ca="1">AVERAGE(OFFSET($DS$3,0,0,'Données projet'!$E$14+1,1))-AVERAGE(OFFSET($H$3,0,0,'Données projet'!$E$14+1,1))</f>
        <v>234.09142087023463</v>
      </c>
      <c r="DU68" s="59">
        <f t="shared" si="44"/>
        <v>278.990685815294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1.2198489778217052</v>
      </c>
      <c r="EB68" s="21">
        <f>EXP(-LN(2)/25)*EB67+(1-EXP(-LN(2)/25))/(LN(2)/25)*Calculateur!DW68*Calculateur!DY68*VLOOKUP('Données projet'!$B$14,Paramètres!$A$1:$I$89,3,0)*0.475*44/12</f>
        <v>5.8136277759827388</v>
      </c>
      <c r="EC68" s="21">
        <f>EXP(-LN(2)/2)*EC67+(1-EXP(-LN(2)/2))/(LN(2)/2)*DW68*DZ68*VLOOKUP('Données projet'!$B$14,Paramètres!$A$1:$I$89,3,0)*0.475*44/12</f>
        <v>1.1951427299127308E-4</v>
      </c>
      <c r="ED68" s="22">
        <f t="shared" ref="ED68:ED131" si="72">SUM(EA68:EC68)</f>
        <v>7.0335962680774351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10.7</v>
      </c>
      <c r="N69" s="13">
        <f>IF('Données projet'!$A$36&gt;35,N68+M69-V68,IF(A69&lt;'Données projet'!$A$36,$K$205^A69,IF(A69='Données projet'!$A$36,'Données projet'!$B$36,N68+M69-V68)))</f>
        <v>447.20000000000022</v>
      </c>
      <c r="O69" s="13">
        <f>N69*VLOOKUP('Données projet'!$B$9,Paramètres!$A$1:$I$89,3,0)*VLOOKUP('Données projet'!$B$9,Paramètres!$A$1:$I$89,5,0)</f>
        <v>267.42560000000014</v>
      </c>
      <c r="P69" s="13">
        <f t="shared" ref="P69:P132" si="87">EXP(-1.0587+0.8836*LN(O69)+0.284)</f>
        <v>64.302612367699822</v>
      </c>
      <c r="Q69" s="20">
        <f t="shared" si="54"/>
        <v>577.75996987374401</v>
      </c>
      <c r="R69" s="59">
        <f t="shared" si="55"/>
        <v>871.09330320707727</v>
      </c>
      <c r="S69" s="59">
        <f ca="1">AVERAGE(OFFSET($R$3,0,0,'Données projet'!$E$9+1,1))-AVERAGE(OFFSET($H$3,0,0,'Données projet'!$E$9+1,1))</f>
        <v>259.30247982593914</v>
      </c>
      <c r="T69" s="59">
        <f t="shared" ref="T69:T132" si="88">$T$3</f>
        <v>275.24740346220779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6.646379002020927</v>
      </c>
      <c r="AB69" s="21">
        <f>EXP(-LN(2)/2)*AB68+(1-EXP(-LN(2)/2))/(LN(2)/2)*V69*Y69*VLOOKUP('Données projet'!$B$9,Paramètres!$A$1:$I$89,3,0)*0.475*44/12</f>
        <v>1.094073111795999E-4</v>
      </c>
      <c r="AC69" s="22">
        <f t="shared" si="57"/>
        <v>6.6464884093321066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17</v>
      </c>
      <c r="AI69" s="13">
        <f>IF('Données projet'!$A$62&gt;35,AI68+AH69-AQ68,IF(A69&lt;'Données projet'!$A$62,$AF$205^A69,IF(A69='Données projet'!$A$62,'Données projet'!$B$62,AI68+AH69-AQ68)))</f>
        <v>626.00000000000034</v>
      </c>
      <c r="AJ69" s="13">
        <f>AI69*VLOOKUP('Données projet'!$B$10,Paramètres!$A$1:$I$89,3,0)*VLOOKUP('Données projet'!$B$10,Paramètres!$A$1:$I$89,5,0)</f>
        <v>301.10600000000017</v>
      </c>
      <c r="AK69" s="13">
        <f t="shared" ref="AK69:AK132" si="89">EXP(-1.0587+0.8836*LN(AJ69)+0.284)</f>
        <v>71.408273876909504</v>
      </c>
      <c r="AL69" s="20">
        <f t="shared" si="58"/>
        <v>648.795693668951</v>
      </c>
      <c r="AM69" s="59">
        <f t="shared" si="59"/>
        <v>942.12902700228437</v>
      </c>
      <c r="AN69" s="59">
        <f ca="1">AVERAGE(OFFSET($AM$3,0,0,'Données projet'!$E$10+1,1))-AVERAGE(OFFSET($H$3,0,0,'Données projet'!$E$10+1,1))</f>
        <v>297.21955661193238</v>
      </c>
      <c r="AO69" s="59">
        <f t="shared" ref="AO69:AO132" si="90">$AO$3</f>
        <v>273.69206144662144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3.3029842159783032</v>
      </c>
      <c r="AV69" s="21">
        <f>EXP(-LN(2)/25)*AV68+(1-EXP(-LN(2)/25))/(LN(2)/25)*Calculateur!AQ69*Calculateur!AS69*VLOOKUP('Données projet'!$B$10,Paramètres!$A$1:$I$89,3,0)*0.475*44/12</f>
        <v>4.9473290300227193</v>
      </c>
      <c r="AW69" s="21">
        <f>EXP(-LN(2)/2)*AW68+(1-EXP(-LN(2)/2))/(LN(2)/2)*AQ69*AT69*VLOOKUP('Données projet'!$B$10,Paramètres!$A$1:$I$89,3,0)*0.475*44/12</f>
        <v>7.9775937760287609E-5</v>
      </c>
      <c r="AX69" s="21">
        <f t="shared" si="60"/>
        <v>8.2503930219387822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5.6843418860808015E-14</v>
      </c>
      <c r="BE69" s="13">
        <f>BD69*VLOOKUP('Données projet'!$B$11,Paramètres!$A$1:$I$89,3,0)*VLOOKUP('Données projet'!$B$11,Paramètres!$A$1:$I$89,5,0)</f>
        <v>3.6357050703372803E-14</v>
      </c>
      <c r="BF69" s="13">
        <f t="shared" ref="BF69:BF132" si="91">EXP(-1.0587+0.8836*LN(BE69)+0.284)</f>
        <v>6.1445232567661395E-13</v>
      </c>
      <c r="BG69" s="20">
        <f t="shared" si="61"/>
        <v>1.1334929971951436E-12</v>
      </c>
      <c r="BH69" s="59">
        <f t="shared" si="62"/>
        <v>293.33333333333445</v>
      </c>
      <c r="BI69" s="59">
        <f ca="1">AVERAGE(OFFSET($BH$3,0,0,'Données projet'!$E$11+1,1))-AVERAGE(OFFSET($H$3,0,0,'Données projet'!$E$11+1,1))</f>
        <v>176.90404027101607</v>
      </c>
      <c r="BJ69" s="59">
        <f t="shared" ref="BJ69:BJ132" si="92">$BJ$3</f>
        <v>295.34177980841878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0.86955250534964379</v>
      </c>
      <c r="BQ69" s="21">
        <f>EXP(-LN(2)/25)*BQ68+(1-EXP(-LN(2)/25))/(LN(2)/25)*Calculateur!BL69*Calculateur!BN69*VLOOKUP('Données projet'!$B$11,Paramètres!$A$1:$I$89,3,0)*0.475*44/12</f>
        <v>3.0371832154546117</v>
      </c>
      <c r="BR69" s="21">
        <f>EXP(-LN(2)/2)*BR68+(1-EXP(-LN(2)/2))/(LN(2)/2)*BL69*BO69*VLOOKUP('Données projet'!$B$11,Paramètres!$A$1:$I$89,3,0)*0.475*44/12</f>
        <v>1.285648257342659E-7</v>
      </c>
      <c r="BS69" s="22">
        <f t="shared" si="63"/>
        <v>3.9067358493690816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13.4</v>
      </c>
      <c r="BY69" s="12">
        <f>IF('Données projet'!$A$114&gt;35,BY68+BX69-CG68,IF(A69&lt;'Données projet'!$A$114,$BV$205^A69,IF(A69='Données projet'!$A$114,'Données projet'!$B$114,BY68+BX69-CG68)))</f>
        <v>560.39999999999975</v>
      </c>
      <c r="BZ69" s="13">
        <f>BY69*VLOOKUP('Données projet'!$B$12,Paramètres!$A$1:$I$89,3,0)*VLOOKUP('Données projet'!$B$12,Paramètres!$A$1:$I$89,5,0)</f>
        <v>313.26359999999988</v>
      </c>
      <c r="CA69" s="13">
        <f t="shared" ref="CA69:CA132" si="93">EXP(-1.0587+0.8836*LN(BZ69)+0.284)</f>
        <v>73.949983766039026</v>
      </c>
      <c r="CB69" s="20">
        <f t="shared" si="64"/>
        <v>674.39699172585108</v>
      </c>
      <c r="CC69" s="59">
        <f t="shared" si="65"/>
        <v>967.73032505918445</v>
      </c>
      <c r="CD69" s="59">
        <f ca="1">AVERAGE(OFFSET($CC$3,0,0,'Données projet'!$E$12+1,1))-AVERAGE(OFFSET($H$3,0,0,'Données projet'!$E$12+1,1))</f>
        <v>326.31232746914907</v>
      </c>
      <c r="CE69" s="59">
        <f t="shared" ref="CE69:CE132" si="94">$CE$3</f>
        <v>330.17137761430297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2.2391852455168242</v>
      </c>
      <c r="CL69" s="21">
        <f>EXP(-LN(2)/25)*CL68+(1-EXP(-LN(2)/25))/(LN(2)/25)*Calculateur!CG69*Calculateur!CI69*VLOOKUP('Données projet'!$B$12,Paramètres!$A$1:$I$89,3,0)*0.475*44/12</f>
        <v>11.120762206804759</v>
      </c>
      <c r="CM69" s="21">
        <f>EXP(-LN(2)/2)*CM68+(1-EXP(-LN(2)/2))/(LN(2)/2)*CG69*CJ69*VLOOKUP('Données projet'!$B$12,Paramètres!$A$1:$I$89,3,0)*0.475*44/12</f>
        <v>1.2406192157911393E-4</v>
      </c>
      <c r="CN69" s="22">
        <f t="shared" si="66"/>
        <v>13.360071514243161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8.5</v>
      </c>
      <c r="CT69" s="12">
        <f>IF('Données projet'!$A$140&gt;35,CT68+CS69-DB68,IF(A69&lt;'Données projet'!$A$140,$CQ$205^A69,IF(A69='Données projet'!$A$140,'Données projet'!$B$140,CT68+CS69-DB68)))</f>
        <v>377.00000000000023</v>
      </c>
      <c r="CU69" s="17">
        <f>CT69*VLOOKUP('Données projet'!$B$13,Paramètres!$A$1:$I$89,3,0)*VLOOKUP('Données projet'!$B$13,Paramètres!$A$1:$I$89,5,0)</f>
        <v>205.84200000000013</v>
      </c>
      <c r="CV69" s="13">
        <f t="shared" ref="CV69:CV132" si="95">EXP(-1.0587+0.8836*LN(CU69)+0.284)</f>
        <v>51.02590322155848</v>
      </c>
      <c r="CW69" s="20">
        <f t="shared" si="67"/>
        <v>447.37826477754788</v>
      </c>
      <c r="CX69" s="59">
        <f t="shared" si="68"/>
        <v>740.71159811088114</v>
      </c>
      <c r="CY69" s="59">
        <f ca="1">AVERAGE(OFFSET($CX$3,0,0,'Données projet'!$E$13+1,1))-AVERAGE(OFFSET($H$3,0,0,'Données projet'!$E$13+1,1))</f>
        <v>210.04871822652808</v>
      </c>
      <c r="CZ69" s="59">
        <f t="shared" ref="CZ69:CZ132" si="96">$CZ$3</f>
        <v>250.17540614049324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3.5789091873376688</v>
      </c>
      <c r="DG69" s="21">
        <f>EXP(-LN(2)/25)*DG68+(1-EXP(-LN(2)/25))/(LN(2)/25)*Calculateur!DB69*Calculateur!DD69*VLOOKUP('Données projet'!$B$13,Paramètres!$A$1:$I$89,3,0)*0.475*44/12</f>
        <v>10.25749108309215</v>
      </c>
      <c r="DH69" s="21">
        <f>EXP(-LN(2)/2)*DH68+(1-EXP(-LN(2)/2))/(LN(2)/2)*DB69*DE69*VLOOKUP('Données projet'!$B$13,Paramètres!$A$1:$I$89,3,0)*0.475*44/12</f>
        <v>8.222156042996094E-5</v>
      </c>
      <c r="DI69" s="22">
        <f t="shared" si="69"/>
        <v>13.836482491990248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4.9000000000000004</v>
      </c>
      <c r="DO69" s="12">
        <f>IF('Données projet'!$A$166&gt;35,DO68+DN69-DW68,IF(A69&lt;'Données projet'!$A$166,$DL$205^A69,IF(A69='Données projet'!$A$166,'Données projet'!$B$166,DO68+DN69-DW68)))</f>
        <v>309.39999999999981</v>
      </c>
      <c r="DP69" s="17">
        <f>DO69*VLOOKUP('Données projet'!$B$14,Paramètres!$A$1:$I$89,3,0)*VLOOKUP('Données projet'!$B$14,Paramètres!$A$1:$I$89,5,0)</f>
        <v>226.85207999999983</v>
      </c>
      <c r="DQ69" s="13">
        <f t="shared" ref="DQ69:DQ132" si="97">EXP(-1.0587+0.8836*LN(DP69)+0.284)</f>
        <v>55.601482665025273</v>
      </c>
      <c r="DR69" s="20">
        <f t="shared" si="70"/>
        <v>491.93995497491869</v>
      </c>
      <c r="DS69" s="59">
        <f t="shared" si="71"/>
        <v>785.27328830825195</v>
      </c>
      <c r="DT69" s="59">
        <f ca="1">AVERAGE(OFFSET($DS$3,0,0,'Données projet'!$E$14+1,1))-AVERAGE(OFFSET($H$3,0,0,'Données projet'!$E$14+1,1))</f>
        <v>234.09142087023463</v>
      </c>
      <c r="DU69" s="59">
        <f t="shared" ref="DU69:DU132" si="98">$DU$3</f>
        <v>278.990685815294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1.1959284834010306</v>
      </c>
      <c r="EB69" s="21">
        <f>EXP(-LN(2)/25)*EB68+(1-EXP(-LN(2)/25))/(LN(2)/25)*Calculateur!DW69*Calculateur!DY69*VLOOKUP('Données projet'!$B$14,Paramètres!$A$1:$I$89,3,0)*0.475*44/12</f>
        <v>5.6546538187230935</v>
      </c>
      <c r="EC69" s="21">
        <f>EXP(-LN(2)/2)*EC68+(1-EXP(-LN(2)/2))/(LN(2)/2)*DW69*DZ69*VLOOKUP('Données projet'!$B$14,Paramètres!$A$1:$I$89,3,0)*0.475*44/12</f>
        <v>8.4509352880709449E-5</v>
      </c>
      <c r="ED69" s="22">
        <f t="shared" si="72"/>
        <v>6.8506668114770051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10.7</v>
      </c>
      <c r="N70" s="13">
        <f>IF('Données projet'!$A$36&gt;35,N69+M70-V69,IF(A70&lt;'Données projet'!$A$36,$K$205^A70,IF(A70='Données projet'!$A$36,'Données projet'!$B$36,N69+M70-V69)))</f>
        <v>457.9000000000002</v>
      </c>
      <c r="O70" s="13">
        <f>N70*VLOOKUP('Données projet'!$B$9,Paramètres!$A$1:$I$89,3,0)*VLOOKUP('Données projet'!$B$9,Paramètres!$A$1:$I$89,5,0)</f>
        <v>273.82420000000013</v>
      </c>
      <c r="P70" s="13">
        <f t="shared" si="87"/>
        <v>65.660195526774785</v>
      </c>
      <c r="Q70" s="20">
        <f t="shared" si="54"/>
        <v>591.26865554246626</v>
      </c>
      <c r="R70" s="59">
        <f t="shared" si="55"/>
        <v>884.60198887579963</v>
      </c>
      <c r="S70" s="59">
        <f ca="1">AVERAGE(OFFSET($R$3,0,0,'Données projet'!$E$9+1,1))-AVERAGE(OFFSET($H$3,0,0,'Données projet'!$E$9+1,1))</f>
        <v>259.30247982593914</v>
      </c>
      <c r="T70" s="59">
        <f t="shared" si="88"/>
        <v>275.24740346220779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6.4646334186927836</v>
      </c>
      <c r="AB70" s="21">
        <f>EXP(-LN(2)/2)*AB69+(1-EXP(-LN(2)/2))/(LN(2)/2)*V70*Y70*VLOOKUP('Données projet'!$B$9,Paramètres!$A$1:$I$89,3,0)*0.475*44/12</f>
        <v>7.7362651646481861E-5</v>
      </c>
      <c r="AC70" s="22">
        <f t="shared" si="57"/>
        <v>6.4647107813444302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17</v>
      </c>
      <c r="AI70" s="13">
        <f>IF('Données projet'!$A$62&gt;35,AI69+AH70-AQ69,IF(A70&lt;'Données projet'!$A$62,$AF$205^A70,IF(A70='Données projet'!$A$62,'Données projet'!$B$62,AI69+AH70-AQ69)))</f>
        <v>643.00000000000034</v>
      </c>
      <c r="AJ70" s="13">
        <f>AI70*VLOOKUP('Données projet'!$B$10,Paramètres!$A$1:$I$89,3,0)*VLOOKUP('Données projet'!$B$10,Paramètres!$A$1:$I$89,5,0)</f>
        <v>309.28300000000013</v>
      </c>
      <c r="AK70" s="13">
        <f t="shared" si="89"/>
        <v>73.11907186062929</v>
      </c>
      <c r="AL70" s="20">
        <f t="shared" si="58"/>
        <v>666.01694182392941</v>
      </c>
      <c r="AM70" s="59">
        <f t="shared" si="59"/>
        <v>959.35027515726279</v>
      </c>
      <c r="AN70" s="59">
        <f ca="1">AVERAGE(OFFSET($AM$3,0,0,'Données projet'!$E$10+1,1))-AVERAGE(OFFSET($H$3,0,0,'Données projet'!$E$10+1,1))</f>
        <v>297.21955661193238</v>
      </c>
      <c r="AO70" s="59">
        <f t="shared" si="90"/>
        <v>273.69206144662144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3.2382147101244132</v>
      </c>
      <c r="AV70" s="21">
        <f>EXP(-LN(2)/25)*AV69+(1-EXP(-LN(2)/25))/(LN(2)/25)*Calculateur!AQ70*Calculateur!AS70*VLOOKUP('Données projet'!$B$10,Paramètres!$A$1:$I$89,3,0)*0.475*44/12</f>
        <v>4.8120440575280217</v>
      </c>
      <c r="AW70" s="21">
        <f>EXP(-LN(2)/2)*AW69+(1-EXP(-LN(2)/2))/(LN(2)/2)*AQ70*AT70*VLOOKUP('Données projet'!$B$10,Paramètres!$A$1:$I$89,3,0)*0.475*44/12</f>
        <v>5.6410106565815326E-5</v>
      </c>
      <c r="AX70" s="21">
        <f t="shared" si="60"/>
        <v>8.0503151777590016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5.6843418860808015E-14</v>
      </c>
      <c r="BE70" s="13">
        <f>BD70*VLOOKUP('Données projet'!$B$11,Paramètres!$A$1:$I$89,3,0)*VLOOKUP('Données projet'!$B$11,Paramètres!$A$1:$I$89,5,0)</f>
        <v>3.6357050703372803E-14</v>
      </c>
      <c r="BF70" s="13">
        <f t="shared" si="91"/>
        <v>6.1445232567661395E-13</v>
      </c>
      <c r="BG70" s="20">
        <f t="shared" si="61"/>
        <v>1.1334929971951436E-12</v>
      </c>
      <c r="BH70" s="59">
        <f t="shared" si="62"/>
        <v>293.33333333333445</v>
      </c>
      <c r="BI70" s="59">
        <f ca="1">AVERAGE(OFFSET($BH$3,0,0,'Données projet'!$E$11+1,1))-AVERAGE(OFFSET($H$3,0,0,'Données projet'!$E$11+1,1))</f>
        <v>176.90404027101607</v>
      </c>
      <c r="BJ70" s="59">
        <f t="shared" si="92"/>
        <v>295.34177980841878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0.85250111109439541</v>
      </c>
      <c r="BQ70" s="21">
        <f>EXP(-LN(2)/25)*BQ69+(1-EXP(-LN(2)/25))/(LN(2)/25)*Calculateur!BL70*Calculateur!BN70*VLOOKUP('Données projet'!$B$11,Paramètres!$A$1:$I$89,3,0)*0.475*44/12</f>
        <v>2.9541312807094817</v>
      </c>
      <c r="BR70" s="21">
        <f>EXP(-LN(2)/2)*BR69+(1-EXP(-LN(2)/2))/(LN(2)/2)*BL70*BO70*VLOOKUP('Données projet'!$B$11,Paramètres!$A$1:$I$89,3,0)*0.475*44/12</f>
        <v>9.0909060098766175E-8</v>
      </c>
      <c r="BS70" s="22">
        <f t="shared" si="63"/>
        <v>3.8066324827129372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13.4</v>
      </c>
      <c r="BY70" s="12">
        <f>IF('Données projet'!$A$114&gt;35,BY69+BX70-CG69,IF(A70&lt;'Données projet'!$A$114,$BV$205^A70,IF(A70='Données projet'!$A$114,'Données projet'!$B$114,BY69+BX70-CG69)))</f>
        <v>573.79999999999973</v>
      </c>
      <c r="BZ70" s="13">
        <f>BY70*VLOOKUP('Données projet'!$B$12,Paramètres!$A$1:$I$89,3,0)*VLOOKUP('Données projet'!$B$12,Paramètres!$A$1:$I$89,5,0)</f>
        <v>320.75419999999986</v>
      </c>
      <c r="CA70" s="13">
        <f t="shared" si="93"/>
        <v>75.510258133660997</v>
      </c>
      <c r="CB70" s="20">
        <f t="shared" si="64"/>
        <v>690.16059791612599</v>
      </c>
      <c r="CC70" s="59">
        <f t="shared" si="65"/>
        <v>983.49393124945937</v>
      </c>
      <c r="CD70" s="59">
        <f ca="1">AVERAGE(OFFSET($CC$3,0,0,'Données projet'!$E$12+1,1))-AVERAGE(OFFSET($H$3,0,0,'Données projet'!$E$12+1,1))</f>
        <v>326.31232746914907</v>
      </c>
      <c r="CE70" s="59">
        <f t="shared" si="94"/>
        <v>330.17137761430297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2.1952761886203804</v>
      </c>
      <c r="CL70" s="21">
        <f>EXP(-LN(2)/25)*CL69+(1-EXP(-LN(2)/25))/(LN(2)/25)*Calculateur!CG70*Calculateur!CI70*VLOOKUP('Données projet'!$B$12,Paramètres!$A$1:$I$89,3,0)*0.475*44/12</f>
        <v>10.816664379444216</v>
      </c>
      <c r="CM70" s="21">
        <f>EXP(-LN(2)/2)*CM69+(1-EXP(-LN(2)/2))/(LN(2)/2)*CG70*CJ70*VLOOKUP('Données projet'!$B$12,Paramètres!$A$1:$I$89,3,0)*0.475*44/12</f>
        <v>8.7725026035625131E-5</v>
      </c>
      <c r="CN70" s="22">
        <f t="shared" si="66"/>
        <v>13.012028293090632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8.5</v>
      </c>
      <c r="CT70" s="12">
        <f>IF('Données projet'!$A$140&gt;35,CT69+CS70-DB69,IF(A70&lt;'Données projet'!$A$140,$CQ$205^A70,IF(A70='Données projet'!$A$140,'Données projet'!$B$140,CT69+CS70-DB69)))</f>
        <v>385.50000000000023</v>
      </c>
      <c r="CU70" s="17">
        <f>CT70*VLOOKUP('Données projet'!$B$13,Paramètres!$A$1:$I$89,3,0)*VLOOKUP('Données projet'!$B$13,Paramètres!$A$1:$I$89,5,0)</f>
        <v>210.48300000000012</v>
      </c>
      <c r="CV70" s="13">
        <f t="shared" si="95"/>
        <v>52.041119233873296</v>
      </c>
      <c r="CW70" s="20">
        <f t="shared" si="67"/>
        <v>457.22950766566288</v>
      </c>
      <c r="CX70" s="59">
        <f t="shared" si="68"/>
        <v>750.56284099899619</v>
      </c>
      <c r="CY70" s="59">
        <f ca="1">AVERAGE(OFFSET($CX$3,0,0,'Données projet'!$E$13+1,1))-AVERAGE(OFFSET($H$3,0,0,'Données projet'!$E$13+1,1))</f>
        <v>210.04871822652808</v>
      </c>
      <c r="CZ70" s="59">
        <f t="shared" si="96"/>
        <v>250.17540614049324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3.5087289610930359</v>
      </c>
      <c r="DG70" s="21">
        <f>EXP(-LN(2)/25)*DG69+(1-EXP(-LN(2)/25))/(LN(2)/25)*Calculateur!DB70*Calculateur!DD70*VLOOKUP('Données projet'!$B$13,Paramètres!$A$1:$I$89,3,0)*0.475*44/12</f>
        <v>9.9769994500069821</v>
      </c>
      <c r="DH70" s="21">
        <f>EXP(-LN(2)/2)*DH69+(1-EXP(-LN(2)/2))/(LN(2)/2)*DB70*DE70*VLOOKUP('Données projet'!$B$13,Paramètres!$A$1:$I$89,3,0)*0.475*44/12</f>
        <v>5.8139422939764889E-5</v>
      </c>
      <c r="DI70" s="22">
        <f t="shared" si="69"/>
        <v>13.485786550522958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4.9000000000000004</v>
      </c>
      <c r="DO70" s="12">
        <f>IF('Données projet'!$A$166&gt;35,DO69+DN70-DW69,IF(A70&lt;'Données projet'!$A$166,$DL$205^A70,IF(A70='Données projet'!$A$166,'Données projet'!$B$166,DO69+DN70-DW69)))</f>
        <v>314.29999999999978</v>
      </c>
      <c r="DP70" s="17">
        <f>DO70*VLOOKUP('Données projet'!$B$14,Paramètres!$A$1:$I$89,3,0)*VLOOKUP('Données projet'!$B$14,Paramètres!$A$1:$I$89,5,0)</f>
        <v>230.44475999999983</v>
      </c>
      <c r="DQ70" s="13">
        <f t="shared" si="97"/>
        <v>56.378838226372416</v>
      </c>
      <c r="DR70" s="20">
        <f t="shared" si="70"/>
        <v>499.55110024426494</v>
      </c>
      <c r="DS70" s="59">
        <f t="shared" si="71"/>
        <v>792.8844335775982</v>
      </c>
      <c r="DT70" s="59">
        <f ca="1">AVERAGE(OFFSET($DS$3,0,0,'Données projet'!$E$14+1,1))-AVERAGE(OFFSET($H$3,0,0,'Données projet'!$E$14+1,1))</f>
        <v>234.09142087023463</v>
      </c>
      <c r="DU70" s="59">
        <f t="shared" si="98"/>
        <v>278.990685815294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1.1724770552858848</v>
      </c>
      <c r="EB70" s="21">
        <f>EXP(-LN(2)/25)*EB69+(1-EXP(-LN(2)/25))/(LN(2)/25)*Calculateur!DW70*Calculateur!DY70*VLOOKUP('Données projet'!$B$14,Paramètres!$A$1:$I$89,3,0)*0.475*44/12</f>
        <v>5.5000270126847903</v>
      </c>
      <c r="EC70" s="21">
        <f>EXP(-LN(2)/2)*EC69+(1-EXP(-LN(2)/2))/(LN(2)/2)*DW70*DZ70*VLOOKUP('Données projet'!$B$14,Paramètres!$A$1:$I$89,3,0)*0.475*44/12</f>
        <v>5.9757136495636548E-5</v>
      </c>
      <c r="ED70" s="22">
        <f t="shared" si="72"/>
        <v>6.6725638251071713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10.7</v>
      </c>
      <c r="N71" s="13">
        <f>IF('Données projet'!$A$36&gt;35,N70+M71-V70,IF(A71&lt;'Données projet'!$A$36,$K$205^A71,IF(A71='Données projet'!$A$36,'Données projet'!$B$36,N70+M71-V70)))</f>
        <v>468.60000000000019</v>
      </c>
      <c r="O71" s="13">
        <f>N71*VLOOKUP('Données projet'!$B$9,Paramètres!$A$1:$I$89,3,0)*VLOOKUP('Données projet'!$B$9,Paramètres!$A$1:$I$89,5,0)</f>
        <v>280.22280000000012</v>
      </c>
      <c r="P71" s="13">
        <f t="shared" si="87"/>
        <v>67.01409074600636</v>
      </c>
      <c r="Q71" s="20">
        <f t="shared" si="54"/>
        <v>604.77091804929455</v>
      </c>
      <c r="R71" s="59">
        <f t="shared" si="55"/>
        <v>898.10425138262781</v>
      </c>
      <c r="S71" s="59">
        <f ca="1">AVERAGE(OFFSET($R$3,0,0,'Données projet'!$E$9+1,1))-AVERAGE(OFFSET($H$3,0,0,'Données projet'!$E$9+1,1))</f>
        <v>259.30247982593914</v>
      </c>
      <c r="T71" s="59">
        <f t="shared" si="88"/>
        <v>275.24740346220779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6.2878576778983328</v>
      </c>
      <c r="AB71" s="21">
        <f>EXP(-LN(2)/2)*AB70+(1-EXP(-LN(2)/2))/(LN(2)/2)*V71*Y71*VLOOKUP('Données projet'!$B$9,Paramètres!$A$1:$I$89,3,0)*0.475*44/12</f>
        <v>5.4703655589799951E-5</v>
      </c>
      <c r="AC71" s="22">
        <f t="shared" si="57"/>
        <v>6.2879123815539231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17</v>
      </c>
      <c r="AI71" s="13">
        <f>IF('Données projet'!$A$62&gt;35,AI70+AH71-AQ70,IF(A71&lt;'Données projet'!$A$62,$AF$205^A71,IF(A71='Données projet'!$A$62,'Données projet'!$B$62,AI70+AH71-AQ70)))</f>
        <v>660.00000000000034</v>
      </c>
      <c r="AJ71" s="13">
        <f>AI71*VLOOKUP('Données projet'!$B$10,Paramètres!$A$1:$I$89,3,0)*VLOOKUP('Données projet'!$B$10,Paramètres!$A$1:$I$89,5,0)</f>
        <v>317.46000000000021</v>
      </c>
      <c r="AK71" s="13">
        <f t="shared" si="89"/>
        <v>74.82461239569362</v>
      </c>
      <c r="AL71" s="20">
        <f t="shared" si="58"/>
        <v>683.22903325583331</v>
      </c>
      <c r="AM71" s="59">
        <f t="shared" si="59"/>
        <v>976.56236658916669</v>
      </c>
      <c r="AN71" s="59">
        <f ca="1">AVERAGE(OFFSET($AM$3,0,0,'Données projet'!$E$10+1,1))-AVERAGE(OFFSET($H$3,0,0,'Données projet'!$E$10+1,1))</f>
        <v>297.21955661193238</v>
      </c>
      <c r="AO71" s="59">
        <f t="shared" si="90"/>
        <v>273.69206144662144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3.1747152947748201</v>
      </c>
      <c r="AV71" s="21">
        <f>EXP(-LN(2)/25)*AV70+(1-EXP(-LN(2)/25))/(LN(2)/25)*Calculateur!AQ71*Calculateur!AS71*VLOOKUP('Données projet'!$B$10,Paramètres!$A$1:$I$89,3,0)*0.475*44/12</f>
        <v>4.6804584597205192</v>
      </c>
      <c r="AW71" s="21">
        <f>EXP(-LN(2)/2)*AW70+(1-EXP(-LN(2)/2))/(LN(2)/2)*AQ71*AT71*VLOOKUP('Données projet'!$B$10,Paramètres!$A$1:$I$89,3,0)*0.475*44/12</f>
        <v>3.9887968880143805E-5</v>
      </c>
      <c r="AX71" s="21">
        <f t="shared" si="60"/>
        <v>7.8552136424642196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5.6843418860808015E-14</v>
      </c>
      <c r="BE71" s="13">
        <f>BD71*VLOOKUP('Données projet'!$B$11,Paramètres!$A$1:$I$89,3,0)*VLOOKUP('Données projet'!$B$11,Paramètres!$A$1:$I$89,5,0)</f>
        <v>3.6357050703372803E-14</v>
      </c>
      <c r="BF71" s="13">
        <f t="shared" si="91"/>
        <v>6.1445232567661395E-13</v>
      </c>
      <c r="BG71" s="20">
        <f t="shared" si="61"/>
        <v>1.1334929971951436E-12</v>
      </c>
      <c r="BH71" s="59">
        <f t="shared" si="62"/>
        <v>293.33333333333445</v>
      </c>
      <c r="BI71" s="59">
        <f ca="1">AVERAGE(OFFSET($BH$3,0,0,'Données projet'!$E$11+1,1))-AVERAGE(OFFSET($H$3,0,0,'Données projet'!$E$11+1,1))</f>
        <v>176.90404027101607</v>
      </c>
      <c r="BJ71" s="59">
        <f t="shared" si="92"/>
        <v>295.34177980841878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0.83578408428016893</v>
      </c>
      <c r="BQ71" s="21">
        <f>EXP(-LN(2)/25)*BQ70+(1-EXP(-LN(2)/25))/(LN(2)/25)*Calculateur!BL71*Calculateur!BN71*VLOOKUP('Données projet'!$B$11,Paramètres!$A$1:$I$89,3,0)*0.475*44/12</f>
        <v>2.8733504054874688</v>
      </c>
      <c r="BR71" s="21">
        <f>EXP(-LN(2)/2)*BR70+(1-EXP(-LN(2)/2))/(LN(2)/2)*BL71*BO71*VLOOKUP('Données projet'!$B$11,Paramètres!$A$1:$I$89,3,0)*0.475*44/12</f>
        <v>6.4282412867132952E-8</v>
      </c>
      <c r="BS71" s="22">
        <f t="shared" si="63"/>
        <v>3.7091345540500504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13.4</v>
      </c>
      <c r="BY71" s="12">
        <f>IF('Données projet'!$A$114&gt;35,BY70+BX71-CG70,IF(A71&lt;'Données projet'!$A$114,$BV$205^A71,IF(A71='Données projet'!$A$114,'Données projet'!$B$114,BY70+BX71-CG70)))</f>
        <v>587.1999999999997</v>
      </c>
      <c r="BZ71" s="13">
        <f>BY71*VLOOKUP('Données projet'!$B$12,Paramètres!$A$1:$I$89,3,0)*VLOOKUP('Données projet'!$B$12,Paramètres!$A$1:$I$89,5,0)</f>
        <v>328.24479999999983</v>
      </c>
      <c r="CA71" s="13">
        <f t="shared" si="93"/>
        <v>77.066296561336628</v>
      </c>
      <c r="CB71" s="20">
        <f t="shared" si="64"/>
        <v>705.91682651099427</v>
      </c>
      <c r="CC71" s="59">
        <f t="shared" si="65"/>
        <v>999.25015984432753</v>
      </c>
      <c r="CD71" s="59">
        <f ca="1">AVERAGE(OFFSET($CC$3,0,0,'Données projet'!$E$12+1,1))-AVERAGE(OFFSET($H$3,0,0,'Données projet'!$E$12+1,1))</f>
        <v>326.31232746914907</v>
      </c>
      <c r="CE71" s="59">
        <f t="shared" si="94"/>
        <v>330.17137761430297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2.1522281615477961</v>
      </c>
      <c r="CL71" s="21">
        <f>EXP(-LN(2)/25)*CL70+(1-EXP(-LN(2)/25))/(LN(2)/25)*Calculateur!CG71*Calculateur!CI71*VLOOKUP('Données projet'!$B$12,Paramètres!$A$1:$I$89,3,0)*0.475*44/12</f>
        <v>10.520882123164656</v>
      </c>
      <c r="CM71" s="21">
        <f>EXP(-LN(2)/2)*CM70+(1-EXP(-LN(2)/2))/(LN(2)/2)*CG71*CJ71*VLOOKUP('Données projet'!$B$12,Paramètres!$A$1:$I$89,3,0)*0.475*44/12</f>
        <v>6.2030960789556964E-5</v>
      </c>
      <c r="CN71" s="22">
        <f t="shared" si="66"/>
        <v>12.673172315673241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8.5</v>
      </c>
      <c r="CT71" s="12">
        <f>IF('Données projet'!$A$140&gt;35,CT70+CS71-DB70,IF(A71&lt;'Données projet'!$A$140,$CQ$205^A71,IF(A71='Données projet'!$A$140,'Données projet'!$B$140,CT70+CS71-DB70)))</f>
        <v>394.00000000000023</v>
      </c>
      <c r="CU71" s="17">
        <f>CT71*VLOOKUP('Données projet'!$B$13,Paramètres!$A$1:$I$89,3,0)*VLOOKUP('Données projet'!$B$13,Paramètres!$A$1:$I$89,5,0)</f>
        <v>215.12400000000014</v>
      </c>
      <c r="CV71" s="13">
        <f t="shared" si="95"/>
        <v>53.053732774689799</v>
      </c>
      <c r="CW71" s="20">
        <f t="shared" si="67"/>
        <v>467.07621791591828</v>
      </c>
      <c r="CX71" s="59">
        <f t="shared" si="68"/>
        <v>760.40955124925154</v>
      </c>
      <c r="CY71" s="59">
        <f ca="1">AVERAGE(OFFSET($CX$3,0,0,'Données projet'!$E$13+1,1))-AVERAGE(OFFSET($H$3,0,0,'Données projet'!$E$13+1,1))</f>
        <v>210.04871822652808</v>
      </c>
      <c r="CZ71" s="59">
        <f t="shared" si="96"/>
        <v>250.17540614049324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3.4399249262793492</v>
      </c>
      <c r="DG71" s="21">
        <f>EXP(-LN(2)/25)*DG70+(1-EXP(-LN(2)/25))/(LN(2)/25)*Calculateur!DB71*Calculateur!DD71*VLOOKUP('Données projet'!$B$13,Paramètres!$A$1:$I$89,3,0)*0.475*44/12</f>
        <v>9.7041778753789423</v>
      </c>
      <c r="DH71" s="21">
        <f>EXP(-LN(2)/2)*DH70+(1-EXP(-LN(2)/2))/(LN(2)/2)*DB71*DE71*VLOOKUP('Données projet'!$B$13,Paramètres!$A$1:$I$89,3,0)*0.475*44/12</f>
        <v>4.1110780214980477E-5</v>
      </c>
      <c r="DI71" s="22">
        <f t="shared" si="69"/>
        <v>13.144143912438507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4.9000000000000004</v>
      </c>
      <c r="DO71" s="12">
        <f>IF('Données projet'!$A$166&gt;35,DO70+DN71-DW70,IF(A71&lt;'Données projet'!$A$166,$DL$205^A71,IF(A71='Données projet'!$A$166,'Données projet'!$B$166,DO70+DN71-DW70)))</f>
        <v>319.19999999999976</v>
      </c>
      <c r="DP71" s="17">
        <f>DO71*VLOOKUP('Données projet'!$B$14,Paramètres!$A$1:$I$89,3,0)*VLOOKUP('Données projet'!$B$14,Paramètres!$A$1:$I$89,5,0)</f>
        <v>234.03743999999983</v>
      </c>
      <c r="DQ71" s="13">
        <f t="shared" si="97"/>
        <v>57.154784339928689</v>
      </c>
      <c r="DR71" s="20">
        <f t="shared" si="70"/>
        <v>507.15979072537556</v>
      </c>
      <c r="DS71" s="59">
        <f t="shared" si="71"/>
        <v>800.49312405870887</v>
      </c>
      <c r="DT71" s="59">
        <f ca="1">AVERAGE(OFFSET($DS$3,0,0,'Données projet'!$E$14+1,1))-AVERAGE(OFFSET($H$3,0,0,'Données projet'!$E$14+1,1))</f>
        <v>234.09142087023463</v>
      </c>
      <c r="DU71" s="59">
        <f t="shared" si="98"/>
        <v>278.990685815294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1.1494854953721181</v>
      </c>
      <c r="EB71" s="21">
        <f>EXP(-LN(2)/25)*EB70+(1-EXP(-LN(2)/25))/(LN(2)/25)*Calculateur!DW71*Calculateur!DY71*VLOOKUP('Données projet'!$B$14,Paramètres!$A$1:$I$89,3,0)*0.475*44/12</f>
        <v>5.3496284847890747</v>
      </c>
      <c r="EC71" s="21">
        <f>EXP(-LN(2)/2)*EC70+(1-EXP(-LN(2)/2))/(LN(2)/2)*DW71*DZ71*VLOOKUP('Données projet'!$B$14,Paramètres!$A$1:$I$89,3,0)*0.475*44/12</f>
        <v>4.2254676440354731E-5</v>
      </c>
      <c r="ED71" s="22">
        <f t="shared" si="72"/>
        <v>6.4991562348376331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10.7</v>
      </c>
      <c r="N72" s="13">
        <f>IF('Données projet'!$A$36&gt;35,N71+M72-V71,IF(A72&lt;'Données projet'!$A$36,$K$205^A72,IF(A72='Données projet'!$A$36,'Données projet'!$B$36,N71+M72-V71)))</f>
        <v>479.30000000000018</v>
      </c>
      <c r="O72" s="13">
        <f>N72*VLOOKUP('Données projet'!$B$9,Paramètres!$A$1:$I$89,3,0)*VLOOKUP('Données projet'!$B$9,Paramètres!$A$1:$I$89,5,0)</f>
        <v>286.62140000000011</v>
      </c>
      <c r="P72" s="13">
        <f t="shared" si="87"/>
        <v>68.364391929461689</v>
      </c>
      <c r="Q72" s="20">
        <f t="shared" si="54"/>
        <v>618.26692094381269</v>
      </c>
      <c r="R72" s="59">
        <f t="shared" si="55"/>
        <v>911.60025427714595</v>
      </c>
      <c r="S72" s="59">
        <f ca="1">AVERAGE(OFFSET($R$3,0,0,'Données projet'!$E$9+1,1))-AVERAGE(OFFSET($H$3,0,0,'Données projet'!$E$9+1,1))</f>
        <v>259.30247982593914</v>
      </c>
      <c r="T72" s="59">
        <f t="shared" si="88"/>
        <v>275.24740346220779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6.1159158790321388</v>
      </c>
      <c r="AB72" s="21">
        <f>EXP(-LN(2)/2)*AB71+(1-EXP(-LN(2)/2))/(LN(2)/2)*V72*Y72*VLOOKUP('Données projet'!$B$9,Paramètres!$A$1:$I$89,3,0)*0.475*44/12</f>
        <v>3.868132582324093E-5</v>
      </c>
      <c r="AC72" s="22">
        <f t="shared" si="57"/>
        <v>6.1159545603579621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17</v>
      </c>
      <c r="AI72" s="13">
        <f>IF('Données projet'!$A$62&gt;35,AI71+AH72-AQ71,IF(A72&lt;'Données projet'!$A$62,$AF$205^A72,IF(A72='Données projet'!$A$62,'Données projet'!$B$62,AI71+AH72-AQ71)))</f>
        <v>677.00000000000034</v>
      </c>
      <c r="AJ72" s="13">
        <f>AI72*VLOOKUP('Données projet'!$B$10,Paramètres!$A$1:$I$89,3,0)*VLOOKUP('Données projet'!$B$10,Paramètres!$A$1:$I$89,5,0)</f>
        <v>325.63700000000017</v>
      </c>
      <c r="AK72" s="13">
        <f t="shared" si="89"/>
        <v>76.525046471400174</v>
      </c>
      <c r="AL72" s="20">
        <f t="shared" si="58"/>
        <v>700.43223093768893</v>
      </c>
      <c r="AM72" s="59">
        <f t="shared" si="59"/>
        <v>993.76556427102219</v>
      </c>
      <c r="AN72" s="59">
        <f ca="1">AVERAGE(OFFSET($AM$3,0,0,'Données projet'!$E$10+1,1))-AVERAGE(OFFSET($H$3,0,0,'Données projet'!$E$10+1,1))</f>
        <v>297.21955661193238</v>
      </c>
      <c r="AO72" s="59">
        <f t="shared" si="90"/>
        <v>273.69206144662144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3.1124610642294135</v>
      </c>
      <c r="AV72" s="21">
        <f>EXP(-LN(2)/25)*AV71+(1-EXP(-LN(2)/25))/(LN(2)/25)*Calculateur!AQ72*Calculateur!AS72*VLOOKUP('Données projet'!$B$10,Paramètres!$A$1:$I$89,3,0)*0.475*44/12</f>
        <v>4.5524710770048484</v>
      </c>
      <c r="AW72" s="21">
        <f>EXP(-LN(2)/2)*AW71+(1-EXP(-LN(2)/2))/(LN(2)/2)*AQ72*AT72*VLOOKUP('Données projet'!$B$10,Paramètres!$A$1:$I$89,3,0)*0.475*44/12</f>
        <v>2.8205053282907663E-5</v>
      </c>
      <c r="AX72" s="21">
        <f t="shared" si="60"/>
        <v>7.6649603462875451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5.6843418860808015E-14</v>
      </c>
      <c r="BE72" s="13">
        <f>BD72*VLOOKUP('Données projet'!$B$11,Paramètres!$A$1:$I$89,3,0)*VLOOKUP('Données projet'!$B$11,Paramètres!$A$1:$I$89,5,0)</f>
        <v>3.6357050703372803E-14</v>
      </c>
      <c r="BF72" s="13">
        <f t="shared" si="91"/>
        <v>6.1445232567661395E-13</v>
      </c>
      <c r="BG72" s="20">
        <f t="shared" si="61"/>
        <v>1.1334929971951436E-12</v>
      </c>
      <c r="BH72" s="59">
        <f t="shared" si="62"/>
        <v>293.33333333333445</v>
      </c>
      <c r="BI72" s="59">
        <f ca="1">AVERAGE(OFFSET($BH$3,0,0,'Données projet'!$E$11+1,1))-AVERAGE(OFFSET($H$3,0,0,'Données projet'!$E$11+1,1))</f>
        <v>176.90404027101607</v>
      </c>
      <c r="BJ72" s="59">
        <f t="shared" si="92"/>
        <v>295.34177980841878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0.81939486816538987</v>
      </c>
      <c r="BQ72" s="21">
        <f>EXP(-LN(2)/25)*BQ71+(1-EXP(-LN(2)/25))/(LN(2)/25)*Calculateur!BL72*Calculateur!BN72*VLOOKUP('Données projet'!$B$11,Paramètres!$A$1:$I$89,3,0)*0.475*44/12</f>
        <v>2.7947784875464832</v>
      </c>
      <c r="BR72" s="21">
        <f>EXP(-LN(2)/2)*BR71+(1-EXP(-LN(2)/2))/(LN(2)/2)*BL72*BO72*VLOOKUP('Données projet'!$B$11,Paramètres!$A$1:$I$89,3,0)*0.475*44/12</f>
        <v>4.5454530049383088E-8</v>
      </c>
      <c r="BS72" s="22">
        <f t="shared" si="63"/>
        <v>3.6141734011664028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13.4</v>
      </c>
      <c r="BY72" s="12">
        <f>IF('Données projet'!$A$114&gt;35,BY71+BX72-CG71,IF(A72&lt;'Données projet'!$A$114,$BV$205^A72,IF(A72='Données projet'!$A$114,'Données projet'!$B$114,BY71+BX72-CG71)))</f>
        <v>600.59999999999968</v>
      </c>
      <c r="BZ72" s="13">
        <f>BY72*VLOOKUP('Données projet'!$B$12,Paramètres!$A$1:$I$89,3,0)*VLOOKUP('Données projet'!$B$12,Paramètres!$A$1:$I$89,5,0)</f>
        <v>335.73539999999986</v>
      </c>
      <c r="CA72" s="13">
        <f t="shared" si="93"/>
        <v>78.618206841401843</v>
      </c>
      <c r="CB72" s="20">
        <f t="shared" si="64"/>
        <v>721.66586524877459</v>
      </c>
      <c r="CC72" s="59">
        <f t="shared" si="65"/>
        <v>1014.999198582108</v>
      </c>
      <c r="CD72" s="59">
        <f ca="1">AVERAGE(OFFSET($CC$3,0,0,'Données projet'!$E$12+1,1))-AVERAGE(OFFSET($H$3,0,0,'Données projet'!$E$12+1,1))</f>
        <v>326.31232746914907</v>
      </c>
      <c r="CE72" s="59">
        <f t="shared" si="94"/>
        <v>330.17137761430297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2.1100242800294011</v>
      </c>
      <c r="CL72" s="21">
        <f>EXP(-LN(2)/25)*CL71+(1-EXP(-LN(2)/25))/(LN(2)/25)*Calculateur!CG72*Calculateur!CI72*VLOOKUP('Données projet'!$B$12,Paramètres!$A$1:$I$89,3,0)*0.475*44/12</f>
        <v>10.233188048237572</v>
      </c>
      <c r="CM72" s="21">
        <f>EXP(-LN(2)/2)*CM71+(1-EXP(-LN(2)/2))/(LN(2)/2)*CG72*CJ72*VLOOKUP('Données projet'!$B$12,Paramètres!$A$1:$I$89,3,0)*0.475*44/12</f>
        <v>4.3862513017812565E-5</v>
      </c>
      <c r="CN72" s="22">
        <f t="shared" si="66"/>
        <v>12.343256190779991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8.5</v>
      </c>
      <c r="CT72" s="12">
        <f>IF('Données projet'!$A$140&gt;35,CT71+CS72-DB71,IF(A72&lt;'Données projet'!$A$140,$CQ$205^A72,IF(A72='Données projet'!$A$140,'Données projet'!$B$140,CT71+CS72-DB71)))</f>
        <v>402.50000000000023</v>
      </c>
      <c r="CU72" s="17">
        <f>CT72*VLOOKUP('Données projet'!$B$13,Paramètres!$A$1:$I$89,3,0)*VLOOKUP('Données projet'!$B$13,Paramètres!$A$1:$I$89,5,0)</f>
        <v>219.76500000000013</v>
      </c>
      <c r="CV72" s="13">
        <f t="shared" si="95"/>
        <v>54.063806455114872</v>
      </c>
      <c r="CW72" s="20">
        <f t="shared" si="67"/>
        <v>476.91850457599202</v>
      </c>
      <c r="CX72" s="59">
        <f t="shared" si="68"/>
        <v>770.25183790932533</v>
      </c>
      <c r="CY72" s="59">
        <f ca="1">AVERAGE(OFFSET($CX$3,0,0,'Données projet'!$E$13+1,1))-AVERAGE(OFFSET($H$3,0,0,'Données projet'!$E$13+1,1))</f>
        <v>210.04871822652808</v>
      </c>
      <c r="CZ72" s="59">
        <f t="shared" si="96"/>
        <v>250.17540614049324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3.3724700966220413</v>
      </c>
      <c r="DG72" s="21">
        <f>EXP(-LN(2)/25)*DG71+(1-EXP(-LN(2)/25))/(LN(2)/25)*Calculateur!DB72*Calculateur!DD72*VLOOKUP('Données projet'!$B$13,Paramètres!$A$1:$I$89,3,0)*0.475*44/12</f>
        <v>9.4388166210561693</v>
      </c>
      <c r="DH72" s="21">
        <f>EXP(-LN(2)/2)*DH71+(1-EXP(-LN(2)/2))/(LN(2)/2)*DB72*DE72*VLOOKUP('Données projet'!$B$13,Paramètres!$A$1:$I$89,3,0)*0.475*44/12</f>
        <v>2.9069711469882448E-5</v>
      </c>
      <c r="DI72" s="22">
        <f t="shared" si="69"/>
        <v>12.811315787389681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4.9000000000000004</v>
      </c>
      <c r="DO72" s="12">
        <f>IF('Données projet'!$A$166&gt;35,DO71+DN72-DW71,IF(A72&lt;'Données projet'!$A$166,$DL$205^A72,IF(A72='Données projet'!$A$166,'Données projet'!$B$166,DO71+DN72-DW71)))</f>
        <v>324.09999999999974</v>
      </c>
      <c r="DP72" s="17">
        <f>DO72*VLOOKUP('Données projet'!$B$14,Paramètres!$A$1:$I$89,3,0)*VLOOKUP('Données projet'!$B$14,Paramètres!$A$1:$I$89,5,0)</f>
        <v>237.63011999999978</v>
      </c>
      <c r="DQ72" s="13">
        <f t="shared" si="97"/>
        <v>57.929345140756112</v>
      </c>
      <c r="DR72" s="20">
        <f t="shared" si="70"/>
        <v>514.76606845348317</v>
      </c>
      <c r="DS72" s="59">
        <f t="shared" si="71"/>
        <v>808.09940178681654</v>
      </c>
      <c r="DT72" s="59">
        <f ca="1">AVERAGE(OFFSET($DS$3,0,0,'Données projet'!$E$14+1,1))-AVERAGE(OFFSET($H$3,0,0,'Données projet'!$E$14+1,1))</f>
        <v>234.09142087023463</v>
      </c>
      <c r="DU72" s="59">
        <f t="shared" si="98"/>
        <v>278.990685815294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1.1269447859247934</v>
      </c>
      <c r="EB72" s="21">
        <f>EXP(-LN(2)/25)*EB71+(1-EXP(-LN(2)/25))/(LN(2)/25)*Calculateur!DW72*Calculateur!DY72*VLOOKUP('Données projet'!$B$14,Paramètres!$A$1:$I$89,3,0)*0.475*44/12</f>
        <v>5.2033426125477824</v>
      </c>
      <c r="EC72" s="21">
        <f>EXP(-LN(2)/2)*EC71+(1-EXP(-LN(2)/2))/(LN(2)/2)*DW72*DZ72*VLOOKUP('Données projet'!$B$14,Paramètres!$A$1:$I$89,3,0)*0.475*44/12</f>
        <v>2.9878568247818281E-5</v>
      </c>
      <c r="ED72" s="22">
        <f t="shared" si="72"/>
        <v>6.330317277040824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490</v>
      </c>
      <c r="L73" s="12">
        <f>VLOOKUP(A73,'Données projet'!$A$35:$I$55,9,0)</f>
        <v>10.7</v>
      </c>
      <c r="M73" s="12">
        <f t="array" ref="M73">INDEX(L:L,MIN(IF(ISNUMBER(L73:L269),ROW(L73:L269),"")))</f>
        <v>10.7</v>
      </c>
      <c r="N73" s="13">
        <f>IF('Données projet'!$A$36&gt;35,N72+M73-V72,IF(A73&lt;'Données projet'!$A$36,$K$205^A73,IF(A73='Données projet'!$A$36,'Données projet'!$B$36,N72+M73-V72)))</f>
        <v>490.00000000000017</v>
      </c>
      <c r="O73" s="13">
        <f>N73*VLOOKUP('Données projet'!$B$9,Paramètres!$A$1:$I$89,3,0)*VLOOKUP('Données projet'!$B$9,Paramètres!$A$1:$I$89,5,0)</f>
        <v>293.02000000000015</v>
      </c>
      <c r="P73" s="13">
        <f t="shared" si="87"/>
        <v>69.71118854917674</v>
      </c>
      <c r="Q73" s="20">
        <f t="shared" si="54"/>
        <v>631.75682005648298</v>
      </c>
      <c r="R73" s="59">
        <f t="shared" si="55"/>
        <v>925.09015338981635</v>
      </c>
      <c r="S73" s="59">
        <f ca="1">AVERAGE(OFFSET($R$3,0,0,'Données projet'!$E$9+1,1))-AVERAGE(OFFSET($H$3,0,0,'Données projet'!$E$9+1,1))</f>
        <v>259.30247982593914</v>
      </c>
      <c r="T73" s="59">
        <f t="shared" si="88"/>
        <v>275.24740346220779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5.9486758376979667</v>
      </c>
      <c r="AB73" s="21">
        <f>EXP(-LN(2)/2)*AB72+(1-EXP(-LN(2)/2))/(LN(2)/2)*V73*Y73*VLOOKUP('Données projet'!$B$9,Paramètres!$A$1:$I$89,3,0)*0.475*44/12</f>
        <v>2.7351827794899975E-5</v>
      </c>
      <c r="AC73" s="22">
        <f t="shared" si="57"/>
        <v>5.9487031895257614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694</v>
      </c>
      <c r="AG73" s="12">
        <f>VLOOKUP(A73,'Données projet'!$A$61:$I$81,9,0)</f>
        <v>17</v>
      </c>
      <c r="AH73" s="12">
        <f t="array" ref="AH73">INDEX(AG:AG,MIN(IF(ISNUMBER(AG73:AG269),ROW(AG73:AG269),"")))</f>
        <v>17</v>
      </c>
      <c r="AI73" s="13">
        <f>IF('Données projet'!$A$62&gt;35,AI72+AH73-AQ72,IF(A73&lt;'Données projet'!$A$62,$AF$205^A73,IF(A73='Données projet'!$A$62,'Données projet'!$B$62,AI72+AH73-AQ72)))</f>
        <v>694.00000000000034</v>
      </c>
      <c r="AJ73" s="13">
        <f>AI73*VLOOKUP('Données projet'!$B$10,Paramètres!$A$1:$I$89,3,0)*VLOOKUP('Données projet'!$B$10,Paramètres!$A$1:$I$89,5,0)</f>
        <v>333.81400000000019</v>
      </c>
      <c r="AK73" s="13">
        <f t="shared" si="89"/>
        <v>78.220517061978072</v>
      </c>
      <c r="AL73" s="20">
        <f t="shared" si="58"/>
        <v>717.62678388294546</v>
      </c>
      <c r="AM73" s="59">
        <f t="shared" si="59"/>
        <v>1010.9601172162788</v>
      </c>
      <c r="AN73" s="59">
        <f ca="1">AVERAGE(OFFSET($AM$3,0,0,'Données projet'!$E$10+1,1))-AVERAGE(OFFSET($H$3,0,0,'Données projet'!$E$10+1,1))</f>
        <v>297.21955661193238</v>
      </c>
      <c r="AO73" s="59">
        <f t="shared" si="90"/>
        <v>273.69206144662144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88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3.0514276011736712</v>
      </c>
      <c r="AV73" s="21">
        <f>EXP(-LN(2)/25)*AV72+(1-EXP(-LN(2)/25))/(LN(2)/25)*Calculateur!AQ73*Calculateur!AS73*VLOOKUP('Données projet'!$B$10,Paramètres!$A$1:$I$89,3,0)*0.475*44/12</f>
        <v>4.4279835160001015</v>
      </c>
      <c r="AW73" s="21">
        <f>EXP(-LN(2)/2)*AW72+(1-EXP(-LN(2)/2))/(LN(2)/2)*AQ73*AT73*VLOOKUP('Données projet'!$B$10,Paramètres!$A$1:$I$89,3,0)*0.475*44/12</f>
        <v>1.9943984440071902E-5</v>
      </c>
      <c r="AX73" s="21">
        <f t="shared" si="60"/>
        <v>7.4794310611582127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5.6843418860808015E-14</v>
      </c>
      <c r="BE73" s="13">
        <f>BD73*VLOOKUP('Données projet'!$B$11,Paramètres!$A$1:$I$89,3,0)*VLOOKUP('Données projet'!$B$11,Paramètres!$A$1:$I$89,5,0)</f>
        <v>3.6357050703372803E-14</v>
      </c>
      <c r="BF73" s="13">
        <f t="shared" si="91"/>
        <v>6.1445232567661395E-13</v>
      </c>
      <c r="BG73" s="20">
        <f t="shared" si="61"/>
        <v>1.1334929971951436E-12</v>
      </c>
      <c r="BH73" s="59">
        <f t="shared" si="62"/>
        <v>293.33333333333445</v>
      </c>
      <c r="BI73" s="59">
        <f ca="1">AVERAGE(OFFSET($BH$3,0,0,'Données projet'!$E$11+1,1))-AVERAGE(OFFSET($H$3,0,0,'Données projet'!$E$11+1,1))</f>
        <v>176.90404027101607</v>
      </c>
      <c r="BJ73" s="59">
        <f t="shared" si="92"/>
        <v>295.34177980841878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0.80332703458218679</v>
      </c>
      <c r="BQ73" s="21">
        <f>EXP(-LN(2)/25)*BQ72+(1-EXP(-LN(2)/25))/(LN(2)/25)*Calculateur!BL73*Calculateur!BN73*VLOOKUP('Données projet'!$B$11,Paramètres!$A$1:$I$89,3,0)*0.475*44/12</f>
        <v>2.7183551228335117</v>
      </c>
      <c r="BR73" s="21">
        <f>EXP(-LN(2)/2)*BR72+(1-EXP(-LN(2)/2))/(LN(2)/2)*BL73*BO73*VLOOKUP('Données projet'!$B$11,Paramètres!$A$1:$I$89,3,0)*0.475*44/12</f>
        <v>3.2141206433566476E-8</v>
      </c>
      <c r="BS73" s="22">
        <f t="shared" si="63"/>
        <v>3.521682189556905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614</v>
      </c>
      <c r="BW73" s="12">
        <f>VLOOKUP(A73,'Données projet'!$A$113:$I$133,9,0)</f>
        <v>13.4</v>
      </c>
      <c r="BX73" s="12">
        <f t="array" ref="BX73">INDEX(BW:BW,MIN(IF(ISNUMBER(BW73:BW269),ROW(BW73:BW269),"")))</f>
        <v>13.4</v>
      </c>
      <c r="BY73" s="12">
        <f>IF('Données projet'!$A$114&gt;35,BY72+BX73-CG72,IF(A73&lt;'Données projet'!$A$114,$BV$205^A73,IF(A73='Données projet'!$A$114,'Données projet'!$B$114,BY72+BX73-CG72)))</f>
        <v>613.99999999999966</v>
      </c>
      <c r="BZ73" s="13">
        <f>BY73*VLOOKUP('Données projet'!$B$12,Paramètres!$A$1:$I$89,3,0)*VLOOKUP('Données projet'!$B$12,Paramètres!$A$1:$I$89,5,0)</f>
        <v>343.22599999999983</v>
      </c>
      <c r="CA73" s="13">
        <f t="shared" si="93"/>
        <v>80.166091681676377</v>
      </c>
      <c r="CB73" s="20">
        <f t="shared" si="64"/>
        <v>737.40789301225266</v>
      </c>
      <c r="CC73" s="59">
        <f t="shared" si="65"/>
        <v>1030.741226345586</v>
      </c>
      <c r="CD73" s="59">
        <f ca="1">AVERAGE(OFFSET($CC$3,0,0,'Données projet'!$E$12+1,1))-AVERAGE(OFFSET($H$3,0,0,'Données projet'!$E$12+1,1))</f>
        <v>326.31232746914907</v>
      </c>
      <c r="CE73" s="59">
        <f t="shared" si="94"/>
        <v>330.17137761430297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67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2.068647990885756</v>
      </c>
      <c r="CL73" s="21">
        <f>EXP(-LN(2)/25)*CL72+(1-EXP(-LN(2)/25))/(LN(2)/25)*Calculateur!CG73*Calculateur!CI73*VLOOKUP('Données projet'!$B$12,Paramètres!$A$1:$I$89,3,0)*0.475*44/12</f>
        <v>9.9533609829185448</v>
      </c>
      <c r="CM73" s="21">
        <f>EXP(-LN(2)/2)*CM72+(1-EXP(-LN(2)/2))/(LN(2)/2)*CG73*CJ73*VLOOKUP('Données projet'!$B$12,Paramètres!$A$1:$I$89,3,0)*0.475*44/12</f>
        <v>3.1015480394778482E-5</v>
      </c>
      <c r="CN73" s="22">
        <f t="shared" si="66"/>
        <v>12.022039989284696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411</v>
      </c>
      <c r="CR73" s="12">
        <f>VLOOKUP(A73,'Données projet'!$A$139:$I$159,9,0)</f>
        <v>8.5</v>
      </c>
      <c r="CS73" s="12">
        <f t="array" ref="CS73">INDEX(CR:CR,MIN(IF(ISNUMBER(CR73:CR269),ROW(CR73:CR269),"")))</f>
        <v>8.5</v>
      </c>
      <c r="CT73" s="12">
        <f>IF('Données projet'!$A$140&gt;35,CT72+CS73-DB72,IF(A73&lt;'Données projet'!$A$140,$CQ$205^A73,IF(A73='Données projet'!$A$140,'Données projet'!$B$140,CT72+CS73-DB72)))</f>
        <v>411.00000000000023</v>
      </c>
      <c r="CU73" s="17">
        <f>CT73*VLOOKUP('Données projet'!$B$13,Paramètres!$A$1:$I$89,3,0)*VLOOKUP('Données projet'!$B$13,Paramètres!$A$1:$I$89,5,0)</f>
        <v>224.40600000000012</v>
      </c>
      <c r="CV73" s="13">
        <f t="shared" si="95"/>
        <v>55.071400090717127</v>
      </c>
      <c r="CW73" s="20">
        <f t="shared" si="67"/>
        <v>486.75647182466588</v>
      </c>
      <c r="CX73" s="59">
        <f t="shared" si="68"/>
        <v>780.08980515799919</v>
      </c>
      <c r="CY73" s="59">
        <f ca="1">AVERAGE(OFFSET($CX$3,0,0,'Données projet'!$E$13+1,1))-AVERAGE(OFFSET($H$3,0,0,'Données projet'!$E$13+1,1))</f>
        <v>210.04871822652808</v>
      </c>
      <c r="CZ73" s="59">
        <f t="shared" si="96"/>
        <v>250.17540614049324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52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3.3063380150309296</v>
      </c>
      <c r="DG73" s="21">
        <f>EXP(-LN(2)/25)*DG72+(1-EXP(-LN(2)/25))/(LN(2)/25)*Calculateur!DB73*Calculateur!DD73*VLOOKUP('Données projet'!$B$13,Paramètres!$A$1:$I$89,3,0)*0.475*44/12</f>
        <v>9.1807116841875942</v>
      </c>
      <c r="DH73" s="21">
        <f>EXP(-LN(2)/2)*DH72+(1-EXP(-LN(2)/2))/(LN(2)/2)*DB73*DE73*VLOOKUP('Données projet'!$B$13,Paramètres!$A$1:$I$89,3,0)*0.475*44/12</f>
        <v>2.0555390107490242E-5</v>
      </c>
      <c r="DI73" s="22">
        <f t="shared" si="69"/>
        <v>12.487070254608632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329</v>
      </c>
      <c r="DM73" s="12">
        <f>VLOOKUP(A73,'Données projet'!$A$165:$I$185,9,0)</f>
        <v>4.9000000000000004</v>
      </c>
      <c r="DN73" s="12">
        <f t="array" ref="DN73">INDEX(DM:DM,MIN(IF(ISNUMBER(DM73:DM269),ROW(DM73:DM269),"")))</f>
        <v>4.9000000000000004</v>
      </c>
      <c r="DO73" s="12">
        <f>IF('Données projet'!$A$166&gt;35,DO72+DN73-DW72,IF(A73&lt;'Données projet'!$A$166,$DL$205^A73,IF(A73='Données projet'!$A$166,'Données projet'!$B$166,DO72+DN73-DW72)))</f>
        <v>328.99999999999972</v>
      </c>
      <c r="DP73" s="17">
        <f>DO73*VLOOKUP('Données projet'!$B$14,Paramètres!$A$1:$I$89,3,0)*VLOOKUP('Données projet'!$B$14,Paramètres!$A$1:$I$89,5,0)</f>
        <v>241.22279999999978</v>
      </c>
      <c r="DQ73" s="13">
        <f t="shared" si="97"/>
        <v>58.702543992248778</v>
      </c>
      <c r="DR73" s="20">
        <f t="shared" si="70"/>
        <v>522.36997411983293</v>
      </c>
      <c r="DS73" s="59">
        <f t="shared" si="71"/>
        <v>815.70330745316619</v>
      </c>
      <c r="DT73" s="59">
        <f ca="1">AVERAGE(OFFSET($DS$3,0,0,'Données projet'!$E$14+1,1))-AVERAGE(OFFSET($H$3,0,0,'Données projet'!$E$14+1,1))</f>
        <v>234.09142087023463</v>
      </c>
      <c r="DU73" s="59">
        <f t="shared" si="98"/>
        <v>278.990685815294</v>
      </c>
      <c r="DV73" s="15">
        <f>IF(ISNA(VLOOKUP(A73,'Données projet'!$A$165:$I$185,3,0)),0,VLOOKUP(A73,'Données projet'!$A$165:$I$185,3,0))</f>
        <v>7</v>
      </c>
      <c r="DW73" s="15">
        <f>IF(ISNA(VLOOKUP(A73,'Données projet'!$A$165:$I$185,4,0)),0,VLOOKUP(A73,'Données projet'!$A$165:$I$185,4,0))</f>
        <v>26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1.1048460860412557</v>
      </c>
      <c r="EB73" s="21">
        <f>EXP(-LN(2)/25)*EB72+(1-EXP(-LN(2)/25))/(LN(2)/25)*Calculateur!DW73*Calculateur!DY73*VLOOKUP('Données projet'!$B$14,Paramètres!$A$1:$I$89,3,0)*0.475*44/12</f>
        <v>5.0610569351757677</v>
      </c>
      <c r="EC73" s="21">
        <f>EXP(-LN(2)/2)*EC72+(1-EXP(-LN(2)/2))/(LN(2)/2)*DW73*DZ73*VLOOKUP('Données projet'!$B$14,Paramètres!$A$1:$I$89,3,0)*0.475*44/12</f>
        <v>2.1127338220177369E-5</v>
      </c>
      <c r="ED73" s="22">
        <f t="shared" si="72"/>
        <v>6.1659241485552432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8.1999999999999993</v>
      </c>
      <c r="N74" s="13">
        <f>IF('Données projet'!$A$36&gt;35,N73+M74-V73,IF(A74&lt;'Données projet'!$A$36,$K$205^A74,IF(A74='Données projet'!$A$36,'Données projet'!$B$36,N73+M74-V73)))</f>
        <v>448.20000000000016</v>
      </c>
      <c r="O74" s="13">
        <f>N74*VLOOKUP('Données projet'!$B$9,Paramètres!$A$1:$I$89,3,0)*VLOOKUP('Données projet'!$B$9,Paramètres!$A$1:$I$89,5,0)</f>
        <v>268.0236000000001</v>
      </c>
      <c r="P74" s="13">
        <f t="shared" si="87"/>
        <v>64.429648145853221</v>
      </c>
      <c r="Q74" s="20">
        <f t="shared" si="54"/>
        <v>579.02274052069447</v>
      </c>
      <c r="R74" s="59">
        <f t="shared" si="55"/>
        <v>872.35607385402773</v>
      </c>
      <c r="S74" s="59">
        <f ca="1">AVERAGE(OFFSET($R$3,0,0,'Données projet'!$E$9+1,1))-AVERAGE(OFFSET($H$3,0,0,'Données projet'!$E$9+1,1))</f>
        <v>259.30247982593914</v>
      </c>
      <c r="T74" s="59">
        <f t="shared" si="88"/>
        <v>275.24740346220779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5.7860089840888493</v>
      </c>
      <c r="AB74" s="21">
        <f>EXP(-LN(2)/2)*AB73+(1-EXP(-LN(2)/2))/(LN(2)/2)*V74*Y74*VLOOKUP('Données projet'!$B$9,Paramètres!$A$1:$I$89,3,0)*0.475*44/12</f>
        <v>1.9340662911620465E-5</v>
      </c>
      <c r="AC74" s="22">
        <f t="shared" si="57"/>
        <v>5.7860283247517605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14.7</v>
      </c>
      <c r="AI74" s="13">
        <f>IF('Données projet'!$A$62&gt;35,AI73+AH74-AQ73,IF(A74&lt;'Données projet'!$A$62,$AF$205^A74,IF(A74='Données projet'!$A$62,'Données projet'!$B$62,AI73+AH74-AQ73)))</f>
        <v>620.70000000000039</v>
      </c>
      <c r="AJ74" s="13">
        <f>AI74*VLOOKUP('Données projet'!$B$10,Paramètres!$A$1:$I$89,3,0)*VLOOKUP('Données projet'!$B$10,Paramètres!$A$1:$I$89,5,0)</f>
        <v>298.55670000000021</v>
      </c>
      <c r="AK74" s="13">
        <f t="shared" si="89"/>
        <v>70.873807485886047</v>
      </c>
      <c r="AL74" s="20">
        <f t="shared" si="58"/>
        <v>643.42480053791849</v>
      </c>
      <c r="AM74" s="59">
        <f t="shared" si="59"/>
        <v>936.75813387125186</v>
      </c>
      <c r="AN74" s="59">
        <f ca="1">AVERAGE(OFFSET($AM$3,0,0,'Données projet'!$E$10+1,1))-AVERAGE(OFFSET($H$3,0,0,'Données projet'!$E$10+1,1))</f>
        <v>297.21955661193238</v>
      </c>
      <c r="AO74" s="59">
        <f t="shared" si="90"/>
        <v>273.69206144662144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2.9915909671017151</v>
      </c>
      <c r="AV74" s="21">
        <f>EXP(-LN(2)/25)*AV73+(1-EXP(-LN(2)/25))/(LN(2)/25)*Calculateur!AQ74*Calculateur!AS74*VLOOKUP('Données projet'!$B$10,Paramètres!$A$1:$I$89,3,0)*0.475*44/12</f>
        <v>4.3069000738975456</v>
      </c>
      <c r="AW74" s="21">
        <f>EXP(-LN(2)/2)*AW73+(1-EXP(-LN(2)/2))/(LN(2)/2)*AQ74*AT74*VLOOKUP('Données projet'!$B$10,Paramètres!$A$1:$I$89,3,0)*0.475*44/12</f>
        <v>1.4102526641453831E-5</v>
      </c>
      <c r="AX74" s="21">
        <f t="shared" si="60"/>
        <v>7.2985051435259027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5.6843418860808015E-14</v>
      </c>
      <c r="BE74" s="13">
        <f>BD74*VLOOKUP('Données projet'!$B$11,Paramètres!$A$1:$I$89,3,0)*VLOOKUP('Données projet'!$B$11,Paramètres!$A$1:$I$89,5,0)</f>
        <v>3.6357050703372803E-14</v>
      </c>
      <c r="BF74" s="13">
        <f t="shared" si="91"/>
        <v>6.1445232567661395E-13</v>
      </c>
      <c r="BG74" s="20">
        <f t="shared" si="61"/>
        <v>1.1334929971951436E-12</v>
      </c>
      <c r="BH74" s="59">
        <f t="shared" si="62"/>
        <v>293.33333333333445</v>
      </c>
      <c r="BI74" s="59">
        <f ca="1">AVERAGE(OFFSET($BH$3,0,0,'Données projet'!$E$11+1,1))-AVERAGE(OFFSET($H$3,0,0,'Données projet'!$E$11+1,1))</f>
        <v>176.90404027101607</v>
      </c>
      <c r="BJ74" s="59">
        <f t="shared" si="92"/>
        <v>295.34177980841878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0.78757428141513963</v>
      </c>
      <c r="BQ74" s="21">
        <f>EXP(-LN(2)/25)*BQ73+(1-EXP(-LN(2)/25))/(LN(2)/25)*Calculateur!BL74*Calculateur!BN74*VLOOKUP('Données projet'!$B$11,Paramètres!$A$1:$I$89,3,0)*0.475*44/12</f>
        <v>2.6440215590475464</v>
      </c>
      <c r="BR74" s="21">
        <f>EXP(-LN(2)/2)*BR73+(1-EXP(-LN(2)/2))/(LN(2)/2)*BL74*BO74*VLOOKUP('Données projet'!$B$11,Paramètres!$A$1:$I$89,3,0)*0.475*44/12</f>
        <v>2.2727265024691544E-8</v>
      </c>
      <c r="BS74" s="22">
        <f t="shared" si="63"/>
        <v>3.4315958631899508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10.4</v>
      </c>
      <c r="BY74" s="12">
        <f>IF('Données projet'!$A$114&gt;35,BY73+BX74-CG73,IF(A74&lt;'Données projet'!$A$114,$BV$205^A74,IF(A74='Données projet'!$A$114,'Données projet'!$B$114,BY73+BX74-CG73)))</f>
        <v>557.39999999999964</v>
      </c>
      <c r="BZ74" s="13">
        <f>BY74*VLOOKUP('Données projet'!$B$12,Paramètres!$A$1:$I$89,3,0)*VLOOKUP('Données projet'!$B$12,Paramètres!$A$1:$I$89,5,0)</f>
        <v>311.58659999999981</v>
      </c>
      <c r="CA74" s="13">
        <f t="shared" si="93"/>
        <v>73.60007688942116</v>
      </c>
      <c r="CB74" s="20">
        <f t="shared" si="64"/>
        <v>670.86679558240803</v>
      </c>
      <c r="CC74" s="59">
        <f t="shared" si="65"/>
        <v>964.20012891574129</v>
      </c>
      <c r="CD74" s="59">
        <f ca="1">AVERAGE(OFFSET($CC$3,0,0,'Données projet'!$E$12+1,1))-AVERAGE(OFFSET($H$3,0,0,'Données projet'!$E$12+1,1))</f>
        <v>326.31232746914907</v>
      </c>
      <c r="CE74" s="59">
        <f t="shared" si="94"/>
        <v>330.17137761430297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2.0280830655351734</v>
      </c>
      <c r="CL74" s="21">
        <f>EXP(-LN(2)/25)*CL73+(1-EXP(-LN(2)/25))/(LN(2)/25)*Calculateur!CG74*Calculateur!CI74*VLOOKUP('Données projet'!$B$12,Paramètres!$A$1:$I$89,3,0)*0.475*44/12</f>
        <v>9.6811858034161311</v>
      </c>
      <c r="CM74" s="21">
        <f>EXP(-LN(2)/2)*CM73+(1-EXP(-LN(2)/2))/(LN(2)/2)*CG74*CJ74*VLOOKUP('Données projet'!$B$12,Paramètres!$A$1:$I$89,3,0)*0.475*44/12</f>
        <v>2.1931256508906283E-5</v>
      </c>
      <c r="CN74" s="22">
        <f t="shared" si="66"/>
        <v>11.709290800207814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7.4</v>
      </c>
      <c r="CT74" s="12">
        <f>IF('Données projet'!$A$140&gt;35,CT73+CS74-DB73,IF(A74&lt;'Données projet'!$A$140,$CQ$205^A74,IF(A74='Données projet'!$A$140,'Données projet'!$B$140,CT73+CS74-DB73)))</f>
        <v>366.4000000000002</v>
      </c>
      <c r="CU74" s="17">
        <f>CT74*VLOOKUP('Données projet'!$B$13,Paramètres!$A$1:$I$89,3,0)*VLOOKUP('Données projet'!$B$13,Paramètres!$A$1:$I$89,5,0)</f>
        <v>200.05440000000013</v>
      </c>
      <c r="CV74" s="13">
        <f t="shared" si="95"/>
        <v>49.756123009618236</v>
      </c>
      <c r="CW74" s="20">
        <f t="shared" si="67"/>
        <v>435.08666090841865</v>
      </c>
      <c r="CX74" s="59">
        <f t="shared" si="68"/>
        <v>728.41999424175197</v>
      </c>
      <c r="CY74" s="59">
        <f ca="1">AVERAGE(OFFSET($CX$3,0,0,'Données projet'!$E$13+1,1))-AVERAGE(OFFSET($H$3,0,0,'Données projet'!$E$13+1,1))</f>
        <v>210.04871822652808</v>
      </c>
      <c r="CZ74" s="59">
        <f t="shared" si="96"/>
        <v>250.17540614049324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3.2415027432232328</v>
      </c>
      <c r="DG74" s="21">
        <f>EXP(-LN(2)/25)*DG73+(1-EXP(-LN(2)/25))/(LN(2)/25)*Calculateur!DB74*Calculateur!DD74*VLOOKUP('Données projet'!$B$13,Paramètres!$A$1:$I$89,3,0)*0.475*44/12</f>
        <v>8.9296646403908397</v>
      </c>
      <c r="DH74" s="21">
        <f>EXP(-LN(2)/2)*DH73+(1-EXP(-LN(2)/2))/(LN(2)/2)*DB74*DE74*VLOOKUP('Données projet'!$B$13,Paramètres!$A$1:$I$89,3,0)*0.475*44/12</f>
        <v>1.4534855734941227E-5</v>
      </c>
      <c r="DI74" s="22">
        <f t="shared" si="69"/>
        <v>12.171181918469808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3.9</v>
      </c>
      <c r="DO74" s="12">
        <f>IF('Données projet'!$A$166&gt;35,DO73+DN74-DW73,IF(A74&lt;'Données projet'!$A$166,$DL$205^A74,IF(A74='Données projet'!$A$166,'Données projet'!$B$166,DO73+DN74-DW73)))</f>
        <v>306.89999999999969</v>
      </c>
      <c r="DP74" s="17">
        <f>DO74*VLOOKUP('Données projet'!$B$14,Paramètres!$A$1:$I$89,3,0)*VLOOKUP('Données projet'!$B$14,Paramètres!$A$1:$I$89,5,0)</f>
        <v>225.01907999999978</v>
      </c>
      <c r="DQ74" s="13">
        <f t="shared" si="97"/>
        <v>55.20432167824503</v>
      </c>
      <c r="DR74" s="20">
        <f t="shared" si="70"/>
        <v>488.05575792294297</v>
      </c>
      <c r="DS74" s="59">
        <f t="shared" si="71"/>
        <v>781.38909125627629</v>
      </c>
      <c r="DT74" s="59">
        <f ca="1">AVERAGE(OFFSET($DS$3,0,0,'Données projet'!$E$14+1,1))-AVERAGE(OFFSET($H$3,0,0,'Données projet'!$E$14+1,1))</f>
        <v>234.09142087023463</v>
      </c>
      <c r="DU74" s="59">
        <f t="shared" si="98"/>
        <v>278.990685815294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1.0831807281835582</v>
      </c>
      <c r="EB74" s="21">
        <f>EXP(-LN(2)/25)*EB73+(1-EXP(-LN(2)/25))/(LN(2)/25)*Calculateur!DW74*Calculateur!DY74*VLOOKUP('Données projet'!$B$14,Paramètres!$A$1:$I$89,3,0)*0.475*44/12</f>
        <v>4.9226620671339694</v>
      </c>
      <c r="EC74" s="21">
        <f>EXP(-LN(2)/2)*EC73+(1-EXP(-LN(2)/2))/(LN(2)/2)*DW74*DZ74*VLOOKUP('Données projet'!$B$14,Paramètres!$A$1:$I$89,3,0)*0.475*44/12</f>
        <v>1.4939284123909142E-5</v>
      </c>
      <c r="ED74" s="22">
        <f t="shared" si="72"/>
        <v>6.0058577346016513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8.1999999999999993</v>
      </c>
      <c r="N75" s="13">
        <f>IF('Données projet'!$A$36&gt;35,N74+M75-V74,IF(A75&lt;'Données projet'!$A$36,$K$205^A75,IF(A75='Données projet'!$A$36,'Données projet'!$B$36,N74+M75-V74)))</f>
        <v>456.40000000000015</v>
      </c>
      <c r="O75" s="13">
        <f>N75*VLOOKUP('Données projet'!$B$9,Paramètres!$A$1:$I$89,3,0)*VLOOKUP('Données projet'!$B$9,Paramètres!$A$1:$I$89,5,0)</f>
        <v>272.92720000000008</v>
      </c>
      <c r="P75" s="13">
        <f t="shared" si="87"/>
        <v>65.470104600408447</v>
      </c>
      <c r="Q75" s="20">
        <f t="shared" si="54"/>
        <v>589.37530551237808</v>
      </c>
      <c r="R75" s="59">
        <f t="shared" si="55"/>
        <v>882.70863884571145</v>
      </c>
      <c r="S75" s="59">
        <f ca="1">AVERAGE(OFFSET($R$3,0,0,'Données projet'!$E$9+1,1))-AVERAGE(OFFSET($H$3,0,0,'Données projet'!$E$9+1,1))</f>
        <v>259.30247982593914</v>
      </c>
      <c r="T75" s="59">
        <f t="shared" si="88"/>
        <v>275.24740346220779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5.6277902641459514</v>
      </c>
      <c r="AB75" s="21">
        <f>EXP(-LN(2)/2)*AB74+(1-EXP(-LN(2)/2))/(LN(2)/2)*V75*Y75*VLOOKUP('Données projet'!$B$9,Paramètres!$A$1:$I$89,3,0)*0.475*44/12</f>
        <v>1.3675913897449988E-5</v>
      </c>
      <c r="AC75" s="22">
        <f t="shared" si="57"/>
        <v>5.6278039400598487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14.7</v>
      </c>
      <c r="AI75" s="13">
        <f>IF('Données projet'!$A$62&gt;35,AI74+AH75-AQ74,IF(A75&lt;'Données projet'!$A$62,$AF$205^A75,IF(A75='Données projet'!$A$62,'Données projet'!$B$62,AI74+AH75-AQ74)))</f>
        <v>635.40000000000043</v>
      </c>
      <c r="AJ75" s="13">
        <f>AI75*VLOOKUP('Données projet'!$B$10,Paramètres!$A$1:$I$89,3,0)*VLOOKUP('Données projet'!$B$10,Paramètres!$A$1:$I$89,5,0)</f>
        <v>305.62740000000019</v>
      </c>
      <c r="AK75" s="13">
        <f t="shared" si="89"/>
        <v>72.354903650746223</v>
      </c>
      <c r="AL75" s="20">
        <f t="shared" si="58"/>
        <v>658.31917885838322</v>
      </c>
      <c r="AM75" s="59">
        <f t="shared" si="59"/>
        <v>951.6525121917166</v>
      </c>
      <c r="AN75" s="59">
        <f ca="1">AVERAGE(OFFSET($AM$3,0,0,'Données projet'!$E$10+1,1))-AVERAGE(OFFSET($H$3,0,0,'Données projet'!$E$10+1,1))</f>
        <v>297.21955661193238</v>
      </c>
      <c r="AO75" s="59">
        <f t="shared" si="90"/>
        <v>273.69206144662144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2.932927692927167</v>
      </c>
      <c r="AV75" s="21">
        <f>EXP(-LN(2)/25)*AV74+(1-EXP(-LN(2)/25))/(LN(2)/25)*Calculateur!AQ75*Calculateur!AS75*VLOOKUP('Données projet'!$B$10,Paramètres!$A$1:$I$89,3,0)*0.475*44/12</f>
        <v>4.1891276648867857</v>
      </c>
      <c r="AW75" s="21">
        <f>EXP(-LN(2)/2)*AW74+(1-EXP(-LN(2)/2))/(LN(2)/2)*AQ75*AT75*VLOOKUP('Données projet'!$B$10,Paramètres!$A$1:$I$89,3,0)*0.475*44/12</f>
        <v>9.9719922200359512E-6</v>
      </c>
      <c r="AX75" s="21">
        <f t="shared" si="60"/>
        <v>7.1220653298061727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5.6843418860808015E-14</v>
      </c>
      <c r="BE75" s="13">
        <f>BD75*VLOOKUP('Données projet'!$B$11,Paramètres!$A$1:$I$89,3,0)*VLOOKUP('Données projet'!$B$11,Paramètres!$A$1:$I$89,5,0)</f>
        <v>3.6357050703372803E-14</v>
      </c>
      <c r="BF75" s="13">
        <f t="shared" si="91"/>
        <v>6.1445232567661395E-13</v>
      </c>
      <c r="BG75" s="20">
        <f t="shared" si="61"/>
        <v>1.1334929971951436E-12</v>
      </c>
      <c r="BH75" s="59">
        <f t="shared" si="62"/>
        <v>293.33333333333445</v>
      </c>
      <c r="BI75" s="59">
        <f ca="1">AVERAGE(OFFSET($BH$3,0,0,'Données projet'!$E$11+1,1))-AVERAGE(OFFSET($H$3,0,0,'Données projet'!$E$11+1,1))</f>
        <v>176.90404027101607</v>
      </c>
      <c r="BJ75" s="59">
        <f t="shared" si="92"/>
        <v>295.34177980841878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0.77213043012946747</v>
      </c>
      <c r="BQ75" s="21">
        <f>EXP(-LN(2)/25)*BQ74+(1-EXP(-LN(2)/25))/(LN(2)/25)*Calculateur!BL75*Calculateur!BN75*VLOOKUP('Données projet'!$B$11,Paramètres!$A$1:$I$89,3,0)*0.475*44/12</f>
        <v>2.5717206504723404</v>
      </c>
      <c r="BR75" s="21">
        <f>EXP(-LN(2)/2)*BR74+(1-EXP(-LN(2)/2))/(LN(2)/2)*BL75*BO75*VLOOKUP('Données projet'!$B$11,Paramètres!$A$1:$I$89,3,0)*0.475*44/12</f>
        <v>1.6070603216783238E-8</v>
      </c>
      <c r="BS75" s="22">
        <f t="shared" si="63"/>
        <v>3.3438510966724109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10.4</v>
      </c>
      <c r="BY75" s="12">
        <f>IF('Données projet'!$A$114&gt;35,BY74+BX75-CG74,IF(A75&lt;'Données projet'!$A$114,$BV$205^A75,IF(A75='Données projet'!$A$114,'Données projet'!$B$114,BY74+BX75-CG74)))</f>
        <v>567.79999999999961</v>
      </c>
      <c r="BZ75" s="13">
        <f>BY75*VLOOKUP('Données projet'!$B$12,Paramètres!$A$1:$I$89,3,0)*VLOOKUP('Données projet'!$B$12,Paramètres!$A$1:$I$89,5,0)</f>
        <v>317.40019999999976</v>
      </c>
      <c r="CA75" s="13">
        <f t="shared" si="93"/>
        <v>74.812158158961168</v>
      </c>
      <c r="CB75" s="20">
        <f t="shared" si="64"/>
        <v>683.10319046019015</v>
      </c>
      <c r="CC75" s="59">
        <f t="shared" si="65"/>
        <v>976.43652379352352</v>
      </c>
      <c r="CD75" s="59">
        <f ca="1">AVERAGE(OFFSET($CC$3,0,0,'Données projet'!$E$12+1,1))-AVERAGE(OFFSET($H$3,0,0,'Données projet'!$E$12+1,1))</f>
        <v>326.31232746914907</v>
      </c>
      <c r="CE75" s="59">
        <f t="shared" si="94"/>
        <v>330.17137761430297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1.9883135936285541</v>
      </c>
      <c r="CL75" s="21">
        <f>EXP(-LN(2)/25)*CL74+(1-EXP(-LN(2)/25))/(LN(2)/25)*Calculateur!CG75*Calculateur!CI75*VLOOKUP('Données projet'!$B$12,Paramètres!$A$1:$I$89,3,0)*0.475*44/12</f>
        <v>9.4164532685102831</v>
      </c>
      <c r="CM75" s="21">
        <f>EXP(-LN(2)/2)*CM74+(1-EXP(-LN(2)/2))/(LN(2)/2)*CG75*CJ75*VLOOKUP('Données projet'!$B$12,Paramètres!$A$1:$I$89,3,0)*0.475*44/12</f>
        <v>1.5507740197389241E-5</v>
      </c>
      <c r="CN75" s="22">
        <f t="shared" si="66"/>
        <v>11.404782369879035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7.4</v>
      </c>
      <c r="CT75" s="12">
        <f>IF('Données projet'!$A$140&gt;35,CT74+CS75-DB74,IF(A75&lt;'Données projet'!$A$140,$CQ$205^A75,IF(A75='Données projet'!$A$140,'Données projet'!$B$140,CT74+CS75-DB74)))</f>
        <v>373.80000000000018</v>
      </c>
      <c r="CU75" s="17">
        <f>CT75*VLOOKUP('Données projet'!$B$13,Paramètres!$A$1:$I$89,3,0)*VLOOKUP('Données projet'!$B$13,Paramètres!$A$1:$I$89,5,0)</f>
        <v>204.09480000000011</v>
      </c>
      <c r="CV75" s="13">
        <f t="shared" si="95"/>
        <v>50.643016586252969</v>
      </c>
      <c r="CW75" s="20">
        <f t="shared" si="67"/>
        <v>443.66836388772407</v>
      </c>
      <c r="CX75" s="59">
        <f t="shared" si="68"/>
        <v>737.00169722105738</v>
      </c>
      <c r="CY75" s="59">
        <f ca="1">AVERAGE(OFFSET($CX$3,0,0,'Données projet'!$E$13+1,1))-AVERAGE(OFFSET($H$3,0,0,'Données projet'!$E$13+1,1))</f>
        <v>210.04871822652808</v>
      </c>
      <c r="CZ75" s="59">
        <f t="shared" si="96"/>
        <v>250.17540614049324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3.1779388515500742</v>
      </c>
      <c r="DG75" s="21">
        <f>EXP(-LN(2)/25)*DG74+(1-EXP(-LN(2)/25))/(LN(2)/25)*Calculateur!DB75*Calculateur!DD75*VLOOKUP('Données projet'!$B$13,Paramètres!$A$1:$I$89,3,0)*0.475*44/12</f>
        <v>8.6854824912086972</v>
      </c>
      <c r="DH75" s="21">
        <f>EXP(-LN(2)/2)*DH74+(1-EXP(-LN(2)/2))/(LN(2)/2)*DB75*DE75*VLOOKUP('Données projet'!$B$13,Paramètres!$A$1:$I$89,3,0)*0.475*44/12</f>
        <v>1.0277695053745123E-5</v>
      </c>
      <c r="DI75" s="22">
        <f t="shared" si="69"/>
        <v>11.863431620453825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3.9</v>
      </c>
      <c r="DO75" s="12">
        <f>IF('Données projet'!$A$166&gt;35,DO74+DN75-DW74,IF(A75&lt;'Données projet'!$A$166,$DL$205^A75,IF(A75='Données projet'!$A$166,'Données projet'!$B$166,DO74+DN75-DW74)))</f>
        <v>310.79999999999967</v>
      </c>
      <c r="DP75" s="17">
        <f>DO75*VLOOKUP('Données projet'!$B$14,Paramètres!$A$1:$I$89,3,0)*VLOOKUP('Données projet'!$B$14,Paramètres!$A$1:$I$89,5,0)</f>
        <v>227.87855999999974</v>
      </c>
      <c r="DQ75" s="13">
        <f t="shared" si="97"/>
        <v>55.823729514114589</v>
      </c>
      <c r="DR75" s="20">
        <f t="shared" si="70"/>
        <v>494.11482090374903</v>
      </c>
      <c r="DS75" s="59">
        <f t="shared" si="71"/>
        <v>787.44815423708235</v>
      </c>
      <c r="DT75" s="59">
        <f ca="1">AVERAGE(OFFSET($DS$3,0,0,'Données projet'!$E$14+1,1))-AVERAGE(OFFSET($H$3,0,0,'Données projet'!$E$14+1,1))</f>
        <v>234.09142087023463</v>
      </c>
      <c r="DU75" s="59">
        <f t="shared" si="98"/>
        <v>278.990685815294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1.0619402147788866</v>
      </c>
      <c r="EB75" s="21">
        <f>EXP(-LN(2)/25)*EB74+(1-EXP(-LN(2)/25))/(LN(2)/25)*Calculateur!DW75*Calculateur!DY75*VLOOKUP('Données projet'!$B$14,Paramètres!$A$1:$I$89,3,0)*0.475*44/12</f>
        <v>4.788051614036644</v>
      </c>
      <c r="EC75" s="21">
        <f>EXP(-LN(2)/2)*EC74+(1-EXP(-LN(2)/2))/(LN(2)/2)*DW75*DZ75*VLOOKUP('Données projet'!$B$14,Paramètres!$A$1:$I$89,3,0)*0.475*44/12</f>
        <v>1.0563669110088686E-5</v>
      </c>
      <c r="ED75" s="22">
        <f t="shared" si="72"/>
        <v>5.8500023924846412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8.1999999999999993</v>
      </c>
      <c r="N76" s="13">
        <f>IF('Données projet'!$A$36&gt;35,N75+M76-V75,IF(A76&lt;'Données projet'!$A$36,$K$205^A76,IF(A76='Données projet'!$A$36,'Données projet'!$B$36,N75+M76-V75)))</f>
        <v>464.60000000000014</v>
      </c>
      <c r="O76" s="13">
        <f>N76*VLOOKUP('Données projet'!$B$9,Paramètres!$A$1:$I$89,3,0)*VLOOKUP('Données projet'!$B$9,Paramètres!$A$1:$I$89,5,0)</f>
        <v>277.83080000000007</v>
      </c>
      <c r="P76" s="13">
        <f t="shared" si="87"/>
        <v>66.508387274098368</v>
      </c>
      <c r="Q76" s="20">
        <f t="shared" si="54"/>
        <v>599.72408450238811</v>
      </c>
      <c r="R76" s="59">
        <f t="shared" si="55"/>
        <v>893.05741783572148</v>
      </c>
      <c r="S76" s="59">
        <f ca="1">AVERAGE(OFFSET($R$3,0,0,'Données projet'!$E$9+1,1))-AVERAGE(OFFSET($H$3,0,0,'Données projet'!$E$9+1,1))</f>
        <v>259.30247982593914</v>
      </c>
      <c r="T76" s="59">
        <f t="shared" si="88"/>
        <v>275.24740346220779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5.4738980434202524</v>
      </c>
      <c r="AB76" s="21">
        <f>EXP(-LN(2)/2)*AB75+(1-EXP(-LN(2)/2))/(LN(2)/2)*V76*Y76*VLOOKUP('Données projet'!$B$9,Paramètres!$A$1:$I$89,3,0)*0.475*44/12</f>
        <v>9.6703314558102326E-6</v>
      </c>
      <c r="AC76" s="22">
        <f t="shared" si="57"/>
        <v>5.473907713751708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14.7</v>
      </c>
      <c r="AI76" s="13">
        <f>IF('Données projet'!$A$62&gt;35,AI75+AH76-AQ75,IF(A76&lt;'Données projet'!$A$62,$AF$205^A76,IF(A76='Données projet'!$A$62,'Données projet'!$B$62,AI75+AH76-AQ75)))</f>
        <v>650.10000000000048</v>
      </c>
      <c r="AJ76" s="13">
        <f>AI76*VLOOKUP('Données projet'!$B$10,Paramètres!$A$1:$I$89,3,0)*VLOOKUP('Données projet'!$B$10,Paramètres!$A$1:$I$89,5,0)</f>
        <v>312.69810000000024</v>
      </c>
      <c r="AK76" s="13">
        <f t="shared" si="89"/>
        <v>73.832016335235011</v>
      </c>
      <c r="AL76" s="20">
        <f t="shared" si="58"/>
        <v>673.20661928386801</v>
      </c>
      <c r="AM76" s="59">
        <f t="shared" si="59"/>
        <v>966.53995261720138</v>
      </c>
      <c r="AN76" s="59">
        <f ca="1">AVERAGE(OFFSET($AM$3,0,0,'Données projet'!$E$10+1,1))-AVERAGE(OFFSET($H$3,0,0,'Données projet'!$E$10+1,1))</f>
        <v>297.21955661193238</v>
      </c>
      <c r="AO76" s="59">
        <f t="shared" si="90"/>
        <v>273.69206144662144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2.8754147697781178</v>
      </c>
      <c r="AV76" s="21">
        <f>EXP(-LN(2)/25)*AV75+(1-EXP(-LN(2)/25))/(LN(2)/25)*Calculateur!AQ76*Calculateur!AS76*VLOOKUP('Données projet'!$B$10,Paramètres!$A$1:$I$89,3,0)*0.475*44/12</f>
        <v>4.0745757485938068</v>
      </c>
      <c r="AW76" s="21">
        <f>EXP(-LN(2)/2)*AW75+(1-EXP(-LN(2)/2))/(LN(2)/2)*AQ76*AT76*VLOOKUP('Données projet'!$B$10,Paramètres!$A$1:$I$89,3,0)*0.475*44/12</f>
        <v>7.0512633207269157E-6</v>
      </c>
      <c r="AX76" s="21">
        <f t="shared" si="60"/>
        <v>6.9499975696352454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5.6843418860808015E-14</v>
      </c>
      <c r="BE76" s="13">
        <f>BD76*VLOOKUP('Données projet'!$B$11,Paramètres!$A$1:$I$89,3,0)*VLOOKUP('Données projet'!$B$11,Paramètres!$A$1:$I$89,5,0)</f>
        <v>3.6357050703372803E-14</v>
      </c>
      <c r="BF76" s="13">
        <f t="shared" si="91"/>
        <v>6.1445232567661395E-13</v>
      </c>
      <c r="BG76" s="20">
        <f t="shared" si="61"/>
        <v>1.1334929971951436E-12</v>
      </c>
      <c r="BH76" s="59">
        <f t="shared" si="62"/>
        <v>293.33333333333445</v>
      </c>
      <c r="BI76" s="59">
        <f ca="1">AVERAGE(OFFSET($BH$3,0,0,'Données projet'!$E$11+1,1))-AVERAGE(OFFSET($H$3,0,0,'Données projet'!$E$11+1,1))</f>
        <v>176.90404027101607</v>
      </c>
      <c r="BJ76" s="59">
        <f t="shared" si="92"/>
        <v>295.34177980841878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0.75698942334768826</v>
      </c>
      <c r="BQ76" s="21">
        <f>EXP(-LN(2)/25)*BQ75+(1-EXP(-LN(2)/25))/(LN(2)/25)*Calculateur!BL76*Calculateur!BN76*VLOOKUP('Données projet'!$B$11,Paramètres!$A$1:$I$89,3,0)*0.475*44/12</f>
        <v>2.5013968140442628</v>
      </c>
      <c r="BR76" s="21">
        <f>EXP(-LN(2)/2)*BR75+(1-EXP(-LN(2)/2))/(LN(2)/2)*BL76*BO76*VLOOKUP('Données projet'!$B$11,Paramètres!$A$1:$I$89,3,0)*0.475*44/12</f>
        <v>1.1363632512345772E-8</v>
      </c>
      <c r="BS76" s="22">
        <f t="shared" si="63"/>
        <v>3.2583862487555839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10.4</v>
      </c>
      <c r="BY76" s="12">
        <f>IF('Données projet'!$A$114&gt;35,BY75+BX76-CG75,IF(A76&lt;'Données projet'!$A$114,$BV$205^A76,IF(A76='Données projet'!$A$114,'Données projet'!$B$114,BY75+BX76-CG75)))</f>
        <v>578.19999999999959</v>
      </c>
      <c r="BZ76" s="13">
        <f>BY76*VLOOKUP('Données projet'!$B$12,Paramètres!$A$1:$I$89,3,0)*VLOOKUP('Données projet'!$B$12,Paramètres!$A$1:$I$89,5,0)</f>
        <v>323.21379999999982</v>
      </c>
      <c r="CA76" s="13">
        <f t="shared" si="93"/>
        <v>76.021657849237485</v>
      </c>
      <c r="CB76" s="20">
        <f t="shared" si="64"/>
        <v>695.33508908742158</v>
      </c>
      <c r="CC76" s="59">
        <f t="shared" si="65"/>
        <v>988.66842242075495</v>
      </c>
      <c r="CD76" s="59">
        <f ca="1">AVERAGE(OFFSET($CC$3,0,0,'Données projet'!$E$12+1,1))-AVERAGE(OFFSET($H$3,0,0,'Données projet'!$E$12+1,1))</f>
        <v>326.31232746914907</v>
      </c>
      <c r="CE76" s="59">
        <f t="shared" si="94"/>
        <v>330.17137761430297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1.9493239768090409</v>
      </c>
      <c r="CL76" s="21">
        <f>EXP(-LN(2)/25)*CL75+(1-EXP(-LN(2)/25))/(LN(2)/25)*Calculateur!CG76*Calculateur!CI76*VLOOKUP('Données projet'!$B$12,Paramètres!$A$1:$I$89,3,0)*0.475*44/12</f>
        <v>9.1589598586931142</v>
      </c>
      <c r="CM76" s="21">
        <f>EXP(-LN(2)/2)*CM75+(1-EXP(-LN(2)/2))/(LN(2)/2)*CG76*CJ76*VLOOKUP('Données projet'!$B$12,Paramètres!$A$1:$I$89,3,0)*0.475*44/12</f>
        <v>1.0965628254453141E-5</v>
      </c>
      <c r="CN76" s="22">
        <f t="shared" si="66"/>
        <v>11.108294801130409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7.4</v>
      </c>
      <c r="CT76" s="12">
        <f>IF('Données projet'!$A$140&gt;35,CT75+CS76-DB75,IF(A76&lt;'Données projet'!$A$140,$CQ$205^A76,IF(A76='Données projet'!$A$140,'Données projet'!$B$140,CT75+CS76-DB75)))</f>
        <v>381.20000000000016</v>
      </c>
      <c r="CU76" s="17">
        <f>CT76*VLOOKUP('Données projet'!$B$13,Paramètres!$A$1:$I$89,3,0)*VLOOKUP('Données projet'!$B$13,Paramètres!$A$1:$I$89,5,0)</f>
        <v>208.13520000000011</v>
      </c>
      <c r="CV76" s="13">
        <f t="shared" si="95"/>
        <v>51.527868675898425</v>
      </c>
      <c r="CW76" s="20">
        <f t="shared" si="67"/>
        <v>452.24651127718994</v>
      </c>
      <c r="CX76" s="59">
        <f t="shared" si="68"/>
        <v>745.5798446105232</v>
      </c>
      <c r="CY76" s="59">
        <f ca="1">AVERAGE(OFFSET($CX$3,0,0,'Données projet'!$E$13+1,1))-AVERAGE(OFFSET($H$3,0,0,'Données projet'!$E$13+1,1))</f>
        <v>210.04871822652808</v>
      </c>
      <c r="CZ76" s="59">
        <f t="shared" si="96"/>
        <v>250.17540614049324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3.1156214090224803</v>
      </c>
      <c r="DG76" s="21">
        <f>EXP(-LN(2)/25)*DG75+(1-EXP(-LN(2)/25))/(LN(2)/25)*Calculateur!DB76*Calculateur!DD76*VLOOKUP('Données projet'!$B$13,Paramètres!$A$1:$I$89,3,0)*0.475*44/12</f>
        <v>8.4479775157369215</v>
      </c>
      <c r="DH76" s="21">
        <f>EXP(-LN(2)/2)*DH75+(1-EXP(-LN(2)/2))/(LN(2)/2)*DB76*DE76*VLOOKUP('Données projet'!$B$13,Paramètres!$A$1:$I$89,3,0)*0.475*44/12</f>
        <v>7.2674278674706145E-6</v>
      </c>
      <c r="DI76" s="22">
        <f t="shared" si="69"/>
        <v>11.563606192187269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3.9</v>
      </c>
      <c r="DO76" s="12">
        <f>IF('Données projet'!$A$166&gt;35,DO75+DN76-DW75,IF(A76&lt;'Données projet'!$A$166,$DL$205^A76,IF(A76='Données projet'!$A$166,'Données projet'!$B$166,DO75+DN76-DW75)))</f>
        <v>314.69999999999965</v>
      </c>
      <c r="DP76" s="17">
        <f>DO76*VLOOKUP('Données projet'!$B$14,Paramètres!$A$1:$I$89,3,0)*VLOOKUP('Données projet'!$B$14,Paramètres!$A$1:$I$89,5,0)</f>
        <v>230.73803999999973</v>
      </c>
      <c r="DQ76" s="13">
        <f t="shared" si="97"/>
        <v>56.442233267210653</v>
      </c>
      <c r="DR76" s="20">
        <f t="shared" si="70"/>
        <v>500.17230927372475</v>
      </c>
      <c r="DS76" s="59">
        <f t="shared" si="71"/>
        <v>793.50564260705801</v>
      </c>
      <c r="DT76" s="59">
        <f ca="1">AVERAGE(OFFSET($DS$3,0,0,'Données projet'!$E$14+1,1))-AVERAGE(OFFSET($H$3,0,0,'Données projet'!$E$14+1,1))</f>
        <v>234.09142087023463</v>
      </c>
      <c r="DU76" s="59">
        <f t="shared" si="98"/>
        <v>278.990685815294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1.0411162148866466</v>
      </c>
      <c r="EB76" s="21">
        <f>EXP(-LN(2)/25)*EB75+(1-EXP(-LN(2)/25))/(LN(2)/25)*Calculateur!DW76*Calculateur!DY76*VLOOKUP('Données projet'!$B$14,Paramètres!$A$1:$I$89,3,0)*0.475*44/12</f>
        <v>4.6571220908581212</v>
      </c>
      <c r="EC76" s="21">
        <f>EXP(-LN(2)/2)*EC75+(1-EXP(-LN(2)/2))/(LN(2)/2)*DW76*DZ76*VLOOKUP('Données projet'!$B$14,Paramètres!$A$1:$I$89,3,0)*0.475*44/12</f>
        <v>7.4696420619545727E-6</v>
      </c>
      <c r="ED76" s="22">
        <f t="shared" si="72"/>
        <v>5.6982457753868303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8.1999999999999993</v>
      </c>
      <c r="N77" s="13">
        <f>IF('Données projet'!$A$36&gt;35,N76+M77-V76,IF(A77&lt;'Données projet'!$A$36,$K$205^A77,IF(A77='Données projet'!$A$36,'Données projet'!$B$36,N76+M77-V76)))</f>
        <v>472.80000000000013</v>
      </c>
      <c r="O77" s="13">
        <f>N77*VLOOKUP('Données projet'!$B$9,Paramètres!$A$1:$I$89,3,0)*VLOOKUP('Données projet'!$B$9,Paramètres!$A$1:$I$89,5,0)</f>
        <v>282.73440000000011</v>
      </c>
      <c r="P77" s="13">
        <f t="shared" si="87"/>
        <v>67.544538959620354</v>
      </c>
      <c r="Q77" s="20">
        <f t="shared" si="54"/>
        <v>610.06915202133894</v>
      </c>
      <c r="R77" s="59">
        <f t="shared" si="55"/>
        <v>903.40248535467231</v>
      </c>
      <c r="S77" s="59">
        <f ca="1">AVERAGE(OFFSET($R$3,0,0,'Données projet'!$E$9+1,1))-AVERAGE(OFFSET($H$3,0,0,'Données projet'!$E$9+1,1))</f>
        <v>259.30247982593914</v>
      </c>
      <c r="T77" s="59">
        <f t="shared" si="88"/>
        <v>275.24740346220779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5.3242140135631386</v>
      </c>
      <c r="AB77" s="21">
        <f>EXP(-LN(2)/2)*AB76+(1-EXP(-LN(2)/2))/(LN(2)/2)*V77*Y77*VLOOKUP('Données projet'!$B$9,Paramètres!$A$1:$I$89,3,0)*0.475*44/12</f>
        <v>6.8379569487249938E-6</v>
      </c>
      <c r="AC77" s="22">
        <f t="shared" si="57"/>
        <v>5.3242208515200877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14.7</v>
      </c>
      <c r="AI77" s="13">
        <f>IF('Données projet'!$A$62&gt;35,AI76+AH77-AQ76,IF(A77&lt;'Données projet'!$A$62,$AF$205^A77,IF(A77='Données projet'!$A$62,'Données projet'!$B$62,AI76+AH77-AQ76)))</f>
        <v>664.80000000000052</v>
      </c>
      <c r="AJ77" s="13">
        <f>AI77*VLOOKUP('Données projet'!$B$10,Paramètres!$A$1:$I$89,3,0)*VLOOKUP('Données projet'!$B$10,Paramètres!$A$1:$I$89,5,0)</f>
        <v>319.76880000000028</v>
      </c>
      <c r="AK77" s="13">
        <f t="shared" si="89"/>
        <v>75.305245983134625</v>
      </c>
      <c r="AL77" s="20">
        <f t="shared" si="58"/>
        <v>688.08729675395989</v>
      </c>
      <c r="AM77" s="59">
        <f t="shared" si="59"/>
        <v>981.42063008729315</v>
      </c>
      <c r="AN77" s="59">
        <f ca="1">AVERAGE(OFFSET($AM$3,0,0,'Données projet'!$E$10+1,1))-AVERAGE(OFFSET($H$3,0,0,'Données projet'!$E$10+1,1))</f>
        <v>297.21955661193238</v>
      </c>
      <c r="AO77" s="59">
        <f t="shared" si="90"/>
        <v>273.69206144662144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2.819029639972602</v>
      </c>
      <c r="AV77" s="21">
        <f>EXP(-LN(2)/25)*AV76+(1-EXP(-LN(2)/25))/(LN(2)/25)*Calculateur!AQ77*Calculateur!AS77*VLOOKUP('Données projet'!$B$10,Paramètres!$A$1:$I$89,3,0)*0.475*44/12</f>
        <v>3.9631562604758832</v>
      </c>
      <c r="AW77" s="21">
        <f>EXP(-LN(2)/2)*AW76+(1-EXP(-LN(2)/2))/(LN(2)/2)*AQ77*AT77*VLOOKUP('Données projet'!$B$10,Paramètres!$A$1:$I$89,3,0)*0.475*44/12</f>
        <v>4.9859961100179756E-6</v>
      </c>
      <c r="AX77" s="21">
        <f t="shared" si="60"/>
        <v>6.7821908864445959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5.6843418860808015E-14</v>
      </c>
      <c r="BE77" s="13">
        <f>BD77*VLOOKUP('Données projet'!$B$11,Paramètres!$A$1:$I$89,3,0)*VLOOKUP('Données projet'!$B$11,Paramètres!$A$1:$I$89,5,0)</f>
        <v>3.6357050703372803E-14</v>
      </c>
      <c r="BF77" s="13">
        <f t="shared" si="91"/>
        <v>6.1445232567661395E-13</v>
      </c>
      <c r="BG77" s="20">
        <f t="shared" si="61"/>
        <v>1.1334929971951436E-12</v>
      </c>
      <c r="BH77" s="59">
        <f t="shared" si="62"/>
        <v>293.33333333333445</v>
      </c>
      <c r="BI77" s="59">
        <f ca="1">AVERAGE(OFFSET($BH$3,0,0,'Données projet'!$E$11+1,1))-AVERAGE(OFFSET($H$3,0,0,'Données projet'!$E$11+1,1))</f>
        <v>176.90404027101607</v>
      </c>
      <c r="BJ77" s="59">
        <f t="shared" si="92"/>
        <v>295.34177980841878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0.7421453224737975</v>
      </c>
      <c r="BQ77" s="21">
        <f>EXP(-LN(2)/25)*BQ76+(1-EXP(-LN(2)/25))/(LN(2)/25)*Calculateur!BL77*Calculateur!BN77*VLOOKUP('Données projet'!$B$11,Paramètres!$A$1:$I$89,3,0)*0.475*44/12</f>
        <v>2.432995986621481</v>
      </c>
      <c r="BR77" s="21">
        <f>EXP(-LN(2)/2)*BR76+(1-EXP(-LN(2)/2))/(LN(2)/2)*BL77*BO77*VLOOKUP('Données projet'!$B$11,Paramètres!$A$1:$I$89,3,0)*0.475*44/12</f>
        <v>8.0353016083916189E-9</v>
      </c>
      <c r="BS77" s="22">
        <f t="shared" si="63"/>
        <v>3.17514131713058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10.4</v>
      </c>
      <c r="BY77" s="12">
        <f>IF('Données projet'!$A$114&gt;35,BY76+BX77-CG76,IF(A77&lt;'Données projet'!$A$114,$BV$205^A77,IF(A77='Données projet'!$A$114,'Données projet'!$B$114,BY76+BX77-CG76)))</f>
        <v>588.59999999999957</v>
      </c>
      <c r="BZ77" s="13">
        <f>BY77*VLOOKUP('Données projet'!$B$12,Paramètres!$A$1:$I$89,3,0)*VLOOKUP('Données projet'!$B$12,Paramètres!$A$1:$I$89,5,0)</f>
        <v>329.02739999999977</v>
      </c>
      <c r="CA77" s="13">
        <f t="shared" si="93"/>
        <v>77.228627751120342</v>
      </c>
      <c r="CB77" s="20">
        <f t="shared" si="64"/>
        <v>707.56258166653413</v>
      </c>
      <c r="CC77" s="59">
        <f t="shared" si="65"/>
        <v>1000.8959149998675</v>
      </c>
      <c r="CD77" s="59">
        <f ca="1">AVERAGE(OFFSET($CC$3,0,0,'Données projet'!$E$12+1,1))-AVERAGE(OFFSET($H$3,0,0,'Données projet'!$E$12+1,1))</f>
        <v>326.31232746914907</v>
      </c>
      <c r="CE77" s="59">
        <f t="shared" si="94"/>
        <v>330.17137761430297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1.9110989225940405</v>
      </c>
      <c r="CL77" s="21">
        <f>EXP(-LN(2)/25)*CL76+(1-EXP(-LN(2)/25))/(LN(2)/25)*Calculateur!CG77*Calculateur!CI77*VLOOKUP('Données projet'!$B$12,Paramètres!$A$1:$I$89,3,0)*0.475*44/12</f>
        <v>8.9085076197083843</v>
      </c>
      <c r="CM77" s="21">
        <f>EXP(-LN(2)/2)*CM76+(1-EXP(-LN(2)/2))/(LN(2)/2)*CG77*CJ77*VLOOKUP('Données projet'!$B$12,Paramètres!$A$1:$I$89,3,0)*0.475*44/12</f>
        <v>7.7538700986946205E-6</v>
      </c>
      <c r="CN77" s="22">
        <f t="shared" si="66"/>
        <v>10.819614296172524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7.4</v>
      </c>
      <c r="CT77" s="12">
        <f>IF('Données projet'!$A$140&gt;35,CT76+CS77-DB76,IF(A77&lt;'Données projet'!$A$140,$CQ$205^A77,IF(A77='Données projet'!$A$140,'Données projet'!$B$140,CT76+CS77-DB76)))</f>
        <v>388.60000000000014</v>
      </c>
      <c r="CU77" s="17">
        <f>CT77*VLOOKUP('Données projet'!$B$13,Paramètres!$A$1:$I$89,3,0)*VLOOKUP('Données projet'!$B$13,Paramètres!$A$1:$I$89,5,0)</f>
        <v>212.17560000000006</v>
      </c>
      <c r="CV77" s="13">
        <f t="shared" si="95"/>
        <v>52.410723477279205</v>
      </c>
      <c r="CW77" s="20">
        <f t="shared" si="67"/>
        <v>460.82118005626143</v>
      </c>
      <c r="CX77" s="59">
        <f t="shared" si="68"/>
        <v>754.15451338959474</v>
      </c>
      <c r="CY77" s="59">
        <f ca="1">AVERAGE(OFFSET($CX$3,0,0,'Données projet'!$E$13+1,1))-AVERAGE(OFFSET($H$3,0,0,'Données projet'!$E$13+1,1))</f>
        <v>210.04871822652808</v>
      </c>
      <c r="CZ77" s="59">
        <f t="shared" si="96"/>
        <v>250.17540614049324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3.0545259735329657</v>
      </c>
      <c r="DG77" s="21">
        <f>EXP(-LN(2)/25)*DG76+(1-EXP(-LN(2)/25))/(LN(2)/25)*Calculateur!DB77*Calculateur!DD77*VLOOKUP('Données projet'!$B$13,Paramètres!$A$1:$I$89,3,0)*0.475*44/12</f>
        <v>8.2169671263092656</v>
      </c>
      <c r="DH77" s="21">
        <f>EXP(-LN(2)/2)*DH76+(1-EXP(-LN(2)/2))/(LN(2)/2)*DB77*DE77*VLOOKUP('Données projet'!$B$13,Paramètres!$A$1:$I$89,3,0)*0.475*44/12</f>
        <v>5.1388475268725622E-6</v>
      </c>
      <c r="DI77" s="22">
        <f t="shared" si="69"/>
        <v>11.271498238689759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3.9</v>
      </c>
      <c r="DO77" s="12">
        <f>IF('Données projet'!$A$166&gt;35,DO76+DN77-DW76,IF(A77&lt;'Données projet'!$A$166,$DL$205^A77,IF(A77='Données projet'!$A$166,'Données projet'!$B$166,DO76+DN77-DW76)))</f>
        <v>318.59999999999962</v>
      </c>
      <c r="DP77" s="17">
        <f>DO77*VLOOKUP('Données projet'!$B$14,Paramètres!$A$1:$I$89,3,0)*VLOOKUP('Données projet'!$B$14,Paramètres!$A$1:$I$89,5,0)</f>
        <v>233.59751999999972</v>
      </c>
      <c r="DQ77" s="13">
        <f t="shared" si="97"/>
        <v>57.059845437390116</v>
      </c>
      <c r="DR77" s="20">
        <f t="shared" si="70"/>
        <v>506.22824480345389</v>
      </c>
      <c r="DS77" s="59">
        <f t="shared" si="71"/>
        <v>799.56157813678715</v>
      </c>
      <c r="DT77" s="59">
        <f ca="1">AVERAGE(OFFSET($DS$3,0,0,'Données projet'!$E$14+1,1))-AVERAGE(OFFSET($H$3,0,0,'Données projet'!$E$14+1,1))</f>
        <v>234.09142087023463</v>
      </c>
      <c r="DU77" s="59">
        <f t="shared" si="98"/>
        <v>278.990685815294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1.0207005609309077</v>
      </c>
      <c r="EB77" s="21">
        <f>EXP(-LN(2)/25)*EB76+(1-EXP(-LN(2)/25))/(LN(2)/25)*Calculateur!DW77*Calculateur!DY77*VLOOKUP('Données projet'!$B$14,Paramètres!$A$1:$I$89,3,0)*0.475*44/12</f>
        <v>4.5297728423761994</v>
      </c>
      <c r="EC77" s="21">
        <f>EXP(-LN(2)/2)*EC76+(1-EXP(-LN(2)/2))/(LN(2)/2)*DW77*DZ77*VLOOKUP('Données projet'!$B$14,Paramètres!$A$1:$I$89,3,0)*0.475*44/12</f>
        <v>5.2818345550443439E-6</v>
      </c>
      <c r="ED77" s="22">
        <f t="shared" si="72"/>
        <v>5.5504786851416616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8.1999999999999993</v>
      </c>
      <c r="N78" s="13">
        <f>IF('Données projet'!$A$36&gt;35,N77+M78-V77,IF(A78&lt;'Données projet'!$A$36,$K$205^A78,IF(A78='Données projet'!$A$36,'Données projet'!$B$36,N77+M78-V77)))</f>
        <v>481.00000000000011</v>
      </c>
      <c r="O78" s="13">
        <f>N78*VLOOKUP('Données projet'!$B$9,Paramètres!$A$1:$I$89,3,0)*VLOOKUP('Données projet'!$B$9,Paramètres!$A$1:$I$89,5,0)</f>
        <v>287.63800000000009</v>
      </c>
      <c r="P78" s="13">
        <f t="shared" si="87"/>
        <v>68.578600880282579</v>
      </c>
      <c r="Q78" s="20">
        <f t="shared" si="54"/>
        <v>620.4105798664923</v>
      </c>
      <c r="R78" s="59">
        <f t="shared" si="55"/>
        <v>913.74391319982556</v>
      </c>
      <c r="S78" s="59">
        <f ca="1">AVERAGE(OFFSET($R$3,0,0,'Données projet'!$E$9+1,1))-AVERAGE(OFFSET($H$3,0,0,'Données projet'!$E$9+1,1))</f>
        <v>259.30247982593914</v>
      </c>
      <c r="T78" s="59">
        <f t="shared" si="88"/>
        <v>275.24740346220779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5.1786231013740078</v>
      </c>
      <c r="AB78" s="21">
        <f>EXP(-LN(2)/2)*AB77+(1-EXP(-LN(2)/2))/(LN(2)/2)*V78*Y78*VLOOKUP('Données projet'!$B$9,Paramètres!$A$1:$I$89,3,0)*0.475*44/12</f>
        <v>4.8351657279051163E-6</v>
      </c>
      <c r="AC78" s="22">
        <f t="shared" si="57"/>
        <v>5.1786279365397361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14.7</v>
      </c>
      <c r="AI78" s="13">
        <f>IF('Données projet'!$A$62&gt;35,AI77+AH78-AQ77,IF(A78&lt;'Données projet'!$A$62,$AF$205^A78,IF(A78='Données projet'!$A$62,'Données projet'!$B$62,AI77+AH78-AQ77)))</f>
        <v>679.50000000000057</v>
      </c>
      <c r="AJ78" s="13">
        <f>AI78*VLOOKUP('Données projet'!$B$10,Paramètres!$A$1:$I$89,3,0)*VLOOKUP('Données projet'!$B$10,Paramètres!$A$1:$I$89,5,0)</f>
        <v>326.83950000000027</v>
      </c>
      <c r="AK78" s="13">
        <f t="shared" si="89"/>
        <v>76.774688342587709</v>
      </c>
      <c r="AL78" s="20">
        <f t="shared" si="58"/>
        <v>702.96137803000727</v>
      </c>
      <c r="AM78" s="59">
        <f t="shared" si="59"/>
        <v>996.29471136334064</v>
      </c>
      <c r="AN78" s="59">
        <f ca="1">AVERAGE(OFFSET($AM$3,0,0,'Données projet'!$E$10+1,1))-AVERAGE(OFFSET($H$3,0,0,'Données projet'!$E$10+1,1))</f>
        <v>297.21955661193238</v>
      </c>
      <c r="AO78" s="59">
        <f t="shared" si="90"/>
        <v>273.69206144662144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2.7637501881710391</v>
      </c>
      <c r="AV78" s="21">
        <f>EXP(-LN(2)/25)*AV77+(1-EXP(-LN(2)/25))/(LN(2)/25)*Calculateur!AQ78*Calculateur!AS78*VLOOKUP('Données projet'!$B$10,Paramètres!$A$1:$I$89,3,0)*0.475*44/12</f>
        <v>3.8547835441198401</v>
      </c>
      <c r="AW78" s="21">
        <f>EXP(-LN(2)/2)*AW77+(1-EXP(-LN(2)/2))/(LN(2)/2)*AQ78*AT78*VLOOKUP('Données projet'!$B$10,Paramètres!$A$1:$I$89,3,0)*0.475*44/12</f>
        <v>3.5256316603634579E-6</v>
      </c>
      <c r="AX78" s="21">
        <f t="shared" si="60"/>
        <v>6.6185372579225401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5.6843418860808015E-14</v>
      </c>
      <c r="BE78" s="13">
        <f>BD78*VLOOKUP('Données projet'!$B$11,Paramètres!$A$1:$I$89,3,0)*VLOOKUP('Données projet'!$B$11,Paramètres!$A$1:$I$89,5,0)</f>
        <v>3.6357050703372803E-14</v>
      </c>
      <c r="BF78" s="13">
        <f t="shared" si="91"/>
        <v>6.1445232567661395E-13</v>
      </c>
      <c r="BG78" s="20">
        <f t="shared" si="61"/>
        <v>1.1334929971951436E-12</v>
      </c>
      <c r="BH78" s="59">
        <f t="shared" si="62"/>
        <v>293.33333333333445</v>
      </c>
      <c r="BI78" s="59">
        <f ca="1">AVERAGE(OFFSET($BH$3,0,0,'Données projet'!$E$11+1,1))-AVERAGE(OFFSET($H$3,0,0,'Données projet'!$E$11+1,1))</f>
        <v>176.90404027101607</v>
      </c>
      <c r="BJ78" s="59">
        <f t="shared" si="92"/>
        <v>295.34177980841878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0.72759230536403618</v>
      </c>
      <c r="BQ78" s="21">
        <f>EXP(-LN(2)/25)*BQ77+(1-EXP(-LN(2)/25))/(LN(2)/25)*Calculateur!BL78*Calculateur!BN78*VLOOKUP('Données projet'!$B$11,Paramètres!$A$1:$I$89,3,0)*0.475*44/12</f>
        <v>2.3664655834216184</v>
      </c>
      <c r="BR78" s="21">
        <f>EXP(-LN(2)/2)*BR77+(1-EXP(-LN(2)/2))/(LN(2)/2)*BL78*BO78*VLOOKUP('Données projet'!$B$11,Paramètres!$A$1:$I$89,3,0)*0.475*44/12</f>
        <v>5.681816256172886E-9</v>
      </c>
      <c r="BS78" s="22">
        <f t="shared" si="63"/>
        <v>3.094057894467471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10.4</v>
      </c>
      <c r="BY78" s="12">
        <f>IF('Données projet'!$A$114&gt;35,BY77+BX78-CG77,IF(A78&lt;'Données projet'!$A$114,$BV$205^A78,IF(A78='Données projet'!$A$114,'Données projet'!$B$114,BY77+BX78-CG77)))</f>
        <v>598.99999999999955</v>
      </c>
      <c r="BZ78" s="13">
        <f>BY78*VLOOKUP('Données projet'!$B$12,Paramètres!$A$1:$I$89,3,0)*VLOOKUP('Données projet'!$B$12,Paramètres!$A$1:$I$89,5,0)</f>
        <v>334.84099999999978</v>
      </c>
      <c r="CA78" s="13">
        <f t="shared" si="93"/>
        <v>78.433117720461652</v>
      </c>
      <c r="CB78" s="20">
        <f t="shared" si="64"/>
        <v>719.78575502980368</v>
      </c>
      <c r="CC78" s="59">
        <f t="shared" si="65"/>
        <v>1013.1190883631371</v>
      </c>
      <c r="CD78" s="59">
        <f ca="1">AVERAGE(OFFSET($CC$3,0,0,'Données projet'!$E$12+1,1))-AVERAGE(OFFSET($H$3,0,0,'Données projet'!$E$12+1,1))</f>
        <v>326.31232746914907</v>
      </c>
      <c r="CE78" s="59">
        <f t="shared" si="94"/>
        <v>330.17137761430297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1.8736234383772152</v>
      </c>
      <c r="CL78" s="21">
        <f>EXP(-LN(2)/25)*CL77+(1-EXP(-LN(2)/25))/(LN(2)/25)*Calculateur!CG78*Calculateur!CI78*VLOOKUP('Données projet'!$B$12,Paramètres!$A$1:$I$89,3,0)*0.475*44/12</f>
        <v>8.6649040103694031</v>
      </c>
      <c r="CM78" s="21">
        <f>EXP(-LN(2)/2)*CM77+(1-EXP(-LN(2)/2))/(LN(2)/2)*CG78*CJ78*VLOOKUP('Données projet'!$B$12,Paramètres!$A$1:$I$89,3,0)*0.475*44/12</f>
        <v>5.4828141272265707E-6</v>
      </c>
      <c r="CN78" s="22">
        <f t="shared" si="66"/>
        <v>10.538532931560747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7.4</v>
      </c>
      <c r="CT78" s="12">
        <f>IF('Données projet'!$A$140&gt;35,CT77+CS78-DB77,IF(A78&lt;'Données projet'!$A$140,$CQ$205^A78,IF(A78='Données projet'!$A$140,'Données projet'!$B$140,CT77+CS78-DB77)))</f>
        <v>396.00000000000011</v>
      </c>
      <c r="CU78" s="17">
        <f>CT78*VLOOKUP('Données projet'!$B$13,Paramètres!$A$1:$I$89,3,0)*VLOOKUP('Données projet'!$B$13,Paramètres!$A$1:$I$89,5,0)</f>
        <v>216.21600000000007</v>
      </c>
      <c r="CV78" s="13">
        <f t="shared" si="95"/>
        <v>53.291623409473033</v>
      </c>
      <c r="CW78" s="20">
        <f t="shared" si="67"/>
        <v>469.39244410483235</v>
      </c>
      <c r="CX78" s="59">
        <f t="shared" si="68"/>
        <v>762.72577743816566</v>
      </c>
      <c r="CY78" s="59">
        <f ca="1">AVERAGE(OFFSET($CX$3,0,0,'Données projet'!$E$13+1,1))-AVERAGE(OFFSET($H$3,0,0,'Données projet'!$E$13+1,1))</f>
        <v>210.04871822652808</v>
      </c>
      <c r="CZ78" s="59">
        <f t="shared" si="96"/>
        <v>250.17540614049324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2.9946285822688647</v>
      </c>
      <c r="DG78" s="21">
        <f>EXP(-LN(2)/25)*DG77+(1-EXP(-LN(2)/25))/(LN(2)/25)*Calculateur!DB78*Calculateur!DD78*VLOOKUP('Données projet'!$B$13,Paramètres!$A$1:$I$89,3,0)*0.475*44/12</f>
        <v>7.9922737281288176</v>
      </c>
      <c r="DH78" s="21">
        <f>EXP(-LN(2)/2)*DH77+(1-EXP(-LN(2)/2))/(LN(2)/2)*DB78*DE78*VLOOKUP('Données projet'!$B$13,Paramètres!$A$1:$I$89,3,0)*0.475*44/12</f>
        <v>3.6337139337353081E-6</v>
      </c>
      <c r="DI78" s="22">
        <f t="shared" si="69"/>
        <v>10.986905944111616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3.9</v>
      </c>
      <c r="DO78" s="12">
        <f>IF('Données projet'!$A$166&gt;35,DO77+DN78-DW77,IF(A78&lt;'Données projet'!$A$166,$DL$205^A78,IF(A78='Données projet'!$A$166,'Données projet'!$B$166,DO77+DN78-DW77)))</f>
        <v>322.4999999999996</v>
      </c>
      <c r="DP78" s="17">
        <f>DO78*VLOOKUP('Données projet'!$B$14,Paramètres!$A$1:$I$89,3,0)*VLOOKUP('Données projet'!$B$14,Paramètres!$A$1:$I$89,5,0)</f>
        <v>236.45699999999974</v>
      </c>
      <c r="DQ78" s="13">
        <f t="shared" si="97"/>
        <v>57.676578200883128</v>
      </c>
      <c r="DR78" s="20">
        <f t="shared" si="70"/>
        <v>512.28264869987095</v>
      </c>
      <c r="DS78" s="59">
        <f t="shared" si="71"/>
        <v>805.61598203320432</v>
      </c>
      <c r="DT78" s="59">
        <f ca="1">AVERAGE(OFFSET($DS$3,0,0,'Données projet'!$E$14+1,1))-AVERAGE(OFFSET($H$3,0,0,'Données projet'!$E$14+1,1))</f>
        <v>234.09142087023463</v>
      </c>
      <c r="DU78" s="59">
        <f t="shared" si="98"/>
        <v>278.990685815294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1.0006852454969215</v>
      </c>
      <c r="EB78" s="21">
        <f>EXP(-LN(2)/25)*EB77+(1-EXP(-LN(2)/25))/(LN(2)/25)*Calculateur!DW78*Calculateur!DY78*VLOOKUP('Données projet'!$B$14,Paramètres!$A$1:$I$89,3,0)*0.475*44/12</f>
        <v>4.4059059657910211</v>
      </c>
      <c r="EC78" s="21">
        <f>EXP(-LN(2)/2)*EC77+(1-EXP(-LN(2)/2))/(LN(2)/2)*DW78*DZ78*VLOOKUP('Données projet'!$B$14,Paramètres!$A$1:$I$89,3,0)*0.475*44/12</f>
        <v>3.7348210309772868E-6</v>
      </c>
      <c r="ED78" s="22">
        <f t="shared" si="72"/>
        <v>5.4065949461089735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8.1999999999999993</v>
      </c>
      <c r="N79" s="13">
        <f>IF('Données projet'!$A$36&gt;35,N78+M79-V78,IF(A79&lt;'Données projet'!$A$36,$K$205^A79,IF(A79='Données projet'!$A$36,'Données projet'!$B$36,N78+M79-V78)))</f>
        <v>489.2000000000001</v>
      </c>
      <c r="O79" s="13">
        <f>N79*VLOOKUP('Données projet'!$B$9,Paramètres!$A$1:$I$89,3,0)*VLOOKUP('Données projet'!$B$9,Paramètres!$A$1:$I$89,5,0)</f>
        <v>292.54160000000007</v>
      </c>
      <c r="P79" s="13">
        <f t="shared" si="87"/>
        <v>69.610612773315694</v>
      </c>
      <c r="Q79" s="20">
        <f t="shared" si="54"/>
        <v>630.74843724685832</v>
      </c>
      <c r="R79" s="59">
        <f t="shared" si="55"/>
        <v>924.08177058019169</v>
      </c>
      <c r="S79" s="59">
        <f ca="1">AVERAGE(OFFSET($R$3,0,0,'Données projet'!$E$9+1,1))-AVERAGE(OFFSET($H$3,0,0,'Données projet'!$E$9+1,1))</f>
        <v>259.30247982593914</v>
      </c>
      <c r="T79" s="59">
        <f t="shared" si="88"/>
        <v>275.24740346220779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5.037013380334983</v>
      </c>
      <c r="AB79" s="21">
        <f>EXP(-LN(2)/2)*AB78+(1-EXP(-LN(2)/2))/(LN(2)/2)*V79*Y79*VLOOKUP('Données projet'!$B$9,Paramètres!$A$1:$I$89,3,0)*0.475*44/12</f>
        <v>3.4189784743624969E-6</v>
      </c>
      <c r="AC79" s="22">
        <f t="shared" si="57"/>
        <v>5.0370167993134576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14.7</v>
      </c>
      <c r="AI79" s="13">
        <f>IF('Données projet'!$A$62&gt;35,AI78+AH79-AQ78,IF(A79&lt;'Données projet'!$A$62,$AF$205^A79,IF(A79='Données projet'!$A$62,'Données projet'!$B$62,AI78+AH79-AQ78)))</f>
        <v>694.20000000000061</v>
      </c>
      <c r="AJ79" s="13">
        <f>AI79*VLOOKUP('Données projet'!$B$10,Paramètres!$A$1:$I$89,3,0)*VLOOKUP('Données projet'!$B$10,Paramètres!$A$1:$I$89,5,0)</f>
        <v>333.91020000000032</v>
      </c>
      <c r="AK79" s="13">
        <f t="shared" si="89"/>
        <v>78.240434782372716</v>
      </c>
      <c r="AL79" s="20">
        <f t="shared" si="58"/>
        <v>717.82902224596637</v>
      </c>
      <c r="AM79" s="59">
        <f t="shared" si="59"/>
        <v>1011.1623555792996</v>
      </c>
      <c r="AN79" s="59">
        <f ca="1">AVERAGE(OFFSET($AM$3,0,0,'Données projet'!$E$10+1,1))-AVERAGE(OFFSET($H$3,0,0,'Données projet'!$E$10+1,1))</f>
        <v>297.21955661193238</v>
      </c>
      <c r="AO79" s="59">
        <f t="shared" si="90"/>
        <v>273.69206144662144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2.7095547327021685</v>
      </c>
      <c r="AV79" s="21">
        <f>EXP(-LN(2)/25)*AV78+(1-EXP(-LN(2)/25))/(LN(2)/25)*Calculateur!AQ79*Calculateur!AS79*VLOOKUP('Données projet'!$B$10,Paramètres!$A$1:$I$89,3,0)*0.475*44/12</f>
        <v>3.7493742853916268</v>
      </c>
      <c r="AW79" s="21">
        <f>EXP(-LN(2)/2)*AW78+(1-EXP(-LN(2)/2))/(LN(2)/2)*AQ79*AT79*VLOOKUP('Données projet'!$B$10,Paramètres!$A$1:$I$89,3,0)*0.475*44/12</f>
        <v>2.4929980550089878E-6</v>
      </c>
      <c r="AX79" s="21">
        <f t="shared" si="60"/>
        <v>6.4589315110918504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5.6843418860808015E-14</v>
      </c>
      <c r="BE79" s="13">
        <f>BD79*VLOOKUP('Données projet'!$B$11,Paramètres!$A$1:$I$89,3,0)*VLOOKUP('Données projet'!$B$11,Paramètres!$A$1:$I$89,5,0)</f>
        <v>3.6357050703372803E-14</v>
      </c>
      <c r="BF79" s="13">
        <f t="shared" si="91"/>
        <v>6.1445232567661395E-13</v>
      </c>
      <c r="BG79" s="20">
        <f t="shared" si="61"/>
        <v>1.1334929971951436E-12</v>
      </c>
      <c r="BH79" s="59">
        <f t="shared" si="62"/>
        <v>293.33333333333445</v>
      </c>
      <c r="BI79" s="59">
        <f ca="1">AVERAGE(OFFSET($BH$3,0,0,'Données projet'!$E$11+1,1))-AVERAGE(OFFSET($H$3,0,0,'Données projet'!$E$11+1,1))</f>
        <v>176.90404027101607</v>
      </c>
      <c r="BJ79" s="59">
        <f t="shared" si="92"/>
        <v>295.34177980841878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0.71332466404333328</v>
      </c>
      <c r="BQ79" s="21">
        <f>EXP(-LN(2)/25)*BQ78+(1-EXP(-LN(2)/25))/(LN(2)/25)*Calculateur!BL79*Calculateur!BN79*VLOOKUP('Données projet'!$B$11,Paramètres!$A$1:$I$89,3,0)*0.475*44/12</f>
        <v>2.3017544575959379</v>
      </c>
      <c r="BR79" s="21">
        <f>EXP(-LN(2)/2)*BR78+(1-EXP(-LN(2)/2))/(LN(2)/2)*BL79*BO79*VLOOKUP('Données projet'!$B$11,Paramètres!$A$1:$I$89,3,0)*0.475*44/12</f>
        <v>4.0176508041958095E-9</v>
      </c>
      <c r="BS79" s="22">
        <f t="shared" si="63"/>
        <v>3.0150791256569218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10.4</v>
      </c>
      <c r="BY79" s="12">
        <f>IF('Données projet'!$A$114&gt;35,BY78+BX79-CG78,IF(A79&lt;'Données projet'!$A$114,$BV$205^A79,IF(A79='Données projet'!$A$114,'Données projet'!$B$114,BY78+BX79-CG78)))</f>
        <v>609.39999999999952</v>
      </c>
      <c r="BZ79" s="13">
        <f>BY79*VLOOKUP('Données projet'!$B$12,Paramètres!$A$1:$I$89,3,0)*VLOOKUP('Données projet'!$B$12,Paramètres!$A$1:$I$89,5,0)</f>
        <v>340.65459999999973</v>
      </c>
      <c r="CA79" s="13">
        <f t="shared" si="93"/>
        <v>79.635175782709197</v>
      </c>
      <c r="CB79" s="20">
        <f t="shared" si="64"/>
        <v>732.00469282155143</v>
      </c>
      <c r="CC79" s="59">
        <f t="shared" si="65"/>
        <v>1025.3380261548848</v>
      </c>
      <c r="CD79" s="59">
        <f ca="1">AVERAGE(OFFSET($CC$3,0,0,'Données projet'!$E$12+1,1))-AVERAGE(OFFSET($H$3,0,0,'Données projet'!$E$12+1,1))</f>
        <v>326.31232746914907</v>
      </c>
      <c r="CE79" s="59">
        <f t="shared" si="94"/>
        <v>330.17137761430297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1.8368828255480936</v>
      </c>
      <c r="CL79" s="21">
        <f>EXP(-LN(2)/25)*CL78+(1-EXP(-LN(2)/25))/(LN(2)/25)*Calculateur!CG79*Calculateur!CI79*VLOOKUP('Données projet'!$B$12,Paramètres!$A$1:$I$89,3,0)*0.475*44/12</f>
        <v>8.4279617545383534</v>
      </c>
      <c r="CM79" s="21">
        <f>EXP(-LN(2)/2)*CM78+(1-EXP(-LN(2)/2))/(LN(2)/2)*CG79*CJ79*VLOOKUP('Données projet'!$B$12,Paramètres!$A$1:$I$89,3,0)*0.475*44/12</f>
        <v>3.8769350493473103E-6</v>
      </c>
      <c r="CN79" s="22">
        <f t="shared" si="66"/>
        <v>10.264848457021495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7.4</v>
      </c>
      <c r="CT79" s="12">
        <f>IF('Données projet'!$A$140&gt;35,CT78+CS79-DB78,IF(A79&lt;'Données projet'!$A$140,$CQ$205^A79,IF(A79='Données projet'!$A$140,'Données projet'!$B$140,CT78+CS79-DB78)))</f>
        <v>403.40000000000009</v>
      </c>
      <c r="CU79" s="17">
        <f>CT79*VLOOKUP('Données projet'!$B$13,Paramètres!$A$1:$I$89,3,0)*VLOOKUP('Données projet'!$B$13,Paramètres!$A$1:$I$89,5,0)</f>
        <v>220.25640000000004</v>
      </c>
      <c r="CV79" s="13">
        <f t="shared" si="95"/>
        <v>54.170609215461226</v>
      </c>
      <c r="CW79" s="20">
        <f t="shared" si="67"/>
        <v>477.96037438359508</v>
      </c>
      <c r="CX79" s="59">
        <f t="shared" si="68"/>
        <v>771.29370771692834</v>
      </c>
      <c r="CY79" s="59">
        <f ca="1">AVERAGE(OFFSET($CX$3,0,0,'Données projet'!$E$13+1,1))-AVERAGE(OFFSET($H$3,0,0,'Données projet'!$E$13+1,1))</f>
        <v>210.04871822652808</v>
      </c>
      <c r="CZ79" s="59">
        <f t="shared" si="96"/>
        <v>250.17540614049324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2.9359057423136514</v>
      </c>
      <c r="DG79" s="21">
        <f>EXP(-LN(2)/25)*DG78+(1-EXP(-LN(2)/25))/(LN(2)/25)*Calculateur!DB79*Calculateur!DD79*VLOOKUP('Données projet'!$B$13,Paramètres!$A$1:$I$89,3,0)*0.475*44/12</f>
        <v>7.7737245827377262</v>
      </c>
      <c r="DH79" s="21">
        <f>EXP(-LN(2)/2)*DH78+(1-EXP(-LN(2)/2))/(LN(2)/2)*DB79*DE79*VLOOKUP('Données projet'!$B$13,Paramètres!$A$1:$I$89,3,0)*0.475*44/12</f>
        <v>2.5694237634362815E-6</v>
      </c>
      <c r="DI79" s="22">
        <f t="shared" si="69"/>
        <v>10.709632894475142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3.9</v>
      </c>
      <c r="DO79" s="12">
        <f>IF('Données projet'!$A$166&gt;35,DO78+DN79-DW78,IF(A79&lt;'Données projet'!$A$166,$DL$205^A79,IF(A79='Données projet'!$A$166,'Données projet'!$B$166,DO78+DN79-DW78)))</f>
        <v>326.39999999999958</v>
      </c>
      <c r="DP79" s="17">
        <f>DO79*VLOOKUP('Données projet'!$B$14,Paramètres!$A$1:$I$89,3,0)*VLOOKUP('Données projet'!$B$14,Paramètres!$A$1:$I$89,5,0)</f>
        <v>239.31647999999967</v>
      </c>
      <c r="DQ79" s="13">
        <f t="shared" si="97"/>
        <v>58.292443422481945</v>
      </c>
      <c r="DR79" s="20">
        <f t="shared" si="70"/>
        <v>518.33554162748874</v>
      </c>
      <c r="DS79" s="59">
        <f t="shared" si="71"/>
        <v>811.668874960822</v>
      </c>
      <c r="DT79" s="59">
        <f ca="1">AVERAGE(OFFSET($DS$3,0,0,'Données projet'!$E$14+1,1))-AVERAGE(OFFSET($H$3,0,0,'Données projet'!$E$14+1,1))</f>
        <v>234.09142087023463</v>
      </c>
      <c r="DU79" s="59">
        <f t="shared" si="98"/>
        <v>278.990685815294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0.98106241819045881</v>
      </c>
      <c r="EB79" s="21">
        <f>EXP(-LN(2)/25)*EB78+(1-EXP(-LN(2)/25))/(LN(2)/25)*Calculateur!DW79*Calculateur!DY79*VLOOKUP('Données projet'!$B$14,Paramètres!$A$1:$I$89,3,0)*0.475*44/12</f>
        <v>4.2854262354599406</v>
      </c>
      <c r="EC79" s="21">
        <f>EXP(-LN(2)/2)*EC78+(1-EXP(-LN(2)/2))/(LN(2)/2)*DW79*DZ79*VLOOKUP('Données projet'!$B$14,Paramètres!$A$1:$I$89,3,0)*0.475*44/12</f>
        <v>2.6409172775221724E-6</v>
      </c>
      <c r="ED79" s="22">
        <f t="shared" si="72"/>
        <v>5.2664912945676772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8.1999999999999993</v>
      </c>
      <c r="N80" s="13">
        <f>IF('Données projet'!$A$36&gt;35,N79+M80-V79,IF(A80&lt;'Données projet'!$A$36,$K$205^A80,IF(A80='Données projet'!$A$36,'Données projet'!$B$36,N79+M80-V79)))</f>
        <v>497.40000000000009</v>
      </c>
      <c r="O80" s="13">
        <f>N80*VLOOKUP('Données projet'!$B$9,Paramètres!$A$1:$I$89,3,0)*VLOOKUP('Données projet'!$B$9,Paramètres!$A$1:$I$89,5,0)</f>
        <v>297.44520000000011</v>
      </c>
      <c r="P80" s="13">
        <f t="shared" si="87"/>
        <v>70.640612967440504</v>
      </c>
      <c r="Q80" s="20">
        <f t="shared" si="54"/>
        <v>641.08279091829229</v>
      </c>
      <c r="R80" s="59">
        <f t="shared" si="55"/>
        <v>934.41612425162566</v>
      </c>
      <c r="S80" s="59">
        <f ca="1">AVERAGE(OFFSET($R$3,0,0,'Données projet'!$E$9+1,1))-AVERAGE(OFFSET($H$3,0,0,'Données projet'!$E$9+1,1))</f>
        <v>259.30247982593914</v>
      </c>
      <c r="T80" s="59">
        <f t="shared" si="88"/>
        <v>275.24740346220779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4.8992759845647011</v>
      </c>
      <c r="AB80" s="21">
        <f>EXP(-LN(2)/2)*AB79+(1-EXP(-LN(2)/2))/(LN(2)/2)*V80*Y80*VLOOKUP('Données projet'!$B$9,Paramètres!$A$1:$I$89,3,0)*0.475*44/12</f>
        <v>2.4175828639525581E-6</v>
      </c>
      <c r="AC80" s="22">
        <f t="shared" si="57"/>
        <v>4.8992784021475648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14.7</v>
      </c>
      <c r="AI80" s="13">
        <f>IF('Données projet'!$A$62&gt;35,AI79+AH80-AQ79,IF(A80&lt;'Données projet'!$A$62,$AF$205^A80,IF(A80='Données projet'!$A$62,'Données projet'!$B$62,AI79+AH80-AQ79)))</f>
        <v>708.90000000000066</v>
      </c>
      <c r="AJ80" s="13">
        <f>AI80*VLOOKUP('Données projet'!$B$10,Paramètres!$A$1:$I$89,3,0)*VLOOKUP('Données projet'!$B$10,Paramètres!$A$1:$I$89,5,0)</f>
        <v>340.9809000000003</v>
      </c>
      <c r="AK80" s="13">
        <f t="shared" si="89"/>
        <v>79.702572580633841</v>
      </c>
      <c r="AL80" s="20">
        <f t="shared" si="58"/>
        <v>732.69038141127112</v>
      </c>
      <c r="AM80" s="59">
        <f t="shared" si="59"/>
        <v>1026.0237147446044</v>
      </c>
      <c r="AN80" s="59">
        <f ca="1">AVERAGE(OFFSET($AM$3,0,0,'Données projet'!$E$10+1,1))-AVERAGE(OFFSET($H$3,0,0,'Données projet'!$E$10+1,1))</f>
        <v>297.21955661193238</v>
      </c>
      <c r="AO80" s="59">
        <f t="shared" si="90"/>
        <v>273.69206144662144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2.6564220170590787</v>
      </c>
      <c r="AV80" s="21">
        <f>EXP(-LN(2)/25)*AV79+(1-EXP(-LN(2)/25))/(LN(2)/25)*Calculateur!AQ80*Calculateur!AS80*VLOOKUP('Données projet'!$B$10,Paramètres!$A$1:$I$89,3,0)*0.475*44/12</f>
        <v>3.6468474483865685</v>
      </c>
      <c r="AW80" s="21">
        <f>EXP(-LN(2)/2)*AW79+(1-EXP(-LN(2)/2))/(LN(2)/2)*AQ80*AT80*VLOOKUP('Données projet'!$B$10,Paramètres!$A$1:$I$89,3,0)*0.475*44/12</f>
        <v>1.7628158301817289E-6</v>
      </c>
      <c r="AX80" s="21">
        <f t="shared" si="60"/>
        <v>6.3032712282614769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5.6843418860808015E-14</v>
      </c>
      <c r="BE80" s="13">
        <f>BD80*VLOOKUP('Données projet'!$B$11,Paramètres!$A$1:$I$89,3,0)*VLOOKUP('Données projet'!$B$11,Paramètres!$A$1:$I$89,5,0)</f>
        <v>3.6357050703372803E-14</v>
      </c>
      <c r="BF80" s="13">
        <f t="shared" si="91"/>
        <v>6.1445232567661395E-13</v>
      </c>
      <c r="BG80" s="20">
        <f t="shared" si="61"/>
        <v>1.1334929971951436E-12</v>
      </c>
      <c r="BH80" s="59">
        <f t="shared" si="62"/>
        <v>293.33333333333445</v>
      </c>
      <c r="BI80" s="59">
        <f ca="1">AVERAGE(OFFSET($BH$3,0,0,'Données projet'!$E$11+1,1))-AVERAGE(OFFSET($H$3,0,0,'Données projet'!$E$11+1,1))</f>
        <v>176.90404027101607</v>
      </c>
      <c r="BJ80" s="59">
        <f t="shared" si="92"/>
        <v>295.34177980841878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0.69933680246652752</v>
      </c>
      <c r="BQ80" s="21">
        <f>EXP(-LN(2)/25)*BQ79+(1-EXP(-LN(2)/25))/(LN(2)/25)*Calculateur!BL80*Calculateur!BN80*VLOOKUP('Données projet'!$B$11,Paramètres!$A$1:$I$89,3,0)*0.475*44/12</f>
        <v>2.2388128609089706</v>
      </c>
      <c r="BR80" s="21">
        <f>EXP(-LN(2)/2)*BR79+(1-EXP(-LN(2)/2))/(LN(2)/2)*BL80*BO80*VLOOKUP('Données projet'!$B$11,Paramètres!$A$1:$I$89,3,0)*0.475*44/12</f>
        <v>2.840908128086443E-9</v>
      </c>
      <c r="BS80" s="22">
        <f t="shared" si="63"/>
        <v>2.9381496662164062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10.4</v>
      </c>
      <c r="BY80" s="12">
        <f>IF('Données projet'!$A$114&gt;35,BY79+BX80-CG79,IF(A80&lt;'Données projet'!$A$114,$BV$205^A80,IF(A80='Données projet'!$A$114,'Données projet'!$B$114,BY79+BX80-CG79)))</f>
        <v>619.7999999999995</v>
      </c>
      <c r="BZ80" s="13">
        <f>BY80*VLOOKUP('Données projet'!$B$12,Paramètres!$A$1:$I$89,3,0)*VLOOKUP('Données projet'!$B$12,Paramètres!$A$1:$I$89,5,0)</f>
        <v>346.46819999999974</v>
      </c>
      <c r="CA80" s="13">
        <f t="shared" si="93"/>
        <v>80.834848230178139</v>
      </c>
      <c r="CB80" s="20">
        <f t="shared" si="64"/>
        <v>744.21947566755978</v>
      </c>
      <c r="CC80" s="59">
        <f t="shared" si="65"/>
        <v>1037.5528090008931</v>
      </c>
      <c r="CD80" s="59">
        <f ca="1">AVERAGE(OFFSET($CC$3,0,0,'Données projet'!$E$12+1,1))-AVERAGE(OFFSET($H$3,0,0,'Données projet'!$E$12+1,1))</f>
        <v>326.31232746914907</v>
      </c>
      <c r="CE80" s="59">
        <f t="shared" si="94"/>
        <v>330.17137761430297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1.8008626737269899</v>
      </c>
      <c r="CL80" s="21">
        <f>EXP(-LN(2)/25)*CL79+(1-EXP(-LN(2)/25))/(LN(2)/25)*Calculateur!CG80*Calculateur!CI80*VLOOKUP('Données projet'!$B$12,Paramètres!$A$1:$I$89,3,0)*0.475*44/12</f>
        <v>8.1974986971532555</v>
      </c>
      <c r="CM80" s="21">
        <f>EXP(-LN(2)/2)*CM79+(1-EXP(-LN(2)/2))/(LN(2)/2)*CG80*CJ80*VLOOKUP('Données projet'!$B$12,Paramètres!$A$1:$I$89,3,0)*0.475*44/12</f>
        <v>2.7414070636132853E-6</v>
      </c>
      <c r="CN80" s="22">
        <f t="shared" si="66"/>
        <v>9.9983641122873088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7.4</v>
      </c>
      <c r="CT80" s="12">
        <f>IF('Données projet'!$A$140&gt;35,CT79+CS80-DB79,IF(A80&lt;'Données projet'!$A$140,$CQ$205^A80,IF(A80='Données projet'!$A$140,'Données projet'!$B$140,CT79+CS80-DB79)))</f>
        <v>410.80000000000007</v>
      </c>
      <c r="CU80" s="17">
        <f>CT80*VLOOKUP('Données projet'!$B$13,Paramètres!$A$1:$I$89,3,0)*VLOOKUP('Données projet'!$B$13,Paramètres!$A$1:$I$89,5,0)</f>
        <v>224.29680000000005</v>
      </c>
      <c r="CV80" s="13">
        <f t="shared" si="95"/>
        <v>55.047720057866165</v>
      </c>
      <c r="CW80" s="20">
        <f t="shared" si="67"/>
        <v>486.52503910078366</v>
      </c>
      <c r="CX80" s="59">
        <f t="shared" si="68"/>
        <v>779.85837243411697</v>
      </c>
      <c r="CY80" s="59">
        <f ca="1">AVERAGE(OFFSET($CX$3,0,0,'Données projet'!$E$13+1,1))-AVERAGE(OFFSET($H$3,0,0,'Données projet'!$E$13+1,1))</f>
        <v>210.04871822652808</v>
      </c>
      <c r="CZ80" s="59">
        <f t="shared" si="96"/>
        <v>250.17540614049324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2.8783344214325641</v>
      </c>
      <c r="DG80" s="21">
        <f>EXP(-LN(2)/25)*DG79+(1-EXP(-LN(2)/25))/(LN(2)/25)*Calculateur!DB80*Calculateur!DD80*VLOOKUP('Données projet'!$B$13,Paramètres!$A$1:$I$89,3,0)*0.475*44/12</f>
        <v>7.561151675220354</v>
      </c>
      <c r="DH80" s="21">
        <f>EXP(-LN(2)/2)*DH79+(1-EXP(-LN(2)/2))/(LN(2)/2)*DB80*DE80*VLOOKUP('Données projet'!$B$13,Paramètres!$A$1:$I$89,3,0)*0.475*44/12</f>
        <v>1.8168569668676543E-6</v>
      </c>
      <c r="DI80" s="22">
        <f t="shared" si="69"/>
        <v>10.439487913509884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3.9</v>
      </c>
      <c r="DO80" s="12">
        <f>IF('Données projet'!$A$166&gt;35,DO79+DN80-DW79,IF(A80&lt;'Données projet'!$A$166,$DL$205^A80,IF(A80='Données projet'!$A$166,'Données projet'!$B$166,DO79+DN80-DW79)))</f>
        <v>330.29999999999956</v>
      </c>
      <c r="DP80" s="17">
        <f>DO80*VLOOKUP('Données projet'!$B$14,Paramètres!$A$1:$I$89,3,0)*VLOOKUP('Données projet'!$B$14,Paramètres!$A$1:$I$89,5,0)</f>
        <v>242.17595999999966</v>
      </c>
      <c r="DQ80" s="13">
        <f t="shared" si="97"/>
        <v>58.907452667130812</v>
      </c>
      <c r="DR80" s="20">
        <f t="shared" si="70"/>
        <v>524.38694372858561</v>
      </c>
      <c r="DS80" s="59">
        <f t="shared" si="71"/>
        <v>817.72027706191898</v>
      </c>
      <c r="DT80" s="59">
        <f ca="1">AVERAGE(OFFSET($DS$3,0,0,'Données projet'!$E$14+1,1))-AVERAGE(OFFSET($H$3,0,0,'Données projet'!$E$14+1,1))</f>
        <v>234.09142087023463</v>
      </c>
      <c r="DU80" s="59">
        <f t="shared" si="98"/>
        <v>278.990685815294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0.96182438255873304</v>
      </c>
      <c r="EB80" s="21">
        <f>EXP(-LN(2)/25)*EB79+(1-EXP(-LN(2)/25))/(LN(2)/25)*Calculateur!DW80*Calculateur!DY80*VLOOKUP('Données projet'!$B$14,Paramètres!$A$1:$I$89,3,0)*0.475*44/12</f>
        <v>4.1682410296905177</v>
      </c>
      <c r="EC80" s="21">
        <f>EXP(-LN(2)/2)*EC79+(1-EXP(-LN(2)/2))/(LN(2)/2)*DW80*DZ80*VLOOKUP('Données projet'!$B$14,Paramètres!$A$1:$I$89,3,0)*0.475*44/12</f>
        <v>1.8674105154886436E-6</v>
      </c>
      <c r="ED80" s="22">
        <f t="shared" si="72"/>
        <v>5.1300672796597659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8.1999999999999993</v>
      </c>
      <c r="N81" s="13">
        <f>IF('Données projet'!$A$36&gt;35,N80+M81-V80,IF(A81&lt;'Données projet'!$A$36,$K$205^A81,IF(A81='Données projet'!$A$36,'Données projet'!$B$36,N80+M81-V80)))</f>
        <v>505.60000000000008</v>
      </c>
      <c r="O81" s="13">
        <f>N81*VLOOKUP('Données projet'!$B$9,Paramètres!$A$1:$I$89,3,0)*VLOOKUP('Données projet'!$B$9,Paramètres!$A$1:$I$89,5,0)</f>
        <v>302.3488000000001</v>
      </c>
      <c r="P81" s="13">
        <f t="shared" si="87"/>
        <v>71.668638455174857</v>
      </c>
      <c r="Q81" s="20">
        <f t="shared" si="54"/>
        <v>651.4137053094297</v>
      </c>
      <c r="R81" s="59">
        <f t="shared" si="55"/>
        <v>944.74703864276307</v>
      </c>
      <c r="S81" s="59">
        <f ca="1">AVERAGE(OFFSET($R$3,0,0,'Données projet'!$E$9+1,1))-AVERAGE(OFFSET($H$3,0,0,'Données projet'!$E$9+1,1))</f>
        <v>259.30247982593914</v>
      </c>
      <c r="T81" s="59">
        <f t="shared" si="88"/>
        <v>275.24740346220779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4.7653050251250528</v>
      </c>
      <c r="AB81" s="21">
        <f>EXP(-LN(2)/2)*AB80+(1-EXP(-LN(2)/2))/(LN(2)/2)*V81*Y81*VLOOKUP('Données projet'!$B$9,Paramètres!$A$1:$I$89,3,0)*0.475*44/12</f>
        <v>1.7094892371812485E-6</v>
      </c>
      <c r="AC81" s="22">
        <f t="shared" si="57"/>
        <v>4.7653067346142901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14.7</v>
      </c>
      <c r="AI81" s="13">
        <f>IF('Données projet'!$A$62&gt;35,AI80+AH81-AQ80,IF(A81&lt;'Données projet'!$A$62,$AF$205^A81,IF(A81='Données projet'!$A$62,'Données projet'!$B$62,AI80+AH81-AQ80)))</f>
        <v>723.6000000000007</v>
      </c>
      <c r="AJ81" s="13">
        <f>AI81*VLOOKUP('Données projet'!$B$10,Paramètres!$A$1:$I$89,3,0)*VLOOKUP('Données projet'!$B$10,Paramètres!$A$1:$I$89,5,0)</f>
        <v>348.05160000000035</v>
      </c>
      <c r="AK81" s="13">
        <f t="shared" si="89"/>
        <v>81.161185188985826</v>
      </c>
      <c r="AL81" s="20">
        <f t="shared" si="58"/>
        <v>747.54560087081745</v>
      </c>
      <c r="AM81" s="59">
        <f t="shared" si="59"/>
        <v>1040.8789342041507</v>
      </c>
      <c r="AN81" s="59">
        <f ca="1">AVERAGE(OFFSET($AM$3,0,0,'Données projet'!$E$10+1,1))-AVERAGE(OFFSET($H$3,0,0,'Données projet'!$E$10+1,1))</f>
        <v>297.21955661193238</v>
      </c>
      <c r="AO81" s="59">
        <f t="shared" si="90"/>
        <v>273.69206144662144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2.6043312015619935</v>
      </c>
      <c r="AV81" s="21">
        <f>EXP(-LN(2)/25)*AV80+(1-EXP(-LN(2)/25))/(LN(2)/25)*Calculateur!AQ81*Calculateur!AS81*VLOOKUP('Données projet'!$B$10,Paramètres!$A$1:$I$89,3,0)*0.475*44/12</f>
        <v>3.5471242131310654</v>
      </c>
      <c r="AW81" s="21">
        <f>EXP(-LN(2)/2)*AW80+(1-EXP(-LN(2)/2))/(LN(2)/2)*AQ81*AT81*VLOOKUP('Données projet'!$B$10,Paramètres!$A$1:$I$89,3,0)*0.475*44/12</f>
        <v>1.2464990275044939E-6</v>
      </c>
      <c r="AX81" s="21">
        <f t="shared" si="60"/>
        <v>6.1514566611920865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5.6843418860808015E-14</v>
      </c>
      <c r="BE81" s="13">
        <f>BD81*VLOOKUP('Données projet'!$B$11,Paramètres!$A$1:$I$89,3,0)*VLOOKUP('Données projet'!$B$11,Paramètres!$A$1:$I$89,5,0)</f>
        <v>3.6357050703372803E-14</v>
      </c>
      <c r="BF81" s="13">
        <f t="shared" si="91"/>
        <v>6.1445232567661395E-13</v>
      </c>
      <c r="BG81" s="20">
        <f t="shared" si="61"/>
        <v>1.1334929971951436E-12</v>
      </c>
      <c r="BH81" s="59">
        <f t="shared" si="62"/>
        <v>293.33333333333445</v>
      </c>
      <c r="BI81" s="59">
        <f ca="1">AVERAGE(OFFSET($BH$3,0,0,'Données projet'!$E$11+1,1))-AVERAGE(OFFSET($H$3,0,0,'Données projet'!$E$11+1,1))</f>
        <v>176.90404027101607</v>
      </c>
      <c r="BJ81" s="59">
        <f t="shared" si="92"/>
        <v>295.34177980841878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0.68562323432348982</v>
      </c>
      <c r="BQ81" s="21">
        <f>EXP(-LN(2)/25)*BQ80+(1-EXP(-LN(2)/25))/(LN(2)/25)*Calculateur!BL81*Calculateur!BN81*VLOOKUP('Données projet'!$B$11,Paramètres!$A$1:$I$89,3,0)*0.475*44/12</f>
        <v>2.1775924054933631</v>
      </c>
      <c r="BR81" s="21">
        <f>EXP(-LN(2)/2)*BR80+(1-EXP(-LN(2)/2))/(LN(2)/2)*BL81*BO81*VLOOKUP('Données projet'!$B$11,Paramètres!$A$1:$I$89,3,0)*0.475*44/12</f>
        <v>2.0088254020979047E-9</v>
      </c>
      <c r="BS81" s="22">
        <f t="shared" si="63"/>
        <v>2.8632156418256787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10.4</v>
      </c>
      <c r="BY81" s="12">
        <f>IF('Données projet'!$A$114&gt;35,BY80+BX81-CG80,IF(A81&lt;'Données projet'!$A$114,$BV$205^A81,IF(A81='Données projet'!$A$114,'Données projet'!$B$114,BY80+BX81-CG80)))</f>
        <v>630.19999999999948</v>
      </c>
      <c r="BZ81" s="13">
        <f>BY81*VLOOKUP('Données projet'!$B$12,Paramètres!$A$1:$I$89,3,0)*VLOOKUP('Données projet'!$B$12,Paramètres!$A$1:$I$89,5,0)</f>
        <v>352.28179999999969</v>
      </c>
      <c r="CA81" s="13">
        <f t="shared" si="93"/>
        <v>82.032179712608126</v>
      </c>
      <c r="CB81" s="20">
        <f t="shared" si="64"/>
        <v>756.4301813327919</v>
      </c>
      <c r="CC81" s="59">
        <f t="shared" si="65"/>
        <v>1049.7635146661253</v>
      </c>
      <c r="CD81" s="59">
        <f ca="1">AVERAGE(OFFSET($CC$3,0,0,'Données projet'!$E$12+1,1))-AVERAGE(OFFSET($H$3,0,0,'Données projet'!$E$12+1,1))</f>
        <v>326.31232746914907</v>
      </c>
      <c r="CE81" s="59">
        <f t="shared" si="94"/>
        <v>330.17137761430297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1.765548855112975</v>
      </c>
      <c r="CL81" s="21">
        <f>EXP(-LN(2)/25)*CL80+(1-EXP(-LN(2)/25))/(LN(2)/25)*Calculateur!CG81*Calculateur!CI81*VLOOKUP('Données projet'!$B$12,Paramètres!$A$1:$I$89,3,0)*0.475*44/12</f>
        <v>7.9733376641918792</v>
      </c>
      <c r="CM81" s="21">
        <f>EXP(-LN(2)/2)*CM80+(1-EXP(-LN(2)/2))/(LN(2)/2)*CG81*CJ81*VLOOKUP('Données projet'!$B$12,Paramètres!$A$1:$I$89,3,0)*0.475*44/12</f>
        <v>1.9384675246736551E-6</v>
      </c>
      <c r="CN81" s="22">
        <f t="shared" si="66"/>
        <v>9.7388884577723793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7.4</v>
      </c>
      <c r="CT81" s="12">
        <f>IF('Données projet'!$A$140&gt;35,CT80+CS81-DB80,IF(A81&lt;'Données projet'!$A$140,$CQ$205^A81,IF(A81='Données projet'!$A$140,'Données projet'!$B$140,CT80+CS81-DB80)))</f>
        <v>418.20000000000005</v>
      </c>
      <c r="CU81" s="17">
        <f>CT81*VLOOKUP('Données projet'!$B$13,Paramètres!$A$1:$I$89,3,0)*VLOOKUP('Données projet'!$B$13,Paramètres!$A$1:$I$89,5,0)</f>
        <v>228.33720000000002</v>
      </c>
      <c r="CV81" s="13">
        <f t="shared" si="95"/>
        <v>55.922993607595103</v>
      </c>
      <c r="CW81" s="20">
        <f t="shared" si="67"/>
        <v>495.08650386656154</v>
      </c>
      <c r="CX81" s="59">
        <f t="shared" si="68"/>
        <v>788.4198371998948</v>
      </c>
      <c r="CY81" s="59">
        <f ca="1">AVERAGE(OFFSET($CX$3,0,0,'Données projet'!$E$13+1,1))-AVERAGE(OFFSET($H$3,0,0,'Données projet'!$E$13+1,1))</f>
        <v>210.04871822652808</v>
      </c>
      <c r="CZ81" s="59">
        <f t="shared" si="96"/>
        <v>250.17540614049324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2.8218920390389166</v>
      </c>
      <c r="DG81" s="21">
        <f>EXP(-LN(2)/25)*DG80+(1-EXP(-LN(2)/25))/(LN(2)/25)*Calculateur!DB81*Calculateur!DD81*VLOOKUP('Données projet'!$B$13,Paramètres!$A$1:$I$89,3,0)*0.475*44/12</f>
        <v>7.3543915850377681</v>
      </c>
      <c r="DH81" s="21">
        <f>EXP(-LN(2)/2)*DH80+(1-EXP(-LN(2)/2))/(LN(2)/2)*DB81*DE81*VLOOKUP('Données projet'!$B$13,Paramètres!$A$1:$I$89,3,0)*0.475*44/12</f>
        <v>1.284711881718141E-6</v>
      </c>
      <c r="DI81" s="22">
        <f t="shared" si="69"/>
        <v>10.176284908788567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3.9</v>
      </c>
      <c r="DO81" s="12">
        <f>IF('Données projet'!$A$166&gt;35,DO80+DN81-DW80,IF(A81&lt;'Données projet'!$A$166,$DL$205^A81,IF(A81='Données projet'!$A$166,'Données projet'!$B$166,DO80+DN81-DW80)))</f>
        <v>334.19999999999953</v>
      </c>
      <c r="DP81" s="17">
        <f>DO81*VLOOKUP('Données projet'!$B$14,Paramètres!$A$1:$I$89,3,0)*VLOOKUP('Données projet'!$B$14,Paramètres!$A$1:$I$89,5,0)</f>
        <v>245.03543999999968</v>
      </c>
      <c r="DQ81" s="13">
        <f t="shared" si="97"/>
        <v>59.521617210952996</v>
      </c>
      <c r="DR81" s="20">
        <f t="shared" si="70"/>
        <v>530.43687464240918</v>
      </c>
      <c r="DS81" s="59">
        <f t="shared" si="71"/>
        <v>823.77020797574255</v>
      </c>
      <c r="DT81" s="59">
        <f ca="1">AVERAGE(OFFSET($DS$3,0,0,'Données projet'!$E$14+1,1))-AVERAGE(OFFSET($H$3,0,0,'Données projet'!$E$14+1,1))</f>
        <v>234.09142087023463</v>
      </c>
      <c r="DU81" s="59">
        <f t="shared" si="98"/>
        <v>278.990685815294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0.9429635930717023</v>
      </c>
      <c r="EB81" s="21">
        <f>EXP(-LN(2)/25)*EB80+(1-EXP(-LN(2)/25))/(LN(2)/25)*Calculateur!DW81*Calculateur!DY81*VLOOKUP('Données projet'!$B$14,Paramètres!$A$1:$I$89,3,0)*0.475*44/12</f>
        <v>4.0542602595353614</v>
      </c>
      <c r="EC81" s="21">
        <f>EXP(-LN(2)/2)*EC80+(1-EXP(-LN(2)/2))/(LN(2)/2)*DW81*DZ81*VLOOKUP('Données projet'!$B$14,Paramètres!$A$1:$I$89,3,0)*0.475*44/12</f>
        <v>1.3204586387610864E-6</v>
      </c>
      <c r="ED81" s="22">
        <f t="shared" si="72"/>
        <v>4.9972251730657025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8.1999999999999993</v>
      </c>
      <c r="N82" s="13">
        <f>IF('Données projet'!$A$36&gt;35,N81+M82-V81,IF(A82&lt;'Données projet'!$A$36,$K$205^A82,IF(A82='Données projet'!$A$36,'Données projet'!$B$36,N81+M82-V81)))</f>
        <v>513.80000000000007</v>
      </c>
      <c r="O82" s="13">
        <f>N82*VLOOKUP('Données projet'!$B$9,Paramètres!$A$1:$I$89,3,0)*VLOOKUP('Données projet'!$B$9,Paramètres!$A$1:$I$89,5,0)</f>
        <v>307.25240000000008</v>
      </c>
      <c r="P82" s="13">
        <f t="shared" si="87"/>
        <v>72.694724960317785</v>
      </c>
      <c r="Q82" s="20">
        <f t="shared" si="54"/>
        <v>661.74124263922022</v>
      </c>
      <c r="R82" s="59">
        <f t="shared" si="55"/>
        <v>955.07457597255348</v>
      </c>
      <c r="S82" s="59">
        <f ca="1">AVERAGE(OFFSET($R$3,0,0,'Données projet'!$E$9+1,1))-AVERAGE(OFFSET($H$3,0,0,'Données projet'!$E$9+1,1))</f>
        <v>259.30247982593914</v>
      </c>
      <c r="T82" s="59">
        <f t="shared" si="88"/>
        <v>275.24740346220779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4.6349975086165083</v>
      </c>
      <c r="AB82" s="21">
        <f>EXP(-LN(2)/2)*AB81+(1-EXP(-LN(2)/2))/(LN(2)/2)*V82*Y82*VLOOKUP('Données projet'!$B$9,Paramètres!$A$1:$I$89,3,0)*0.475*44/12</f>
        <v>1.2087914319762791E-6</v>
      </c>
      <c r="AC82" s="22">
        <f t="shared" si="57"/>
        <v>4.6349987174079406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14.7</v>
      </c>
      <c r="AI82" s="13">
        <f>IF('Données projet'!$A$62&gt;35,AI81+AH82-AQ81,IF(A82&lt;'Données projet'!$A$62,$AF$205^A82,IF(A82='Données projet'!$A$62,'Données projet'!$B$62,AI81+AH82-AQ81)))</f>
        <v>738.30000000000075</v>
      </c>
      <c r="AJ82" s="13">
        <f>AI82*VLOOKUP('Données projet'!$B$10,Paramètres!$A$1:$I$89,3,0)*VLOOKUP('Données projet'!$B$10,Paramètres!$A$1:$I$89,5,0)</f>
        <v>355.12230000000039</v>
      </c>
      <c r="AK82" s="13">
        <f t="shared" si="89"/>
        <v>82.616352474552542</v>
      </c>
      <c r="AL82" s="20">
        <f t="shared" si="58"/>
        <v>762.39481972651311</v>
      </c>
      <c r="AM82" s="59">
        <f t="shared" si="59"/>
        <v>1055.7281530598464</v>
      </c>
      <c r="AN82" s="59">
        <f ca="1">AVERAGE(OFFSET($AM$3,0,0,'Données projet'!$E$10+1,1))-AVERAGE(OFFSET($H$3,0,0,'Données projet'!$E$10+1,1))</f>
        <v>297.21955661193238</v>
      </c>
      <c r="AO82" s="59">
        <f t="shared" si="90"/>
        <v>273.69206144662144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2.5532618551845458</v>
      </c>
      <c r="AV82" s="21">
        <f>EXP(-LN(2)/25)*AV81+(1-EXP(-LN(2)/25))/(LN(2)/25)*Calculateur!AQ82*Calculateur!AS82*VLOOKUP('Données projet'!$B$10,Paramètres!$A$1:$I$89,3,0)*0.475*44/12</f>
        <v>3.4501279149878412</v>
      </c>
      <c r="AW82" s="21">
        <f>EXP(-LN(2)/2)*AW81+(1-EXP(-LN(2)/2))/(LN(2)/2)*AQ82*AT82*VLOOKUP('Données projet'!$B$10,Paramètres!$A$1:$I$89,3,0)*0.475*44/12</f>
        <v>8.8140791509086446E-7</v>
      </c>
      <c r="AX82" s="21">
        <f t="shared" si="60"/>
        <v>6.0033906515803013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5.6843418860808015E-14</v>
      </c>
      <c r="BE82" s="13">
        <f>BD82*VLOOKUP('Données projet'!$B$11,Paramètres!$A$1:$I$89,3,0)*VLOOKUP('Données projet'!$B$11,Paramètres!$A$1:$I$89,5,0)</f>
        <v>3.6357050703372803E-14</v>
      </c>
      <c r="BF82" s="13">
        <f t="shared" si="91"/>
        <v>6.1445232567661395E-13</v>
      </c>
      <c r="BG82" s="20">
        <f t="shared" si="61"/>
        <v>1.1334929971951436E-12</v>
      </c>
      <c r="BH82" s="59">
        <f t="shared" si="62"/>
        <v>293.33333333333445</v>
      </c>
      <c r="BI82" s="59">
        <f ca="1">AVERAGE(OFFSET($BH$3,0,0,'Données projet'!$E$11+1,1))-AVERAGE(OFFSET($H$3,0,0,'Données projet'!$E$11+1,1))</f>
        <v>176.90404027101607</v>
      </c>
      <c r="BJ82" s="59">
        <f t="shared" si="92"/>
        <v>295.34177980841878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0.67217858088728644</v>
      </c>
      <c r="BQ82" s="21">
        <f>EXP(-LN(2)/25)*BQ81+(1-EXP(-LN(2)/25))/(LN(2)/25)*Calculateur!BL82*Calculateur!BN82*VLOOKUP('Données projet'!$B$11,Paramètres!$A$1:$I$89,3,0)*0.475*44/12</f>
        <v>2.1180460266505392</v>
      </c>
      <c r="BR82" s="21">
        <f>EXP(-LN(2)/2)*BR81+(1-EXP(-LN(2)/2))/(LN(2)/2)*BL82*BO82*VLOOKUP('Données projet'!$B$11,Paramètres!$A$1:$I$89,3,0)*0.475*44/12</f>
        <v>1.4204540640432215E-9</v>
      </c>
      <c r="BS82" s="22">
        <f t="shared" si="63"/>
        <v>2.7902246089582796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10.4</v>
      </c>
      <c r="BY82" s="12">
        <f>IF('Données projet'!$A$114&gt;35,BY81+BX82-CG81,IF(A82&lt;'Données projet'!$A$114,$BV$205^A82,IF(A82='Données projet'!$A$114,'Données projet'!$B$114,BY81+BX82-CG81)))</f>
        <v>640.59999999999945</v>
      </c>
      <c r="BZ82" s="13">
        <f>BY82*VLOOKUP('Données projet'!$B$12,Paramètres!$A$1:$I$89,3,0)*VLOOKUP('Données projet'!$B$12,Paramètres!$A$1:$I$89,5,0)</f>
        <v>358.0953999999997</v>
      </c>
      <c r="CA82" s="13">
        <f t="shared" si="93"/>
        <v>83.227213321573814</v>
      </c>
      <c r="CB82" s="20">
        <f t="shared" si="64"/>
        <v>768.63688486840704</v>
      </c>
      <c r="CC82" s="59">
        <f t="shared" si="65"/>
        <v>1061.9702182017404</v>
      </c>
      <c r="CD82" s="59">
        <f ca="1">AVERAGE(OFFSET($CC$3,0,0,'Données projet'!$E$12+1,1))-AVERAGE(OFFSET($H$3,0,0,'Données projet'!$E$12+1,1))</f>
        <v>326.31232746914907</v>
      </c>
      <c r="CE82" s="59">
        <f t="shared" si="94"/>
        <v>330.17137761430297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1.7309275189426783</v>
      </c>
      <c r="CL82" s="21">
        <f>EXP(-LN(2)/25)*CL81+(1-EXP(-LN(2)/25))/(LN(2)/25)*Calculateur!CG82*Calculateur!CI82*VLOOKUP('Données projet'!$B$12,Paramètres!$A$1:$I$89,3,0)*0.475*44/12</f>
        <v>7.7553063264649476</v>
      </c>
      <c r="CM82" s="21">
        <f>EXP(-LN(2)/2)*CM81+(1-EXP(-LN(2)/2))/(LN(2)/2)*CG82*CJ82*VLOOKUP('Données projet'!$B$12,Paramètres!$A$1:$I$89,3,0)*0.475*44/12</f>
        <v>1.3707035318066427E-6</v>
      </c>
      <c r="CN82" s="22">
        <f t="shared" si="66"/>
        <v>9.4862352161111563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7.4</v>
      </c>
      <c r="CT82" s="12">
        <f>IF('Données projet'!$A$140&gt;35,CT81+CS82-DB81,IF(A82&lt;'Données projet'!$A$140,$CQ$205^A82,IF(A82='Données projet'!$A$140,'Données projet'!$B$140,CT81+CS82-DB81)))</f>
        <v>425.6</v>
      </c>
      <c r="CU82" s="17">
        <f>CT82*VLOOKUP('Données projet'!$B$13,Paramètres!$A$1:$I$89,3,0)*VLOOKUP('Données projet'!$B$13,Paramètres!$A$1:$I$89,5,0)</f>
        <v>232.37760000000003</v>
      </c>
      <c r="CV82" s="13">
        <f t="shared" si="95"/>
        <v>56.7964661260323</v>
      </c>
      <c r="CW82" s="20">
        <f t="shared" si="67"/>
        <v>503.64483183617295</v>
      </c>
      <c r="CX82" s="59">
        <f t="shared" si="68"/>
        <v>796.97816516950627</v>
      </c>
      <c r="CY82" s="59">
        <f ca="1">AVERAGE(OFFSET($CX$3,0,0,'Données projet'!$E$13+1,1))-AVERAGE(OFFSET($H$3,0,0,'Données projet'!$E$13+1,1))</f>
        <v>210.04871822652808</v>
      </c>
      <c r="CZ82" s="59">
        <f t="shared" si="96"/>
        <v>250.17540614049324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2.7665564573375545</v>
      </c>
      <c r="DG82" s="21">
        <f>EXP(-LN(2)/25)*DG81+(1-EXP(-LN(2)/25))/(LN(2)/25)*Calculateur!DB82*Calculateur!DD82*VLOOKUP('Données projet'!$B$13,Paramètres!$A$1:$I$89,3,0)*0.475*44/12</f>
        <v>7.1532853603942659</v>
      </c>
      <c r="DH82" s="21">
        <f>EXP(-LN(2)/2)*DH81+(1-EXP(-LN(2)/2))/(LN(2)/2)*DB82*DE82*VLOOKUP('Données projet'!$B$13,Paramètres!$A$1:$I$89,3,0)*0.475*44/12</f>
        <v>9.0842848343382724E-7</v>
      </c>
      <c r="DI82" s="22">
        <f t="shared" si="69"/>
        <v>9.9198427261603026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3.9</v>
      </c>
      <c r="DO82" s="12">
        <f>IF('Données projet'!$A$166&gt;35,DO81+DN82-DW81,IF(A82&lt;'Données projet'!$A$166,$DL$205^A82,IF(A82='Données projet'!$A$166,'Données projet'!$B$166,DO81+DN82-DW81)))</f>
        <v>338.09999999999951</v>
      </c>
      <c r="DP82" s="17">
        <f>DO82*VLOOKUP('Données projet'!$B$14,Paramètres!$A$1:$I$89,3,0)*VLOOKUP('Données projet'!$B$14,Paramètres!$A$1:$I$89,5,0)</f>
        <v>247.89491999999962</v>
      </c>
      <c r="DQ82" s="13">
        <f t="shared" si="97"/>
        <v>60.134948051747941</v>
      </c>
      <c r="DR82" s="20">
        <f t="shared" si="70"/>
        <v>536.48535352346028</v>
      </c>
      <c r="DS82" s="59">
        <f t="shared" si="71"/>
        <v>829.81868685679365</v>
      </c>
      <c r="DT82" s="59">
        <f ca="1">AVERAGE(OFFSET($DS$3,0,0,'Données projet'!$E$14+1,1))-AVERAGE(OFFSET($H$3,0,0,'Données projet'!$E$14+1,1))</f>
        <v>234.09142087023463</v>
      </c>
      <c r="DU82" s="59">
        <f t="shared" si="98"/>
        <v>278.990685815294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0.92447265216256658</v>
      </c>
      <c r="EB82" s="21">
        <f>EXP(-LN(2)/25)*EB81+(1-EXP(-LN(2)/25))/(LN(2)/25)*Calculateur!DW82*Calculateur!DY82*VLOOKUP('Données projet'!$B$14,Paramètres!$A$1:$I$89,3,0)*0.475*44/12</f>
        <v>3.9433962995340859</v>
      </c>
      <c r="EC82" s="21">
        <f>EXP(-LN(2)/2)*EC81+(1-EXP(-LN(2)/2))/(LN(2)/2)*DW82*DZ82*VLOOKUP('Données projet'!$B$14,Paramètres!$A$1:$I$89,3,0)*0.475*44/12</f>
        <v>9.3370525774432201E-7</v>
      </c>
      <c r="ED82" s="22">
        <f t="shared" si="72"/>
        <v>4.8678698854019107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522</v>
      </c>
      <c r="L83" s="12">
        <f>VLOOKUP(A83,'Données projet'!$A$35:$I$55,9,0)</f>
        <v>8.1999999999999993</v>
      </c>
      <c r="M83" s="12">
        <f t="array" ref="M83">INDEX(L:L,MIN(IF(ISNUMBER(L83:L279),ROW(L83:L279),"")))</f>
        <v>8.1999999999999993</v>
      </c>
      <c r="N83" s="13">
        <f>IF('Données projet'!$A$36&gt;35,N82+M83-V82,IF(A83&lt;'Données projet'!$A$36,$K$205^A83,IF(A83='Données projet'!$A$36,'Données projet'!$B$36,N82+M83-V82)))</f>
        <v>522.00000000000011</v>
      </c>
      <c r="O83" s="13">
        <f>N83*VLOOKUP('Données projet'!$B$9,Paramètres!$A$1:$I$89,3,0)*VLOOKUP('Données projet'!$B$9,Paramètres!$A$1:$I$89,5,0)</f>
        <v>312.15600000000006</v>
      </c>
      <c r="P83" s="13">
        <f t="shared" si="87"/>
        <v>73.718907001002549</v>
      </c>
      <c r="Q83" s="20">
        <f t="shared" si="54"/>
        <v>672.06546302674622</v>
      </c>
      <c r="R83" s="59">
        <f t="shared" si="55"/>
        <v>965.39879636007959</v>
      </c>
      <c r="S83" s="59">
        <f ca="1">AVERAGE(OFFSET($R$3,0,0,'Données projet'!$E$9+1,1))-AVERAGE(OFFSET($H$3,0,0,'Données projet'!$E$9+1,1))</f>
        <v>259.30247982593914</v>
      </c>
      <c r="T83" s="59">
        <f t="shared" si="88"/>
        <v>275.24740346220779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522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4.5082532579994643</v>
      </c>
      <c r="AB83" s="21">
        <f>EXP(-LN(2)/2)*AB82+(1-EXP(-LN(2)/2))/(LN(2)/2)*V83*Y83*VLOOKUP('Données projet'!$B$9,Paramètres!$A$1:$I$89,3,0)*0.475*44/12</f>
        <v>8.5474461859062423E-7</v>
      </c>
      <c r="AC83" s="22">
        <f t="shared" si="57"/>
        <v>4.5082541127440825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753</v>
      </c>
      <c r="AG83" s="12">
        <f>VLOOKUP(A83,'Données projet'!$A$61:$I$81,9,0)</f>
        <v>14.7</v>
      </c>
      <c r="AH83" s="12">
        <f t="array" ref="AH83">INDEX(AG:AG,MIN(IF(ISNUMBER(AG83:AG279),ROW(AG83:AG279),"")))</f>
        <v>14.7</v>
      </c>
      <c r="AI83" s="13">
        <f>IF('Données projet'!$A$62&gt;35,AI82+AH83-AQ82,IF(A83&lt;'Données projet'!$A$62,$AF$205^A83,IF(A83='Données projet'!$A$62,'Données projet'!$B$62,AI82+AH83-AQ82)))</f>
        <v>753.0000000000008</v>
      </c>
      <c r="AJ83" s="13">
        <f>AI83*VLOOKUP('Données projet'!$B$10,Paramètres!$A$1:$I$89,3,0)*VLOOKUP('Données projet'!$B$10,Paramètres!$A$1:$I$89,5,0)</f>
        <v>362.19300000000038</v>
      </c>
      <c r="AK83" s="13">
        <f t="shared" si="89"/>
        <v>84.068150942182896</v>
      </c>
      <c r="AL83" s="20">
        <f t="shared" si="58"/>
        <v>777.23817122430262</v>
      </c>
      <c r="AM83" s="59">
        <f t="shared" si="59"/>
        <v>1070.571504557636</v>
      </c>
      <c r="AN83" s="59">
        <f ca="1">AVERAGE(OFFSET($AM$3,0,0,'Données projet'!$E$10+1,1))-AVERAGE(OFFSET($H$3,0,0,'Données projet'!$E$10+1,1))</f>
        <v>297.21955661193238</v>
      </c>
      <c r="AO83" s="59">
        <f t="shared" si="90"/>
        <v>273.69206144662144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753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2.5031939475403342</v>
      </c>
      <c r="AV83" s="21">
        <f>EXP(-LN(2)/25)*AV82+(1-EXP(-LN(2)/25))/(LN(2)/25)*Calculateur!AQ83*Calculateur!AS83*VLOOKUP('Données projet'!$B$10,Paramètres!$A$1:$I$89,3,0)*0.475*44/12</f>
        <v>3.3557839857181571</v>
      </c>
      <c r="AW83" s="21">
        <f>EXP(-LN(2)/2)*AW82+(1-EXP(-LN(2)/2))/(LN(2)/2)*AQ83*AT83*VLOOKUP('Données projet'!$B$10,Paramètres!$A$1:$I$89,3,0)*0.475*44/12</f>
        <v>6.2324951375224695E-7</v>
      </c>
      <c r="AX83" s="21">
        <f t="shared" si="60"/>
        <v>5.8589785565080046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5.6843418860808015E-14</v>
      </c>
      <c r="BE83" s="13">
        <f>BD83*VLOOKUP('Données projet'!$B$11,Paramètres!$A$1:$I$89,3,0)*VLOOKUP('Données projet'!$B$11,Paramètres!$A$1:$I$89,5,0)</f>
        <v>3.6357050703372803E-14</v>
      </c>
      <c r="BF83" s="13">
        <f t="shared" si="91"/>
        <v>6.1445232567661395E-13</v>
      </c>
      <c r="BG83" s="20">
        <f t="shared" si="61"/>
        <v>1.1334929971951436E-12</v>
      </c>
      <c r="BH83" s="59">
        <f t="shared" si="62"/>
        <v>293.33333333333445</v>
      </c>
      <c r="BI83" s="59">
        <f ca="1">AVERAGE(OFFSET($BH$3,0,0,'Données projet'!$E$11+1,1))-AVERAGE(OFFSET($H$3,0,0,'Données projet'!$E$11+1,1))</f>
        <v>176.90404027101607</v>
      </c>
      <c r="BJ83" s="59">
        <f t="shared" si="92"/>
        <v>295.34177980841878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0.65899756890453809</v>
      </c>
      <c r="BQ83" s="21">
        <f>EXP(-LN(2)/25)*BQ82+(1-EXP(-LN(2)/25))/(LN(2)/25)*Calculateur!BL83*Calculateur!BN83*VLOOKUP('Données projet'!$B$11,Paramètres!$A$1:$I$89,3,0)*0.475*44/12</f>
        <v>2.0601279466685805</v>
      </c>
      <c r="BR83" s="21">
        <f>EXP(-LN(2)/2)*BR82+(1-EXP(-LN(2)/2))/(LN(2)/2)*BL83*BO83*VLOOKUP('Données projet'!$B$11,Paramètres!$A$1:$I$89,3,0)*0.475*44/12</f>
        <v>1.0044127010489524E-9</v>
      </c>
      <c r="BS83" s="22">
        <f t="shared" si="63"/>
        <v>2.719125516577531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651</v>
      </c>
      <c r="BW83" s="12">
        <f>VLOOKUP(A83,'Données projet'!$A$113:$I$133,9,0)</f>
        <v>10.4</v>
      </c>
      <c r="BX83" s="12">
        <f t="array" ref="BX83">INDEX(BW:BW,MIN(IF(ISNUMBER(BW83:BW279),ROW(BW83:BW279),"")))</f>
        <v>10.4</v>
      </c>
      <c r="BY83" s="12">
        <f>IF('Données projet'!$A$114&gt;35,BY82+BX83-CG82,IF(A83&lt;'Données projet'!$A$114,$BV$205^A83,IF(A83='Données projet'!$A$114,'Données projet'!$B$114,BY82+BX83-CG82)))</f>
        <v>650.99999999999943</v>
      </c>
      <c r="BZ83" s="13">
        <f>BY83*VLOOKUP('Données projet'!$B$12,Paramètres!$A$1:$I$89,3,0)*VLOOKUP('Données projet'!$B$12,Paramètres!$A$1:$I$89,5,0)</f>
        <v>363.90899999999971</v>
      </c>
      <c r="CA83" s="13">
        <f t="shared" si="93"/>
        <v>84.4199906692578</v>
      </c>
      <c r="CB83" s="20">
        <f t="shared" si="64"/>
        <v>780.83965874895682</v>
      </c>
      <c r="CC83" s="59">
        <f t="shared" si="65"/>
        <v>1074.1729920822902</v>
      </c>
      <c r="CD83" s="59">
        <f ca="1">AVERAGE(OFFSET($CC$3,0,0,'Données projet'!$E$12+1,1))-AVERAGE(OFFSET($H$3,0,0,'Données projet'!$E$12+1,1))</f>
        <v>326.31232746914907</v>
      </c>
      <c r="CE83" s="59">
        <f t="shared" si="94"/>
        <v>330.17137761430297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651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1.6969850860577511</v>
      </c>
      <c r="CL83" s="21">
        <f>EXP(-LN(2)/25)*CL82+(1-EXP(-LN(2)/25))/(LN(2)/25)*Calculateur!CG83*Calculateur!CI83*VLOOKUP('Données projet'!$B$12,Paramètres!$A$1:$I$89,3,0)*0.475*44/12</f>
        <v>7.5432370671339291</v>
      </c>
      <c r="CM83" s="21">
        <f>EXP(-LN(2)/2)*CM82+(1-EXP(-LN(2)/2))/(LN(2)/2)*CG83*CJ83*VLOOKUP('Données projet'!$B$12,Paramètres!$A$1:$I$89,3,0)*0.475*44/12</f>
        <v>9.6923376233682757E-7</v>
      </c>
      <c r="CN83" s="22">
        <f t="shared" si="66"/>
        <v>9.2402231224254425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433</v>
      </c>
      <c r="CR83" s="12">
        <f>VLOOKUP(A83,'Données projet'!$A$139:$I$159,9,0)</f>
        <v>7.4</v>
      </c>
      <c r="CS83" s="12">
        <f t="array" ref="CS83">INDEX(CR:CR,MIN(IF(ISNUMBER(CR83:CR279),ROW(CR83:CR279),"")))</f>
        <v>7.4</v>
      </c>
      <c r="CT83" s="12">
        <f>IF('Données projet'!$A$140&gt;35,CT82+CS83-DB82,IF(A83&lt;'Données projet'!$A$140,$CQ$205^A83,IF(A83='Données projet'!$A$140,'Données projet'!$B$140,CT82+CS83-DB82)))</f>
        <v>433</v>
      </c>
      <c r="CU83" s="17">
        <f>CT83*VLOOKUP('Données projet'!$B$13,Paramètres!$A$1:$I$89,3,0)*VLOOKUP('Données projet'!$B$13,Paramètres!$A$1:$I$89,5,0)</f>
        <v>236.41799999999998</v>
      </c>
      <c r="CV83" s="13">
        <f t="shared" si="95"/>
        <v>57.668172541352746</v>
      </c>
      <c r="CW83" s="20">
        <f t="shared" si="67"/>
        <v>512.20008384285597</v>
      </c>
      <c r="CX83" s="59">
        <f t="shared" si="68"/>
        <v>805.53341717618923</v>
      </c>
      <c r="CY83" s="59">
        <f ca="1">AVERAGE(OFFSET($CX$3,0,0,'Données projet'!$E$13+1,1))-AVERAGE(OFFSET($H$3,0,0,'Données projet'!$E$13+1,1))</f>
        <v>210.04871822652808</v>
      </c>
      <c r="CZ83" s="59">
        <f t="shared" si="96"/>
        <v>250.17540614049324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433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2.712305972641984</v>
      </c>
      <c r="DG83" s="21">
        <f>EXP(-LN(2)/25)*DG82+(1-EXP(-LN(2)/25))/(LN(2)/25)*Calculateur!DB83*Calculateur!DD83*VLOOKUP('Données projet'!$B$13,Paramètres!$A$1:$I$89,3,0)*0.475*44/12</f>
        <v>6.9576783960393564</v>
      </c>
      <c r="DH83" s="21">
        <f>EXP(-LN(2)/2)*DH82+(1-EXP(-LN(2)/2))/(LN(2)/2)*DB83*DE83*VLOOKUP('Données projet'!$B$13,Paramètres!$A$1:$I$89,3,0)*0.475*44/12</f>
        <v>6.4235594085907048E-7</v>
      </c>
      <c r="DI83" s="22">
        <f t="shared" si="69"/>
        <v>9.6699850110372818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342</v>
      </c>
      <c r="DM83" s="12">
        <f>VLOOKUP(A83,'Données projet'!$A$165:$I$185,9,0)</f>
        <v>3.9</v>
      </c>
      <c r="DN83" s="12">
        <f t="array" ref="DN83">INDEX(DM:DM,MIN(IF(ISNUMBER(DM83:DM279),ROW(DM83:DM279),"")))</f>
        <v>3.9</v>
      </c>
      <c r="DO83" s="12">
        <f>IF('Données projet'!$A$166&gt;35,DO82+DN83-DW82,IF(A83&lt;'Données projet'!$A$166,$DL$205^A83,IF(A83='Données projet'!$A$166,'Données projet'!$B$166,DO82+DN83-DW82)))</f>
        <v>341.99999999999949</v>
      </c>
      <c r="DP83" s="17">
        <f>DO83*VLOOKUP('Données projet'!$B$14,Paramètres!$A$1:$I$89,3,0)*VLOOKUP('Données projet'!$B$14,Paramètres!$A$1:$I$89,5,0)</f>
        <v>250.75439999999963</v>
      </c>
      <c r="DQ83" s="13">
        <f t="shared" si="97"/>
        <v>60.747455918990774</v>
      </c>
      <c r="DR83" s="20">
        <f t="shared" si="70"/>
        <v>542.53239905890825</v>
      </c>
      <c r="DS83" s="59">
        <f t="shared" si="71"/>
        <v>835.86573239224163</v>
      </c>
      <c r="DT83" s="59">
        <f ca="1">AVERAGE(OFFSET($DS$3,0,0,'Données projet'!$E$14+1,1))-AVERAGE(OFFSET($H$3,0,0,'Données projet'!$E$14+1,1))</f>
        <v>234.09142087023463</v>
      </c>
      <c r="DU83" s="59">
        <f t="shared" si="98"/>
        <v>278.990685815294</v>
      </c>
      <c r="DV83" s="15">
        <f>IF(ISNA(VLOOKUP(A83,'Données projet'!$A$165:$I$185,3,0)),0,VLOOKUP(A83,'Données projet'!$A$165:$I$185,3,0))</f>
        <v>8</v>
      </c>
      <c r="DW83" s="15">
        <f>IF(ISNA(VLOOKUP(A83,'Données projet'!$A$165:$I$185,4,0)),0,VLOOKUP(A83,'Données projet'!$A$165:$I$185,4,0))</f>
        <v>342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0.90634430732629867</v>
      </c>
      <c r="EB83" s="21">
        <f>EXP(-LN(2)/25)*EB82+(1-EXP(-LN(2)/25))/(LN(2)/25)*Calculateur!DW83*Calculateur!DY83*VLOOKUP('Données projet'!$B$14,Paramètres!$A$1:$I$89,3,0)*0.475*44/12</f>
        <v>3.8355639203491276</v>
      </c>
      <c r="EC83" s="21">
        <f>EXP(-LN(2)/2)*EC82+(1-EXP(-LN(2)/2))/(LN(2)/2)*DW83*DZ83*VLOOKUP('Données projet'!$B$14,Paramètres!$A$1:$I$89,3,0)*0.475*44/12</f>
        <v>6.6022931938054331E-7</v>
      </c>
      <c r="ED83" s="22">
        <f t="shared" si="72"/>
        <v>4.7419088879047457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259.30247982593914</v>
      </c>
      <c r="T84" s="59">
        <f t="shared" si="88"/>
        <v>275.24740346220779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4.3849748355807341</v>
      </c>
      <c r="AB84" s="21">
        <f>EXP(-LN(2)/2)*AB83+(1-EXP(-LN(2)/2))/(LN(2)/2)*V84*Y84*VLOOKUP('Données projet'!$B$9,Paramètres!$A$1:$I$89,3,0)*0.475*44/12</f>
        <v>6.0439571598813954E-7</v>
      </c>
      <c r="AC84" s="22">
        <f t="shared" si="57"/>
        <v>4.3849754399764498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7.9580786405131221E-13</v>
      </c>
      <c r="AJ84" s="13">
        <f>AI84*VLOOKUP('Données projet'!$B$10,Paramètres!$A$1:$I$89,3,0)*VLOOKUP('Données projet'!$B$10,Paramètres!$A$1:$I$89,5,0)</f>
        <v>3.8278358260868117E-13</v>
      </c>
      <c r="AK84" s="13">
        <f t="shared" si="89"/>
        <v>4.9186917125089072E-12</v>
      </c>
      <c r="AL84" s="20">
        <f t="shared" si="58"/>
        <v>9.2334028056631319E-12</v>
      </c>
      <c r="AM84" s="59">
        <f t="shared" si="59"/>
        <v>293.33333333334252</v>
      </c>
      <c r="AN84" s="59">
        <f ca="1">AVERAGE(OFFSET($AM$3,0,0,'Données projet'!$E$10+1,1))-AVERAGE(OFFSET($H$3,0,0,'Données projet'!$E$10+1,1))</f>
        <v>297.21955661193238</v>
      </c>
      <c r="AO84" s="59">
        <f t="shared" si="90"/>
        <v>273.69206144662144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2.4541078410266177</v>
      </c>
      <c r="AV84" s="21">
        <f>EXP(-LN(2)/25)*AV83+(1-EXP(-LN(2)/25))/(LN(2)/25)*Calculateur!AQ84*Calculateur!AS84*VLOOKUP('Données projet'!$B$10,Paramètres!$A$1:$I$89,3,0)*0.475*44/12</f>
        <v>3.2640198961556841</v>
      </c>
      <c r="AW84" s="21">
        <f>EXP(-LN(2)/2)*AW83+(1-EXP(-LN(2)/2))/(LN(2)/2)*AQ84*AT84*VLOOKUP('Données projet'!$B$10,Paramètres!$A$1:$I$89,3,0)*0.475*44/12</f>
        <v>4.4070395754543223E-7</v>
      </c>
      <c r="AX84" s="21">
        <f t="shared" si="60"/>
        <v>5.7181281778862596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3.6357050703372803E-14</v>
      </c>
      <c r="BF84" s="13">
        <f t="shared" si="91"/>
        <v>6.1445232567661395E-13</v>
      </c>
      <c r="BG84" s="20">
        <f t="shared" si="61"/>
        <v>1.1334929971951436E-12</v>
      </c>
      <c r="BH84" s="59">
        <f t="shared" si="62"/>
        <v>293.33333333333445</v>
      </c>
      <c r="BI84" s="59">
        <f ca="1">AVERAGE(OFFSET($BH$3,0,0,'Données projet'!$E$11+1,1))-AVERAGE(OFFSET($H$3,0,0,'Données projet'!$E$11+1,1))</f>
        <v>176.90404027101607</v>
      </c>
      <c r="BJ84" s="59">
        <f t="shared" si="92"/>
        <v>295.34177980841878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0.64607502852714793</v>
      </c>
      <c r="BQ84" s="21">
        <f>EXP(-LN(2)/25)*BQ83+(1-EXP(-LN(2)/25))/(LN(2)/25)*Calculateur!BL84*Calculateur!BN84*VLOOKUP('Données projet'!$B$11,Paramètres!$A$1:$I$89,3,0)*0.475*44/12</f>
        <v>2.003793639629508</v>
      </c>
      <c r="BR84" s="21">
        <f>EXP(-LN(2)/2)*BR83+(1-EXP(-LN(2)/2))/(LN(2)/2)*BL84*BO84*VLOOKUP('Données projet'!$B$11,Paramètres!$A$1:$I$89,3,0)*0.475*44/12</f>
        <v>7.1022703202161074E-10</v>
      </c>
      <c r="BS84" s="22">
        <f t="shared" si="63"/>
        <v>2.6498686688668829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-5.6843418860808015E-13</v>
      </c>
      <c r="BZ84" s="13">
        <f>BY84*VLOOKUP('Données projet'!$B$12,Paramètres!$A$1:$I$89,3,0)*VLOOKUP('Données projet'!$B$12,Paramètres!$A$1:$I$89,5,0)</f>
        <v>-3.177547114319168E-13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326.31232746914907</v>
      </c>
      <c r="CE84" s="59">
        <f t="shared" si="94"/>
        <v>330.17137761430297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1.6637082435788575</v>
      </c>
      <c r="CL84" s="21">
        <f>EXP(-LN(2)/25)*CL83+(1-EXP(-LN(2)/25))/(LN(2)/25)*Calculateur!CG84*Calculateur!CI84*VLOOKUP('Données projet'!$B$12,Paramètres!$A$1:$I$89,3,0)*0.475*44/12</f>
        <v>7.336966852851555</v>
      </c>
      <c r="CM84" s="21">
        <f>EXP(-LN(2)/2)*CM83+(1-EXP(-LN(2)/2))/(LN(2)/2)*CG84*CJ84*VLOOKUP('Données projet'!$B$12,Paramètres!$A$1:$I$89,3,0)*0.475*44/12</f>
        <v>6.8535176590332133E-7</v>
      </c>
      <c r="CN84" s="22">
        <f t="shared" si="66"/>
        <v>9.0006757817821796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210.04871822652808</v>
      </c>
      <c r="CZ84" s="59">
        <f t="shared" si="96"/>
        <v>250.17540614049324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2.6591193068617653</v>
      </c>
      <c r="DG84" s="21">
        <f>EXP(-LN(2)/25)*DG83+(1-EXP(-LN(2)/25))/(LN(2)/25)*Calculateur!DB84*Calculateur!DD84*VLOOKUP('Données projet'!$B$13,Paramètres!$A$1:$I$89,3,0)*0.475*44/12</f>
        <v>6.7674203144112557</v>
      </c>
      <c r="DH84" s="21">
        <f>EXP(-LN(2)/2)*DH83+(1-EXP(-LN(2)/2))/(LN(2)/2)*DB84*DE84*VLOOKUP('Données projet'!$B$13,Paramètres!$A$1:$I$89,3,0)*0.475*44/12</f>
        <v>4.5421424171691362E-7</v>
      </c>
      <c r="DI84" s="22">
        <f t="shared" si="69"/>
        <v>9.4265400754872619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-5.1159076974727213E-13</v>
      </c>
      <c r="DP84" s="17">
        <f>DO84*VLOOKUP('Données projet'!$B$14,Paramètres!$A$1:$I$89,3,0)*VLOOKUP('Données projet'!$B$14,Paramètres!$A$1:$I$89,5,0)</f>
        <v>-3.7509835237869992E-13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234.09142087023463</v>
      </c>
      <c r="DU84" s="59">
        <f t="shared" si="98"/>
        <v>278.990685815294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0.8885714482750714</v>
      </c>
      <c r="EB84" s="21">
        <f>EXP(-LN(2)/25)*EB83+(1-EXP(-LN(2)/25))/(LN(2)/25)*Calculateur!DW84*Calculateur!DY84*VLOOKUP('Données projet'!$B$14,Paramètres!$A$1:$I$89,3,0)*0.475*44/12</f>
        <v>3.7306802232436405</v>
      </c>
      <c r="EC84" s="21">
        <f>EXP(-LN(2)/2)*EC83+(1-EXP(-LN(2)/2))/(LN(2)/2)*DW84*DZ84*VLOOKUP('Données projet'!$B$14,Paramètres!$A$1:$I$89,3,0)*0.475*44/12</f>
        <v>4.6685262887216106E-7</v>
      </c>
      <c r="ED84" s="22">
        <f t="shared" si="72"/>
        <v>4.6192521383713405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259.30247982593914</v>
      </c>
      <c r="T85" s="59">
        <f t="shared" si="88"/>
        <v>275.24740346220779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4.2650674681059746</v>
      </c>
      <c r="AB85" s="21">
        <f>EXP(-LN(2)/2)*AB84+(1-EXP(-LN(2)/2))/(LN(2)/2)*V85*Y85*VLOOKUP('Données projet'!$B$9,Paramètres!$A$1:$I$89,3,0)*0.475*44/12</f>
        <v>4.2737230929531211E-7</v>
      </c>
      <c r="AC85" s="22">
        <f t="shared" si="57"/>
        <v>4.2650678954782837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7.9580786405131221E-13</v>
      </c>
      <c r="AJ85" s="13">
        <f>AI85*VLOOKUP('Données projet'!$B$10,Paramètres!$A$1:$I$89,3,0)*VLOOKUP('Données projet'!$B$10,Paramètres!$A$1:$I$89,5,0)</f>
        <v>3.8278358260868117E-13</v>
      </c>
      <c r="AK85" s="13">
        <f t="shared" si="89"/>
        <v>4.9186917125089072E-12</v>
      </c>
      <c r="AL85" s="20">
        <f t="shared" si="58"/>
        <v>9.2334028056631319E-12</v>
      </c>
      <c r="AM85" s="59">
        <f t="shared" si="59"/>
        <v>293.33333333334252</v>
      </c>
      <c r="AN85" s="59">
        <f ca="1">AVERAGE(OFFSET($AM$3,0,0,'Données projet'!$E$10+1,1))-AVERAGE(OFFSET($H$3,0,0,'Données projet'!$E$10+1,1))</f>
        <v>297.21955661193238</v>
      </c>
      <c r="AO85" s="59">
        <f t="shared" si="90"/>
        <v>273.69206144662144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2.4059842831220664</v>
      </c>
      <c r="AV85" s="21">
        <f>EXP(-LN(2)/25)*AV84+(1-EXP(-LN(2)/25))/(LN(2)/25)*Calculateur!AQ85*Calculateur!AS85*VLOOKUP('Données projet'!$B$10,Paramètres!$A$1:$I$89,3,0)*0.475*44/12</f>
        <v>3.1747651004479605</v>
      </c>
      <c r="AW85" s="21">
        <f>EXP(-LN(2)/2)*AW84+(1-EXP(-LN(2)/2))/(LN(2)/2)*AQ85*AT85*VLOOKUP('Données projet'!$B$10,Paramètres!$A$1:$I$89,3,0)*0.475*44/12</f>
        <v>3.1162475687612347E-7</v>
      </c>
      <c r="AX85" s="21">
        <f t="shared" si="60"/>
        <v>5.5807496951947835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3.6357050703372803E-14</v>
      </c>
      <c r="BF85" s="13">
        <f t="shared" si="91"/>
        <v>6.1445232567661395E-13</v>
      </c>
      <c r="BG85" s="20">
        <f t="shared" si="61"/>
        <v>1.1334929971951436E-12</v>
      </c>
      <c r="BH85" s="59">
        <f t="shared" si="62"/>
        <v>293.33333333333445</v>
      </c>
      <c r="BI85" s="59">
        <f ca="1">AVERAGE(OFFSET($BH$3,0,0,'Données projet'!$E$11+1,1))-AVERAGE(OFFSET($H$3,0,0,'Données projet'!$E$11+1,1))</f>
        <v>176.90404027101607</v>
      </c>
      <c r="BJ85" s="59">
        <f t="shared" si="92"/>
        <v>295.34177980841878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0.63340589128458713</v>
      </c>
      <c r="BQ85" s="21">
        <f>EXP(-LN(2)/25)*BQ84+(1-EXP(-LN(2)/25))/(LN(2)/25)*Calculateur!BL85*Calculateur!BN85*VLOOKUP('Données projet'!$B$11,Paramètres!$A$1:$I$89,3,0)*0.475*44/12</f>
        <v>1.9489997971789113</v>
      </c>
      <c r="BR85" s="21">
        <f>EXP(-LN(2)/2)*BR84+(1-EXP(-LN(2)/2))/(LN(2)/2)*BL85*BO85*VLOOKUP('Données projet'!$B$11,Paramètres!$A$1:$I$89,3,0)*0.475*44/12</f>
        <v>5.0220635052447618E-10</v>
      </c>
      <c r="BS85" s="22">
        <f t="shared" si="63"/>
        <v>2.5824056889657045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-5.6843418860808015E-13</v>
      </c>
      <c r="BZ85" s="13">
        <f>BY85*VLOOKUP('Données projet'!$B$12,Paramètres!$A$1:$I$89,3,0)*VLOOKUP('Données projet'!$B$12,Paramètres!$A$1:$I$89,5,0)</f>
        <v>-3.177547114319168E-13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326.31232746914907</v>
      </c>
      <c r="CE85" s="59">
        <f t="shared" si="94"/>
        <v>330.17137761430297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1.6310839396841053</v>
      </c>
      <c r="CL85" s="21">
        <f>EXP(-LN(2)/25)*CL84+(1-EXP(-LN(2)/25))/(LN(2)/25)*Calculateur!CG85*Calculateur!CI85*VLOOKUP('Données projet'!$B$12,Paramètres!$A$1:$I$89,3,0)*0.475*44/12</f>
        <v>7.1363371084260114</v>
      </c>
      <c r="CM85" s="21">
        <f>EXP(-LN(2)/2)*CM84+(1-EXP(-LN(2)/2))/(LN(2)/2)*CG85*CJ85*VLOOKUP('Données projet'!$B$12,Paramètres!$A$1:$I$89,3,0)*0.475*44/12</f>
        <v>4.8461688116841378E-7</v>
      </c>
      <c r="CN85" s="22">
        <f t="shared" si="66"/>
        <v>8.7674215327269991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210.04871822652808</v>
      </c>
      <c r="CZ85" s="59">
        <f t="shared" si="96"/>
        <v>250.17540614049324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2.6069755991568337</v>
      </c>
      <c r="DG85" s="21">
        <f>EXP(-LN(2)/25)*DG84+(1-EXP(-LN(2)/25))/(LN(2)/25)*Calculateur!DB85*Calculateur!DD85*VLOOKUP('Données projet'!$B$13,Paramètres!$A$1:$I$89,3,0)*0.475*44/12</f>
        <v>6.5823648500305127</v>
      </c>
      <c r="DH85" s="21">
        <f>EXP(-LN(2)/2)*DH84+(1-EXP(-LN(2)/2))/(LN(2)/2)*DB85*DE85*VLOOKUP('Données projet'!$B$13,Paramètres!$A$1:$I$89,3,0)*0.475*44/12</f>
        <v>3.2117797042953524E-7</v>
      </c>
      <c r="DI85" s="22">
        <f t="shared" si="69"/>
        <v>9.189340770365316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-5.1159076974727213E-13</v>
      </c>
      <c r="DP85" s="17">
        <f>DO85*VLOOKUP('Données projet'!$B$14,Paramètres!$A$1:$I$89,3,0)*VLOOKUP('Données projet'!$B$14,Paramètres!$A$1:$I$89,5,0)</f>
        <v>-3.7509835237869992E-13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234.09142087023463</v>
      </c>
      <c r="DU85" s="59">
        <f t="shared" si="98"/>
        <v>278.990685815294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0.87114710414946506</v>
      </c>
      <c r="EB85" s="21">
        <f>EXP(-LN(2)/25)*EB84+(1-EXP(-LN(2)/25))/(LN(2)/25)*Calculateur!DW85*Calculateur!DY85*VLOOKUP('Données projet'!$B$14,Paramètres!$A$1:$I$89,3,0)*0.475*44/12</f>
        <v>3.6286645763510967</v>
      </c>
      <c r="EC85" s="21">
        <f>EXP(-LN(2)/2)*EC84+(1-EXP(-LN(2)/2))/(LN(2)/2)*DW85*DZ85*VLOOKUP('Données projet'!$B$14,Paramètres!$A$1:$I$89,3,0)*0.475*44/12</f>
        <v>3.3011465969027171E-7</v>
      </c>
      <c r="ED85" s="22">
        <f t="shared" si="72"/>
        <v>4.499812010615222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259.30247982593914</v>
      </c>
      <c r="T86" s="59">
        <f t="shared" si="88"/>
        <v>275.24740346220779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4.1484389739004666</v>
      </c>
      <c r="AB86" s="21">
        <f>EXP(-LN(2)/2)*AB85+(1-EXP(-LN(2)/2))/(LN(2)/2)*V86*Y86*VLOOKUP('Données projet'!$B$9,Paramètres!$A$1:$I$89,3,0)*0.475*44/12</f>
        <v>3.0219785799406977E-7</v>
      </c>
      <c r="AC86" s="22">
        <f t="shared" si="57"/>
        <v>4.1484392760983244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7.9580786405131221E-13</v>
      </c>
      <c r="AJ86" s="13">
        <f>AI86*VLOOKUP('Données projet'!$B$10,Paramètres!$A$1:$I$89,3,0)*VLOOKUP('Données projet'!$B$10,Paramètres!$A$1:$I$89,5,0)</f>
        <v>3.8278358260868117E-13</v>
      </c>
      <c r="AK86" s="13">
        <f t="shared" si="89"/>
        <v>4.9186917125089072E-12</v>
      </c>
      <c r="AL86" s="20">
        <f t="shared" si="58"/>
        <v>9.2334028056631319E-12</v>
      </c>
      <c r="AM86" s="59">
        <f t="shared" si="59"/>
        <v>293.33333333334252</v>
      </c>
      <c r="AN86" s="59">
        <f ca="1">AVERAGE(OFFSET($AM$3,0,0,'Données projet'!$E$10+1,1))-AVERAGE(OFFSET($H$3,0,0,'Données projet'!$E$10+1,1))</f>
        <v>297.21955661193238</v>
      </c>
      <c r="AO86" s="59">
        <f t="shared" si="90"/>
        <v>273.69206144662144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2.3588043988355514</v>
      </c>
      <c r="AV86" s="21">
        <f>EXP(-LN(2)/25)*AV85+(1-EXP(-LN(2)/25))/(LN(2)/25)*Calculateur!AQ86*Calculateur!AS86*VLOOKUP('Données projet'!$B$10,Paramètres!$A$1:$I$89,3,0)*0.475*44/12</f>
        <v>3.0879509818225706</v>
      </c>
      <c r="AW86" s="21">
        <f>EXP(-LN(2)/2)*AW85+(1-EXP(-LN(2)/2))/(LN(2)/2)*AQ86*AT86*VLOOKUP('Données projet'!$B$10,Paramètres!$A$1:$I$89,3,0)*0.475*44/12</f>
        <v>2.2035197877271612E-7</v>
      </c>
      <c r="AX86" s="21">
        <f t="shared" si="60"/>
        <v>5.4467556010100999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3.6357050703372803E-14</v>
      </c>
      <c r="BF86" s="13">
        <f t="shared" si="91"/>
        <v>6.1445232567661395E-13</v>
      </c>
      <c r="BG86" s="20">
        <f t="shared" si="61"/>
        <v>1.1334929971951436E-12</v>
      </c>
      <c r="BH86" s="59">
        <f t="shared" si="62"/>
        <v>293.33333333333445</v>
      </c>
      <c r="BI86" s="59">
        <f ca="1">AVERAGE(OFFSET($BH$3,0,0,'Données projet'!$E$11+1,1))-AVERAGE(OFFSET($H$3,0,0,'Données projet'!$E$11+1,1))</f>
        <v>176.90404027101607</v>
      </c>
      <c r="BJ86" s="59">
        <f t="shared" si="92"/>
        <v>295.34177980841878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0.62098518809594216</v>
      </c>
      <c r="BQ86" s="21">
        <f>EXP(-LN(2)/25)*BQ85+(1-EXP(-LN(2)/25))/(LN(2)/25)*Calculateur!BL86*Calculateur!BN86*VLOOKUP('Données projet'!$B$11,Paramètres!$A$1:$I$89,3,0)*0.475*44/12</f>
        <v>1.895704295231609</v>
      </c>
      <c r="BR86" s="21">
        <f>EXP(-LN(2)/2)*BR85+(1-EXP(-LN(2)/2))/(LN(2)/2)*BL86*BO86*VLOOKUP('Données projet'!$B$11,Paramètres!$A$1:$I$89,3,0)*0.475*44/12</f>
        <v>3.5511351601080537E-10</v>
      </c>
      <c r="BS86" s="22">
        <f t="shared" si="63"/>
        <v>2.516689483682665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-5.6843418860808015E-13</v>
      </c>
      <c r="BZ86" s="13">
        <f>BY86*VLOOKUP('Données projet'!$B$12,Paramètres!$A$1:$I$89,3,0)*VLOOKUP('Données projet'!$B$12,Paramètres!$A$1:$I$89,5,0)</f>
        <v>-3.177547114319168E-13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326.31232746914907</v>
      </c>
      <c r="CE86" s="59">
        <f t="shared" si="94"/>
        <v>330.17137761430297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1.5990993784898686</v>
      </c>
      <c r="CL86" s="21">
        <f>EXP(-LN(2)/25)*CL85+(1-EXP(-LN(2)/25))/(LN(2)/25)*Calculateur!CG86*Calculateur!CI86*VLOOKUP('Données projet'!$B$12,Paramètres!$A$1:$I$89,3,0)*0.475*44/12</f>
        <v>6.9411935949124439</v>
      </c>
      <c r="CM86" s="21">
        <f>EXP(-LN(2)/2)*CM85+(1-EXP(-LN(2)/2))/(LN(2)/2)*CG86*CJ86*VLOOKUP('Données projet'!$B$12,Paramètres!$A$1:$I$89,3,0)*0.475*44/12</f>
        <v>3.4267588295166067E-7</v>
      </c>
      <c r="CN86" s="22">
        <f t="shared" si="66"/>
        <v>8.5402933160781949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210.04871822652808</v>
      </c>
      <c r="CZ86" s="59">
        <f t="shared" si="96"/>
        <v>250.17540614049324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2.5558543977554744</v>
      </c>
      <c r="DG86" s="21">
        <f>EXP(-LN(2)/25)*DG85+(1-EXP(-LN(2)/25))/(LN(2)/25)*Calculateur!DB86*Calculateur!DD86*VLOOKUP('Données projet'!$B$13,Paramètres!$A$1:$I$89,3,0)*0.475*44/12</f>
        <v>6.4023697370549053</v>
      </c>
      <c r="DH86" s="21">
        <f>EXP(-LN(2)/2)*DH85+(1-EXP(-LN(2)/2))/(LN(2)/2)*DB86*DE86*VLOOKUP('Données projet'!$B$13,Paramètres!$A$1:$I$89,3,0)*0.475*44/12</f>
        <v>2.2710712085845681E-7</v>
      </c>
      <c r="DI86" s="22">
        <f t="shared" si="69"/>
        <v>8.9582243619174999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-5.1159076974727213E-13</v>
      </c>
      <c r="DP86" s="17">
        <f>DO86*VLOOKUP('Données projet'!$B$14,Paramètres!$A$1:$I$89,3,0)*VLOOKUP('Données projet'!$B$14,Paramètres!$A$1:$I$89,5,0)</f>
        <v>-3.7509835237869992E-13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234.09142087023463</v>
      </c>
      <c r="DU86" s="59">
        <f t="shared" si="98"/>
        <v>278.990685815294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0.85406444078436139</v>
      </c>
      <c r="EB86" s="21">
        <f>EXP(-LN(2)/25)*EB85+(1-EXP(-LN(2)/25))/(LN(2)/25)*Calculateur!DW86*Calculateur!DY86*VLOOKUP('Données projet'!$B$14,Paramètres!$A$1:$I$89,3,0)*0.475*44/12</f>
        <v>3.5294385526875995</v>
      </c>
      <c r="EC86" s="21">
        <f>EXP(-LN(2)/2)*EC85+(1-EXP(-LN(2)/2))/(LN(2)/2)*DW86*DZ86*VLOOKUP('Données projet'!$B$14,Paramètres!$A$1:$I$89,3,0)*0.475*44/12</f>
        <v>2.3342631443608058E-7</v>
      </c>
      <c r="ED86" s="22">
        <f t="shared" si="72"/>
        <v>4.3835032268982754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259.30247982593914</v>
      </c>
      <c r="T87" s="59">
        <f t="shared" si="88"/>
        <v>275.24740346220779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4.0349996920022342</v>
      </c>
      <c r="AB87" s="21">
        <f>EXP(-LN(2)/2)*AB86+(1-EXP(-LN(2)/2))/(LN(2)/2)*V87*Y87*VLOOKUP('Données projet'!$B$9,Paramètres!$A$1:$I$89,3,0)*0.475*44/12</f>
        <v>2.1368615464765606E-7</v>
      </c>
      <c r="AC87" s="22">
        <f t="shared" si="57"/>
        <v>4.0349999056883892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7.9580786405131221E-13</v>
      </c>
      <c r="AJ87" s="13">
        <f>AI87*VLOOKUP('Données projet'!$B$10,Paramètres!$A$1:$I$89,3,0)*VLOOKUP('Données projet'!$B$10,Paramètres!$A$1:$I$89,5,0)</f>
        <v>3.8278358260868117E-13</v>
      </c>
      <c r="AK87" s="13">
        <f t="shared" si="89"/>
        <v>4.9186917125089072E-12</v>
      </c>
      <c r="AL87" s="20">
        <f t="shared" si="58"/>
        <v>9.2334028056631319E-12</v>
      </c>
      <c r="AM87" s="59">
        <f t="shared" si="59"/>
        <v>293.33333333334252</v>
      </c>
      <c r="AN87" s="59">
        <f ca="1">AVERAGE(OFFSET($AM$3,0,0,'Données projet'!$E$10+1,1))-AVERAGE(OFFSET($H$3,0,0,'Données projet'!$E$10+1,1))</f>
        <v>297.21955661193238</v>
      </c>
      <c r="AO87" s="59">
        <f t="shared" si="90"/>
        <v>273.69206144662144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2.3125496833030068</v>
      </c>
      <c r="AV87" s="21">
        <f>EXP(-LN(2)/25)*AV86+(1-EXP(-LN(2)/25))/(LN(2)/25)*Calculateur!AQ87*Calculateur!AS87*VLOOKUP('Données projet'!$B$10,Paramètres!$A$1:$I$89,3,0)*0.475*44/12</f>
        <v>3.0035107998363477</v>
      </c>
      <c r="AW87" s="21">
        <f>EXP(-LN(2)/2)*AW86+(1-EXP(-LN(2)/2))/(LN(2)/2)*AQ87*AT87*VLOOKUP('Données projet'!$B$10,Paramètres!$A$1:$I$89,3,0)*0.475*44/12</f>
        <v>1.5581237843806174E-7</v>
      </c>
      <c r="AX87" s="21">
        <f t="shared" si="60"/>
        <v>5.3160606389517326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3.6357050703372803E-14</v>
      </c>
      <c r="BF87" s="13">
        <f t="shared" si="91"/>
        <v>6.1445232567661395E-13</v>
      </c>
      <c r="BG87" s="20">
        <f t="shared" si="61"/>
        <v>1.1334929971951436E-12</v>
      </c>
      <c r="BH87" s="59">
        <f t="shared" si="62"/>
        <v>293.33333333333445</v>
      </c>
      <c r="BI87" s="59">
        <f ca="1">AVERAGE(OFFSET($BH$3,0,0,'Données projet'!$E$11+1,1))-AVERAGE(OFFSET($H$3,0,0,'Données projet'!$E$11+1,1))</f>
        <v>176.90404027101607</v>
      </c>
      <c r="BJ87" s="59">
        <f t="shared" si="92"/>
        <v>295.34177980841878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0.60880804732094573</v>
      </c>
      <c r="BQ87" s="21">
        <f>EXP(-LN(2)/25)*BQ86+(1-EXP(-LN(2)/25))/(LN(2)/25)*Calculateur!BL87*Calculateur!BN87*VLOOKUP('Données projet'!$B$11,Paramètres!$A$1:$I$89,3,0)*0.475*44/12</f>
        <v>1.8438661615877445</v>
      </c>
      <c r="BR87" s="21">
        <f>EXP(-LN(2)/2)*BR86+(1-EXP(-LN(2)/2))/(LN(2)/2)*BL87*BO87*VLOOKUP('Données projet'!$B$11,Paramètres!$A$1:$I$89,3,0)*0.475*44/12</f>
        <v>2.5110317526223809E-10</v>
      </c>
      <c r="BS87" s="22">
        <f t="shared" si="63"/>
        <v>2.4526742091597935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-5.6843418860808015E-13</v>
      </c>
      <c r="BZ87" s="13">
        <f>BY87*VLOOKUP('Données projet'!$B$12,Paramètres!$A$1:$I$89,3,0)*VLOOKUP('Données projet'!$B$12,Paramètres!$A$1:$I$89,5,0)</f>
        <v>-3.177547114319168E-13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326.31232746914907</v>
      </c>
      <c r="CE87" s="59">
        <f t="shared" si="94"/>
        <v>330.17137761430297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1.567742015031995</v>
      </c>
      <c r="CL87" s="21">
        <f>EXP(-LN(2)/25)*CL86+(1-EXP(-LN(2)/25))/(LN(2)/25)*Calculateur!CG87*Calculateur!CI87*VLOOKUP('Données projet'!$B$12,Paramètres!$A$1:$I$89,3,0)*0.475*44/12</f>
        <v>6.751386291038056</v>
      </c>
      <c r="CM87" s="21">
        <f>EXP(-LN(2)/2)*CM86+(1-EXP(-LN(2)/2))/(LN(2)/2)*CG87*CJ87*VLOOKUP('Données projet'!$B$12,Paramètres!$A$1:$I$89,3,0)*0.475*44/12</f>
        <v>2.4230844058420689E-7</v>
      </c>
      <c r="CN87" s="22">
        <f t="shared" si="66"/>
        <v>8.3191285483784903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210.04871822652808</v>
      </c>
      <c r="CZ87" s="59">
        <f t="shared" si="96"/>
        <v>250.17540614049324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2.5057356519327421</v>
      </c>
      <c r="DG87" s="21">
        <f>EXP(-LN(2)/25)*DG86+(1-EXP(-LN(2)/25))/(LN(2)/25)*Calculateur!DB87*Calculateur!DD87*VLOOKUP('Données projet'!$B$13,Paramètres!$A$1:$I$89,3,0)*0.475*44/12</f>
        <v>6.2272965999091472</v>
      </c>
      <c r="DH87" s="21">
        <f>EXP(-LN(2)/2)*DH86+(1-EXP(-LN(2)/2))/(LN(2)/2)*DB87*DE87*VLOOKUP('Données projet'!$B$13,Paramètres!$A$1:$I$89,3,0)*0.475*44/12</f>
        <v>1.6058898521476762E-7</v>
      </c>
      <c r="DI87" s="22">
        <f t="shared" si="69"/>
        <v>8.7330324124308749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-5.1159076974727213E-13</v>
      </c>
      <c r="DP87" s="17">
        <f>DO87*VLOOKUP('Données projet'!$B$14,Paramètres!$A$1:$I$89,3,0)*VLOOKUP('Données projet'!$B$14,Paramètres!$A$1:$I$89,5,0)</f>
        <v>-3.7509835237869992E-13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234.09142087023463</v>
      </c>
      <c r="DU87" s="59">
        <f t="shared" si="98"/>
        <v>278.990685815294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0.83731675802845162</v>
      </c>
      <c r="EB87" s="21">
        <f>EXP(-LN(2)/25)*EB86+(1-EXP(-LN(2)/25))/(LN(2)/25)*Calculateur!DW87*Calculateur!DY87*VLOOKUP('Données projet'!$B$14,Paramètres!$A$1:$I$89,3,0)*0.475*44/12</f>
        <v>3.4329258698592504</v>
      </c>
      <c r="EC87" s="21">
        <f>EXP(-LN(2)/2)*EC86+(1-EXP(-LN(2)/2))/(LN(2)/2)*DW87*DZ87*VLOOKUP('Données projet'!$B$14,Paramètres!$A$1:$I$89,3,0)*0.475*44/12</f>
        <v>1.6505732984513588E-7</v>
      </c>
      <c r="ED87" s="22">
        <f t="shared" si="72"/>
        <v>4.270242792945032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259.30247982593914</v>
      </c>
      <c r="T88" s="59">
        <f t="shared" si="88"/>
        <v>275.24740346220779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3.9246624132330212</v>
      </c>
      <c r="AB88" s="21">
        <f>EXP(-LN(2)/2)*AB87+(1-EXP(-LN(2)/2))/(LN(2)/2)*V88*Y88*VLOOKUP('Données projet'!$B$9,Paramètres!$A$1:$I$89,3,0)*0.475*44/12</f>
        <v>1.5109892899703488E-7</v>
      </c>
      <c r="AC88" s="22">
        <f t="shared" si="57"/>
        <v>3.9246625643319502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7.9580786405131221E-13</v>
      </c>
      <c r="AJ88" s="13">
        <f>AI88*VLOOKUP('Données projet'!$B$10,Paramètres!$A$1:$I$89,3,0)*VLOOKUP('Données projet'!$B$10,Paramètres!$A$1:$I$89,5,0)</f>
        <v>3.8278358260868117E-13</v>
      </c>
      <c r="AK88" s="13">
        <f t="shared" si="89"/>
        <v>4.9186917125089072E-12</v>
      </c>
      <c r="AL88" s="20">
        <f t="shared" si="58"/>
        <v>9.2334028056631319E-12</v>
      </c>
      <c r="AM88" s="59">
        <f t="shared" si="59"/>
        <v>293.33333333334252</v>
      </c>
      <c r="AN88" s="59">
        <f ca="1">AVERAGE(OFFSET($AM$3,0,0,'Données projet'!$E$10+1,1))-AVERAGE(OFFSET($H$3,0,0,'Données projet'!$E$10+1,1))</f>
        <v>297.21955661193238</v>
      </c>
      <c r="AO88" s="59">
        <f t="shared" si="90"/>
        <v>273.69206144662144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2.2672019945294646</v>
      </c>
      <c r="AV88" s="21">
        <f>EXP(-LN(2)/25)*AV87+(1-EXP(-LN(2)/25))/(LN(2)/25)*Calculateur!AQ88*Calculateur!AS88*VLOOKUP('Données projet'!$B$10,Paramètres!$A$1:$I$89,3,0)*0.475*44/12</f>
        <v>2.9213796390670543</v>
      </c>
      <c r="AW88" s="21">
        <f>EXP(-LN(2)/2)*AW87+(1-EXP(-LN(2)/2))/(LN(2)/2)*AQ88*AT88*VLOOKUP('Données projet'!$B$10,Paramètres!$A$1:$I$89,3,0)*0.475*44/12</f>
        <v>1.1017598938635806E-7</v>
      </c>
      <c r="AX88" s="21">
        <f t="shared" si="60"/>
        <v>5.1885817437725077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3.6357050703372803E-14</v>
      </c>
      <c r="BF88" s="13">
        <f t="shared" si="91"/>
        <v>6.1445232567661395E-13</v>
      </c>
      <c r="BG88" s="20">
        <f t="shared" si="61"/>
        <v>1.1334929971951436E-12</v>
      </c>
      <c r="BH88" s="59">
        <f t="shared" si="62"/>
        <v>293.33333333333445</v>
      </c>
      <c r="BI88" s="59">
        <f ca="1">AVERAGE(OFFSET($BH$3,0,0,'Données projet'!$E$11+1,1))-AVERAGE(OFFSET($H$3,0,0,'Données projet'!$E$11+1,1))</f>
        <v>176.90404027101607</v>
      </c>
      <c r="BJ88" s="59">
        <f t="shared" si="92"/>
        <v>295.34177980841878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0.59686969284922442</v>
      </c>
      <c r="BQ88" s="21">
        <f>EXP(-LN(2)/25)*BQ87+(1-EXP(-LN(2)/25))/(LN(2)/25)*Calculateur!BL88*Calculateur!BN88*VLOOKUP('Données projet'!$B$11,Paramètres!$A$1:$I$89,3,0)*0.475*44/12</f>
        <v>1.7934455444344204</v>
      </c>
      <c r="BR88" s="21">
        <f>EXP(-LN(2)/2)*BR87+(1-EXP(-LN(2)/2))/(LN(2)/2)*BL88*BO88*VLOOKUP('Données projet'!$B$11,Paramètres!$A$1:$I$89,3,0)*0.475*44/12</f>
        <v>1.7755675800540269E-10</v>
      </c>
      <c r="BS88" s="22">
        <f t="shared" si="63"/>
        <v>2.3903152374612016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-5.6843418860808015E-13</v>
      </c>
      <c r="BZ88" s="13">
        <f>BY88*VLOOKUP('Données projet'!$B$12,Paramètres!$A$1:$I$89,3,0)*VLOOKUP('Données projet'!$B$12,Paramètres!$A$1:$I$89,5,0)</f>
        <v>-3.177547114319168E-13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326.31232746914907</v>
      </c>
      <c r="CE88" s="59">
        <f t="shared" si="94"/>
        <v>330.17137761430297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1.536999550345427</v>
      </c>
      <c r="CL88" s="21">
        <f>EXP(-LN(2)/25)*CL87+(1-EXP(-LN(2)/25))/(LN(2)/25)*Calculateur!CG88*Calculateur!CI88*VLOOKUP('Données projet'!$B$12,Paramètres!$A$1:$I$89,3,0)*0.475*44/12</f>
        <v>6.5667692778696454</v>
      </c>
      <c r="CM88" s="21">
        <f>EXP(-LN(2)/2)*CM87+(1-EXP(-LN(2)/2))/(LN(2)/2)*CG88*CJ88*VLOOKUP('Données projet'!$B$12,Paramètres!$A$1:$I$89,3,0)*0.475*44/12</f>
        <v>1.7133794147583033E-7</v>
      </c>
      <c r="CN88" s="22">
        <f t="shared" si="66"/>
        <v>8.1037689995530133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210.04871822652808</v>
      </c>
      <c r="CZ88" s="59">
        <f t="shared" si="96"/>
        <v>250.17540614049324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2.4565997041461767</v>
      </c>
      <c r="DG88" s="21">
        <f>EXP(-LN(2)/25)*DG87+(1-EXP(-LN(2)/25))/(LN(2)/25)*Calculateur!DB88*Calculateur!DD88*VLOOKUP('Données projet'!$B$13,Paramètres!$A$1:$I$89,3,0)*0.475*44/12</f>
        <v>6.0570108469053361</v>
      </c>
      <c r="DH88" s="21">
        <f>EXP(-LN(2)/2)*DH87+(1-EXP(-LN(2)/2))/(LN(2)/2)*DB88*DE88*VLOOKUP('Données projet'!$B$13,Paramètres!$A$1:$I$89,3,0)*0.475*44/12</f>
        <v>1.135535604292284E-7</v>
      </c>
      <c r="DI88" s="22">
        <f t="shared" si="69"/>
        <v>8.5136106646050749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-5.1159076974727213E-13</v>
      </c>
      <c r="DP88" s="17">
        <f>DO88*VLOOKUP('Données projet'!$B$14,Paramètres!$A$1:$I$89,3,0)*VLOOKUP('Données projet'!$B$14,Paramètres!$A$1:$I$89,5,0)</f>
        <v>-3.7509835237869992E-13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234.09142087023463</v>
      </c>
      <c r="DU88" s="59">
        <f t="shared" si="98"/>
        <v>278.990685815294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0.82089748711630739</v>
      </c>
      <c r="EB88" s="21">
        <f>EXP(-LN(2)/25)*EB87+(1-EXP(-LN(2)/25))/(LN(2)/25)*Calculateur!DW88*Calculateur!DY88*VLOOKUP('Données projet'!$B$14,Paramètres!$A$1:$I$89,3,0)*0.475*44/12</f>
        <v>3.3390523314182237</v>
      </c>
      <c r="EC88" s="21">
        <f>EXP(-LN(2)/2)*EC87+(1-EXP(-LN(2)/2))/(LN(2)/2)*DW88*DZ88*VLOOKUP('Données projet'!$B$14,Paramètres!$A$1:$I$89,3,0)*0.475*44/12</f>
        <v>1.167131572180403E-7</v>
      </c>
      <c r="ED88" s="22">
        <f t="shared" si="72"/>
        <v>4.1599499352476883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259.30247982593914</v>
      </c>
      <c r="T89" s="59">
        <f t="shared" si="88"/>
        <v>275.24740346220779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3.8173423131541377</v>
      </c>
      <c r="AB89" s="21">
        <f>EXP(-LN(2)/2)*AB88+(1-EXP(-LN(2)/2))/(LN(2)/2)*V89*Y89*VLOOKUP('Données projet'!$B$9,Paramètres!$A$1:$I$89,3,0)*0.475*44/12</f>
        <v>1.0684307732382803E-7</v>
      </c>
      <c r="AC89" s="22">
        <f t="shared" si="57"/>
        <v>3.8173424199972152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7.9580786405131221E-13</v>
      </c>
      <c r="AJ89" s="13">
        <f>AI89*VLOOKUP('Données projet'!$B$10,Paramètres!$A$1:$I$89,3,0)*VLOOKUP('Données projet'!$B$10,Paramètres!$A$1:$I$89,5,0)</f>
        <v>3.8278358260868117E-13</v>
      </c>
      <c r="AK89" s="13">
        <f t="shared" si="89"/>
        <v>4.9186917125089072E-12</v>
      </c>
      <c r="AL89" s="20">
        <f t="shared" si="58"/>
        <v>9.2334028056631319E-12</v>
      </c>
      <c r="AM89" s="59">
        <f t="shared" si="59"/>
        <v>293.33333333334252</v>
      </c>
      <c r="AN89" s="59">
        <f ca="1">AVERAGE(OFFSET($AM$3,0,0,'Données projet'!$E$10+1,1))-AVERAGE(OFFSET($H$3,0,0,'Données projet'!$E$10+1,1))</f>
        <v>297.21955661193238</v>
      </c>
      <c r="AO89" s="59">
        <f t="shared" si="90"/>
        <v>273.69206144662144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2.2227435462734126</v>
      </c>
      <c r="AV89" s="21">
        <f>EXP(-LN(2)/25)*AV88+(1-EXP(-LN(2)/25))/(LN(2)/25)*Calculateur!AQ89*Calculateur!AS89*VLOOKUP('Données projet'!$B$10,Paramètres!$A$1:$I$89,3,0)*0.475*44/12</f>
        <v>2.8414943592080872</v>
      </c>
      <c r="AW89" s="21">
        <f>EXP(-LN(2)/2)*AW88+(1-EXP(-LN(2)/2))/(LN(2)/2)*AQ89*AT89*VLOOKUP('Données projet'!$B$10,Paramètres!$A$1:$I$89,3,0)*0.475*44/12</f>
        <v>7.7906189219030869E-8</v>
      </c>
      <c r="AX89" s="21">
        <f t="shared" si="60"/>
        <v>5.0642379833876889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3.6357050703372803E-14</v>
      </c>
      <c r="BF89" s="13">
        <f t="shared" si="91"/>
        <v>6.1445232567661395E-13</v>
      </c>
      <c r="BG89" s="20">
        <f t="shared" si="61"/>
        <v>1.1334929971951436E-12</v>
      </c>
      <c r="BH89" s="59">
        <f t="shared" si="62"/>
        <v>293.33333333333445</v>
      </c>
      <c r="BI89" s="59">
        <f ca="1">AVERAGE(OFFSET($BH$3,0,0,'Données projet'!$E$11+1,1))-AVERAGE(OFFSET($H$3,0,0,'Données projet'!$E$11+1,1))</f>
        <v>176.90404027101607</v>
      </c>
      <c r="BJ89" s="59">
        <f t="shared" si="92"/>
        <v>295.34177980841878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0.58516544222701639</v>
      </c>
      <c r="BQ89" s="21">
        <f>EXP(-LN(2)/25)*BQ88+(1-EXP(-LN(2)/25))/(LN(2)/25)*Calculateur!BL89*Calculateur!BN89*VLOOKUP('Données projet'!$B$11,Paramètres!$A$1:$I$89,3,0)*0.475*44/12</f>
        <v>1.744403681708659</v>
      </c>
      <c r="BR89" s="21">
        <f>EXP(-LN(2)/2)*BR88+(1-EXP(-LN(2)/2))/(LN(2)/2)*BL89*BO89*VLOOKUP('Données projet'!$B$11,Paramètres!$A$1:$I$89,3,0)*0.475*44/12</f>
        <v>1.2555158763111905E-10</v>
      </c>
      <c r="BS89" s="22">
        <f t="shared" si="63"/>
        <v>2.3295691240612268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-5.6843418860808015E-13</v>
      </c>
      <c r="BZ89" s="13">
        <f>BY89*VLOOKUP('Données projet'!$B$12,Paramètres!$A$1:$I$89,3,0)*VLOOKUP('Données projet'!$B$12,Paramètres!$A$1:$I$89,5,0)</f>
        <v>-3.177547114319168E-13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326.31232746914907</v>
      </c>
      <c r="CE89" s="59">
        <f t="shared" si="94"/>
        <v>330.17137761430297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1.5068599266403107</v>
      </c>
      <c r="CL89" s="21">
        <f>EXP(-LN(2)/25)*CL88+(1-EXP(-LN(2)/25))/(LN(2)/25)*Calculateur!CG89*Calculateur!CI89*VLOOKUP('Données projet'!$B$12,Paramètres!$A$1:$I$89,3,0)*0.475*44/12</f>
        <v>6.3872006266349119</v>
      </c>
      <c r="CM89" s="21">
        <f>EXP(-LN(2)/2)*CM88+(1-EXP(-LN(2)/2))/(LN(2)/2)*CG89*CJ89*VLOOKUP('Données projet'!$B$12,Paramètres!$A$1:$I$89,3,0)*0.475*44/12</f>
        <v>1.2115422029210345E-7</v>
      </c>
      <c r="CN89" s="22">
        <f t="shared" si="66"/>
        <v>7.8940606744294426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210.04871822652808</v>
      </c>
      <c r="CZ89" s="59">
        <f t="shared" si="96"/>
        <v>250.17540614049324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2.4084272823257371</v>
      </c>
      <c r="DG89" s="21">
        <f>EXP(-LN(2)/25)*DG88+(1-EXP(-LN(2)/25))/(LN(2)/25)*Calculateur!DB89*Calculateur!DD89*VLOOKUP('Données projet'!$B$13,Paramètres!$A$1:$I$89,3,0)*0.475*44/12</f>
        <v>5.8913815667723526</v>
      </c>
      <c r="DH89" s="21">
        <f>EXP(-LN(2)/2)*DH88+(1-EXP(-LN(2)/2))/(LN(2)/2)*DB89*DE89*VLOOKUP('Données projet'!$B$13,Paramètres!$A$1:$I$89,3,0)*0.475*44/12</f>
        <v>8.029449260738381E-8</v>
      </c>
      <c r="DI89" s="22">
        <f t="shared" si="69"/>
        <v>8.299808929392583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-5.1159076974727213E-13</v>
      </c>
      <c r="DP89" s="17">
        <f>DO89*VLOOKUP('Données projet'!$B$14,Paramètres!$A$1:$I$89,3,0)*VLOOKUP('Données projet'!$B$14,Paramètres!$A$1:$I$89,5,0)</f>
        <v>-3.7509835237869992E-13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234.09142087023463</v>
      </c>
      <c r="DU89" s="59">
        <f t="shared" si="98"/>
        <v>278.990685815294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0.80480018809198395</v>
      </c>
      <c r="EB89" s="21">
        <f>EXP(-LN(2)/25)*EB88+(1-EXP(-LN(2)/25))/(LN(2)/25)*Calculateur!DW89*Calculateur!DY89*VLOOKUP('Données projet'!$B$14,Paramètres!$A$1:$I$89,3,0)*0.475*44/12</f>
        <v>3.2477457698224619</v>
      </c>
      <c r="EC89" s="21">
        <f>EXP(-LN(2)/2)*EC88+(1-EXP(-LN(2)/2))/(LN(2)/2)*DW89*DZ89*VLOOKUP('Données projet'!$B$14,Paramètres!$A$1:$I$89,3,0)*0.475*44/12</f>
        <v>8.2528664922567954E-8</v>
      </c>
      <c r="ED89" s="22">
        <f t="shared" si="72"/>
        <v>4.0525460404431106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259.30247982593914</v>
      </c>
      <c r="T90" s="59">
        <f t="shared" si="88"/>
        <v>275.24740346220779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3.7129568868556304</v>
      </c>
      <c r="AB90" s="21">
        <f>EXP(-LN(2)/2)*AB89+(1-EXP(-LN(2)/2))/(LN(2)/2)*V90*Y90*VLOOKUP('Données projet'!$B$9,Paramètres!$A$1:$I$89,3,0)*0.475*44/12</f>
        <v>7.5549464498517442E-8</v>
      </c>
      <c r="AC90" s="22">
        <f t="shared" si="57"/>
        <v>3.7129569624050949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7.9580786405131221E-13</v>
      </c>
      <c r="AJ90" s="13">
        <f>AI90*VLOOKUP('Données projet'!$B$10,Paramètres!$A$1:$I$89,3,0)*VLOOKUP('Données projet'!$B$10,Paramètres!$A$1:$I$89,5,0)</f>
        <v>3.8278358260868117E-13</v>
      </c>
      <c r="AK90" s="13">
        <f t="shared" si="89"/>
        <v>4.9186917125089072E-12</v>
      </c>
      <c r="AL90" s="20">
        <f t="shared" si="58"/>
        <v>9.2334028056631319E-12</v>
      </c>
      <c r="AM90" s="59">
        <f t="shared" si="59"/>
        <v>293.33333333334252</v>
      </c>
      <c r="AN90" s="59">
        <f ca="1">AVERAGE(OFFSET($AM$3,0,0,'Données projet'!$E$10+1,1))-AVERAGE(OFFSET($H$3,0,0,'Données projet'!$E$10+1,1))</f>
        <v>297.21955661193238</v>
      </c>
      <c r="AO90" s="59">
        <f t="shared" si="90"/>
        <v>273.69206144662144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2.1791569010706859</v>
      </c>
      <c r="AV90" s="21">
        <f>EXP(-LN(2)/25)*AV89+(1-EXP(-LN(2)/25))/(LN(2)/25)*Calculateur!AQ90*Calculateur!AS90*VLOOKUP('Données projet'!$B$10,Paramètres!$A$1:$I$89,3,0)*0.475*44/12</f>
        <v>2.763793546527848</v>
      </c>
      <c r="AW90" s="21">
        <f>EXP(-LN(2)/2)*AW89+(1-EXP(-LN(2)/2))/(LN(2)/2)*AQ90*AT90*VLOOKUP('Données projet'!$B$10,Paramètres!$A$1:$I$89,3,0)*0.475*44/12</f>
        <v>5.5087994693179029E-8</v>
      </c>
      <c r="AX90" s="21">
        <f t="shared" si="60"/>
        <v>4.9429505026865286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3.6357050703372803E-14</v>
      </c>
      <c r="BF90" s="13">
        <f t="shared" si="91"/>
        <v>6.1445232567661395E-13</v>
      </c>
      <c r="BG90" s="20">
        <f t="shared" si="61"/>
        <v>1.1334929971951436E-12</v>
      </c>
      <c r="BH90" s="59">
        <f t="shared" si="62"/>
        <v>293.33333333333445</v>
      </c>
      <c r="BI90" s="59">
        <f ca="1">AVERAGE(OFFSET($BH$3,0,0,'Données projet'!$E$11+1,1))-AVERAGE(OFFSET($H$3,0,0,'Données projet'!$E$11+1,1))</f>
        <v>176.90404027101607</v>
      </c>
      <c r="BJ90" s="59">
        <f t="shared" si="92"/>
        <v>295.34177980841878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0.5736907048206219</v>
      </c>
      <c r="BQ90" s="21">
        <f>EXP(-LN(2)/25)*BQ89+(1-EXP(-LN(2)/25))/(LN(2)/25)*Calculateur!BL90*Calculateur!BN90*VLOOKUP('Données projet'!$B$11,Paramètres!$A$1:$I$89,3,0)*0.475*44/12</f>
        <v>1.6967028712981329</v>
      </c>
      <c r="BR90" s="21">
        <f>EXP(-LN(2)/2)*BR89+(1-EXP(-LN(2)/2))/(LN(2)/2)*BL90*BO90*VLOOKUP('Données projet'!$B$11,Paramètres!$A$1:$I$89,3,0)*0.475*44/12</f>
        <v>8.8778379002701343E-11</v>
      </c>
      <c r="BS90" s="22">
        <f t="shared" si="63"/>
        <v>2.2703935762075331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-5.6843418860808015E-13</v>
      </c>
      <c r="BZ90" s="13">
        <f>BY90*VLOOKUP('Données projet'!$B$12,Paramètres!$A$1:$I$89,3,0)*VLOOKUP('Données projet'!$B$12,Paramètres!$A$1:$I$89,5,0)</f>
        <v>-3.177547114319168E-13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326.31232746914907</v>
      </c>
      <c r="CE90" s="59">
        <f t="shared" si="94"/>
        <v>330.17137761430297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1.4773113225726964</v>
      </c>
      <c r="CL90" s="21">
        <f>EXP(-LN(2)/25)*CL89+(1-EXP(-LN(2)/25))/(LN(2)/25)*Calculateur!CG90*Calculateur!CI90*VLOOKUP('Données projet'!$B$12,Paramètres!$A$1:$I$89,3,0)*0.475*44/12</f>
        <v>6.2125422896112976</v>
      </c>
      <c r="CM90" s="21">
        <f>EXP(-LN(2)/2)*CM89+(1-EXP(-LN(2)/2))/(LN(2)/2)*CG90*CJ90*VLOOKUP('Données projet'!$B$12,Paramètres!$A$1:$I$89,3,0)*0.475*44/12</f>
        <v>8.5668970737915167E-8</v>
      </c>
      <c r="CN90" s="22">
        <f t="shared" si="66"/>
        <v>7.6898536978529641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210.04871822652808</v>
      </c>
      <c r="CZ90" s="59">
        <f t="shared" si="96"/>
        <v>250.17540614049324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2.3611994923149204</v>
      </c>
      <c r="DG90" s="21">
        <f>EXP(-LN(2)/25)*DG89+(1-EXP(-LN(2)/25))/(LN(2)/25)*Calculateur!DB90*Calculateur!DD90*VLOOKUP('Données projet'!$B$13,Paramètres!$A$1:$I$89,3,0)*0.475*44/12</f>
        <v>5.7302814280146706</v>
      </c>
      <c r="DH90" s="21">
        <f>EXP(-LN(2)/2)*DH89+(1-EXP(-LN(2)/2))/(LN(2)/2)*DB90*DE90*VLOOKUP('Données projet'!$B$13,Paramètres!$A$1:$I$89,3,0)*0.475*44/12</f>
        <v>5.6776780214614202E-8</v>
      </c>
      <c r="DI90" s="22">
        <f t="shared" si="69"/>
        <v>8.0914809771063716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-5.1159076974727213E-13</v>
      </c>
      <c r="DP90" s="17">
        <f>DO90*VLOOKUP('Données projet'!$B$14,Paramètres!$A$1:$I$89,3,0)*VLOOKUP('Données projet'!$B$14,Paramètres!$A$1:$I$89,5,0)</f>
        <v>-3.7509835237869992E-13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234.09142087023463</v>
      </c>
      <c r="DU90" s="59">
        <f t="shared" si="98"/>
        <v>278.990685815294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0.78901854728314458</v>
      </c>
      <c r="EB90" s="21">
        <f>EXP(-LN(2)/25)*EB89+(1-EXP(-LN(2)/25))/(LN(2)/25)*Calculateur!DW90*Calculateur!DY90*VLOOKUP('Données projet'!$B$14,Paramètres!$A$1:$I$89,3,0)*0.475*44/12</f>
        <v>3.1589359909551393</v>
      </c>
      <c r="EC90" s="21">
        <f>EXP(-LN(2)/2)*EC89+(1-EXP(-LN(2)/2))/(LN(2)/2)*DW90*DZ90*VLOOKUP('Données projet'!$B$14,Paramètres!$A$1:$I$89,3,0)*0.475*44/12</f>
        <v>5.8356578609020159E-8</v>
      </c>
      <c r="ED90" s="22">
        <f t="shared" si="72"/>
        <v>3.9479545965948626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259.30247982593914</v>
      </c>
      <c r="T91" s="59">
        <f t="shared" si="88"/>
        <v>275.24740346220779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3.6114258855286465</v>
      </c>
      <c r="AB91" s="21">
        <f>EXP(-LN(2)/2)*AB90+(1-EXP(-LN(2)/2))/(LN(2)/2)*V91*Y91*VLOOKUP('Données projet'!$B$9,Paramètres!$A$1:$I$89,3,0)*0.475*44/12</f>
        <v>5.3421538661914014E-8</v>
      </c>
      <c r="AC91" s="22">
        <f t="shared" si="57"/>
        <v>3.6114259389501853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7.9580786405131221E-13</v>
      </c>
      <c r="AJ91" s="13">
        <f>AI91*VLOOKUP('Données projet'!$B$10,Paramètres!$A$1:$I$89,3,0)*VLOOKUP('Données projet'!$B$10,Paramètres!$A$1:$I$89,5,0)</f>
        <v>3.8278358260868117E-13</v>
      </c>
      <c r="AK91" s="13">
        <f t="shared" si="89"/>
        <v>4.9186917125089072E-12</v>
      </c>
      <c r="AL91" s="20">
        <f t="shared" si="58"/>
        <v>9.2334028056631319E-12</v>
      </c>
      <c r="AM91" s="59">
        <f t="shared" si="59"/>
        <v>293.33333333334252</v>
      </c>
      <c r="AN91" s="59">
        <f ca="1">AVERAGE(OFFSET($AM$3,0,0,'Données projet'!$E$10+1,1))-AVERAGE(OFFSET($H$3,0,0,'Données projet'!$E$10+1,1))</f>
        <v>297.21955661193238</v>
      </c>
      <c r="AO91" s="59">
        <f t="shared" si="90"/>
        <v>273.69206144662144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2.1364249633951564</v>
      </c>
      <c r="AV91" s="21">
        <f>EXP(-LN(2)/25)*AV90+(1-EXP(-LN(2)/25))/(LN(2)/25)*Calculateur!AQ91*Calculateur!AS91*VLOOKUP('Données projet'!$B$10,Paramètres!$A$1:$I$89,3,0)*0.475*44/12</f>
        <v>2.6882174666564582</v>
      </c>
      <c r="AW91" s="21">
        <f>EXP(-LN(2)/2)*AW90+(1-EXP(-LN(2)/2))/(LN(2)/2)*AQ91*AT91*VLOOKUP('Données projet'!$B$10,Paramètres!$A$1:$I$89,3,0)*0.475*44/12</f>
        <v>3.8953094609515434E-8</v>
      </c>
      <c r="AX91" s="21">
        <f t="shared" si="60"/>
        <v>4.8246424690047096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3.6357050703372803E-14</v>
      </c>
      <c r="BF91" s="13">
        <f t="shared" si="91"/>
        <v>6.1445232567661395E-13</v>
      </c>
      <c r="BG91" s="20">
        <f t="shared" si="61"/>
        <v>1.1334929971951436E-12</v>
      </c>
      <c r="BH91" s="59">
        <f t="shared" si="62"/>
        <v>293.33333333333445</v>
      </c>
      <c r="BI91" s="59">
        <f ca="1">AVERAGE(OFFSET($BH$3,0,0,'Données projet'!$E$11+1,1))-AVERAGE(OFFSET($H$3,0,0,'Données projet'!$E$11+1,1))</f>
        <v>176.90404027101607</v>
      </c>
      <c r="BJ91" s="59">
        <f t="shared" si="92"/>
        <v>295.34177980841878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0.56244098001586806</v>
      </c>
      <c r="BQ91" s="21">
        <f>EXP(-LN(2)/25)*BQ90+(1-EXP(-LN(2)/25))/(LN(2)/25)*Calculateur!BL91*Calculateur!BN91*VLOOKUP('Données projet'!$B$11,Paramètres!$A$1:$I$89,3,0)*0.475*44/12</f>
        <v>1.6503064420567592</v>
      </c>
      <c r="BR91" s="21">
        <f>EXP(-LN(2)/2)*BR90+(1-EXP(-LN(2)/2))/(LN(2)/2)*BL91*BO91*VLOOKUP('Données projet'!$B$11,Paramètres!$A$1:$I$89,3,0)*0.475*44/12</f>
        <v>6.2775793815559523E-11</v>
      </c>
      <c r="BS91" s="22">
        <f t="shared" si="63"/>
        <v>2.2127474221354033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-5.6843418860808015E-13</v>
      </c>
      <c r="BZ91" s="13">
        <f>BY91*VLOOKUP('Données projet'!$B$12,Paramètres!$A$1:$I$89,3,0)*VLOOKUP('Données projet'!$B$12,Paramètres!$A$1:$I$89,5,0)</f>
        <v>-3.177547114319168E-13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326.31232746914907</v>
      </c>
      <c r="CE91" s="59">
        <f t="shared" si="94"/>
        <v>330.17137761430297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1.4483421486079793</v>
      </c>
      <c r="CL91" s="21">
        <f>EXP(-LN(2)/25)*CL90+(1-EXP(-LN(2)/25))/(LN(2)/25)*Calculateur!CG91*Calculateur!CI91*VLOOKUP('Données projet'!$B$12,Paramètres!$A$1:$I$89,3,0)*0.475*44/12</f>
        <v>6.0426599939984769</v>
      </c>
      <c r="CM91" s="21">
        <f>EXP(-LN(2)/2)*CM90+(1-EXP(-LN(2)/2))/(LN(2)/2)*CG91*CJ91*VLOOKUP('Données projet'!$B$12,Paramètres!$A$1:$I$89,3,0)*0.475*44/12</f>
        <v>6.0577110146051723E-8</v>
      </c>
      <c r="CN91" s="22">
        <f t="shared" si="66"/>
        <v>7.4910022031835668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210.04871822652808</v>
      </c>
      <c r="CZ91" s="59">
        <f t="shared" si="96"/>
        <v>250.17540614049324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2.3148978104601081</v>
      </c>
      <c r="DG91" s="21">
        <f>EXP(-LN(2)/25)*DG90+(1-EXP(-LN(2)/25))/(LN(2)/25)*Calculateur!DB91*Calculateur!DD91*VLOOKUP('Données projet'!$B$13,Paramètres!$A$1:$I$89,3,0)*0.475*44/12</f>
        <v>5.5735865810232061</v>
      </c>
      <c r="DH91" s="21">
        <f>EXP(-LN(2)/2)*DH90+(1-EXP(-LN(2)/2))/(LN(2)/2)*DB91*DE91*VLOOKUP('Données projet'!$B$13,Paramètres!$A$1:$I$89,3,0)*0.475*44/12</f>
        <v>4.0147246303691905E-8</v>
      </c>
      <c r="DI91" s="22">
        <f t="shared" si="69"/>
        <v>7.8884844316305607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-5.1159076974727213E-13</v>
      </c>
      <c r="DP91" s="17">
        <f>DO91*VLOOKUP('Données projet'!$B$14,Paramètres!$A$1:$I$89,3,0)*VLOOKUP('Données projet'!$B$14,Paramètres!$A$1:$I$89,5,0)</f>
        <v>-3.7509835237869992E-13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234.09142087023463</v>
      </c>
      <c r="DU91" s="59">
        <f t="shared" si="98"/>
        <v>278.990685815294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0.77354637482471611</v>
      </c>
      <c r="EB91" s="21">
        <f>EXP(-LN(2)/25)*EB90+(1-EXP(-LN(2)/25))/(LN(2)/25)*Calculateur!DW91*Calculateur!DY91*VLOOKUP('Données projet'!$B$14,Paramètres!$A$1:$I$89,3,0)*0.475*44/12</f>
        <v>3.0725547201612473</v>
      </c>
      <c r="EC91" s="21">
        <f>EXP(-LN(2)/2)*EC90+(1-EXP(-LN(2)/2))/(LN(2)/2)*DW91*DZ91*VLOOKUP('Données projet'!$B$14,Paramètres!$A$1:$I$89,3,0)*0.475*44/12</f>
        <v>4.1264332461283983E-8</v>
      </c>
      <c r="ED91" s="22">
        <f t="shared" si="72"/>
        <v>3.8461011362502959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259.30247982593914</v>
      </c>
      <c r="T92" s="59">
        <f t="shared" si="88"/>
        <v>275.24740346220779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3.5126712547722323</v>
      </c>
      <c r="AB92" s="21">
        <f>EXP(-LN(2)/2)*AB91+(1-EXP(-LN(2)/2))/(LN(2)/2)*V92*Y92*VLOOKUP('Données projet'!$B$9,Paramètres!$A$1:$I$89,3,0)*0.475*44/12</f>
        <v>3.7774732249258721E-8</v>
      </c>
      <c r="AC92" s="22">
        <f t="shared" si="57"/>
        <v>3.5126712925469645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7.9580786405131221E-13</v>
      </c>
      <c r="AJ92" s="13">
        <f>AI92*VLOOKUP('Données projet'!$B$10,Paramètres!$A$1:$I$89,3,0)*VLOOKUP('Données projet'!$B$10,Paramètres!$A$1:$I$89,5,0)</f>
        <v>3.8278358260868117E-13</v>
      </c>
      <c r="AK92" s="13">
        <f t="shared" si="89"/>
        <v>4.9186917125089072E-12</v>
      </c>
      <c r="AL92" s="20">
        <f t="shared" si="58"/>
        <v>9.2334028056631319E-12</v>
      </c>
      <c r="AM92" s="59">
        <f t="shared" si="59"/>
        <v>293.33333333334252</v>
      </c>
      <c r="AN92" s="59">
        <f ca="1">AVERAGE(OFFSET($AM$3,0,0,'Données projet'!$E$10+1,1))-AVERAGE(OFFSET($H$3,0,0,'Données projet'!$E$10+1,1))</f>
        <v>297.21955661193238</v>
      </c>
      <c r="AO92" s="59">
        <f t="shared" si="90"/>
        <v>273.69206144662144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2.0945309729535357</v>
      </c>
      <c r="AV92" s="21">
        <f>EXP(-LN(2)/25)*AV91+(1-EXP(-LN(2)/25))/(LN(2)/25)*Calculateur!AQ92*Calculateur!AS92*VLOOKUP('Données projet'!$B$10,Paramètres!$A$1:$I$89,3,0)*0.475*44/12</f>
        <v>2.6147080186635248</v>
      </c>
      <c r="AW92" s="21">
        <f>EXP(-LN(2)/2)*AW91+(1-EXP(-LN(2)/2))/(LN(2)/2)*AQ92*AT92*VLOOKUP('Données projet'!$B$10,Paramètres!$A$1:$I$89,3,0)*0.475*44/12</f>
        <v>2.7543997346589514E-8</v>
      </c>
      <c r="AX92" s="21">
        <f t="shared" si="60"/>
        <v>4.7092390191610578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3.6357050703372803E-14</v>
      </c>
      <c r="BF92" s="13">
        <f t="shared" si="91"/>
        <v>6.1445232567661395E-13</v>
      </c>
      <c r="BG92" s="20">
        <f t="shared" si="61"/>
        <v>1.1334929971951436E-12</v>
      </c>
      <c r="BH92" s="59">
        <f t="shared" si="62"/>
        <v>293.33333333333445</v>
      </c>
      <c r="BI92" s="59">
        <f ca="1">AVERAGE(OFFSET($BH$3,0,0,'Données projet'!$E$11+1,1))-AVERAGE(OFFSET($H$3,0,0,'Données projet'!$E$11+1,1))</f>
        <v>176.90404027101607</v>
      </c>
      <c r="BJ92" s="59">
        <f t="shared" si="92"/>
        <v>295.34177980841878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0.55141185545288085</v>
      </c>
      <c r="BQ92" s="21">
        <f>EXP(-LN(2)/25)*BQ91+(1-EXP(-LN(2)/25))/(LN(2)/25)*Calculateur!BL92*Calculateur!BN92*VLOOKUP('Données projet'!$B$11,Paramètres!$A$1:$I$89,3,0)*0.475*44/12</f>
        <v>1.6051787256128731</v>
      </c>
      <c r="BR92" s="21">
        <f>EXP(-LN(2)/2)*BR91+(1-EXP(-LN(2)/2))/(LN(2)/2)*BL92*BO92*VLOOKUP('Données projet'!$B$11,Paramètres!$A$1:$I$89,3,0)*0.475*44/12</f>
        <v>4.4389189501350672E-11</v>
      </c>
      <c r="BS92" s="22">
        <f t="shared" si="63"/>
        <v>2.1565905811101436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-5.6843418860808015E-13</v>
      </c>
      <c r="BZ92" s="13">
        <f>BY92*VLOOKUP('Données projet'!$B$12,Paramètres!$A$1:$I$89,3,0)*VLOOKUP('Données projet'!$B$12,Paramètres!$A$1:$I$89,5,0)</f>
        <v>-3.177547114319168E-13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326.31232746914907</v>
      </c>
      <c r="CE92" s="59">
        <f t="shared" si="94"/>
        <v>330.17137761430297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1.4199410424752588</v>
      </c>
      <c r="CL92" s="21">
        <f>EXP(-LN(2)/25)*CL91+(1-EXP(-LN(2)/25))/(LN(2)/25)*Calculateur!CG92*Calculateur!CI92*VLOOKUP('Données projet'!$B$12,Paramètres!$A$1:$I$89,3,0)*0.475*44/12</f>
        <v>5.8774231386929099</v>
      </c>
      <c r="CM92" s="21">
        <f>EXP(-LN(2)/2)*CM91+(1-EXP(-LN(2)/2))/(LN(2)/2)*CG92*CJ92*VLOOKUP('Données projet'!$B$12,Paramètres!$A$1:$I$89,3,0)*0.475*44/12</f>
        <v>4.2834485368957583E-8</v>
      </c>
      <c r="CN92" s="22">
        <f t="shared" si="66"/>
        <v>7.2973642240026537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210.04871822652808</v>
      </c>
      <c r="CZ92" s="59">
        <f t="shared" si="96"/>
        <v>250.17540614049324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2.2695040763452314</v>
      </c>
      <c r="DG92" s="21">
        <f>EXP(-LN(2)/25)*DG91+(1-EXP(-LN(2)/25))/(LN(2)/25)*Calculateur!DB92*Calculateur!DD92*VLOOKUP('Données projet'!$B$13,Paramètres!$A$1:$I$89,3,0)*0.475*44/12</f>
        <v>5.4211765628629465</v>
      </c>
      <c r="DH92" s="21">
        <f>EXP(-LN(2)/2)*DH91+(1-EXP(-LN(2)/2))/(LN(2)/2)*DB92*DE92*VLOOKUP('Données projet'!$B$13,Paramètres!$A$1:$I$89,3,0)*0.475*44/12</f>
        <v>2.8388390107307101E-8</v>
      </c>
      <c r="DI92" s="22">
        <f t="shared" si="69"/>
        <v>7.6906806675965687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-5.1159076974727213E-13</v>
      </c>
      <c r="DP92" s="17">
        <f>DO92*VLOOKUP('Données projet'!$B$14,Paramètres!$A$1:$I$89,3,0)*VLOOKUP('Données projet'!$B$14,Paramètres!$A$1:$I$89,5,0)</f>
        <v>-3.7509835237869992E-13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234.09142087023463</v>
      </c>
      <c r="DU92" s="59">
        <f t="shared" si="98"/>
        <v>278.990685815294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0.75837760223110406</v>
      </c>
      <c r="EB92" s="21">
        <f>EXP(-LN(2)/25)*EB91+(1-EXP(-LN(2)/25))/(LN(2)/25)*Calculateur!DW92*Calculateur!DY92*VLOOKUP('Données projet'!$B$14,Paramètres!$A$1:$I$89,3,0)*0.475*44/12</f>
        <v>2.9885355497598076</v>
      </c>
      <c r="EC92" s="21">
        <f>EXP(-LN(2)/2)*EC91+(1-EXP(-LN(2)/2))/(LN(2)/2)*DW92*DZ92*VLOOKUP('Données projet'!$B$14,Paramètres!$A$1:$I$89,3,0)*0.475*44/12</f>
        <v>2.9178289304510086E-8</v>
      </c>
      <c r="ED92" s="22">
        <f t="shared" si="72"/>
        <v>3.7469131811692007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259.30247982593914</v>
      </c>
      <c r="T93" s="59">
        <f t="shared" si="88"/>
        <v>275.24740346220779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3.4166170745871325</v>
      </c>
      <c r="AB93" s="21">
        <f>EXP(-LN(2)/2)*AB92+(1-EXP(-LN(2)/2))/(LN(2)/2)*V93*Y93*VLOOKUP('Données projet'!$B$9,Paramètres!$A$1:$I$89,3,0)*0.475*44/12</f>
        <v>2.6710769330957007E-8</v>
      </c>
      <c r="AC93" s="22">
        <f t="shared" si="57"/>
        <v>3.4166171012979016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7.9580786405131221E-13</v>
      </c>
      <c r="AJ93" s="13">
        <f>AI93*VLOOKUP('Données projet'!$B$10,Paramètres!$A$1:$I$89,3,0)*VLOOKUP('Données projet'!$B$10,Paramètres!$A$1:$I$89,5,0)</f>
        <v>3.8278358260868117E-13</v>
      </c>
      <c r="AK93" s="13">
        <f t="shared" si="89"/>
        <v>4.9186917125089072E-12</v>
      </c>
      <c r="AL93" s="20">
        <f t="shared" si="58"/>
        <v>9.2334028056631319E-12</v>
      </c>
      <c r="AM93" s="59">
        <f t="shared" si="59"/>
        <v>293.33333333334252</v>
      </c>
      <c r="AN93" s="59">
        <f ca="1">AVERAGE(OFFSET($AM$3,0,0,'Données projet'!$E$10+1,1))-AVERAGE(OFFSET($H$3,0,0,'Données projet'!$E$10+1,1))</f>
        <v>297.21955661193238</v>
      </c>
      <c r="AO93" s="59">
        <f t="shared" si="90"/>
        <v>273.69206144662144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2.0534584981116639</v>
      </c>
      <c r="AV93" s="21">
        <f>EXP(-LN(2)/25)*AV92+(1-EXP(-LN(2)/25))/(LN(2)/25)*Calculateur!AQ93*Calculateur!AS93*VLOOKUP('Données projet'!$B$10,Paramètres!$A$1:$I$89,3,0)*0.475*44/12</f>
        <v>2.5432086903916518</v>
      </c>
      <c r="AW93" s="21">
        <f>EXP(-LN(2)/2)*AW92+(1-EXP(-LN(2)/2))/(LN(2)/2)*AQ93*AT93*VLOOKUP('Données projet'!$B$10,Paramètres!$A$1:$I$89,3,0)*0.475*44/12</f>
        <v>1.9476547304757717E-8</v>
      </c>
      <c r="AX93" s="21">
        <f t="shared" si="60"/>
        <v>4.5966672079798636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3.6357050703372803E-14</v>
      </c>
      <c r="BF93" s="13">
        <f t="shared" si="91"/>
        <v>6.1445232567661395E-13</v>
      </c>
      <c r="BG93" s="20">
        <f t="shared" si="61"/>
        <v>1.1334929971951436E-12</v>
      </c>
      <c r="BH93" s="59">
        <f t="shared" si="62"/>
        <v>293.33333333333445</v>
      </c>
      <c r="BI93" s="59">
        <f ca="1">AVERAGE(OFFSET($BH$3,0,0,'Données projet'!$E$11+1,1))-AVERAGE(OFFSET($H$3,0,0,'Données projet'!$E$11+1,1))</f>
        <v>176.90404027101607</v>
      </c>
      <c r="BJ93" s="59">
        <f t="shared" si="92"/>
        <v>295.34177980841878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0.540599005295472</v>
      </c>
      <c r="BQ93" s="21">
        <f>EXP(-LN(2)/25)*BQ92+(1-EXP(-LN(2)/25))/(LN(2)/25)*Calculateur!BL93*Calculateur!BN93*VLOOKUP('Données projet'!$B$11,Paramètres!$A$1:$I$89,3,0)*0.475*44/12</f>
        <v>1.5612850289483087</v>
      </c>
      <c r="BR93" s="21">
        <f>EXP(-LN(2)/2)*BR92+(1-EXP(-LN(2)/2))/(LN(2)/2)*BL93*BO93*VLOOKUP('Données projet'!$B$11,Paramètres!$A$1:$I$89,3,0)*0.475*44/12</f>
        <v>3.1387896907779761E-11</v>
      </c>
      <c r="BS93" s="22">
        <f t="shared" si="63"/>
        <v>2.1018840342751686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-5.6843418860808015E-13</v>
      </c>
      <c r="BZ93" s="13">
        <f>BY93*VLOOKUP('Données projet'!$B$12,Paramètres!$A$1:$I$89,3,0)*VLOOKUP('Données projet'!$B$12,Paramètres!$A$1:$I$89,5,0)</f>
        <v>-3.177547114319168E-13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326.31232746914907</v>
      </c>
      <c r="CE93" s="59">
        <f t="shared" si="94"/>
        <v>330.17137761430297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1.3920968647108367</v>
      </c>
      <c r="CL93" s="21">
        <f>EXP(-LN(2)/25)*CL92+(1-EXP(-LN(2)/25))/(LN(2)/25)*Calculateur!CG93*Calculateur!CI93*VLOOKUP('Données projet'!$B$12,Paramètres!$A$1:$I$89,3,0)*0.475*44/12</f>
        <v>5.7167046938851023</v>
      </c>
      <c r="CM93" s="21">
        <f>EXP(-LN(2)/2)*CM92+(1-EXP(-LN(2)/2))/(LN(2)/2)*CG93*CJ93*VLOOKUP('Données projet'!$B$12,Paramètres!$A$1:$I$89,3,0)*0.475*44/12</f>
        <v>3.0288555073025861E-8</v>
      </c>
      <c r="CN93" s="22">
        <f t="shared" si="66"/>
        <v>7.1088015888844938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210.04871822652808</v>
      </c>
      <c r="CZ93" s="59">
        <f t="shared" si="96"/>
        <v>250.17540614049324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2.2250004856689034</v>
      </c>
      <c r="DG93" s="21">
        <f>EXP(-LN(2)/25)*DG92+(1-EXP(-LN(2)/25))/(LN(2)/25)*Calculateur!DB93*Calculateur!DD93*VLOOKUP('Données projet'!$B$13,Paramètres!$A$1:$I$89,3,0)*0.475*44/12</f>
        <v>5.2729342046641738</v>
      </c>
      <c r="DH93" s="21">
        <f>EXP(-LN(2)/2)*DH92+(1-EXP(-LN(2)/2))/(LN(2)/2)*DB93*DE93*VLOOKUP('Données projet'!$B$13,Paramètres!$A$1:$I$89,3,0)*0.475*44/12</f>
        <v>2.0073623151845953E-8</v>
      </c>
      <c r="DI93" s="22">
        <f t="shared" si="69"/>
        <v>7.4979347104066996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-5.1159076974727213E-13</v>
      </c>
      <c r="DP93" s="17">
        <f>DO93*VLOOKUP('Données projet'!$B$14,Paramètres!$A$1:$I$89,3,0)*VLOOKUP('Données projet'!$B$14,Paramètres!$A$1:$I$89,5,0)</f>
        <v>-3.7509835237869992E-13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234.09142087023463</v>
      </c>
      <c r="DU93" s="59">
        <f t="shared" si="98"/>
        <v>278.990685815294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0.74350628001601504</v>
      </c>
      <c r="EB93" s="21">
        <f>EXP(-LN(2)/25)*EB92+(1-EXP(-LN(2)/25))/(LN(2)/25)*Calculateur!DW93*Calculateur!DY93*VLOOKUP('Données projet'!$B$14,Paramètres!$A$1:$I$89,3,0)*0.475*44/12</f>
        <v>2.9068138879913716</v>
      </c>
      <c r="EC93" s="21">
        <f>EXP(-LN(2)/2)*EC92+(1-EXP(-LN(2)/2))/(LN(2)/2)*DW93*DZ93*VLOOKUP('Données projet'!$B$14,Paramètres!$A$1:$I$89,3,0)*0.475*44/12</f>
        <v>2.0632166230641995E-8</v>
      </c>
      <c r="ED93" s="22">
        <f t="shared" si="72"/>
        <v>3.6503201886395527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259.30247982593914</v>
      </c>
      <c r="T94" s="59">
        <f t="shared" si="88"/>
        <v>275.24740346220779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3.3231895010104644</v>
      </c>
      <c r="AB94" s="21">
        <f>EXP(-LN(2)/2)*AB93+(1-EXP(-LN(2)/2))/(LN(2)/2)*V94*Y94*VLOOKUP('Données projet'!$B$9,Paramètres!$A$1:$I$89,3,0)*0.475*44/12</f>
        <v>1.8887366124629361E-8</v>
      </c>
      <c r="AC94" s="22">
        <f t="shared" si="57"/>
        <v>3.3231895198978307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7.9580786405131221E-13</v>
      </c>
      <c r="AJ94" s="13">
        <f>AI94*VLOOKUP('Données projet'!$B$10,Paramètres!$A$1:$I$89,3,0)*VLOOKUP('Données projet'!$B$10,Paramètres!$A$1:$I$89,5,0)</f>
        <v>3.8278358260868117E-13</v>
      </c>
      <c r="AK94" s="13">
        <f t="shared" si="89"/>
        <v>4.9186917125089072E-12</v>
      </c>
      <c r="AL94" s="20">
        <f t="shared" si="58"/>
        <v>9.2334028056631319E-12</v>
      </c>
      <c r="AM94" s="59">
        <f t="shared" si="59"/>
        <v>293.33333333334252</v>
      </c>
      <c r="AN94" s="59">
        <f ca="1">AVERAGE(OFFSET($AM$3,0,0,'Données projet'!$E$10+1,1))-AVERAGE(OFFSET($H$3,0,0,'Données projet'!$E$10+1,1))</f>
        <v>297.21955661193238</v>
      </c>
      <c r="AO94" s="59">
        <f t="shared" si="90"/>
        <v>273.69206144662144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2.0131914294497055</v>
      </c>
      <c r="AV94" s="21">
        <f>EXP(-LN(2)/25)*AV93+(1-EXP(-LN(2)/25))/(LN(2)/25)*Calculateur!AQ94*Calculateur!AS94*VLOOKUP('Données projet'!$B$10,Paramètres!$A$1:$I$89,3,0)*0.475*44/12</f>
        <v>2.4736645150113596</v>
      </c>
      <c r="AW94" s="21">
        <f>EXP(-LN(2)/2)*AW93+(1-EXP(-LN(2)/2))/(LN(2)/2)*AQ94*AT94*VLOOKUP('Données projet'!$B$10,Paramètres!$A$1:$I$89,3,0)*0.475*44/12</f>
        <v>1.3771998673294757E-8</v>
      </c>
      <c r="AX94" s="21">
        <f t="shared" si="60"/>
        <v>4.4868559582330638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3.6357050703372803E-14</v>
      </c>
      <c r="BF94" s="13">
        <f t="shared" si="91"/>
        <v>6.1445232567661395E-13</v>
      </c>
      <c r="BG94" s="20">
        <f t="shared" si="61"/>
        <v>1.1334929971951436E-12</v>
      </c>
      <c r="BH94" s="59">
        <f t="shared" si="62"/>
        <v>293.33333333333445</v>
      </c>
      <c r="BI94" s="59">
        <f ca="1">AVERAGE(OFFSET($BH$3,0,0,'Données projet'!$E$11+1,1))-AVERAGE(OFFSET($H$3,0,0,'Données projet'!$E$11+1,1))</f>
        <v>176.90404027101607</v>
      </c>
      <c r="BJ94" s="59">
        <f t="shared" si="92"/>
        <v>295.34177980841878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0.52999818853446257</v>
      </c>
      <c r="BQ94" s="21">
        <f>EXP(-LN(2)/25)*BQ93+(1-EXP(-LN(2)/25))/(LN(2)/25)*Calculateur!BL94*Calculateur!BN94*VLOOKUP('Données projet'!$B$11,Paramètres!$A$1:$I$89,3,0)*0.475*44/12</f>
        <v>1.5185916077273058</v>
      </c>
      <c r="BR94" s="21">
        <f>EXP(-LN(2)/2)*BR93+(1-EXP(-LN(2)/2))/(LN(2)/2)*BL94*BO94*VLOOKUP('Données projet'!$B$11,Paramètres!$A$1:$I$89,3,0)*0.475*44/12</f>
        <v>2.2194594750675336E-11</v>
      </c>
      <c r="BS94" s="22">
        <f t="shared" si="63"/>
        <v>2.048589796283963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-5.6843418860808015E-13</v>
      </c>
      <c r="BZ94" s="13">
        <f>BY94*VLOOKUP('Données projet'!$B$12,Paramètres!$A$1:$I$89,3,0)*VLOOKUP('Données projet'!$B$12,Paramètres!$A$1:$I$89,5,0)</f>
        <v>-3.177547114319168E-13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326.31232746914907</v>
      </c>
      <c r="CE94" s="59">
        <f t="shared" si="94"/>
        <v>330.17137761430297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1.3647986942891035</v>
      </c>
      <c r="CL94" s="21">
        <f>EXP(-LN(2)/25)*CL93+(1-EXP(-LN(2)/25))/(LN(2)/25)*Calculateur!CG94*Calculateur!CI94*VLOOKUP('Données projet'!$B$12,Paramètres!$A$1:$I$89,3,0)*0.475*44/12</f>
        <v>5.5603811034023796</v>
      </c>
      <c r="CM94" s="21">
        <f>EXP(-LN(2)/2)*CM93+(1-EXP(-LN(2)/2))/(LN(2)/2)*CG94*CJ94*VLOOKUP('Données projet'!$B$12,Paramètres!$A$1:$I$89,3,0)*0.475*44/12</f>
        <v>2.1417242684478792E-8</v>
      </c>
      <c r="CN94" s="22">
        <f t="shared" si="66"/>
        <v>6.9251798191087257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210.04871822652808</v>
      </c>
      <c r="CZ94" s="59">
        <f t="shared" si="96"/>
        <v>250.17540614049324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2.1813695832612283</v>
      </c>
      <c r="DG94" s="21">
        <f>EXP(-LN(2)/25)*DG93+(1-EXP(-LN(2)/25))/(LN(2)/25)*Calculateur!DB94*Calculateur!DD94*VLOOKUP('Données projet'!$B$13,Paramètres!$A$1:$I$89,3,0)*0.475*44/12</f>
        <v>5.1287455415460732</v>
      </c>
      <c r="DH94" s="21">
        <f>EXP(-LN(2)/2)*DH93+(1-EXP(-LN(2)/2))/(LN(2)/2)*DB94*DE94*VLOOKUP('Données projet'!$B$13,Paramètres!$A$1:$I$89,3,0)*0.475*44/12</f>
        <v>1.4194195053653551E-8</v>
      </c>
      <c r="DI94" s="22">
        <f t="shared" si="69"/>
        <v>7.3101151390014971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-5.1159076974727213E-13</v>
      </c>
      <c r="DP94" s="17">
        <f>DO94*VLOOKUP('Données projet'!$B$14,Paramètres!$A$1:$I$89,3,0)*VLOOKUP('Données projet'!$B$14,Paramètres!$A$1:$I$89,5,0)</f>
        <v>-3.7509835237869992E-13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234.09142087023463</v>
      </c>
      <c r="DU94" s="59">
        <f t="shared" si="98"/>
        <v>278.990685815294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0.728926575358953</v>
      </c>
      <c r="EB94" s="21">
        <f>EXP(-LN(2)/25)*EB93+(1-EXP(-LN(2)/25))/(LN(2)/25)*Calculateur!DW94*Calculateur!DY94*VLOOKUP('Données projet'!$B$14,Paramètres!$A$1:$I$89,3,0)*0.475*44/12</f>
        <v>2.827326909361549</v>
      </c>
      <c r="EC94" s="21">
        <f>EXP(-LN(2)/2)*EC93+(1-EXP(-LN(2)/2))/(LN(2)/2)*DW94*DZ94*VLOOKUP('Données projet'!$B$14,Paramètres!$A$1:$I$89,3,0)*0.475*44/12</f>
        <v>1.4589144652255045E-8</v>
      </c>
      <c r="ED94" s="22">
        <f t="shared" si="72"/>
        <v>3.5562534993096464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259.30247982593914</v>
      </c>
      <c r="T95" s="59">
        <f t="shared" si="88"/>
        <v>275.24740346220779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3.2323167093463927</v>
      </c>
      <c r="AB95" s="21">
        <f>EXP(-LN(2)/2)*AB94+(1-EXP(-LN(2)/2))/(LN(2)/2)*V95*Y95*VLOOKUP('Données projet'!$B$9,Paramètres!$A$1:$I$89,3,0)*0.475*44/12</f>
        <v>1.3355384665478504E-8</v>
      </c>
      <c r="AC95" s="22">
        <f t="shared" si="57"/>
        <v>3.2323167227017775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7.9580786405131221E-13</v>
      </c>
      <c r="AJ95" s="13">
        <f>AI95*VLOOKUP('Données projet'!$B$10,Paramètres!$A$1:$I$89,3,0)*VLOOKUP('Données projet'!$B$10,Paramètres!$A$1:$I$89,5,0)</f>
        <v>3.8278358260868117E-13</v>
      </c>
      <c r="AK95" s="13">
        <f t="shared" si="89"/>
        <v>4.9186917125089072E-12</v>
      </c>
      <c r="AL95" s="20">
        <f t="shared" si="58"/>
        <v>9.2334028056631319E-12</v>
      </c>
      <c r="AM95" s="59">
        <f t="shared" si="59"/>
        <v>293.33333333334252</v>
      </c>
      <c r="AN95" s="59">
        <f ca="1">AVERAGE(OFFSET($AM$3,0,0,'Données projet'!$E$10+1,1))-AVERAGE(OFFSET($H$3,0,0,'Données projet'!$E$10+1,1))</f>
        <v>297.21955661193238</v>
      </c>
      <c r="AO95" s="59">
        <f t="shared" si="90"/>
        <v>273.69206144662144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1.9737139734437212</v>
      </c>
      <c r="AV95" s="21">
        <f>EXP(-LN(2)/25)*AV94+(1-EXP(-LN(2)/25))/(LN(2)/25)*Calculateur!AQ95*Calculateur!AS95*VLOOKUP('Données projet'!$B$10,Paramètres!$A$1:$I$89,3,0)*0.475*44/12</f>
        <v>2.4060220287640108</v>
      </c>
      <c r="AW95" s="21">
        <f>EXP(-LN(2)/2)*AW94+(1-EXP(-LN(2)/2))/(LN(2)/2)*AQ95*AT95*VLOOKUP('Données projet'!$B$10,Paramètres!$A$1:$I$89,3,0)*0.475*44/12</f>
        <v>9.7382736523788586E-9</v>
      </c>
      <c r="AX95" s="21">
        <f t="shared" si="60"/>
        <v>4.3797360119460054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3.6357050703372803E-14</v>
      </c>
      <c r="BF95" s="13">
        <f t="shared" si="91"/>
        <v>6.1445232567661395E-13</v>
      </c>
      <c r="BG95" s="20">
        <f t="shared" si="61"/>
        <v>1.1334929971951436E-12</v>
      </c>
      <c r="BH95" s="59">
        <f t="shared" si="62"/>
        <v>293.33333333333445</v>
      </c>
      <c r="BI95" s="59">
        <f ca="1">AVERAGE(OFFSET($BH$3,0,0,'Données projet'!$E$11+1,1))-AVERAGE(OFFSET($H$3,0,0,'Données projet'!$E$11+1,1))</f>
        <v>176.90404027101607</v>
      </c>
      <c r="BJ95" s="59">
        <f t="shared" si="92"/>
        <v>295.34177980841878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0.51960524732427682</v>
      </c>
      <c r="BQ95" s="21">
        <f>EXP(-LN(2)/25)*BQ94+(1-EXP(-LN(2)/25))/(LN(2)/25)*Calculateur!BL95*Calculateur!BN95*VLOOKUP('Données projet'!$B$11,Paramètres!$A$1:$I$89,3,0)*0.475*44/12</f>
        <v>1.4770656403547409</v>
      </c>
      <c r="BR95" s="21">
        <f>EXP(-LN(2)/2)*BR94+(1-EXP(-LN(2)/2))/(LN(2)/2)*BL95*BO95*VLOOKUP('Données projet'!$B$11,Paramètres!$A$1:$I$89,3,0)*0.475*44/12</f>
        <v>1.5693948453889881E-11</v>
      </c>
      <c r="BS95" s="22">
        <f t="shared" si="63"/>
        <v>1.9966708876947117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-5.6843418860808015E-13</v>
      </c>
      <c r="BZ95" s="13">
        <f>BY95*VLOOKUP('Données projet'!$B$12,Paramètres!$A$1:$I$89,3,0)*VLOOKUP('Données projet'!$B$12,Paramètres!$A$1:$I$89,5,0)</f>
        <v>-3.177547114319168E-13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326.31232746914907</v>
      </c>
      <c r="CE95" s="59">
        <f t="shared" si="94"/>
        <v>330.17137761430297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1.3380358243391006</v>
      </c>
      <c r="CL95" s="21">
        <f>EXP(-LN(2)/25)*CL94+(1-EXP(-LN(2)/25))/(LN(2)/25)*Calculateur!CG95*Calculateur!CI95*VLOOKUP('Données projet'!$B$12,Paramètres!$A$1:$I$89,3,0)*0.475*44/12</f>
        <v>5.4083321897221079</v>
      </c>
      <c r="CM95" s="21">
        <f>EXP(-LN(2)/2)*CM94+(1-EXP(-LN(2)/2))/(LN(2)/2)*CG95*CJ95*VLOOKUP('Données projet'!$B$12,Paramètres!$A$1:$I$89,3,0)*0.475*44/12</f>
        <v>1.5144277536512931E-8</v>
      </c>
      <c r="CN95" s="22">
        <f t="shared" si="66"/>
        <v>6.7463680292054864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210.04871822652808</v>
      </c>
      <c r="CZ95" s="59">
        <f t="shared" si="96"/>
        <v>250.17540614049324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2.1385942562375448</v>
      </c>
      <c r="DG95" s="21">
        <f>EXP(-LN(2)/25)*DG94+(1-EXP(-LN(2)/25))/(LN(2)/25)*Calculateur!DB95*Calculateur!DD95*VLOOKUP('Données projet'!$B$13,Paramètres!$A$1:$I$89,3,0)*0.475*44/12</f>
        <v>4.9884997250034901</v>
      </c>
      <c r="DH95" s="21">
        <f>EXP(-LN(2)/2)*DH94+(1-EXP(-LN(2)/2))/(LN(2)/2)*DB95*DE95*VLOOKUP('Données projet'!$B$13,Paramètres!$A$1:$I$89,3,0)*0.475*44/12</f>
        <v>1.0036811575922976E-8</v>
      </c>
      <c r="DI95" s="22">
        <f t="shared" si="69"/>
        <v>7.1270939912778468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-5.1159076974727213E-13</v>
      </c>
      <c r="DP95" s="17">
        <f>DO95*VLOOKUP('Données projet'!$B$14,Paramètres!$A$1:$I$89,3,0)*VLOOKUP('Données projet'!$B$14,Paramètres!$A$1:$I$89,5,0)</f>
        <v>-3.7509835237869992E-13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234.09142087023463</v>
      </c>
      <c r="DU95" s="59">
        <f t="shared" si="98"/>
        <v>278.990685815294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0.71463276981747414</v>
      </c>
      <c r="EB95" s="21">
        <f>EXP(-LN(2)/25)*EB94+(1-EXP(-LN(2)/25))/(LN(2)/25)*Calculateur!DW95*Calculateur!DY95*VLOOKUP('Données projet'!$B$14,Paramètres!$A$1:$I$89,3,0)*0.475*44/12</f>
        <v>2.7500135063423974</v>
      </c>
      <c r="EC95" s="21">
        <f>EXP(-LN(2)/2)*EC94+(1-EXP(-LN(2)/2))/(LN(2)/2)*DW95*DZ95*VLOOKUP('Données projet'!$B$14,Paramètres!$A$1:$I$89,3,0)*0.475*44/12</f>
        <v>1.0316083115320999E-8</v>
      </c>
      <c r="ED95" s="22">
        <f t="shared" si="72"/>
        <v>3.4646462864759546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259.30247982593914</v>
      </c>
      <c r="T96" s="59">
        <f t="shared" si="88"/>
        <v>275.24740346220779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3.1439288389491673</v>
      </c>
      <c r="AB96" s="21">
        <f>EXP(-LN(2)/2)*AB95+(1-EXP(-LN(2)/2))/(LN(2)/2)*V96*Y96*VLOOKUP('Données projet'!$B$9,Paramètres!$A$1:$I$89,3,0)*0.475*44/12</f>
        <v>9.4436830623146803E-9</v>
      </c>
      <c r="AC96" s="22">
        <f t="shared" si="57"/>
        <v>3.1439288483928505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7.9580786405131221E-13</v>
      </c>
      <c r="AJ96" s="13">
        <f>AI96*VLOOKUP('Données projet'!$B$10,Paramètres!$A$1:$I$89,3,0)*VLOOKUP('Données projet'!$B$10,Paramètres!$A$1:$I$89,5,0)</f>
        <v>3.8278358260868117E-13</v>
      </c>
      <c r="AK96" s="13">
        <f t="shared" si="89"/>
        <v>4.9186917125089072E-12</v>
      </c>
      <c r="AL96" s="20">
        <f t="shared" si="58"/>
        <v>9.2334028056631319E-12</v>
      </c>
      <c r="AM96" s="59">
        <f t="shared" si="59"/>
        <v>293.33333333334252</v>
      </c>
      <c r="AN96" s="59">
        <f ca="1">AVERAGE(OFFSET($AM$3,0,0,'Données projet'!$E$10+1,1))-AVERAGE(OFFSET($H$3,0,0,'Données projet'!$E$10+1,1))</f>
        <v>297.21955661193238</v>
      </c>
      <c r="AO96" s="59">
        <f t="shared" si="90"/>
        <v>273.69206144662144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1.9350106462711436</v>
      </c>
      <c r="AV96" s="21">
        <f>EXP(-LN(2)/25)*AV95+(1-EXP(-LN(2)/25))/(LN(2)/25)*Calculateur!AQ96*Calculateur!AS96*VLOOKUP('Données projet'!$B$10,Paramètres!$A$1:$I$89,3,0)*0.475*44/12</f>
        <v>2.3402292298602596</v>
      </c>
      <c r="AW96" s="21">
        <f>EXP(-LN(2)/2)*AW95+(1-EXP(-LN(2)/2))/(LN(2)/2)*AQ96*AT96*VLOOKUP('Données projet'!$B$10,Paramètres!$A$1:$I$89,3,0)*0.475*44/12</f>
        <v>6.8859993366473786E-9</v>
      </c>
      <c r="AX96" s="21">
        <f t="shared" si="60"/>
        <v>4.2752398830174023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3.6357050703372803E-14</v>
      </c>
      <c r="BF96" s="13">
        <f t="shared" si="91"/>
        <v>6.1445232567661395E-13</v>
      </c>
      <c r="BG96" s="20">
        <f t="shared" si="61"/>
        <v>1.1334929971951436E-12</v>
      </c>
      <c r="BH96" s="59">
        <f t="shared" si="62"/>
        <v>293.33333333333445</v>
      </c>
      <c r="BI96" s="59">
        <f ca="1">AVERAGE(OFFSET($BH$3,0,0,'Données projet'!$E$11+1,1))-AVERAGE(OFFSET($H$3,0,0,'Données projet'!$E$11+1,1))</f>
        <v>176.90404027101607</v>
      </c>
      <c r="BJ96" s="59">
        <f t="shared" si="92"/>
        <v>295.34177980841878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0.50941610535215454</v>
      </c>
      <c r="BQ96" s="21">
        <f>EXP(-LN(2)/25)*BQ95+(1-EXP(-LN(2)/25))/(LN(2)/25)*Calculateur!BL96*Calculateur!BN96*VLOOKUP('Données projet'!$B$11,Paramètres!$A$1:$I$89,3,0)*0.475*44/12</f>
        <v>1.4366752027437344</v>
      </c>
      <c r="BR96" s="21">
        <f>EXP(-LN(2)/2)*BR95+(1-EXP(-LN(2)/2))/(LN(2)/2)*BL96*BO96*VLOOKUP('Données projet'!$B$11,Paramètres!$A$1:$I$89,3,0)*0.475*44/12</f>
        <v>1.1097297375337668E-11</v>
      </c>
      <c r="BS96" s="22">
        <f t="shared" si="63"/>
        <v>1.9460913081069862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-5.6843418860808015E-13</v>
      </c>
      <c r="BZ96" s="13">
        <f>BY96*VLOOKUP('Données projet'!$B$12,Paramètres!$A$1:$I$89,3,0)*VLOOKUP('Données projet'!$B$12,Paramètres!$A$1:$I$89,5,0)</f>
        <v>-3.177547114319168E-13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326.31232746914907</v>
      </c>
      <c r="CE96" s="59">
        <f t="shared" si="94"/>
        <v>330.17137761430297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1.3117977579450784</v>
      </c>
      <c r="CL96" s="21">
        <f>EXP(-LN(2)/25)*CL95+(1-EXP(-LN(2)/25))/(LN(2)/25)*Calculateur!CG96*Calculateur!CI96*VLOOKUP('Données projet'!$B$12,Paramètres!$A$1:$I$89,3,0)*0.475*44/12</f>
        <v>5.2604410615823278</v>
      </c>
      <c r="CM96" s="21">
        <f>EXP(-LN(2)/2)*CM95+(1-EXP(-LN(2)/2))/(LN(2)/2)*CG96*CJ96*VLOOKUP('Données projet'!$B$12,Paramètres!$A$1:$I$89,3,0)*0.475*44/12</f>
        <v>1.0708621342239396E-8</v>
      </c>
      <c r="CN96" s="22">
        <f t="shared" si="66"/>
        <v>6.572238830236028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210.04871822652808</v>
      </c>
      <c r="CZ96" s="59">
        <f t="shared" si="96"/>
        <v>250.17540614049324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2.0966577272864226</v>
      </c>
      <c r="DG96" s="21">
        <f>EXP(-LN(2)/25)*DG95+(1-EXP(-LN(2)/25))/(LN(2)/25)*Calculateur!DB96*Calculateur!DD96*VLOOKUP('Données projet'!$B$13,Paramètres!$A$1:$I$89,3,0)*0.475*44/12</f>
        <v>4.8520889376894702</v>
      </c>
      <c r="DH96" s="21">
        <f>EXP(-LN(2)/2)*DH95+(1-EXP(-LN(2)/2))/(LN(2)/2)*DB96*DE96*VLOOKUP('Données projet'!$B$13,Paramètres!$A$1:$I$89,3,0)*0.475*44/12</f>
        <v>7.0970975268267753E-9</v>
      </c>
      <c r="DI96" s="22">
        <f t="shared" si="69"/>
        <v>6.94874667207299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-5.1159076974727213E-13</v>
      </c>
      <c r="DP96" s="17">
        <f>DO96*VLOOKUP('Données projet'!$B$14,Paramètres!$A$1:$I$89,3,0)*VLOOKUP('Données projet'!$B$14,Paramètres!$A$1:$I$89,5,0)</f>
        <v>-3.7509835237869992E-13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234.09142087023463</v>
      </c>
      <c r="DU96" s="59">
        <f t="shared" si="98"/>
        <v>278.990685815294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0.70061925708430317</v>
      </c>
      <c r="EB96" s="21">
        <f>EXP(-LN(2)/25)*EB95+(1-EXP(-LN(2)/25))/(LN(2)/25)*Calculateur!DW96*Calculateur!DY96*VLOOKUP('Données projet'!$B$14,Paramètres!$A$1:$I$89,3,0)*0.475*44/12</f>
        <v>2.6748142423945396</v>
      </c>
      <c r="EC96" s="21">
        <f>EXP(-LN(2)/2)*EC95+(1-EXP(-LN(2)/2))/(LN(2)/2)*DW96*DZ96*VLOOKUP('Données projet'!$B$14,Paramètres!$A$1:$I$89,3,0)*0.475*44/12</f>
        <v>7.294572326127524E-9</v>
      </c>
      <c r="ED96" s="22">
        <f t="shared" si="72"/>
        <v>3.3754335067734154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259.30247982593914</v>
      </c>
      <c r="T97" s="59">
        <f t="shared" si="88"/>
        <v>275.24740346220779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3.0579579395160703</v>
      </c>
      <c r="AB97" s="21">
        <f>EXP(-LN(2)/2)*AB96+(1-EXP(-LN(2)/2))/(LN(2)/2)*V97*Y97*VLOOKUP('Données projet'!$B$9,Paramètres!$A$1:$I$89,3,0)*0.475*44/12</f>
        <v>6.6776923327392518E-9</v>
      </c>
      <c r="AC97" s="22">
        <f t="shared" si="57"/>
        <v>3.0579579461937625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7.9580786405131221E-13</v>
      </c>
      <c r="AJ97" s="13">
        <f>AI97*VLOOKUP('Données projet'!$B$10,Paramètres!$A$1:$I$89,3,0)*VLOOKUP('Données projet'!$B$10,Paramètres!$A$1:$I$89,5,0)</f>
        <v>3.8278358260868117E-13</v>
      </c>
      <c r="AK97" s="13">
        <f t="shared" si="89"/>
        <v>4.9186917125089072E-12</v>
      </c>
      <c r="AL97" s="20">
        <f t="shared" si="58"/>
        <v>9.2334028056631319E-12</v>
      </c>
      <c r="AM97" s="59">
        <f t="shared" si="59"/>
        <v>293.33333333334252</v>
      </c>
      <c r="AN97" s="59">
        <f ca="1">AVERAGE(OFFSET($AM$3,0,0,'Données projet'!$E$10+1,1))-AVERAGE(OFFSET($H$3,0,0,'Données projet'!$E$10+1,1))</f>
        <v>297.21955661193238</v>
      </c>
      <c r="AO97" s="59">
        <f t="shared" si="90"/>
        <v>273.69206144662144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1.8970662677377217</v>
      </c>
      <c r="AV97" s="21">
        <f>EXP(-LN(2)/25)*AV96+(1-EXP(-LN(2)/25))/(LN(2)/25)*Calculateur!AQ97*Calculateur!AS97*VLOOKUP('Données projet'!$B$10,Paramètres!$A$1:$I$89,3,0)*0.475*44/12</f>
        <v>2.2762355385024242</v>
      </c>
      <c r="AW97" s="21">
        <f>EXP(-LN(2)/2)*AW96+(1-EXP(-LN(2)/2))/(LN(2)/2)*AQ97*AT97*VLOOKUP('Données projet'!$B$10,Paramètres!$A$1:$I$89,3,0)*0.475*44/12</f>
        <v>4.8691368261894293E-9</v>
      </c>
      <c r="AX97" s="21">
        <f t="shared" si="60"/>
        <v>4.1733018111092832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3.6357050703372803E-14</v>
      </c>
      <c r="BF97" s="13">
        <f t="shared" si="91"/>
        <v>6.1445232567661395E-13</v>
      </c>
      <c r="BG97" s="20">
        <f t="shared" si="61"/>
        <v>1.1334929971951436E-12</v>
      </c>
      <c r="BH97" s="59">
        <f t="shared" si="62"/>
        <v>293.33333333333445</v>
      </c>
      <c r="BI97" s="59">
        <f ca="1">AVERAGE(OFFSET($BH$3,0,0,'Données projet'!$E$11+1,1))-AVERAGE(OFFSET($H$3,0,0,'Données projet'!$E$11+1,1))</f>
        <v>176.90404027101607</v>
      </c>
      <c r="BJ97" s="59">
        <f t="shared" si="92"/>
        <v>295.34177980841878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0.49942676623934268</v>
      </c>
      <c r="BQ97" s="21">
        <f>EXP(-LN(2)/25)*BQ96+(1-EXP(-LN(2)/25))/(LN(2)/25)*Calculateur!BL97*Calculateur!BN97*VLOOKUP('Données projet'!$B$11,Paramètres!$A$1:$I$89,3,0)*0.475*44/12</f>
        <v>1.3973892437732416</v>
      </c>
      <c r="BR97" s="21">
        <f>EXP(-LN(2)/2)*BR96+(1-EXP(-LN(2)/2))/(LN(2)/2)*BL97*BO97*VLOOKUP('Données projet'!$B$11,Paramètres!$A$1:$I$89,3,0)*0.475*44/12</f>
        <v>7.8469742269449404E-12</v>
      </c>
      <c r="BS97" s="22">
        <f t="shared" si="63"/>
        <v>1.8968160100204314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-5.6843418860808015E-13</v>
      </c>
      <c r="BZ97" s="13">
        <f>BY97*VLOOKUP('Données projet'!$B$12,Paramètres!$A$1:$I$89,3,0)*VLOOKUP('Données projet'!$B$12,Paramètres!$A$1:$I$89,5,0)</f>
        <v>-3.177547114319168E-13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326.31232746914907</v>
      </c>
      <c r="CE97" s="59">
        <f t="shared" si="94"/>
        <v>330.17137761430297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1.2860742040294026</v>
      </c>
      <c r="CL97" s="21">
        <f>EXP(-LN(2)/25)*CL96+(1-EXP(-LN(2)/25))/(LN(2)/25)*Calculateur!CG97*Calculateur!CI97*VLOOKUP('Données projet'!$B$12,Paramètres!$A$1:$I$89,3,0)*0.475*44/12</f>
        <v>5.1165940241187862</v>
      </c>
      <c r="CM97" s="21">
        <f>EXP(-LN(2)/2)*CM96+(1-EXP(-LN(2)/2))/(LN(2)/2)*CG97*CJ97*VLOOKUP('Données projet'!$B$12,Paramètres!$A$1:$I$89,3,0)*0.475*44/12</f>
        <v>7.5721387682564654E-9</v>
      </c>
      <c r="CN97" s="22">
        <f t="shared" si="66"/>
        <v>6.4026682357203271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210.04871822652808</v>
      </c>
      <c r="CZ97" s="59">
        <f t="shared" si="96"/>
        <v>250.17540614049324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2.055543548089275</v>
      </c>
      <c r="DG97" s="21">
        <f>EXP(-LN(2)/25)*DG96+(1-EXP(-LN(2)/25))/(LN(2)/25)*Calculateur!DB97*Calculateur!DD97*VLOOKUP('Données projet'!$B$13,Paramètres!$A$1:$I$89,3,0)*0.475*44/12</f>
        <v>4.7194083105280837</v>
      </c>
      <c r="DH97" s="21">
        <f>EXP(-LN(2)/2)*DH96+(1-EXP(-LN(2)/2))/(LN(2)/2)*DB97*DE97*VLOOKUP('Données projet'!$B$13,Paramètres!$A$1:$I$89,3,0)*0.475*44/12</f>
        <v>5.0184057879614881E-9</v>
      </c>
      <c r="DI97" s="22">
        <f t="shared" si="69"/>
        <v>6.7749518636357644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-5.1159076974727213E-13</v>
      </c>
      <c r="DP97" s="17">
        <f>DO97*VLOOKUP('Données projet'!$B$14,Paramètres!$A$1:$I$89,3,0)*VLOOKUP('Données projet'!$B$14,Paramètres!$A$1:$I$89,5,0)</f>
        <v>-3.7509835237869992E-13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234.09142087023463</v>
      </c>
      <c r="DU97" s="59">
        <f t="shared" si="98"/>
        <v>278.990685815294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0.68688054078843097</v>
      </c>
      <c r="EB97" s="21">
        <f>EXP(-LN(2)/25)*EB96+(1-EXP(-LN(2)/25))/(LN(2)/25)*Calculateur!DW97*Calculateur!DY97*VLOOKUP('Données projet'!$B$14,Paramètres!$A$1:$I$89,3,0)*0.475*44/12</f>
        <v>2.6016713062738934</v>
      </c>
      <c r="EC97" s="21">
        <f>EXP(-LN(2)/2)*EC96+(1-EXP(-LN(2)/2))/(LN(2)/2)*DW97*DZ97*VLOOKUP('Données projet'!$B$14,Paramètres!$A$1:$I$89,3,0)*0.475*44/12</f>
        <v>5.1580415576605004E-9</v>
      </c>
      <c r="ED97" s="22">
        <f t="shared" si="72"/>
        <v>3.2885518522203658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259.30247982593914</v>
      </c>
      <c r="T98" s="59">
        <f t="shared" si="88"/>
        <v>275.24740346220779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2.9743379188489842</v>
      </c>
      <c r="AB98" s="21">
        <f>EXP(-LN(2)/2)*AB97+(1-EXP(-LN(2)/2))/(LN(2)/2)*V98*Y98*VLOOKUP('Données projet'!$B$9,Paramètres!$A$1:$I$89,3,0)*0.475*44/12</f>
        <v>4.7218415311573401E-9</v>
      </c>
      <c r="AC98" s="22">
        <f t="shared" si="57"/>
        <v>2.9743379235708258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7.9580786405131221E-13</v>
      </c>
      <c r="AJ98" s="13">
        <f>AI98*VLOOKUP('Données projet'!$B$10,Paramètres!$A$1:$I$89,3,0)*VLOOKUP('Données projet'!$B$10,Paramètres!$A$1:$I$89,5,0)</f>
        <v>3.8278358260868117E-13</v>
      </c>
      <c r="AK98" s="13">
        <f t="shared" si="89"/>
        <v>4.9186917125089072E-12</v>
      </c>
      <c r="AL98" s="20">
        <f t="shared" si="58"/>
        <v>9.2334028056631319E-12</v>
      </c>
      <c r="AM98" s="59">
        <f t="shared" si="59"/>
        <v>293.33333333334252</v>
      </c>
      <c r="AN98" s="59">
        <f ca="1">AVERAGE(OFFSET($AM$3,0,0,'Données projet'!$E$10+1,1))-AVERAGE(OFFSET($H$3,0,0,'Données projet'!$E$10+1,1))</f>
        <v>297.21955661193238</v>
      </c>
      <c r="AO98" s="59">
        <f t="shared" si="90"/>
        <v>273.69206144662144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1.8598659553235546</v>
      </c>
      <c r="AV98" s="21">
        <f>EXP(-LN(2)/25)*AV97+(1-EXP(-LN(2)/25))/(LN(2)/25)*Calculateur!AQ98*Calculateur!AS98*VLOOKUP('Données projet'!$B$10,Paramètres!$A$1:$I$89,3,0)*0.475*44/12</f>
        <v>2.2139917580000508</v>
      </c>
      <c r="AW98" s="21">
        <f>EXP(-LN(2)/2)*AW97+(1-EXP(-LN(2)/2))/(LN(2)/2)*AQ98*AT98*VLOOKUP('Données projet'!$B$10,Paramètres!$A$1:$I$89,3,0)*0.475*44/12</f>
        <v>3.4429996683236893E-9</v>
      </c>
      <c r="AX98" s="21">
        <f t="shared" si="60"/>
        <v>4.0738577167666046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3.6357050703372803E-14</v>
      </c>
      <c r="BF98" s="13">
        <f t="shared" si="91"/>
        <v>6.1445232567661395E-13</v>
      </c>
      <c r="BG98" s="20">
        <f t="shared" si="61"/>
        <v>1.1334929971951436E-12</v>
      </c>
      <c r="BH98" s="59">
        <f t="shared" si="62"/>
        <v>293.33333333333445</v>
      </c>
      <c r="BI98" s="59">
        <f ca="1">AVERAGE(OFFSET($BH$3,0,0,'Données projet'!$E$11+1,1))-AVERAGE(OFFSET($H$3,0,0,'Données projet'!$E$11+1,1))</f>
        <v>176.90404027101607</v>
      </c>
      <c r="BJ98" s="59">
        <f t="shared" si="92"/>
        <v>295.34177980841878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0.4896333119736378</v>
      </c>
      <c r="BQ98" s="21">
        <f>EXP(-LN(2)/25)*BQ97+(1-EXP(-LN(2)/25))/(LN(2)/25)*Calculateur!BL98*Calculateur!BN98*VLOOKUP('Données projet'!$B$11,Paramètres!$A$1:$I$89,3,0)*0.475*44/12</f>
        <v>1.3591775614167558</v>
      </c>
      <c r="BR98" s="21">
        <f>EXP(-LN(2)/2)*BR97+(1-EXP(-LN(2)/2))/(LN(2)/2)*BL98*BO98*VLOOKUP('Données projet'!$B$11,Paramètres!$A$1:$I$89,3,0)*0.475*44/12</f>
        <v>5.5486486876688339E-12</v>
      </c>
      <c r="BS98" s="22">
        <f t="shared" si="63"/>
        <v>1.8488108733959423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-5.6843418860808015E-13</v>
      </c>
      <c r="BZ98" s="13">
        <f>BY98*VLOOKUP('Données projet'!$B$12,Paramètres!$A$1:$I$89,3,0)*VLOOKUP('Données projet'!$B$12,Paramètres!$A$1:$I$89,5,0)</f>
        <v>-3.177547114319168E-13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326.31232746914907</v>
      </c>
      <c r="CE98" s="59">
        <f t="shared" si="94"/>
        <v>330.17137761430297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1.2608550733161947</v>
      </c>
      <c r="CL98" s="21">
        <f>EXP(-LN(2)/25)*CL97+(1-EXP(-LN(2)/25))/(LN(2)/25)*Calculateur!CG98*Calculateur!CI98*VLOOKUP('Données projet'!$B$12,Paramètres!$A$1:$I$89,3,0)*0.475*44/12</f>
        <v>4.9766804914592724</v>
      </c>
      <c r="CM98" s="21">
        <f>EXP(-LN(2)/2)*CM97+(1-EXP(-LN(2)/2))/(LN(2)/2)*CG98*CJ98*VLOOKUP('Données projet'!$B$12,Paramètres!$A$1:$I$89,3,0)*0.475*44/12</f>
        <v>5.3543106711196979E-9</v>
      </c>
      <c r="CN98" s="22">
        <f t="shared" si="66"/>
        <v>6.2375355701297774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210.04871822652808</v>
      </c>
      <c r="CZ98" s="59">
        <f t="shared" si="96"/>
        <v>250.17540614049324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2.0152355928690104</v>
      </c>
      <c r="DG98" s="21">
        <f>EXP(-LN(2)/25)*DG97+(1-EXP(-LN(2)/25))/(LN(2)/25)*Calculateur!DB98*Calculateur!DD98*VLOOKUP('Données projet'!$B$13,Paramètres!$A$1:$I$89,3,0)*0.475*44/12</f>
        <v>4.5903558420937962</v>
      </c>
      <c r="DH98" s="21">
        <f>EXP(-LN(2)/2)*DH97+(1-EXP(-LN(2)/2))/(LN(2)/2)*DB98*DE98*VLOOKUP('Données projet'!$B$13,Paramètres!$A$1:$I$89,3,0)*0.475*44/12</f>
        <v>3.5485487634133877E-9</v>
      </c>
      <c r="DI98" s="22">
        <f t="shared" si="69"/>
        <v>6.6055914385113557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-5.1159076974727213E-13</v>
      </c>
      <c r="DP98" s="17">
        <f>DO98*VLOOKUP('Données projet'!$B$14,Paramètres!$A$1:$I$89,3,0)*VLOOKUP('Données projet'!$B$14,Paramètres!$A$1:$I$89,5,0)</f>
        <v>-3.7509835237869992E-13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234.09142087023463</v>
      </c>
      <c r="DU98" s="59">
        <f t="shared" si="98"/>
        <v>278.990685815294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0.67341123233933131</v>
      </c>
      <c r="EB98" s="21">
        <f>EXP(-LN(2)/25)*EB97+(1-EXP(-LN(2)/25))/(LN(2)/25)*Calculateur!DW98*Calculateur!DY98*VLOOKUP('Données projet'!$B$14,Paramètres!$A$1:$I$89,3,0)*0.475*44/12</f>
        <v>2.5305284675878861</v>
      </c>
      <c r="EC98" s="21">
        <f>EXP(-LN(2)/2)*EC97+(1-EXP(-LN(2)/2))/(LN(2)/2)*DW98*DZ98*VLOOKUP('Données projet'!$B$14,Paramètres!$A$1:$I$89,3,0)*0.475*44/12</f>
        <v>3.6472861630637624E-9</v>
      </c>
      <c r="ED98" s="22">
        <f t="shared" si="72"/>
        <v>3.2039397035745036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259.30247982593914</v>
      </c>
      <c r="T99" s="59">
        <f t="shared" si="88"/>
        <v>275.24740346220779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2.8930044920444256</v>
      </c>
      <c r="AB99" s="21">
        <f>EXP(-LN(2)/2)*AB98+(1-EXP(-LN(2)/2))/(LN(2)/2)*V99*Y99*VLOOKUP('Données projet'!$B$9,Paramètres!$A$1:$I$89,3,0)*0.475*44/12</f>
        <v>3.3388461663696259E-9</v>
      </c>
      <c r="AC99" s="22">
        <f t="shared" si="57"/>
        <v>2.8930044953832716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7.9580786405131221E-13</v>
      </c>
      <c r="AJ99" s="13">
        <f>AI99*VLOOKUP('Données projet'!$B$10,Paramètres!$A$1:$I$89,3,0)*VLOOKUP('Données projet'!$B$10,Paramètres!$A$1:$I$89,5,0)</f>
        <v>3.8278358260868117E-13</v>
      </c>
      <c r="AK99" s="13">
        <f t="shared" si="89"/>
        <v>4.9186917125089072E-12</v>
      </c>
      <c r="AL99" s="20">
        <f t="shared" si="58"/>
        <v>9.2334028056631319E-12</v>
      </c>
      <c r="AM99" s="59">
        <f t="shared" si="59"/>
        <v>293.33333333334252</v>
      </c>
      <c r="AN99" s="59">
        <f ca="1">AVERAGE(OFFSET($AM$3,0,0,'Données projet'!$E$10+1,1))-AVERAGE(OFFSET($H$3,0,0,'Données projet'!$E$10+1,1))</f>
        <v>297.21955661193238</v>
      </c>
      <c r="AO99" s="59">
        <f t="shared" si="90"/>
        <v>273.69206144662144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1.8233951183458792</v>
      </c>
      <c r="AV99" s="21">
        <f>EXP(-LN(2)/25)*AV98+(1-EXP(-LN(2)/25))/(LN(2)/25)*Calculateur!AQ99*Calculateur!AS99*VLOOKUP('Données projet'!$B$10,Paramètres!$A$1:$I$89,3,0)*0.475*44/12</f>
        <v>2.1534500369487728</v>
      </c>
      <c r="AW99" s="21">
        <f>EXP(-LN(2)/2)*AW98+(1-EXP(-LN(2)/2))/(LN(2)/2)*AQ99*AT99*VLOOKUP('Données projet'!$B$10,Paramètres!$A$1:$I$89,3,0)*0.475*44/12</f>
        <v>2.4345684130947146E-9</v>
      </c>
      <c r="AX99" s="21">
        <f t="shared" si="60"/>
        <v>3.9768451577292203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3.6357050703372803E-14</v>
      </c>
      <c r="BF99" s="13">
        <f t="shared" si="91"/>
        <v>6.1445232567661395E-13</v>
      </c>
      <c r="BG99" s="20">
        <f t="shared" si="61"/>
        <v>1.1334929971951436E-12</v>
      </c>
      <c r="BH99" s="59">
        <f t="shared" si="62"/>
        <v>293.33333333333445</v>
      </c>
      <c r="BI99" s="59">
        <f ca="1">AVERAGE(OFFSET($BH$3,0,0,'Données projet'!$E$11+1,1))-AVERAGE(OFFSET($H$3,0,0,'Données projet'!$E$11+1,1))</f>
        <v>176.90404027101607</v>
      </c>
      <c r="BJ99" s="59">
        <f t="shared" si="92"/>
        <v>295.34177980841878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0.48003190137266616</v>
      </c>
      <c r="BQ99" s="21">
        <f>EXP(-LN(2)/25)*BQ98+(1-EXP(-LN(2)/25))/(LN(2)/25)*Calculateur!BL99*Calculateur!BN99*VLOOKUP('Données projet'!$B$11,Paramètres!$A$1:$I$89,3,0)*0.475*44/12</f>
        <v>1.3220107795237732</v>
      </c>
      <c r="BR99" s="21">
        <f>EXP(-LN(2)/2)*BR98+(1-EXP(-LN(2)/2))/(LN(2)/2)*BL99*BO99*VLOOKUP('Données projet'!$B$11,Paramètres!$A$1:$I$89,3,0)*0.475*44/12</f>
        <v>3.9234871134724702E-12</v>
      </c>
      <c r="BS99" s="22">
        <f t="shared" si="63"/>
        <v>1.8020426809003629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-5.6843418860808015E-13</v>
      </c>
      <c r="BZ99" s="13">
        <f>BY99*VLOOKUP('Données projet'!$B$12,Paramètres!$A$1:$I$89,3,0)*VLOOKUP('Données projet'!$B$12,Paramètres!$A$1:$I$89,5,0)</f>
        <v>-3.177547114319168E-13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326.31232746914907</v>
      </c>
      <c r="CE99" s="59">
        <f t="shared" si="94"/>
        <v>330.17137761430297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1.2361304743741219</v>
      </c>
      <c r="CL99" s="21">
        <f>EXP(-LN(2)/25)*CL98+(1-EXP(-LN(2)/25))/(LN(2)/25)*Calculateur!CG99*Calculateur!CI99*VLOOKUP('Données projet'!$B$12,Paramètres!$A$1:$I$89,3,0)*0.475*44/12</f>
        <v>4.8405929017080656</v>
      </c>
      <c r="CM99" s="21">
        <f>EXP(-LN(2)/2)*CM98+(1-EXP(-LN(2)/2))/(LN(2)/2)*CG99*CJ99*VLOOKUP('Données projet'!$B$12,Paramètres!$A$1:$I$89,3,0)*0.475*44/12</f>
        <v>3.7860693841282327E-9</v>
      </c>
      <c r="CN99" s="22">
        <f t="shared" si="66"/>
        <v>6.0767233798682563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210.04871822652808</v>
      </c>
      <c r="CZ99" s="59">
        <f t="shared" si="96"/>
        <v>250.17540614049324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1.97571805206519</v>
      </c>
      <c r="DG99" s="21">
        <f>EXP(-LN(2)/25)*DG98+(1-EXP(-LN(2)/25))/(LN(2)/25)*Calculateur!DB99*Calculateur!DD99*VLOOKUP('Données projet'!$B$13,Paramètres!$A$1:$I$89,3,0)*0.475*44/12</f>
        <v>4.464832320195419</v>
      </c>
      <c r="DH99" s="21">
        <f>EXP(-LN(2)/2)*DH98+(1-EXP(-LN(2)/2))/(LN(2)/2)*DB99*DE99*VLOOKUP('Données projet'!$B$13,Paramètres!$A$1:$I$89,3,0)*0.475*44/12</f>
        <v>2.5092028939807441E-9</v>
      </c>
      <c r="DI99" s="22">
        <f t="shared" si="69"/>
        <v>6.4405503747698116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-5.1159076974727213E-13</v>
      </c>
      <c r="DP99" s="17">
        <f>DO99*VLOOKUP('Données projet'!$B$14,Paramètres!$A$1:$I$89,3,0)*VLOOKUP('Données projet'!$B$14,Paramètres!$A$1:$I$89,5,0)</f>
        <v>-3.7509835237869992E-13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234.09142087023463</v>
      </c>
      <c r="DU99" s="59">
        <f t="shared" si="98"/>
        <v>278.990685815294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0.66020604881345146</v>
      </c>
      <c r="EB99" s="21">
        <f>EXP(-LN(2)/25)*EB98+(1-EXP(-LN(2)/25))/(LN(2)/25)*Calculateur!DW99*Calculateur!DY99*VLOOKUP('Données projet'!$B$14,Paramètres!$A$1:$I$89,3,0)*0.475*44/12</f>
        <v>2.4613310335669869</v>
      </c>
      <c r="EC99" s="21">
        <f>EXP(-LN(2)/2)*EC98+(1-EXP(-LN(2)/2))/(LN(2)/2)*DW99*DZ99*VLOOKUP('Données projet'!$B$14,Paramètres!$A$1:$I$89,3,0)*0.475*44/12</f>
        <v>2.5790207788302506E-9</v>
      </c>
      <c r="ED99" s="22">
        <f t="shared" si="72"/>
        <v>3.1215370849594595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259.30247982593914</v>
      </c>
      <c r="T100" s="59">
        <f t="shared" si="88"/>
        <v>275.24740346220779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2.8138951320729766</v>
      </c>
      <c r="AB100" s="21">
        <f>EXP(-LN(2)/2)*AB99+(1-EXP(-LN(2)/2))/(LN(2)/2)*V100*Y100*VLOOKUP('Données projet'!$B$9,Paramètres!$A$1:$I$89,3,0)*0.475*44/12</f>
        <v>2.3609207655786701E-9</v>
      </c>
      <c r="AC100" s="22">
        <f t="shared" si="57"/>
        <v>2.8138951344338974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7.9580786405131221E-13</v>
      </c>
      <c r="AJ100" s="13">
        <f>AI100*VLOOKUP('Données projet'!$B$10,Paramètres!$A$1:$I$89,3,0)*VLOOKUP('Données projet'!$B$10,Paramètres!$A$1:$I$89,5,0)</f>
        <v>3.8278358260868117E-13</v>
      </c>
      <c r="AK100" s="13">
        <f t="shared" si="89"/>
        <v>4.9186917125089072E-12</v>
      </c>
      <c r="AL100" s="20">
        <f t="shared" si="58"/>
        <v>9.2334028056631319E-12</v>
      </c>
      <c r="AM100" s="59">
        <f t="shared" si="59"/>
        <v>293.33333333334252</v>
      </c>
      <c r="AN100" s="59">
        <f ca="1">AVERAGE(OFFSET($AM$3,0,0,'Données projet'!$E$10+1,1))-AVERAGE(OFFSET($H$3,0,0,'Données projet'!$E$10+1,1))</f>
        <v>297.21955661193238</v>
      </c>
      <c r="AO100" s="59">
        <f t="shared" si="90"/>
        <v>273.69206144662144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1.7876394522363219</v>
      </c>
      <c r="AV100" s="21">
        <f>EXP(-LN(2)/25)*AV99+(1-EXP(-LN(2)/25))/(LN(2)/25)*Calculateur!AQ100*Calculateur!AS100*VLOOKUP('Données projet'!$B$10,Paramètres!$A$1:$I$89,3,0)*0.475*44/12</f>
        <v>2.0945638324433928</v>
      </c>
      <c r="AW100" s="21">
        <f>EXP(-LN(2)/2)*AW99+(1-EXP(-LN(2)/2))/(LN(2)/2)*AQ100*AT100*VLOOKUP('Données projet'!$B$10,Paramètres!$A$1:$I$89,3,0)*0.475*44/12</f>
        <v>1.7214998341618447E-9</v>
      </c>
      <c r="AX100" s="21">
        <f t="shared" si="60"/>
        <v>3.8822032864012148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3.6357050703372803E-14</v>
      </c>
      <c r="BF100" s="13">
        <f t="shared" si="91"/>
        <v>6.1445232567661395E-13</v>
      </c>
      <c r="BG100" s="20">
        <f t="shared" si="61"/>
        <v>1.1334929971951436E-12</v>
      </c>
      <c r="BH100" s="59">
        <f t="shared" si="62"/>
        <v>293.33333333333445</v>
      </c>
      <c r="BI100" s="59">
        <f ca="1">AVERAGE(OFFSET($BH$3,0,0,'Données projet'!$E$11+1,1))-AVERAGE(OFFSET($H$3,0,0,'Données projet'!$E$11+1,1))</f>
        <v>176.90404027101607</v>
      </c>
      <c r="BJ100" s="59">
        <f t="shared" si="92"/>
        <v>295.34177980841878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0.47061876857729734</v>
      </c>
      <c r="BQ100" s="21">
        <f>EXP(-LN(2)/25)*BQ99+(1-EXP(-LN(2)/25))/(LN(2)/25)*Calculateur!BL100*Calculateur!BN100*VLOOKUP('Données projet'!$B$11,Paramètres!$A$1:$I$89,3,0)*0.475*44/12</f>
        <v>1.2858603252361702</v>
      </c>
      <c r="BR100" s="21">
        <f>EXP(-LN(2)/2)*BR99+(1-EXP(-LN(2)/2))/(LN(2)/2)*BL100*BO100*VLOOKUP('Données projet'!$B$11,Paramètres!$A$1:$I$89,3,0)*0.475*44/12</f>
        <v>2.774324343834417E-12</v>
      </c>
      <c r="BS100" s="22">
        <f t="shared" si="63"/>
        <v>1.7564790938162418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-5.6843418860808015E-13</v>
      </c>
      <c r="BZ100" s="13">
        <f>BY100*VLOOKUP('Données projet'!$B$12,Paramètres!$A$1:$I$89,3,0)*VLOOKUP('Données projet'!$B$12,Paramètres!$A$1:$I$89,5,0)</f>
        <v>-3.177547114319168E-13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326.31232746914907</v>
      </c>
      <c r="CE100" s="59">
        <f t="shared" si="94"/>
        <v>330.17137761430297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1.2118907097367868</v>
      </c>
      <c r="CL100" s="21">
        <f>EXP(-LN(2)/25)*CL99+(1-EXP(-LN(2)/25))/(LN(2)/25)*Calculateur!CG100*Calculateur!CI100*VLOOKUP('Données projet'!$B$12,Paramètres!$A$1:$I$89,3,0)*0.475*44/12</f>
        <v>4.7082266342551415</v>
      </c>
      <c r="CM100" s="21">
        <f>EXP(-LN(2)/2)*CM99+(1-EXP(-LN(2)/2))/(LN(2)/2)*CG100*CJ100*VLOOKUP('Données projet'!$B$12,Paramètres!$A$1:$I$89,3,0)*0.475*44/12</f>
        <v>2.677155335559849E-9</v>
      </c>
      <c r="CN100" s="22">
        <f t="shared" si="66"/>
        <v>5.920117346669084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210.04871822652808</v>
      </c>
      <c r="CZ100" s="59">
        <f t="shared" si="96"/>
        <v>250.17540614049324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1.9369754261332128</v>
      </c>
      <c r="DG100" s="21">
        <f>EXP(-LN(2)/25)*DG99+(1-EXP(-LN(2)/25))/(LN(2)/25)*Calculateur!DB100*Calculateur!DD100*VLOOKUP('Données projet'!$B$13,Paramètres!$A$1:$I$89,3,0)*0.475*44/12</f>
        <v>4.3427412456043477</v>
      </c>
      <c r="DH100" s="21">
        <f>EXP(-LN(2)/2)*DH99+(1-EXP(-LN(2)/2))/(LN(2)/2)*DB100*DE100*VLOOKUP('Données projet'!$B$13,Paramètres!$A$1:$I$89,3,0)*0.475*44/12</f>
        <v>1.7742743817066938E-9</v>
      </c>
      <c r="DI100" s="22">
        <f t="shared" si="69"/>
        <v>6.2797166735118344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-5.1159076974727213E-13</v>
      </c>
      <c r="DP100" s="17">
        <f>DO100*VLOOKUP('Données projet'!$B$14,Paramètres!$A$1:$I$89,3,0)*VLOOKUP('Données projet'!$B$14,Paramètres!$A$1:$I$89,5,0)</f>
        <v>-3.7509835237869992E-13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234.09142087023463</v>
      </c>
      <c r="DU100" s="59">
        <f t="shared" si="98"/>
        <v>278.990685815294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0.64725981088214757</v>
      </c>
      <c r="EB100" s="21">
        <f>EXP(-LN(2)/25)*EB99+(1-EXP(-LN(2)/25))/(LN(2)/25)*Calculateur!DW100*Calculateur!DY100*VLOOKUP('Données projet'!$B$14,Paramètres!$A$1:$I$89,3,0)*0.475*44/12</f>
        <v>2.3940258070183242</v>
      </c>
      <c r="EC100" s="21">
        <f>EXP(-LN(2)/2)*EC99+(1-EXP(-LN(2)/2))/(LN(2)/2)*DW100*DZ100*VLOOKUP('Données projet'!$B$14,Paramètres!$A$1:$I$89,3,0)*0.475*44/12</f>
        <v>1.8236430815318816E-9</v>
      </c>
      <c r="ED100" s="22">
        <f t="shared" si="72"/>
        <v>3.0412856197241149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259.30247982593914</v>
      </c>
      <c r="T101" s="59">
        <f t="shared" si="88"/>
        <v>275.24740346220779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2.7369490217101271</v>
      </c>
      <c r="AB101" s="21">
        <f>EXP(-LN(2)/2)*AB100+(1-EXP(-LN(2)/2))/(LN(2)/2)*V101*Y101*VLOOKUP('Données projet'!$B$9,Paramètres!$A$1:$I$89,3,0)*0.475*44/12</f>
        <v>1.6694230831848129E-9</v>
      </c>
      <c r="AC101" s="22">
        <f t="shared" si="57"/>
        <v>2.7369490233795504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7.9580786405131221E-13</v>
      </c>
      <c r="AJ101" s="13">
        <f>AI101*VLOOKUP('Données projet'!$B$10,Paramètres!$A$1:$I$89,3,0)*VLOOKUP('Données projet'!$B$10,Paramètres!$A$1:$I$89,5,0)</f>
        <v>3.8278358260868117E-13</v>
      </c>
      <c r="AK101" s="13">
        <f t="shared" si="89"/>
        <v>4.9186917125089072E-12</v>
      </c>
      <c r="AL101" s="20">
        <f t="shared" si="58"/>
        <v>9.2334028056631319E-12</v>
      </c>
      <c r="AM101" s="59">
        <f t="shared" si="59"/>
        <v>293.33333333334252</v>
      </c>
      <c r="AN101" s="59">
        <f ca="1">AVERAGE(OFFSET($AM$3,0,0,'Données projet'!$E$10+1,1))-AVERAGE(OFFSET($H$3,0,0,'Données projet'!$E$10+1,1))</f>
        <v>297.21955661193238</v>
      </c>
      <c r="AO101" s="59">
        <f t="shared" si="90"/>
        <v>273.69206144662144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1.7525849329303702</v>
      </c>
      <c r="AV101" s="21">
        <f>EXP(-LN(2)/25)*AV100+(1-EXP(-LN(2)/25))/(LN(2)/25)*Calculateur!AQ101*Calculateur!AS101*VLOOKUP('Données projet'!$B$10,Paramètres!$A$1:$I$89,3,0)*0.475*44/12</f>
        <v>2.0372878742969034</v>
      </c>
      <c r="AW101" s="21">
        <f>EXP(-LN(2)/2)*AW100+(1-EXP(-LN(2)/2))/(LN(2)/2)*AQ101*AT101*VLOOKUP('Données projet'!$B$10,Paramètres!$A$1:$I$89,3,0)*0.475*44/12</f>
        <v>1.2172842065473573E-9</v>
      </c>
      <c r="AX101" s="21">
        <f t="shared" si="60"/>
        <v>3.7898728084445574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3.6357050703372803E-14</v>
      </c>
      <c r="BF101" s="13">
        <f t="shared" si="91"/>
        <v>6.1445232567661395E-13</v>
      </c>
      <c r="BG101" s="20">
        <f t="shared" si="61"/>
        <v>1.1334929971951436E-12</v>
      </c>
      <c r="BH101" s="59">
        <f t="shared" si="62"/>
        <v>293.33333333333445</v>
      </c>
      <c r="BI101" s="59">
        <f ca="1">AVERAGE(OFFSET($BH$3,0,0,'Données projet'!$E$11+1,1))-AVERAGE(OFFSET($H$3,0,0,'Données projet'!$E$11+1,1))</f>
        <v>176.90404027101607</v>
      </c>
      <c r="BJ101" s="59">
        <f t="shared" si="92"/>
        <v>295.34177980841878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0.46139022157460163</v>
      </c>
      <c r="BQ101" s="21">
        <f>EXP(-LN(2)/25)*BQ100+(1-EXP(-LN(2)/25))/(LN(2)/25)*Calculateur!BL101*Calculateur!BN101*VLOOKUP('Données projet'!$B$11,Paramètres!$A$1:$I$89,3,0)*0.475*44/12</f>
        <v>1.2506984070221314</v>
      </c>
      <c r="BR101" s="21">
        <f>EXP(-LN(2)/2)*BR100+(1-EXP(-LN(2)/2))/(LN(2)/2)*BL101*BO101*VLOOKUP('Données projet'!$B$11,Paramètres!$A$1:$I$89,3,0)*0.475*44/12</f>
        <v>1.9617435567362351E-12</v>
      </c>
      <c r="BS101" s="22">
        <f t="shared" si="63"/>
        <v>1.7120886285986947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-5.6843418860808015E-13</v>
      </c>
      <c r="BZ101" s="13">
        <f>BY101*VLOOKUP('Données projet'!$B$12,Paramètres!$A$1:$I$89,3,0)*VLOOKUP('Données projet'!$B$12,Paramètres!$A$1:$I$89,5,0)</f>
        <v>-3.177547114319168E-13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326.31232746914907</v>
      </c>
      <c r="CE101" s="59">
        <f t="shared" si="94"/>
        <v>330.17137761430297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1.1881262720991934</v>
      </c>
      <c r="CL101" s="21">
        <f>EXP(-LN(2)/25)*CL100+(1-EXP(-LN(2)/25))/(LN(2)/25)*Calculateur!CG101*Calculateur!CI101*VLOOKUP('Données projet'!$B$12,Paramètres!$A$1:$I$89,3,0)*0.475*44/12</f>
        <v>4.5794799293465571</v>
      </c>
      <c r="CM101" s="21">
        <f>EXP(-LN(2)/2)*CM100+(1-EXP(-LN(2)/2))/(LN(2)/2)*CG101*CJ101*VLOOKUP('Données projet'!$B$12,Paramètres!$A$1:$I$89,3,0)*0.475*44/12</f>
        <v>1.8930346920641163E-9</v>
      </c>
      <c r="CN101" s="22">
        <f t="shared" si="66"/>
        <v>5.7676062033387856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210.04871822652808</v>
      </c>
      <c r="CZ101" s="59">
        <f t="shared" si="96"/>
        <v>250.17540614049324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1.8989925194650932</v>
      </c>
      <c r="DG101" s="21">
        <f>EXP(-LN(2)/25)*DG100+(1-EXP(-LN(2)/25))/(LN(2)/25)*Calculateur!DB101*Calculateur!DD101*VLOOKUP('Données projet'!$B$13,Paramètres!$A$1:$I$89,3,0)*0.475*44/12</f>
        <v>4.2239887578684598</v>
      </c>
      <c r="DH101" s="21">
        <f>EXP(-LN(2)/2)*DH100+(1-EXP(-LN(2)/2))/(LN(2)/2)*DB101*DE101*VLOOKUP('Données projet'!$B$13,Paramètres!$A$1:$I$89,3,0)*0.475*44/12</f>
        <v>1.254601446990372E-9</v>
      </c>
      <c r="DI101" s="22">
        <f t="shared" si="69"/>
        <v>6.1229812785881546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-5.1159076974727213E-13</v>
      </c>
      <c r="DP101" s="17">
        <f>DO101*VLOOKUP('Données projet'!$B$14,Paramètres!$A$1:$I$89,3,0)*VLOOKUP('Données projet'!$B$14,Paramètres!$A$1:$I$89,5,0)</f>
        <v>-3.7509835237869992E-13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234.09142087023463</v>
      </c>
      <c r="DU101" s="59">
        <f t="shared" si="98"/>
        <v>278.990685815294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0.63456744078025107</v>
      </c>
      <c r="EB101" s="21">
        <f>EXP(-LN(2)/25)*EB100+(1-EXP(-LN(2)/25))/(LN(2)/25)*Calculateur!DW101*Calculateur!DY101*VLOOKUP('Données projet'!$B$14,Paramètres!$A$1:$I$89,3,0)*0.475*44/12</f>
        <v>2.3285610454290624</v>
      </c>
      <c r="EC101" s="21">
        <f>EXP(-LN(2)/2)*EC100+(1-EXP(-LN(2)/2))/(LN(2)/2)*DW101*DZ101*VLOOKUP('Données projet'!$B$14,Paramètres!$A$1:$I$89,3,0)*0.475*44/12</f>
        <v>1.2895103894151255E-9</v>
      </c>
      <c r="ED101" s="22">
        <f t="shared" si="72"/>
        <v>2.9631284874988237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259.30247982593914</v>
      </c>
      <c r="T102" s="59">
        <f t="shared" si="88"/>
        <v>275.24740346220779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2.6621070067815702</v>
      </c>
      <c r="AB102" s="21">
        <f>EXP(-LN(2)/2)*AB101+(1-EXP(-LN(2)/2))/(LN(2)/2)*V102*Y102*VLOOKUP('Données projet'!$B$9,Paramètres!$A$1:$I$89,3,0)*0.475*44/12</f>
        <v>1.180460382789335E-9</v>
      </c>
      <c r="AC102" s="22">
        <f t="shared" si="57"/>
        <v>2.6621070079620304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7.9580786405131221E-13</v>
      </c>
      <c r="AJ102" s="13">
        <f>AI102*VLOOKUP('Données projet'!$B$10,Paramètres!$A$1:$I$89,3,0)*VLOOKUP('Données projet'!$B$10,Paramètres!$A$1:$I$89,5,0)</f>
        <v>3.8278358260868117E-13</v>
      </c>
      <c r="AK102" s="13">
        <f t="shared" si="89"/>
        <v>4.9186917125089072E-12</v>
      </c>
      <c r="AL102" s="20">
        <f t="shared" si="58"/>
        <v>9.2334028056631319E-12</v>
      </c>
      <c r="AM102" s="59">
        <f t="shared" si="59"/>
        <v>293.33333333334252</v>
      </c>
      <c r="AN102" s="59">
        <f ca="1">AVERAGE(OFFSET($AM$3,0,0,'Données projet'!$E$10+1,1))-AVERAGE(OFFSET($H$3,0,0,'Données projet'!$E$10+1,1))</f>
        <v>297.21955661193238</v>
      </c>
      <c r="AO102" s="59">
        <f t="shared" si="90"/>
        <v>273.69206144662144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1.7182178113668627</v>
      </c>
      <c r="AV102" s="21">
        <f>EXP(-LN(2)/25)*AV101+(1-EXP(-LN(2)/25))/(LN(2)/25)*Calculateur!AQ102*Calculateur!AS102*VLOOKUP('Données projet'!$B$10,Paramètres!$A$1:$I$89,3,0)*0.475*44/12</f>
        <v>1.9815781302379416</v>
      </c>
      <c r="AW102" s="21">
        <f>EXP(-LN(2)/2)*AW101+(1-EXP(-LN(2)/2))/(LN(2)/2)*AQ102*AT102*VLOOKUP('Données projet'!$B$10,Paramètres!$A$1:$I$89,3,0)*0.475*44/12</f>
        <v>8.6074991708092233E-10</v>
      </c>
      <c r="AX102" s="21">
        <f t="shared" si="60"/>
        <v>3.6997959424655544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3.6357050703372803E-14</v>
      </c>
      <c r="BF102" s="13">
        <f t="shared" si="91"/>
        <v>6.1445232567661395E-13</v>
      </c>
      <c r="BG102" s="20">
        <f t="shared" si="61"/>
        <v>1.1334929971951436E-12</v>
      </c>
      <c r="BH102" s="59">
        <f t="shared" si="62"/>
        <v>293.33333333333445</v>
      </c>
      <c r="BI102" s="59">
        <f ca="1">AVERAGE(OFFSET($BH$3,0,0,'Données projet'!$E$11+1,1))-AVERAGE(OFFSET($H$3,0,0,'Données projet'!$E$11+1,1))</f>
        <v>176.90404027101607</v>
      </c>
      <c r="BJ102" s="59">
        <f t="shared" si="92"/>
        <v>295.34177980841878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0.45234264074977093</v>
      </c>
      <c r="BQ102" s="21">
        <f>EXP(-LN(2)/25)*BQ101+(1-EXP(-LN(2)/25))/(LN(2)/25)*Calculateur!BL102*Calculateur!BN102*VLOOKUP('Données projet'!$B$11,Paramètres!$A$1:$I$89,3,0)*0.475*44/12</f>
        <v>1.2164979933107405</v>
      </c>
      <c r="BR102" s="21">
        <f>EXP(-LN(2)/2)*BR101+(1-EXP(-LN(2)/2))/(LN(2)/2)*BL102*BO102*VLOOKUP('Données projet'!$B$11,Paramètres!$A$1:$I$89,3,0)*0.475*44/12</f>
        <v>1.3871621719172085E-12</v>
      </c>
      <c r="BS102" s="22">
        <f t="shared" si="63"/>
        <v>1.6688406340618986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-5.6843418860808015E-13</v>
      </c>
      <c r="BZ102" s="13">
        <f>BY102*VLOOKUP('Données projet'!$B$12,Paramètres!$A$1:$I$89,3,0)*VLOOKUP('Données projet'!$B$12,Paramètres!$A$1:$I$89,5,0)</f>
        <v>-3.177547114319168E-13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326.31232746914907</v>
      </c>
      <c r="CE102" s="59">
        <f t="shared" si="94"/>
        <v>330.17137761430297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1.1648278405887975</v>
      </c>
      <c r="CL102" s="21">
        <f>EXP(-LN(2)/25)*CL101+(1-EXP(-LN(2)/25))/(LN(2)/25)*Calculateur!CG102*Calculateur!CI102*VLOOKUP('Données projet'!$B$12,Paramètres!$A$1:$I$89,3,0)*0.475*44/12</f>
        <v>4.4542538098541922</v>
      </c>
      <c r="CM102" s="21">
        <f>EXP(-LN(2)/2)*CM101+(1-EXP(-LN(2)/2))/(LN(2)/2)*CG102*CJ102*VLOOKUP('Données projet'!$B$12,Paramètres!$A$1:$I$89,3,0)*0.475*44/12</f>
        <v>1.3385776677799245E-9</v>
      </c>
      <c r="CN102" s="22">
        <f t="shared" si="66"/>
        <v>5.6190816517815669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210.04871822652808</v>
      </c>
      <c r="CZ102" s="59">
        <f t="shared" si="96"/>
        <v>250.17540614049324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1.8617544344294499</v>
      </c>
      <c r="DG102" s="21">
        <f>EXP(-LN(2)/25)*DG101+(1-EXP(-LN(2)/25))/(LN(2)/25)*Calculateur!DB102*Calculateur!DD102*VLOOKUP('Données projet'!$B$13,Paramètres!$A$1:$I$89,3,0)*0.475*44/12</f>
        <v>4.1084835631546319</v>
      </c>
      <c r="DH102" s="21">
        <f>EXP(-LN(2)/2)*DH101+(1-EXP(-LN(2)/2))/(LN(2)/2)*DB102*DE102*VLOOKUP('Données projet'!$B$13,Paramètres!$A$1:$I$89,3,0)*0.475*44/12</f>
        <v>8.8713719085334691E-10</v>
      </c>
      <c r="DI102" s="22">
        <f t="shared" si="69"/>
        <v>5.9702379984712195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-5.1159076974727213E-13</v>
      </c>
      <c r="DP102" s="17">
        <f>DO102*VLOOKUP('Données projet'!$B$14,Paramètres!$A$1:$I$89,3,0)*VLOOKUP('Données projet'!$B$14,Paramètres!$A$1:$I$89,5,0)</f>
        <v>-3.7509835237869992E-13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234.09142087023463</v>
      </c>
      <c r="DU102" s="59">
        <f t="shared" si="98"/>
        <v>278.990685815294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0.62212396031447137</v>
      </c>
      <c r="EB102" s="21">
        <f>EXP(-LN(2)/25)*EB101+(1-EXP(-LN(2)/25))/(LN(2)/25)*Calculateur!DW102*Calculateur!DY102*VLOOKUP('Données projet'!$B$14,Paramètres!$A$1:$I$89,3,0)*0.475*44/12</f>
        <v>2.2648864211881015</v>
      </c>
      <c r="EC102" s="21">
        <f>EXP(-LN(2)/2)*EC101+(1-EXP(-LN(2)/2))/(LN(2)/2)*DW102*DZ102*VLOOKUP('Données projet'!$B$14,Paramètres!$A$1:$I$89,3,0)*0.475*44/12</f>
        <v>9.1182154076594091E-10</v>
      </c>
      <c r="ED102" s="22">
        <f t="shared" si="72"/>
        <v>2.8870103824143944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259.30247982593914</v>
      </c>
      <c r="T103" s="59">
        <f t="shared" si="88"/>
        <v>275.24740346220779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2.5893115506870048</v>
      </c>
      <c r="AB103" s="21">
        <f>EXP(-LN(2)/2)*AB102+(1-EXP(-LN(2)/2))/(LN(2)/2)*V103*Y103*VLOOKUP('Données projet'!$B$9,Paramètres!$A$1:$I$89,3,0)*0.475*44/12</f>
        <v>8.3471154159240647E-10</v>
      </c>
      <c r="AC103" s="22">
        <f t="shared" si="57"/>
        <v>2.5893115515217162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7.9580786405131221E-13</v>
      </c>
      <c r="AJ103" s="13">
        <f>AI103*VLOOKUP('Données projet'!$B$10,Paramètres!$A$1:$I$89,3,0)*VLOOKUP('Données projet'!$B$10,Paramètres!$A$1:$I$89,5,0)</f>
        <v>3.8278358260868117E-13</v>
      </c>
      <c r="AK103" s="13">
        <f t="shared" si="89"/>
        <v>4.9186917125089072E-12</v>
      </c>
      <c r="AL103" s="20">
        <f t="shared" si="58"/>
        <v>9.2334028056631319E-12</v>
      </c>
      <c r="AM103" s="59">
        <f t="shared" si="59"/>
        <v>293.33333333334252</v>
      </c>
      <c r="AN103" s="59">
        <f ca="1">AVERAGE(OFFSET($AM$3,0,0,'Données projet'!$E$10+1,1))-AVERAGE(OFFSET($H$3,0,0,'Données projet'!$E$10+1,1))</f>
        <v>297.21955661193238</v>
      </c>
      <c r="AO103" s="59">
        <f t="shared" si="90"/>
        <v>273.69206144662144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1.6845246080953411</v>
      </c>
      <c r="AV103" s="21">
        <f>EXP(-LN(2)/25)*AV102+(1-EXP(-LN(2)/25))/(LN(2)/25)*Calculateur!AQ103*Calculateur!AS103*VLOOKUP('Données projet'!$B$10,Paramètres!$A$1:$I$89,3,0)*0.475*44/12</f>
        <v>1.9273917720599201</v>
      </c>
      <c r="AW103" s="21">
        <f>EXP(-LN(2)/2)*AW102+(1-EXP(-LN(2)/2))/(LN(2)/2)*AQ103*AT103*VLOOKUP('Données projet'!$B$10,Paramètres!$A$1:$I$89,3,0)*0.475*44/12</f>
        <v>6.0864210327367866E-10</v>
      </c>
      <c r="AX103" s="21">
        <f t="shared" si="60"/>
        <v>3.611916380763903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3.6357050703372803E-14</v>
      </c>
      <c r="BF103" s="13">
        <f t="shared" si="91"/>
        <v>6.1445232567661395E-13</v>
      </c>
      <c r="BG103" s="20">
        <f t="shared" si="61"/>
        <v>1.1334929971951436E-12</v>
      </c>
      <c r="BH103" s="59">
        <f t="shared" si="62"/>
        <v>293.33333333333445</v>
      </c>
      <c r="BI103" s="59">
        <f ca="1">AVERAGE(OFFSET($BH$3,0,0,'Données projet'!$E$11+1,1))-AVERAGE(OFFSET($H$3,0,0,'Données projet'!$E$11+1,1))</f>
        <v>176.90404027101607</v>
      </c>
      <c r="BJ103" s="59">
        <f t="shared" si="92"/>
        <v>295.34177980841878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0.44347247746643575</v>
      </c>
      <c r="BQ103" s="21">
        <f>EXP(-LN(2)/25)*BQ102+(1-EXP(-LN(2)/25))/(LN(2)/25)*Calculateur!BL103*Calculateur!BN103*VLOOKUP('Données projet'!$B$11,Paramètres!$A$1:$I$89,3,0)*0.475*44/12</f>
        <v>1.1832327917108092</v>
      </c>
      <c r="BR103" s="21">
        <f>EXP(-LN(2)/2)*BR102+(1-EXP(-LN(2)/2))/(LN(2)/2)*BL103*BO103*VLOOKUP('Données projet'!$B$11,Paramètres!$A$1:$I$89,3,0)*0.475*44/12</f>
        <v>9.8087177836811755E-13</v>
      </c>
      <c r="BS103" s="22">
        <f t="shared" si="63"/>
        <v>1.6267052691782258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-5.6843418860808015E-13</v>
      </c>
      <c r="BZ103" s="13">
        <f>BY103*VLOOKUP('Données projet'!$B$12,Paramètres!$A$1:$I$89,3,0)*VLOOKUP('Données projet'!$B$12,Paramètres!$A$1:$I$89,5,0)</f>
        <v>-3.177547114319168E-13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326.31232746914907</v>
      </c>
      <c r="CE103" s="59">
        <f t="shared" si="94"/>
        <v>330.17137761430297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1.1419862771096805</v>
      </c>
      <c r="CL103" s="21">
        <f>EXP(-LN(2)/25)*CL102+(1-EXP(-LN(2)/25))/(LN(2)/25)*Calculateur!CG103*Calculateur!CI103*VLOOKUP('Données projet'!$B$12,Paramètres!$A$1:$I$89,3,0)*0.475*44/12</f>
        <v>4.3324520051847015</v>
      </c>
      <c r="CM103" s="21">
        <f>EXP(-LN(2)/2)*CM102+(1-EXP(-LN(2)/2))/(LN(2)/2)*CG103*CJ103*VLOOKUP('Données projet'!$B$12,Paramètres!$A$1:$I$89,3,0)*0.475*44/12</f>
        <v>9.4651734603205817E-10</v>
      </c>
      <c r="CN103" s="22">
        <f t="shared" si="66"/>
        <v>5.4744382832408993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210.04871822652808</v>
      </c>
      <c r="CZ103" s="59">
        <f t="shared" si="96"/>
        <v>250.17540614049324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1.8252465655283663</v>
      </c>
      <c r="DG103" s="21">
        <f>EXP(-LN(2)/25)*DG102+(1-EXP(-LN(2)/25))/(LN(2)/25)*Calculateur!DB103*Calculateur!DD103*VLOOKUP('Données projet'!$B$13,Paramètres!$A$1:$I$89,3,0)*0.475*44/12</f>
        <v>3.9961368640644079</v>
      </c>
      <c r="DH103" s="21">
        <f>EXP(-LN(2)/2)*DH102+(1-EXP(-LN(2)/2))/(LN(2)/2)*DB103*DE103*VLOOKUP('Données projet'!$B$13,Paramètres!$A$1:$I$89,3,0)*0.475*44/12</f>
        <v>6.2730072349518602E-10</v>
      </c>
      <c r="DI103" s="22">
        <f t="shared" si="69"/>
        <v>5.8213834302200755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-5.1159076974727213E-13</v>
      </c>
      <c r="DP103" s="17">
        <f>DO103*VLOOKUP('Données projet'!$B$14,Paramètres!$A$1:$I$89,3,0)*VLOOKUP('Données projet'!$B$14,Paramètres!$A$1:$I$89,5,0)</f>
        <v>-3.7509835237869992E-13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234.09142087023463</v>
      </c>
      <c r="DU103" s="59">
        <f t="shared" si="98"/>
        <v>278.990685815294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0.60992448891085205</v>
      </c>
      <c r="EB103" s="21">
        <f>EXP(-LN(2)/25)*EB102+(1-EXP(-LN(2)/25))/(LN(2)/25)*Calculateur!DW103*Calculateur!DY103*VLOOKUP('Données projet'!$B$14,Paramètres!$A$1:$I$89,3,0)*0.475*44/12</f>
        <v>2.2029529828955123</v>
      </c>
      <c r="EC103" s="21">
        <f>EXP(-LN(2)/2)*EC102+(1-EXP(-LN(2)/2))/(LN(2)/2)*DW103*DZ103*VLOOKUP('Données projet'!$B$14,Paramètres!$A$1:$I$89,3,0)*0.475*44/12</f>
        <v>6.4475519470756286E-10</v>
      </c>
      <c r="ED103" s="22">
        <f t="shared" si="72"/>
        <v>2.8128774724511199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259.30247982593914</v>
      </c>
      <c r="T104" s="59">
        <f t="shared" si="88"/>
        <v>275.24740346220779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2.518506690167492</v>
      </c>
      <c r="AB104" s="21">
        <f>EXP(-LN(2)/2)*AB103+(1-EXP(-LN(2)/2))/(LN(2)/2)*V104*Y104*VLOOKUP('Données projet'!$B$9,Paramètres!$A$1:$I$89,3,0)*0.475*44/12</f>
        <v>5.9023019139466752E-10</v>
      </c>
      <c r="AC104" s="22">
        <f t="shared" si="57"/>
        <v>2.518506690757722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7.9580786405131221E-13</v>
      </c>
      <c r="AJ104" s="13">
        <f>AI104*VLOOKUP('Données projet'!$B$10,Paramètres!$A$1:$I$89,3,0)*VLOOKUP('Données projet'!$B$10,Paramètres!$A$1:$I$89,5,0)</f>
        <v>3.8278358260868117E-13</v>
      </c>
      <c r="AK104" s="13">
        <f t="shared" si="89"/>
        <v>4.9186917125089072E-12</v>
      </c>
      <c r="AL104" s="20">
        <f t="shared" si="58"/>
        <v>9.2334028056631319E-12</v>
      </c>
      <c r="AM104" s="59">
        <f t="shared" si="59"/>
        <v>293.33333333334252</v>
      </c>
      <c r="AN104" s="59">
        <f ca="1">AVERAGE(OFFSET($AM$3,0,0,'Données projet'!$E$10+1,1))-AVERAGE(OFFSET($H$3,0,0,'Données projet'!$E$10+1,1))</f>
        <v>297.21955661193238</v>
      </c>
      <c r="AO104" s="59">
        <f t="shared" si="90"/>
        <v>273.69206144662144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1.6514921079891494</v>
      </c>
      <c r="AV104" s="21">
        <f>EXP(-LN(2)/25)*AV103+(1-EXP(-LN(2)/25))/(LN(2)/25)*Calculateur!AQ104*Calculateur!AS104*VLOOKUP('Données projet'!$B$10,Paramètres!$A$1:$I$89,3,0)*0.475*44/12</f>
        <v>1.8746871426958134</v>
      </c>
      <c r="AW104" s="21">
        <f>EXP(-LN(2)/2)*AW103+(1-EXP(-LN(2)/2))/(LN(2)/2)*AQ104*AT104*VLOOKUP('Données projet'!$B$10,Paramètres!$A$1:$I$89,3,0)*0.475*44/12</f>
        <v>4.3037495854046116E-10</v>
      </c>
      <c r="AX104" s="21">
        <f t="shared" si="60"/>
        <v>3.5261792511153374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3.6357050703372803E-14</v>
      </c>
      <c r="BF104" s="13">
        <f t="shared" si="91"/>
        <v>6.1445232567661395E-13</v>
      </c>
      <c r="BG104" s="20">
        <f t="shared" si="61"/>
        <v>1.1334929971951436E-12</v>
      </c>
      <c r="BH104" s="59">
        <f t="shared" si="62"/>
        <v>293.33333333333445</v>
      </c>
      <c r="BI104" s="59">
        <f ca="1">AVERAGE(OFFSET($BH$3,0,0,'Données projet'!$E$11+1,1))-AVERAGE(OFFSET($H$3,0,0,'Données projet'!$E$11+1,1))</f>
        <v>176.90404027101607</v>
      </c>
      <c r="BJ104" s="59">
        <f t="shared" si="92"/>
        <v>295.34177980841878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0.4347762526748214</v>
      </c>
      <c r="BQ104" s="21">
        <f>EXP(-LN(2)/25)*BQ103+(1-EXP(-LN(2)/25))/(LN(2)/25)*Calculateur!BL104*Calculateur!BN104*VLOOKUP('Données projet'!$B$11,Paramètres!$A$1:$I$89,3,0)*0.475*44/12</f>
        <v>1.1508772287979689</v>
      </c>
      <c r="BR104" s="21">
        <f>EXP(-LN(2)/2)*BR103+(1-EXP(-LN(2)/2))/(LN(2)/2)*BL104*BO104*VLOOKUP('Données projet'!$B$11,Paramètres!$A$1:$I$89,3,0)*0.475*44/12</f>
        <v>6.9358108595860424E-13</v>
      </c>
      <c r="BS104" s="22">
        <f t="shared" si="63"/>
        <v>1.585653481473484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-5.6843418860808015E-13</v>
      </c>
      <c r="BZ104" s="13">
        <f>BY104*VLOOKUP('Données projet'!$B$12,Paramètres!$A$1:$I$89,3,0)*VLOOKUP('Données projet'!$B$12,Paramètres!$A$1:$I$89,5,0)</f>
        <v>-3.177547114319168E-13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326.31232746914907</v>
      </c>
      <c r="CE104" s="59">
        <f t="shared" si="94"/>
        <v>330.17137761430297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1.1195926227584108</v>
      </c>
      <c r="CL104" s="21">
        <f>EXP(-LN(2)/25)*CL103+(1-EXP(-LN(2)/25))/(LN(2)/25)*Calculateur!CG104*Calculateur!CI104*VLOOKUP('Données projet'!$B$12,Paramètres!$A$1:$I$89,3,0)*0.475*44/12</f>
        <v>4.2139808772691767</v>
      </c>
      <c r="CM104" s="21">
        <f>EXP(-LN(2)/2)*CM103+(1-EXP(-LN(2)/2))/(LN(2)/2)*CG104*CJ104*VLOOKUP('Données projet'!$B$12,Paramètres!$A$1:$I$89,3,0)*0.475*44/12</f>
        <v>6.6928883388996224E-10</v>
      </c>
      <c r="CN104" s="22">
        <f t="shared" si="66"/>
        <v>5.3335735006968763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210.04871822652808</v>
      </c>
      <c r="CZ104" s="59">
        <f t="shared" si="96"/>
        <v>250.17540614049324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1.7894545936688318</v>
      </c>
      <c r="DG104" s="21">
        <f>EXP(-LN(2)/25)*DG103+(1-EXP(-LN(2)/25))/(LN(2)/25)*Calculateur!DB104*Calculateur!DD104*VLOOKUP('Données projet'!$B$13,Paramètres!$A$1:$I$89,3,0)*0.475*44/12</f>
        <v>3.8868622913688622</v>
      </c>
      <c r="DH104" s="21">
        <f>EXP(-LN(2)/2)*DH103+(1-EXP(-LN(2)/2))/(LN(2)/2)*DB104*DE104*VLOOKUP('Données projet'!$B$13,Paramètres!$A$1:$I$89,3,0)*0.475*44/12</f>
        <v>4.4356859542667346E-10</v>
      </c>
      <c r="DI104" s="22">
        <f t="shared" si="69"/>
        <v>5.6763168854812625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-5.1159076974727213E-13</v>
      </c>
      <c r="DP104" s="17">
        <f>DO104*VLOOKUP('Données projet'!$B$14,Paramètres!$A$1:$I$89,3,0)*VLOOKUP('Données projet'!$B$14,Paramètres!$A$1:$I$89,5,0)</f>
        <v>-3.7509835237869992E-13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234.09142087023463</v>
      </c>
      <c r="DU104" s="59">
        <f t="shared" si="98"/>
        <v>278.990685815294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0.59796424170051488</v>
      </c>
      <c r="EB104" s="21">
        <f>EXP(-LN(2)/25)*EB103+(1-EXP(-LN(2)/25))/(LN(2)/25)*Calculateur!DW104*Calculateur!DY104*VLOOKUP('Données projet'!$B$14,Paramètres!$A$1:$I$89,3,0)*0.475*44/12</f>
        <v>2.1427131177299721</v>
      </c>
      <c r="EC104" s="21">
        <f>EXP(-LN(2)/2)*EC103+(1-EXP(-LN(2)/2))/(LN(2)/2)*DW104*DZ104*VLOOKUP('Données projet'!$B$14,Paramètres!$A$1:$I$89,3,0)*0.475*44/12</f>
        <v>4.5591077038297051E-10</v>
      </c>
      <c r="ED104" s="22">
        <f t="shared" si="72"/>
        <v>2.7406773598863978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259.30247982593914</v>
      </c>
      <c r="T105" s="59">
        <f t="shared" si="88"/>
        <v>275.24740346220779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2.449637992282351</v>
      </c>
      <c r="AB105" s="21">
        <f>EXP(-LN(2)/2)*AB104+(1-EXP(-LN(2)/2))/(LN(2)/2)*V105*Y105*VLOOKUP('Données projet'!$B$9,Paramètres!$A$1:$I$89,3,0)*0.475*44/12</f>
        <v>4.1735577079620324E-10</v>
      </c>
      <c r="AC105" s="22">
        <f t="shared" si="57"/>
        <v>2.4496379926997069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7.9580786405131221E-13</v>
      </c>
      <c r="AJ105" s="13">
        <f>AI105*VLOOKUP('Données projet'!$B$10,Paramètres!$A$1:$I$89,3,0)*VLOOKUP('Données projet'!$B$10,Paramètres!$A$1:$I$89,5,0)</f>
        <v>3.8278358260868117E-13</v>
      </c>
      <c r="AK105" s="13">
        <f t="shared" si="89"/>
        <v>4.9186917125089072E-12</v>
      </c>
      <c r="AL105" s="20">
        <f t="shared" si="58"/>
        <v>9.2334028056631319E-12</v>
      </c>
      <c r="AM105" s="59">
        <f t="shared" si="59"/>
        <v>293.33333333334252</v>
      </c>
      <c r="AN105" s="59">
        <f ca="1">AVERAGE(OFFSET($AM$3,0,0,'Données projet'!$E$10+1,1))-AVERAGE(OFFSET($H$3,0,0,'Données projet'!$E$10+1,1))</f>
        <v>297.21955661193238</v>
      </c>
      <c r="AO105" s="59">
        <f t="shared" si="90"/>
        <v>273.69206144662144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1.6191073550622044</v>
      </c>
      <c r="AV105" s="21">
        <f>EXP(-LN(2)/25)*AV104+(1-EXP(-LN(2)/25))/(LN(2)/25)*Calculateur!AQ105*Calculateur!AS105*VLOOKUP('Données projet'!$B$10,Paramètres!$A$1:$I$89,3,0)*0.475*44/12</f>
        <v>1.8234237241932842</v>
      </c>
      <c r="AW105" s="21">
        <f>EXP(-LN(2)/2)*AW104+(1-EXP(-LN(2)/2))/(LN(2)/2)*AQ105*AT105*VLOOKUP('Données projet'!$B$10,Paramètres!$A$1:$I$89,3,0)*0.475*44/12</f>
        <v>3.0432105163683933E-10</v>
      </c>
      <c r="AX105" s="21">
        <f t="shared" si="60"/>
        <v>3.4425310795598096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3.6357050703372803E-14</v>
      </c>
      <c r="BF105" s="13">
        <f t="shared" si="91"/>
        <v>6.1445232567661395E-13</v>
      </c>
      <c r="BG105" s="20">
        <f t="shared" si="61"/>
        <v>1.1334929971951436E-12</v>
      </c>
      <c r="BH105" s="59">
        <f t="shared" si="62"/>
        <v>293.33333333333445</v>
      </c>
      <c r="BI105" s="59">
        <f ca="1">AVERAGE(OFFSET($BH$3,0,0,'Données projet'!$E$11+1,1))-AVERAGE(OFFSET($H$3,0,0,'Données projet'!$E$11+1,1))</f>
        <v>176.90404027101607</v>
      </c>
      <c r="BJ105" s="59">
        <f t="shared" si="92"/>
        <v>295.34177980841878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0.42625055554719721</v>
      </c>
      <c r="BQ105" s="21">
        <f>EXP(-LN(2)/25)*BQ104+(1-EXP(-LN(2)/25))/(LN(2)/25)*Calculateur!BL105*Calculateur!BN105*VLOOKUP('Données projet'!$B$11,Paramètres!$A$1:$I$89,3,0)*0.475*44/12</f>
        <v>1.1194064304544853</v>
      </c>
      <c r="BR105" s="21">
        <f>EXP(-LN(2)/2)*BR104+(1-EXP(-LN(2)/2))/(LN(2)/2)*BL105*BO105*VLOOKUP('Données projet'!$B$11,Paramètres!$A$1:$I$89,3,0)*0.475*44/12</f>
        <v>4.9043588918405877E-13</v>
      </c>
      <c r="BS105" s="22">
        <f t="shared" si="63"/>
        <v>1.5456569860021729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-5.6843418860808015E-13</v>
      </c>
      <c r="BZ105" s="13">
        <f>BY105*VLOOKUP('Données projet'!$B$12,Paramètres!$A$1:$I$89,3,0)*VLOOKUP('Données projet'!$B$12,Paramètres!$A$1:$I$89,5,0)</f>
        <v>-3.177547114319168E-13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326.31232746914907</v>
      </c>
      <c r="CE105" s="59">
        <f t="shared" si="94"/>
        <v>330.17137761430297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1.0976380943101891</v>
      </c>
      <c r="CL105" s="21">
        <f>EXP(-LN(2)/25)*CL104+(1-EXP(-LN(2)/25))/(LN(2)/25)*Calculateur!CG105*Calculateur!CI105*VLOOKUP('Données projet'!$B$12,Paramètres!$A$1:$I$89,3,0)*0.475*44/12</f>
        <v>4.0987493485766278</v>
      </c>
      <c r="CM105" s="21">
        <f>EXP(-LN(2)/2)*CM104+(1-EXP(-LN(2)/2))/(LN(2)/2)*CG105*CJ105*VLOOKUP('Données projet'!$B$12,Paramètres!$A$1:$I$89,3,0)*0.475*44/12</f>
        <v>4.7325867301602909E-10</v>
      </c>
      <c r="CN105" s="22">
        <f t="shared" si="66"/>
        <v>5.1963874433600754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210.04871822652808</v>
      </c>
      <c r="CZ105" s="59">
        <f t="shared" si="96"/>
        <v>250.17540614049324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1.7543644805465155</v>
      </c>
      <c r="DG105" s="21">
        <f>EXP(-LN(2)/25)*DG104+(1-EXP(-LN(2)/25))/(LN(2)/25)*Calculateur!DB105*Calculateur!DD105*VLOOKUP('Données projet'!$B$13,Paramètres!$A$1:$I$89,3,0)*0.475*44/12</f>
        <v>3.7805758376101761</v>
      </c>
      <c r="DH105" s="21">
        <f>EXP(-LN(2)/2)*DH104+(1-EXP(-LN(2)/2))/(LN(2)/2)*DB105*DE105*VLOOKUP('Données projet'!$B$13,Paramètres!$A$1:$I$89,3,0)*0.475*44/12</f>
        <v>3.1365036174759301E-10</v>
      </c>
      <c r="DI105" s="22">
        <f t="shared" si="69"/>
        <v>5.5349403184703423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-5.1159076974727213E-13</v>
      </c>
      <c r="DP105" s="17">
        <f>DO105*VLOOKUP('Données projet'!$B$14,Paramètres!$A$1:$I$89,3,0)*VLOOKUP('Données projet'!$B$14,Paramètres!$A$1:$I$89,5,0)</f>
        <v>-3.7509835237869992E-13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234.09142087023463</v>
      </c>
      <c r="DU105" s="59">
        <f t="shared" si="98"/>
        <v>278.990685815294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0.58623852764294193</v>
      </c>
      <c r="EB105" s="21">
        <f>EXP(-LN(2)/25)*EB104+(1-EXP(-LN(2)/25))/(LN(2)/25)*Calculateur!DW105*Calculateur!DY105*VLOOKUP('Données projet'!$B$14,Paramètres!$A$1:$I$89,3,0)*0.475*44/12</f>
        <v>2.0841205148452602</v>
      </c>
      <c r="EC105" s="21">
        <f>EXP(-LN(2)/2)*EC104+(1-EXP(-LN(2)/2))/(LN(2)/2)*DW105*DZ105*VLOOKUP('Données projet'!$B$14,Paramètres!$A$1:$I$89,3,0)*0.475*44/12</f>
        <v>3.2237759735378148E-10</v>
      </c>
      <c r="ED105" s="22">
        <f t="shared" si="72"/>
        <v>2.6703590428105799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259.30247982593914</v>
      </c>
      <c r="T106" s="59">
        <f t="shared" si="88"/>
        <v>275.24740346220779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2.3826525125625269</v>
      </c>
      <c r="AB106" s="21">
        <f>EXP(-LN(2)/2)*AB105+(1-EXP(-LN(2)/2))/(LN(2)/2)*V106*Y106*VLOOKUP('Données projet'!$B$9,Paramètres!$A$1:$I$89,3,0)*0.475*44/12</f>
        <v>2.9511509569733376E-10</v>
      </c>
      <c r="AC106" s="22">
        <f t="shared" si="57"/>
        <v>2.3826525128576419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7.9580786405131221E-13</v>
      </c>
      <c r="AJ106" s="13">
        <f>AI106*VLOOKUP('Données projet'!$B$10,Paramètres!$A$1:$I$89,3,0)*VLOOKUP('Données projet'!$B$10,Paramètres!$A$1:$I$89,5,0)</f>
        <v>3.8278358260868117E-13</v>
      </c>
      <c r="AK106" s="13">
        <f t="shared" si="89"/>
        <v>4.9186917125089072E-12</v>
      </c>
      <c r="AL106" s="20">
        <f t="shared" si="58"/>
        <v>9.2334028056631319E-12</v>
      </c>
      <c r="AM106" s="59">
        <f t="shared" si="59"/>
        <v>293.33333333334252</v>
      </c>
      <c r="AN106" s="59">
        <f ca="1">AVERAGE(OFFSET($AM$3,0,0,'Données projet'!$E$10+1,1))-AVERAGE(OFFSET($H$3,0,0,'Données projet'!$E$10+1,1))</f>
        <v>297.21955661193238</v>
      </c>
      <c r="AO106" s="59">
        <f t="shared" si="90"/>
        <v>273.69206144662144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1.5873576473874078</v>
      </c>
      <c r="AV106" s="21">
        <f>EXP(-LN(2)/25)*AV105+(1-EXP(-LN(2)/25))/(LN(2)/25)*Calculateur!AQ106*Calculateur!AS106*VLOOKUP('Données projet'!$B$10,Paramètres!$A$1:$I$89,3,0)*0.475*44/12</f>
        <v>1.7735621065655327</v>
      </c>
      <c r="AW106" s="21">
        <f>EXP(-LN(2)/2)*AW105+(1-EXP(-LN(2)/2))/(LN(2)/2)*AQ106*AT106*VLOOKUP('Données projet'!$B$10,Paramètres!$A$1:$I$89,3,0)*0.475*44/12</f>
        <v>2.1518747927023058E-10</v>
      </c>
      <c r="AX106" s="21">
        <f t="shared" si="60"/>
        <v>3.3609197541681279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3.6357050703372803E-14</v>
      </c>
      <c r="BF106" s="13">
        <f t="shared" si="91"/>
        <v>6.1445232567661395E-13</v>
      </c>
      <c r="BG106" s="20">
        <f t="shared" si="61"/>
        <v>1.1334929971951436E-12</v>
      </c>
      <c r="BH106" s="59">
        <f t="shared" si="62"/>
        <v>293.33333333333445</v>
      </c>
      <c r="BI106" s="59">
        <f ca="1">AVERAGE(OFFSET($BH$3,0,0,'Données projet'!$E$11+1,1))-AVERAGE(OFFSET($H$3,0,0,'Données projet'!$E$11+1,1))</f>
        <v>176.90404027101607</v>
      </c>
      <c r="BJ106" s="59">
        <f t="shared" si="92"/>
        <v>295.34177980841878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0.41789204214008396</v>
      </c>
      <c r="BQ106" s="21">
        <f>EXP(-LN(2)/25)*BQ105+(1-EXP(-LN(2)/25))/(LN(2)/25)*Calculateur!BL106*Calculateur!BN106*VLOOKUP('Données projet'!$B$11,Paramètres!$A$1:$I$89,3,0)*0.475*44/12</f>
        <v>1.0887962027466815</v>
      </c>
      <c r="BR106" s="21">
        <f>EXP(-LN(2)/2)*BR105+(1-EXP(-LN(2)/2))/(LN(2)/2)*BL106*BO106*VLOOKUP('Données projet'!$B$11,Paramètres!$A$1:$I$89,3,0)*0.475*44/12</f>
        <v>3.4679054297930212E-13</v>
      </c>
      <c r="BS106" s="22">
        <f t="shared" si="63"/>
        <v>1.5066882448871124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-5.6843418860808015E-13</v>
      </c>
      <c r="BZ106" s="13">
        <f>BY106*VLOOKUP('Données projet'!$B$12,Paramètres!$A$1:$I$89,3,0)*VLOOKUP('Données projet'!$B$12,Paramètres!$A$1:$I$89,5,0)</f>
        <v>-3.177547114319168E-13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326.31232746914907</v>
      </c>
      <c r="CE106" s="59">
        <f t="shared" si="94"/>
        <v>330.17137761430297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1.0761140807738969</v>
      </c>
      <c r="CL106" s="21">
        <f>EXP(-LN(2)/25)*CL105+(1-EXP(-LN(2)/25))/(LN(2)/25)*Calculateur!CG106*Calculateur!CI106*VLOOKUP('Données projet'!$B$12,Paramètres!$A$1:$I$89,3,0)*0.475*44/12</f>
        <v>3.9866688320959396</v>
      </c>
      <c r="CM106" s="21">
        <f>EXP(-LN(2)/2)*CM105+(1-EXP(-LN(2)/2))/(LN(2)/2)*CG106*CJ106*VLOOKUP('Données projet'!$B$12,Paramètres!$A$1:$I$89,3,0)*0.475*44/12</f>
        <v>3.3464441694498112E-10</v>
      </c>
      <c r="CN106" s="22">
        <f t="shared" si="66"/>
        <v>5.0627829132044813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210.04871822652808</v>
      </c>
      <c r="CZ106" s="59">
        <f t="shared" si="96"/>
        <v>250.17540614049324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1.7199624631396722</v>
      </c>
      <c r="DG106" s="21">
        <f>EXP(-LN(2)/25)*DG105+(1-EXP(-LN(2)/25))/(LN(2)/25)*Calculateur!DB106*Calculateur!DD106*VLOOKUP('Données projet'!$B$13,Paramètres!$A$1:$I$89,3,0)*0.475*44/12</f>
        <v>3.6771957925188832</v>
      </c>
      <c r="DH106" s="21">
        <f>EXP(-LN(2)/2)*DH105+(1-EXP(-LN(2)/2))/(LN(2)/2)*DB106*DE106*VLOOKUP('Données projet'!$B$13,Paramètres!$A$1:$I$89,3,0)*0.475*44/12</f>
        <v>2.2178429771333673E-10</v>
      </c>
      <c r="DI106" s="22">
        <f t="shared" si="69"/>
        <v>5.3971582558803393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-5.1159076974727213E-13</v>
      </c>
      <c r="DP106" s="17">
        <f>DO106*VLOOKUP('Données projet'!$B$14,Paramètres!$A$1:$I$89,3,0)*VLOOKUP('Données projet'!$B$14,Paramètres!$A$1:$I$89,5,0)</f>
        <v>-3.7509835237869992E-13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234.09142087023463</v>
      </c>
      <c r="DU106" s="59">
        <f t="shared" si="98"/>
        <v>278.990685815294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0.5747427476860586</v>
      </c>
      <c r="EB106" s="21">
        <f>EXP(-LN(2)/25)*EB105+(1-EXP(-LN(2)/25))/(LN(2)/25)*Calculateur!DW106*Calculateur!DY106*VLOOKUP('Données projet'!$B$14,Paramètres!$A$1:$I$89,3,0)*0.475*44/12</f>
        <v>2.027130129767682</v>
      </c>
      <c r="EC106" s="21">
        <f>EXP(-LN(2)/2)*EC105+(1-EXP(-LN(2)/2))/(LN(2)/2)*DW106*DZ106*VLOOKUP('Données projet'!$B$14,Paramètres!$A$1:$I$89,3,0)*0.475*44/12</f>
        <v>2.2795538519148531E-10</v>
      </c>
      <c r="ED106" s="22">
        <f t="shared" si="72"/>
        <v>2.601872877681696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259.30247982593914</v>
      </c>
      <c r="T107" s="59">
        <f t="shared" si="88"/>
        <v>275.24740346220779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2.3174987543082546</v>
      </c>
      <c r="AB107" s="21">
        <f>EXP(-LN(2)/2)*AB106+(1-EXP(-LN(2)/2))/(LN(2)/2)*V107*Y107*VLOOKUP('Données projet'!$B$9,Paramètres!$A$1:$I$89,3,0)*0.475*44/12</f>
        <v>2.0867788539810162E-10</v>
      </c>
      <c r="AC107" s="22">
        <f t="shared" si="57"/>
        <v>2.3174987545169325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7.9580786405131221E-13</v>
      </c>
      <c r="AJ107" s="13">
        <f>AI107*VLOOKUP('Données projet'!$B$10,Paramètres!$A$1:$I$89,3,0)*VLOOKUP('Données projet'!$B$10,Paramètres!$A$1:$I$89,5,0)</f>
        <v>3.8278358260868117E-13</v>
      </c>
      <c r="AK107" s="13">
        <f t="shared" si="89"/>
        <v>4.9186917125089072E-12</v>
      </c>
      <c r="AL107" s="20">
        <f t="shared" si="58"/>
        <v>9.2334028056631319E-12</v>
      </c>
      <c r="AM107" s="59">
        <f t="shared" si="59"/>
        <v>293.33333333334252</v>
      </c>
      <c r="AN107" s="59">
        <f ca="1">AVERAGE(OFFSET($AM$3,0,0,'Données projet'!$E$10+1,1))-AVERAGE(OFFSET($H$3,0,0,'Données projet'!$E$10+1,1))</f>
        <v>297.21955661193238</v>
      </c>
      <c r="AO107" s="59">
        <f t="shared" si="90"/>
        <v>273.69206144662144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1.5562305321147045</v>
      </c>
      <c r="AV107" s="21">
        <f>EXP(-LN(2)/25)*AV106+(1-EXP(-LN(2)/25))/(LN(2)/25)*Calculateur!AQ107*Calculateur!AS107*VLOOKUP('Données projet'!$B$10,Paramètres!$A$1:$I$89,3,0)*0.475*44/12</f>
        <v>1.7250639574939206</v>
      </c>
      <c r="AW107" s="21">
        <f>EXP(-LN(2)/2)*AW106+(1-EXP(-LN(2)/2))/(LN(2)/2)*AQ107*AT107*VLOOKUP('Données projet'!$B$10,Paramètres!$A$1:$I$89,3,0)*0.475*44/12</f>
        <v>1.5216052581841967E-10</v>
      </c>
      <c r="AX107" s="21">
        <f t="shared" si="60"/>
        <v>3.2812944897607856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3.6357050703372803E-14</v>
      </c>
      <c r="BF107" s="13">
        <f t="shared" si="91"/>
        <v>6.1445232567661395E-13</v>
      </c>
      <c r="BG107" s="20">
        <f t="shared" si="61"/>
        <v>1.1334929971951436E-12</v>
      </c>
      <c r="BH107" s="59">
        <f t="shared" si="62"/>
        <v>293.33333333333445</v>
      </c>
      <c r="BI107" s="59">
        <f ca="1">AVERAGE(OFFSET($BH$3,0,0,'Données projet'!$E$11+1,1))-AVERAGE(OFFSET($H$3,0,0,'Données projet'!$E$11+1,1))</f>
        <v>176.90404027101607</v>
      </c>
      <c r="BJ107" s="59">
        <f t="shared" si="92"/>
        <v>295.34177980841878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0.40969743408269443</v>
      </c>
      <c r="BQ107" s="21">
        <f>EXP(-LN(2)/25)*BQ106+(1-EXP(-LN(2)/25))/(LN(2)/25)*Calculateur!BL107*Calculateur!BN107*VLOOKUP('Données projet'!$B$11,Paramètres!$A$1:$I$89,3,0)*0.475*44/12</f>
        <v>1.0590230133252696</v>
      </c>
      <c r="BR107" s="21">
        <f>EXP(-LN(2)/2)*BR106+(1-EXP(-LN(2)/2))/(LN(2)/2)*BL107*BO107*VLOOKUP('Données projet'!$B$11,Paramètres!$A$1:$I$89,3,0)*0.475*44/12</f>
        <v>2.4521794459202939E-13</v>
      </c>
      <c r="BS107" s="22">
        <f t="shared" si="63"/>
        <v>1.4687204474082092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-5.6843418860808015E-13</v>
      </c>
      <c r="BZ107" s="13">
        <f>BY107*VLOOKUP('Données projet'!$B$12,Paramètres!$A$1:$I$89,3,0)*VLOOKUP('Données projet'!$B$12,Paramètres!$A$1:$I$89,5,0)</f>
        <v>-3.177547114319168E-13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326.31232746914907</v>
      </c>
      <c r="CE107" s="59">
        <f t="shared" si="94"/>
        <v>330.17137761430297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1.0550121400146995</v>
      </c>
      <c r="CL107" s="21">
        <f>EXP(-LN(2)/25)*CL106+(1-EXP(-LN(2)/25))/(LN(2)/25)*Calculateur!CG107*Calculateur!CI107*VLOOKUP('Données projet'!$B$12,Paramètres!$A$1:$I$89,3,0)*0.475*44/12</f>
        <v>3.8776531632324738</v>
      </c>
      <c r="CM107" s="21">
        <f>EXP(-LN(2)/2)*CM106+(1-EXP(-LN(2)/2))/(LN(2)/2)*CG107*CJ107*VLOOKUP('Données projet'!$B$12,Paramètres!$A$1:$I$89,3,0)*0.475*44/12</f>
        <v>2.3662933650801454E-10</v>
      </c>
      <c r="CN107" s="22">
        <f t="shared" si="66"/>
        <v>4.9326653034838026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210.04871822652808</v>
      </c>
      <c r="CZ107" s="59">
        <f t="shared" si="96"/>
        <v>250.17540614049324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1.6862350483110182</v>
      </c>
      <c r="DG107" s="21">
        <f>EXP(-LN(2)/25)*DG106+(1-EXP(-LN(2)/25))/(LN(2)/25)*Calculateur!DB107*Calculateur!DD107*VLOOKUP('Données projet'!$B$13,Paramètres!$A$1:$I$89,3,0)*0.475*44/12</f>
        <v>3.5766426801971321</v>
      </c>
      <c r="DH107" s="21">
        <f>EXP(-LN(2)/2)*DH106+(1-EXP(-LN(2)/2))/(LN(2)/2)*DB107*DE107*VLOOKUP('Données projet'!$B$13,Paramètres!$A$1:$I$89,3,0)*0.475*44/12</f>
        <v>1.568251808737965E-10</v>
      </c>
      <c r="DI107" s="22">
        <f t="shared" si="69"/>
        <v>5.2628777286649751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-5.1159076974727213E-13</v>
      </c>
      <c r="DP107" s="17">
        <f>DO107*VLOOKUP('Données projet'!$B$14,Paramètres!$A$1:$I$89,3,0)*VLOOKUP('Données projet'!$B$14,Paramètres!$A$1:$I$89,5,0)</f>
        <v>-3.7509835237869992E-13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234.09142087023463</v>
      </c>
      <c r="DU107" s="59">
        <f t="shared" si="98"/>
        <v>278.990685815294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0.56347239296239626</v>
      </c>
      <c r="EB107" s="21">
        <f>EXP(-LN(2)/25)*EB106+(1-EXP(-LN(2)/25))/(LN(2)/25)*Calculateur!DW107*Calculateur!DY107*VLOOKUP('Données projet'!$B$14,Paramètres!$A$1:$I$89,3,0)*0.475*44/12</f>
        <v>1.9716981497670443</v>
      </c>
      <c r="EC107" s="21">
        <f>EXP(-LN(2)/2)*EC106+(1-EXP(-LN(2)/2))/(LN(2)/2)*DW107*DZ107*VLOOKUP('Données projet'!$B$14,Paramètres!$A$1:$I$89,3,0)*0.475*44/12</f>
        <v>1.6118879867689077E-10</v>
      </c>
      <c r="ED107" s="22">
        <f t="shared" si="72"/>
        <v>2.5351705428906293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259.30247982593914</v>
      </c>
      <c r="T108" s="59">
        <f t="shared" si="88"/>
        <v>275.24740346220779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2.2541266289997326</v>
      </c>
      <c r="AB108" s="21">
        <f>EXP(-LN(2)/2)*AB107+(1-EXP(-LN(2)/2))/(LN(2)/2)*V108*Y108*VLOOKUP('Données projet'!$B$9,Paramètres!$A$1:$I$89,3,0)*0.475*44/12</f>
        <v>1.4755754784866688E-10</v>
      </c>
      <c r="AC108" s="22">
        <f t="shared" si="57"/>
        <v>2.2541266291472901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7.9580786405131221E-13</v>
      </c>
      <c r="AJ108" s="13">
        <f>AI108*VLOOKUP('Données projet'!$B$10,Paramètres!$A$1:$I$89,3,0)*VLOOKUP('Données projet'!$B$10,Paramètres!$A$1:$I$89,5,0)</f>
        <v>3.8278358260868117E-13</v>
      </c>
      <c r="AK108" s="13">
        <f t="shared" si="89"/>
        <v>4.9186917125089072E-12</v>
      </c>
      <c r="AL108" s="20">
        <f t="shared" si="58"/>
        <v>9.2334028056631319E-12</v>
      </c>
      <c r="AM108" s="59">
        <f t="shared" si="59"/>
        <v>293.33333333334252</v>
      </c>
      <c r="AN108" s="59">
        <f ca="1">AVERAGE(OFFSET($AM$3,0,0,'Données projet'!$E$10+1,1))-AVERAGE(OFFSET($H$3,0,0,'Données projet'!$E$10+1,1))</f>
        <v>297.21955661193238</v>
      </c>
      <c r="AO108" s="59">
        <f t="shared" si="90"/>
        <v>273.69206144662144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1.5257138005868334</v>
      </c>
      <c r="AV108" s="21">
        <f>EXP(-LN(2)/25)*AV107+(1-EXP(-LN(2)/25))/(LN(2)/25)*Calculateur!AQ108*Calculateur!AS108*VLOOKUP('Données projet'!$B$10,Paramètres!$A$1:$I$89,3,0)*0.475*44/12</f>
        <v>1.6778919928590785</v>
      </c>
      <c r="AW108" s="21">
        <f>EXP(-LN(2)/2)*AW107+(1-EXP(-LN(2)/2))/(LN(2)/2)*AQ108*AT108*VLOOKUP('Données projet'!$B$10,Paramètres!$A$1:$I$89,3,0)*0.475*44/12</f>
        <v>1.0759373963511529E-10</v>
      </c>
      <c r="AX108" s="21">
        <f t="shared" si="60"/>
        <v>3.2036057935535061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3.6357050703372803E-14</v>
      </c>
      <c r="BF108" s="13">
        <f t="shared" si="91"/>
        <v>6.1445232567661395E-13</v>
      </c>
      <c r="BG108" s="20">
        <f t="shared" si="61"/>
        <v>1.1334929971951436E-12</v>
      </c>
      <c r="BH108" s="59">
        <f t="shared" si="62"/>
        <v>293.33333333333445</v>
      </c>
      <c r="BI108" s="59">
        <f ca="1">AVERAGE(OFFSET($BH$3,0,0,'Données projet'!$E$11+1,1))-AVERAGE(OFFSET($H$3,0,0,'Données projet'!$E$11+1,1))</f>
        <v>176.90404027101607</v>
      </c>
      <c r="BJ108" s="59">
        <f t="shared" si="92"/>
        <v>295.34177980841878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0.4016635172910929</v>
      </c>
      <c r="BQ108" s="21">
        <f>EXP(-LN(2)/25)*BQ107+(1-EXP(-LN(2)/25))/(LN(2)/25)*Calculateur!BL108*Calculateur!BN108*VLOOKUP('Données projet'!$B$11,Paramètres!$A$1:$I$89,3,0)*0.475*44/12</f>
        <v>1.0300639733342902</v>
      </c>
      <c r="BR108" s="21">
        <f>EXP(-LN(2)/2)*BR107+(1-EXP(-LN(2)/2))/(LN(2)/2)*BL108*BO108*VLOOKUP('Données projet'!$B$11,Paramètres!$A$1:$I$89,3,0)*0.475*44/12</f>
        <v>1.7339527148965106E-13</v>
      </c>
      <c r="BS108" s="22">
        <f t="shared" si="63"/>
        <v>1.4317274906255566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-5.6843418860808015E-13</v>
      </c>
      <c r="BZ108" s="13">
        <f>BY108*VLOOKUP('Données projet'!$B$12,Paramètres!$A$1:$I$89,3,0)*VLOOKUP('Données projet'!$B$12,Paramètres!$A$1:$I$89,5,0)</f>
        <v>-3.177547114319168E-13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326.31232746914907</v>
      </c>
      <c r="CE108" s="59">
        <f t="shared" si="94"/>
        <v>330.17137761430297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1.0343239954428769</v>
      </c>
      <c r="CL108" s="21">
        <f>EXP(-LN(2)/25)*CL107+(1-EXP(-LN(2)/25))/(LN(2)/25)*Calculateur!CG108*Calculateur!CI108*VLOOKUP('Données projet'!$B$12,Paramètres!$A$1:$I$89,3,0)*0.475*44/12</f>
        <v>3.7716185335669645</v>
      </c>
      <c r="CM108" s="21">
        <f>EXP(-LN(2)/2)*CM107+(1-EXP(-LN(2)/2))/(LN(2)/2)*CG108*CJ108*VLOOKUP('Données projet'!$B$12,Paramètres!$A$1:$I$89,3,0)*0.475*44/12</f>
        <v>1.6732220847249056E-10</v>
      </c>
      <c r="CN108" s="22">
        <f t="shared" si="66"/>
        <v>4.8059425291771634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210.04871822652808</v>
      </c>
      <c r="CZ108" s="59">
        <f t="shared" si="96"/>
        <v>250.17540614049324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1.6531690075154626</v>
      </c>
      <c r="DG108" s="21">
        <f>EXP(-LN(2)/25)*DG107+(1-EXP(-LN(2)/25))/(LN(2)/25)*Calculateur!DB108*Calculateur!DD108*VLOOKUP('Données projet'!$B$13,Paramètres!$A$1:$I$89,3,0)*0.475*44/12</f>
        <v>3.4788391980196773</v>
      </c>
      <c r="DH108" s="21">
        <f>EXP(-LN(2)/2)*DH107+(1-EXP(-LN(2)/2))/(LN(2)/2)*DB108*DE108*VLOOKUP('Données projet'!$B$13,Paramètres!$A$1:$I$89,3,0)*0.475*44/12</f>
        <v>1.1089214885666836E-10</v>
      </c>
      <c r="DI108" s="22">
        <f t="shared" si="69"/>
        <v>5.1320082056460317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-5.1159076974727213E-13</v>
      </c>
      <c r="DP108" s="17">
        <f>DO108*VLOOKUP('Données projet'!$B$14,Paramètres!$A$1:$I$89,3,0)*VLOOKUP('Données projet'!$B$14,Paramètres!$A$1:$I$89,5,0)</f>
        <v>-3.7509835237869992E-13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234.09142087023463</v>
      </c>
      <c r="DU108" s="59">
        <f t="shared" si="98"/>
        <v>278.990685815294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0.55242304302062739</v>
      </c>
      <c r="EB108" s="21">
        <f>EXP(-LN(2)/25)*EB107+(1-EXP(-LN(2)/25))/(LN(2)/25)*Calculateur!DW108*Calculateur!DY108*VLOOKUP('Données projet'!$B$14,Paramètres!$A$1:$I$89,3,0)*0.475*44/12</f>
        <v>1.9177819601745651</v>
      </c>
      <c r="EC108" s="21">
        <f>EXP(-LN(2)/2)*EC107+(1-EXP(-LN(2)/2))/(LN(2)/2)*DW108*DZ108*VLOOKUP('Données projet'!$B$14,Paramètres!$A$1:$I$89,3,0)*0.475*44/12</f>
        <v>1.1397769259574267E-10</v>
      </c>
      <c r="ED108" s="22">
        <f t="shared" si="72"/>
        <v>2.4702050033091703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259.30247982593914</v>
      </c>
      <c r="T109" s="59">
        <f t="shared" si="88"/>
        <v>275.24740346220779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2.1924874177903675</v>
      </c>
      <c r="AB109" s="21">
        <f>EXP(-LN(2)/2)*AB108+(1-EXP(-LN(2)/2))/(LN(2)/2)*V109*Y109*VLOOKUP('Données projet'!$B$9,Paramètres!$A$1:$I$89,3,0)*0.475*44/12</f>
        <v>1.0433894269905081E-10</v>
      </c>
      <c r="AC109" s="22">
        <f t="shared" si="57"/>
        <v>2.1924874178947062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7.9580786405131221E-13</v>
      </c>
      <c r="AJ109" s="13">
        <f>AI109*VLOOKUP('Données projet'!$B$10,Paramètres!$A$1:$I$89,3,0)*VLOOKUP('Données projet'!$B$10,Paramètres!$A$1:$I$89,5,0)</f>
        <v>3.8278358260868117E-13</v>
      </c>
      <c r="AK109" s="13">
        <f t="shared" si="89"/>
        <v>4.9186917125089072E-12</v>
      </c>
      <c r="AL109" s="20">
        <f t="shared" si="58"/>
        <v>9.2334028056631319E-12</v>
      </c>
      <c r="AM109" s="59">
        <f t="shared" si="59"/>
        <v>293.33333333334252</v>
      </c>
      <c r="AN109" s="59">
        <f ca="1">AVERAGE(OFFSET($AM$3,0,0,'Données projet'!$E$10+1,1))-AVERAGE(OFFSET($H$3,0,0,'Données projet'!$E$10+1,1))</f>
        <v>297.21955661193238</v>
      </c>
      <c r="AO109" s="59">
        <f t="shared" si="90"/>
        <v>273.69206144662144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1.4957954835508553</v>
      </c>
      <c r="AV109" s="21">
        <f>EXP(-LN(2)/25)*AV108+(1-EXP(-LN(2)/25))/(LN(2)/25)*Calculateur!AQ109*Calculateur!AS109*VLOOKUP('Données projet'!$B$10,Paramètres!$A$1:$I$89,3,0)*0.475*44/12</f>
        <v>1.6320099480778421</v>
      </c>
      <c r="AW109" s="21">
        <f>EXP(-LN(2)/2)*AW108+(1-EXP(-LN(2)/2))/(LN(2)/2)*AQ109*AT109*VLOOKUP('Données projet'!$B$10,Paramètres!$A$1:$I$89,3,0)*0.475*44/12</f>
        <v>7.6080262909209833E-11</v>
      </c>
      <c r="AX109" s="21">
        <f t="shared" si="60"/>
        <v>3.1278054317047781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3.6357050703372803E-14</v>
      </c>
      <c r="BF109" s="13">
        <f t="shared" si="91"/>
        <v>6.1445232567661395E-13</v>
      </c>
      <c r="BG109" s="20">
        <f t="shared" si="61"/>
        <v>1.1334929971951436E-12</v>
      </c>
      <c r="BH109" s="59">
        <f t="shared" si="62"/>
        <v>293.33333333333445</v>
      </c>
      <c r="BI109" s="59">
        <f ca="1">AVERAGE(OFFSET($BH$3,0,0,'Données projet'!$E$11+1,1))-AVERAGE(OFFSET($H$3,0,0,'Données projet'!$E$11+1,1))</f>
        <v>176.90404027101607</v>
      </c>
      <c r="BJ109" s="59">
        <f t="shared" si="92"/>
        <v>295.34177980841878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0.39378714070756932</v>
      </c>
      <c r="BQ109" s="21">
        <f>EXP(-LN(2)/25)*BQ108+(1-EXP(-LN(2)/25))/(LN(2)/25)*Calculateur!BL109*Calculateur!BN109*VLOOKUP('Données projet'!$B$11,Paramètres!$A$1:$I$89,3,0)*0.475*44/12</f>
        <v>1.001896819814754</v>
      </c>
      <c r="BR109" s="21">
        <f>EXP(-LN(2)/2)*BR108+(1-EXP(-LN(2)/2))/(LN(2)/2)*BL109*BO109*VLOOKUP('Données projet'!$B$11,Paramètres!$A$1:$I$89,3,0)*0.475*44/12</f>
        <v>1.2260897229601469E-13</v>
      </c>
      <c r="BS109" s="22">
        <f t="shared" si="63"/>
        <v>1.3956839605224458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-5.6843418860808015E-13</v>
      </c>
      <c r="BZ109" s="13">
        <f>BY109*VLOOKUP('Données projet'!$B$12,Paramètres!$A$1:$I$89,3,0)*VLOOKUP('Données projet'!$B$12,Paramètres!$A$1:$I$89,5,0)</f>
        <v>-3.177547114319168E-13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326.31232746914907</v>
      </c>
      <c r="CE109" s="59">
        <f t="shared" si="94"/>
        <v>330.17137761430297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1.0140415327675856</v>
      </c>
      <c r="CL109" s="21">
        <f>EXP(-LN(2)/25)*CL108+(1-EXP(-LN(2)/25))/(LN(2)/25)*Calculateur!CG109*Calculateur!CI109*VLOOKUP('Données projet'!$B$12,Paramètres!$A$1:$I$89,3,0)*0.475*44/12</f>
        <v>3.6684834264257775</v>
      </c>
      <c r="CM109" s="21">
        <f>EXP(-LN(2)/2)*CM108+(1-EXP(-LN(2)/2))/(LN(2)/2)*CG109*CJ109*VLOOKUP('Données projet'!$B$12,Paramètres!$A$1:$I$89,3,0)*0.475*44/12</f>
        <v>1.1831466825400727E-10</v>
      </c>
      <c r="CN109" s="22">
        <f t="shared" si="66"/>
        <v>4.6825249593116771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210.04871822652808</v>
      </c>
      <c r="CZ109" s="59">
        <f t="shared" si="96"/>
        <v>250.17540614049324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1.6207513716116142</v>
      </c>
      <c r="DG109" s="21">
        <f>EXP(-LN(2)/25)*DG108+(1-EXP(-LN(2)/25))/(LN(2)/25)*Calculateur!DB109*Calculateur!DD109*VLOOKUP('Données projet'!$B$13,Paramètres!$A$1:$I$89,3,0)*0.475*44/12</f>
        <v>3.383710157205627</v>
      </c>
      <c r="DH109" s="21">
        <f>EXP(-LN(2)/2)*DH108+(1-EXP(-LN(2)/2))/(LN(2)/2)*DB109*DE109*VLOOKUP('Données projet'!$B$13,Paramètres!$A$1:$I$89,3,0)*0.475*44/12</f>
        <v>7.8412590436898252E-11</v>
      </c>
      <c r="DI109" s="22">
        <f t="shared" si="69"/>
        <v>5.0044615288956544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-5.1159076974727213E-13</v>
      </c>
      <c r="DP109" s="17">
        <f>DO109*VLOOKUP('Données projet'!$B$14,Paramètres!$A$1:$I$89,3,0)*VLOOKUP('Données projet'!$B$14,Paramètres!$A$1:$I$89,5,0)</f>
        <v>-3.7509835237869992E-13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234.09142087023463</v>
      </c>
      <c r="DU109" s="59">
        <f t="shared" si="98"/>
        <v>278.990685815294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0.54159036409177863</v>
      </c>
      <c r="EB109" s="21">
        <f>EXP(-LN(2)/25)*EB108+(1-EXP(-LN(2)/25))/(LN(2)/25)*Calculateur!DW109*Calculateur!DY109*VLOOKUP('Données projet'!$B$14,Paramètres!$A$1:$I$89,3,0)*0.475*44/12</f>
        <v>1.8653401116218216</v>
      </c>
      <c r="EC109" s="21">
        <f>EXP(-LN(2)/2)*EC108+(1-EXP(-LN(2)/2))/(LN(2)/2)*DW109*DZ109*VLOOKUP('Données projet'!$B$14,Paramètres!$A$1:$I$89,3,0)*0.475*44/12</f>
        <v>8.0594399338445396E-11</v>
      </c>
      <c r="ED109" s="22">
        <f t="shared" si="72"/>
        <v>2.4069304757941943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259.30247982593914</v>
      </c>
      <c r="T110" s="59">
        <f t="shared" si="88"/>
        <v>275.24740346220779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2.1325337340529877</v>
      </c>
      <c r="AB110" s="21">
        <f>EXP(-LN(2)/2)*AB109+(1-EXP(-LN(2)/2))/(LN(2)/2)*V110*Y110*VLOOKUP('Données projet'!$B$9,Paramètres!$A$1:$I$89,3,0)*0.475*44/12</f>
        <v>7.377877392433344E-11</v>
      </c>
      <c r="AC110" s="22">
        <f t="shared" si="57"/>
        <v>2.1325337341267665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7.9580786405131221E-13</v>
      </c>
      <c r="AJ110" s="13">
        <f>AI110*VLOOKUP('Données projet'!$B$10,Paramètres!$A$1:$I$89,3,0)*VLOOKUP('Données projet'!$B$10,Paramètres!$A$1:$I$89,5,0)</f>
        <v>3.8278358260868117E-13</v>
      </c>
      <c r="AK110" s="13">
        <f t="shared" si="89"/>
        <v>4.9186917125089072E-12</v>
      </c>
      <c r="AL110" s="20">
        <f t="shared" si="58"/>
        <v>9.2334028056631319E-12</v>
      </c>
      <c r="AM110" s="59">
        <f t="shared" si="59"/>
        <v>293.33333333334252</v>
      </c>
      <c r="AN110" s="59">
        <f ca="1">AVERAGE(OFFSET($AM$3,0,0,'Données projet'!$E$10+1,1))-AVERAGE(OFFSET($H$3,0,0,'Données projet'!$E$10+1,1))</f>
        <v>297.21955661193238</v>
      </c>
      <c r="AO110" s="59">
        <f t="shared" si="90"/>
        <v>273.69206144662144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1.4664638464635815</v>
      </c>
      <c r="AV110" s="21">
        <f>EXP(-LN(2)/25)*AV109+(1-EXP(-LN(2)/25))/(LN(2)/25)*Calculateur!AQ110*Calculateur!AS110*VLOOKUP('Données projet'!$B$10,Paramètres!$A$1:$I$89,3,0)*0.475*44/12</f>
        <v>1.5873825502239802</v>
      </c>
      <c r="AW110" s="21">
        <f>EXP(-LN(2)/2)*AW109+(1-EXP(-LN(2)/2))/(LN(2)/2)*AQ110*AT110*VLOOKUP('Données projet'!$B$10,Paramètres!$A$1:$I$89,3,0)*0.475*44/12</f>
        <v>5.3796869817557645E-11</v>
      </c>
      <c r="AX110" s="21">
        <f t="shared" si="60"/>
        <v>3.0538463967413589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3.6357050703372803E-14</v>
      </c>
      <c r="BF110" s="13">
        <f t="shared" si="91"/>
        <v>6.1445232567661395E-13</v>
      </c>
      <c r="BG110" s="20">
        <f t="shared" si="61"/>
        <v>1.1334929971951436E-12</v>
      </c>
      <c r="BH110" s="59">
        <f t="shared" si="62"/>
        <v>293.33333333333445</v>
      </c>
      <c r="BI110" s="59">
        <f ca="1">AVERAGE(OFFSET($BH$3,0,0,'Données projet'!$E$11+1,1))-AVERAGE(OFFSET($H$3,0,0,'Données projet'!$E$11+1,1))</f>
        <v>176.90404027101607</v>
      </c>
      <c r="BJ110" s="59">
        <f t="shared" si="92"/>
        <v>295.34177980841878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0.38606521506473329</v>
      </c>
      <c r="BQ110" s="21">
        <f>EXP(-LN(2)/25)*BQ109+(1-EXP(-LN(2)/25))/(LN(2)/25)*Calculateur!BL110*Calculateur!BN110*VLOOKUP('Données projet'!$B$11,Paramètres!$A$1:$I$89,3,0)*0.475*44/12</f>
        <v>0.97449989858945563</v>
      </c>
      <c r="BR110" s="21">
        <f>EXP(-LN(2)/2)*BR109+(1-EXP(-LN(2)/2))/(LN(2)/2)*BL110*BO110*VLOOKUP('Données projet'!$B$11,Paramètres!$A$1:$I$89,3,0)*0.475*44/12</f>
        <v>8.669763574482553E-14</v>
      </c>
      <c r="BS110" s="22">
        <f t="shared" si="63"/>
        <v>1.3605651136542756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-5.6843418860808015E-13</v>
      </c>
      <c r="BZ110" s="13">
        <f>BY110*VLOOKUP('Données projet'!$B$12,Paramètres!$A$1:$I$89,3,0)*VLOOKUP('Données projet'!$B$12,Paramètres!$A$1:$I$89,5,0)</f>
        <v>-3.177547114319168E-13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326.31232746914907</v>
      </c>
      <c r="CE110" s="59">
        <f t="shared" si="94"/>
        <v>330.17137761430297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0.99415679681427593</v>
      </c>
      <c r="CL110" s="21">
        <f>EXP(-LN(2)/25)*CL109+(1-EXP(-LN(2)/25))/(LN(2)/25)*Calculateur!CG110*Calculateur!CI110*VLOOKUP('Données projet'!$B$12,Paramètres!$A$1:$I$89,3,0)*0.475*44/12</f>
        <v>3.5681685542130057</v>
      </c>
      <c r="CM110" s="21">
        <f>EXP(-LN(2)/2)*CM109+(1-EXP(-LN(2)/2))/(LN(2)/2)*CG110*CJ110*VLOOKUP('Données projet'!$B$12,Paramètres!$A$1:$I$89,3,0)*0.475*44/12</f>
        <v>8.366110423624528E-11</v>
      </c>
      <c r="CN110" s="22">
        <f t="shared" si="66"/>
        <v>4.5623253511109425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210.04871822652808</v>
      </c>
      <c r="CZ110" s="59">
        <f t="shared" si="96"/>
        <v>250.17540614049324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1.5889694257750349</v>
      </c>
      <c r="DG110" s="21">
        <f>EXP(-LN(2)/25)*DG109+(1-EXP(-LN(2)/25))/(LN(2)/25)*Calculateur!DB110*Calculateur!DD110*VLOOKUP('Données projet'!$B$13,Paramètres!$A$1:$I$89,3,0)*0.475*44/12</f>
        <v>3.2911824250152555</v>
      </c>
      <c r="DH110" s="21">
        <f>EXP(-LN(2)/2)*DH109+(1-EXP(-LN(2)/2))/(LN(2)/2)*DB110*DE110*VLOOKUP('Données projet'!$B$13,Paramètres!$A$1:$I$89,3,0)*0.475*44/12</f>
        <v>5.5446074428334182E-11</v>
      </c>
      <c r="DI110" s="22">
        <f t="shared" si="69"/>
        <v>4.8801518508457367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-5.1159076974727213E-13</v>
      </c>
      <c r="DP110" s="17">
        <f>DO110*VLOOKUP('Données projet'!$B$14,Paramètres!$A$1:$I$89,3,0)*VLOOKUP('Données projet'!$B$14,Paramètres!$A$1:$I$89,5,0)</f>
        <v>-3.7509835237869992E-13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234.09142087023463</v>
      </c>
      <c r="DU110" s="59">
        <f t="shared" si="98"/>
        <v>278.990685815294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0.53097010738944284</v>
      </c>
      <c r="EB110" s="21">
        <f>EXP(-LN(2)/25)*EB109+(1-EXP(-LN(2)/25))/(LN(2)/25)*Calculateur!DW110*Calculateur!DY110*VLOOKUP('Données projet'!$B$14,Paramètres!$A$1:$I$89,3,0)*0.475*44/12</f>
        <v>1.8143322881755497</v>
      </c>
      <c r="EC110" s="21">
        <f>EXP(-LN(2)/2)*EC109+(1-EXP(-LN(2)/2))/(LN(2)/2)*DW110*DZ110*VLOOKUP('Données projet'!$B$14,Paramètres!$A$1:$I$89,3,0)*0.475*44/12</f>
        <v>5.6988846297871346E-11</v>
      </c>
      <c r="ED110" s="22">
        <f t="shared" si="72"/>
        <v>2.3453023956219812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259.30247982593914</v>
      </c>
      <c r="T111" s="59">
        <f t="shared" si="88"/>
        <v>275.24740346220779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2.0742194869502337</v>
      </c>
      <c r="AB111" s="21">
        <f>EXP(-LN(2)/2)*AB110+(1-EXP(-LN(2)/2))/(LN(2)/2)*V111*Y111*VLOOKUP('Données projet'!$B$9,Paramètres!$A$1:$I$89,3,0)*0.475*44/12</f>
        <v>5.2169471349525405E-11</v>
      </c>
      <c r="AC111" s="22">
        <f t="shared" si="57"/>
        <v>2.0742194870024031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7.9580786405131221E-13</v>
      </c>
      <c r="AJ111" s="13">
        <f>AI111*VLOOKUP('Données projet'!$B$10,Paramètres!$A$1:$I$89,3,0)*VLOOKUP('Données projet'!$B$10,Paramètres!$A$1:$I$89,5,0)</f>
        <v>3.8278358260868117E-13</v>
      </c>
      <c r="AK111" s="13">
        <f t="shared" si="89"/>
        <v>4.9186917125089072E-12</v>
      </c>
      <c r="AL111" s="20">
        <f t="shared" si="58"/>
        <v>9.2334028056631319E-12</v>
      </c>
      <c r="AM111" s="59">
        <f t="shared" si="59"/>
        <v>293.33333333334252</v>
      </c>
      <c r="AN111" s="59">
        <f ca="1">AVERAGE(OFFSET($AM$3,0,0,'Données projet'!$E$10+1,1))-AVERAGE(OFFSET($H$3,0,0,'Données projet'!$E$10+1,1))</f>
        <v>297.21955661193238</v>
      </c>
      <c r="AO111" s="59">
        <f t="shared" si="90"/>
        <v>273.69206144662144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1.4377073848890569</v>
      </c>
      <c r="AV111" s="21">
        <f>EXP(-LN(2)/25)*AV110+(1-EXP(-LN(2)/25))/(LN(2)/25)*Calculateur!AQ111*Calculateur!AS111*VLOOKUP('Données projet'!$B$10,Paramètres!$A$1:$I$89,3,0)*0.475*44/12</f>
        <v>1.5439754909112853</v>
      </c>
      <c r="AW111" s="21">
        <f>EXP(-LN(2)/2)*AW110+(1-EXP(-LN(2)/2))/(LN(2)/2)*AQ111*AT111*VLOOKUP('Données projet'!$B$10,Paramètres!$A$1:$I$89,3,0)*0.475*44/12</f>
        <v>3.8040131454604916E-11</v>
      </c>
      <c r="AX111" s="21">
        <f t="shared" si="60"/>
        <v>2.9816828758383824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3.6357050703372803E-14</v>
      </c>
      <c r="BF111" s="13">
        <f t="shared" si="91"/>
        <v>6.1445232567661395E-13</v>
      </c>
      <c r="BG111" s="20">
        <f t="shared" si="61"/>
        <v>1.1334929971951436E-12</v>
      </c>
      <c r="BH111" s="59">
        <f t="shared" si="62"/>
        <v>293.33333333333445</v>
      </c>
      <c r="BI111" s="59">
        <f ca="1">AVERAGE(OFFSET($BH$3,0,0,'Données projet'!$E$11+1,1))-AVERAGE(OFFSET($H$3,0,0,'Données projet'!$E$11+1,1))</f>
        <v>176.90404027101607</v>
      </c>
      <c r="BJ111" s="59">
        <f t="shared" si="92"/>
        <v>295.34177980841878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0.37849471167384369</v>
      </c>
      <c r="BQ111" s="21">
        <f>EXP(-LN(2)/25)*BQ110+(1-EXP(-LN(2)/25))/(LN(2)/25)*Calculateur!BL111*Calculateur!BN111*VLOOKUP('Données projet'!$B$11,Paramètres!$A$1:$I$89,3,0)*0.475*44/12</f>
        <v>0.9478521476158045</v>
      </c>
      <c r="BR111" s="21">
        <f>EXP(-LN(2)/2)*BR110+(1-EXP(-LN(2)/2))/(LN(2)/2)*BL111*BO111*VLOOKUP('Données projet'!$B$11,Paramètres!$A$1:$I$89,3,0)*0.475*44/12</f>
        <v>6.1304486148007347E-14</v>
      </c>
      <c r="BS111" s="22">
        <f t="shared" si="63"/>
        <v>1.3263468592897094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-5.6843418860808015E-13</v>
      </c>
      <c r="BZ111" s="13">
        <f>BY111*VLOOKUP('Données projet'!$B$12,Paramètres!$A$1:$I$89,3,0)*VLOOKUP('Données projet'!$B$12,Paramètres!$A$1:$I$89,5,0)</f>
        <v>-3.177547114319168E-13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326.31232746914907</v>
      </c>
      <c r="CE111" s="59">
        <f t="shared" si="94"/>
        <v>330.17137761430297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0.97466198840451945</v>
      </c>
      <c r="CL111" s="21">
        <f>EXP(-LN(2)/25)*CL110+(1-EXP(-LN(2)/25))/(LN(2)/25)*Calculateur!CG111*Calculateur!CI111*VLOOKUP('Données projet'!$B$12,Paramètres!$A$1:$I$89,3,0)*0.475*44/12</f>
        <v>3.470596797456222</v>
      </c>
      <c r="CM111" s="21">
        <f>EXP(-LN(2)/2)*CM110+(1-EXP(-LN(2)/2))/(LN(2)/2)*CG111*CJ111*VLOOKUP('Données projet'!$B$12,Paramètres!$A$1:$I$89,3,0)*0.475*44/12</f>
        <v>5.9157334127003636E-11</v>
      </c>
      <c r="CN111" s="22">
        <f t="shared" si="66"/>
        <v>4.4452587859198989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210.04871822652808</v>
      </c>
      <c r="CZ111" s="59">
        <f t="shared" si="96"/>
        <v>250.17540614049324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1.5578107045112379</v>
      </c>
      <c r="DG111" s="21">
        <f>EXP(-LN(2)/25)*DG110+(1-EXP(-LN(2)/25))/(LN(2)/25)*Calculateur!DB111*Calculateur!DD111*VLOOKUP('Données projet'!$B$13,Paramètres!$A$1:$I$89,3,0)*0.475*44/12</f>
        <v>3.2011848685274518</v>
      </c>
      <c r="DH111" s="21">
        <f>EXP(-LN(2)/2)*DH110+(1-EXP(-LN(2)/2))/(LN(2)/2)*DB111*DE111*VLOOKUP('Données projet'!$B$13,Paramètres!$A$1:$I$89,3,0)*0.475*44/12</f>
        <v>3.9206295218449126E-11</v>
      </c>
      <c r="DI111" s="22">
        <f t="shared" si="69"/>
        <v>4.7589955730778959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-5.1159076974727213E-13</v>
      </c>
      <c r="DP111" s="17">
        <f>DO111*VLOOKUP('Données projet'!$B$14,Paramètres!$A$1:$I$89,3,0)*VLOOKUP('Données projet'!$B$14,Paramètres!$A$1:$I$89,5,0)</f>
        <v>-3.7509835237869992E-13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234.09142087023463</v>
      </c>
      <c r="DU111" s="59">
        <f t="shared" si="98"/>
        <v>278.990685815294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0.52055810744332287</v>
      </c>
      <c r="EB111" s="21">
        <f>EXP(-LN(2)/25)*EB110+(1-EXP(-LN(2)/25))/(LN(2)/25)*Calculateur!DW111*Calculateur!DY111*VLOOKUP('Données projet'!$B$14,Paramètres!$A$1:$I$89,3,0)*0.475*44/12</f>
        <v>1.7647192763438009</v>
      </c>
      <c r="EC111" s="21">
        <f>EXP(-LN(2)/2)*EC110+(1-EXP(-LN(2)/2))/(LN(2)/2)*DW111*DZ111*VLOOKUP('Données projet'!$B$14,Paramètres!$A$1:$I$89,3,0)*0.475*44/12</f>
        <v>4.0297199669222705E-11</v>
      </c>
      <c r="ED111" s="22">
        <f t="shared" si="72"/>
        <v>2.2852773838274207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259.30247982593914</v>
      </c>
      <c r="T112" s="59">
        <f t="shared" si="88"/>
        <v>275.24740346220779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2.0174998460011175</v>
      </c>
      <c r="AB112" s="21">
        <f>EXP(-LN(2)/2)*AB111+(1-EXP(-LN(2)/2))/(LN(2)/2)*V112*Y112*VLOOKUP('Données projet'!$B$9,Paramètres!$A$1:$I$89,3,0)*0.475*44/12</f>
        <v>3.688938696216672E-11</v>
      </c>
      <c r="AC112" s="22">
        <f t="shared" si="57"/>
        <v>2.0174998460380071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7.9580786405131221E-13</v>
      </c>
      <c r="AJ112" s="13">
        <f>AI112*VLOOKUP('Données projet'!$B$10,Paramètres!$A$1:$I$89,3,0)*VLOOKUP('Données projet'!$B$10,Paramètres!$A$1:$I$89,5,0)</f>
        <v>3.8278358260868117E-13</v>
      </c>
      <c r="AK112" s="13">
        <f t="shared" si="89"/>
        <v>4.9186917125089072E-12</v>
      </c>
      <c r="AL112" s="20">
        <f t="shared" si="58"/>
        <v>9.2334028056631319E-12</v>
      </c>
      <c r="AM112" s="59">
        <f t="shared" si="59"/>
        <v>293.33333333334252</v>
      </c>
      <c r="AN112" s="59">
        <f ca="1">AVERAGE(OFFSET($AM$3,0,0,'Données projet'!$E$10+1,1))-AVERAGE(OFFSET($H$3,0,0,'Données projet'!$E$10+1,1))</f>
        <v>297.21955661193238</v>
      </c>
      <c r="AO112" s="59">
        <f t="shared" si="90"/>
        <v>273.69206144662144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1.4095148199862992</v>
      </c>
      <c r="AV112" s="21">
        <f>EXP(-LN(2)/25)*AV111+(1-EXP(-LN(2)/25))/(LN(2)/25)*Calculateur!AQ112*Calculateur!AS112*VLOOKUP('Données projet'!$B$10,Paramètres!$A$1:$I$89,3,0)*0.475*44/12</f>
        <v>1.5017553999181739</v>
      </c>
      <c r="AW112" s="21">
        <f>EXP(-LN(2)/2)*AW111+(1-EXP(-LN(2)/2))/(LN(2)/2)*AQ112*AT112*VLOOKUP('Données projet'!$B$10,Paramètres!$A$1:$I$89,3,0)*0.475*44/12</f>
        <v>2.6898434908778823E-11</v>
      </c>
      <c r="AX112" s="21">
        <f t="shared" si="60"/>
        <v>2.9112702199313718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3.6357050703372803E-14</v>
      </c>
      <c r="BF112" s="13">
        <f t="shared" si="91"/>
        <v>6.1445232567661395E-13</v>
      </c>
      <c r="BG112" s="20">
        <f t="shared" si="61"/>
        <v>1.1334929971951436E-12</v>
      </c>
      <c r="BH112" s="59">
        <f t="shared" si="62"/>
        <v>293.33333333333445</v>
      </c>
      <c r="BI112" s="59">
        <f ca="1">AVERAGE(OFFSET($BH$3,0,0,'Données projet'!$E$11+1,1))-AVERAGE(OFFSET($H$3,0,0,'Données projet'!$E$11+1,1))</f>
        <v>176.90404027101607</v>
      </c>
      <c r="BJ112" s="59">
        <f t="shared" si="92"/>
        <v>295.34177980841878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0.3710726612368983</v>
      </c>
      <c r="BQ112" s="21">
        <f>EXP(-LN(2)/25)*BQ111+(1-EXP(-LN(2)/25))/(LN(2)/25)*Calculateur!BL112*Calculateur!BN112*VLOOKUP('Données projet'!$B$11,Paramètres!$A$1:$I$89,3,0)*0.475*44/12</f>
        <v>0.92193308079387226</v>
      </c>
      <c r="BR112" s="21">
        <f>EXP(-LN(2)/2)*BR111+(1-EXP(-LN(2)/2))/(LN(2)/2)*BL112*BO112*VLOOKUP('Données projet'!$B$11,Paramètres!$A$1:$I$89,3,0)*0.475*44/12</f>
        <v>4.3348817872412765E-14</v>
      </c>
      <c r="BS112" s="22">
        <f t="shared" si="63"/>
        <v>1.2930057420308139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-5.6843418860808015E-13</v>
      </c>
      <c r="BZ112" s="13">
        <f>BY112*VLOOKUP('Données projet'!$B$12,Paramètres!$A$1:$I$89,3,0)*VLOOKUP('Données projet'!$B$12,Paramètres!$A$1:$I$89,5,0)</f>
        <v>-3.177547114319168E-13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326.31232746914907</v>
      </c>
      <c r="CE112" s="59">
        <f t="shared" si="94"/>
        <v>330.17137761430297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0.95554946129701923</v>
      </c>
      <c r="CL112" s="21">
        <f>EXP(-LN(2)/25)*CL111+(1-EXP(-LN(2)/25))/(LN(2)/25)*Calculateur!CG112*Calculateur!CI112*VLOOKUP('Données projet'!$B$12,Paramètres!$A$1:$I$89,3,0)*0.475*44/12</f>
        <v>3.375693145519028</v>
      </c>
      <c r="CM112" s="21">
        <f>EXP(-LN(2)/2)*CM111+(1-EXP(-LN(2)/2))/(LN(2)/2)*CG112*CJ112*VLOOKUP('Données projet'!$B$12,Paramètres!$A$1:$I$89,3,0)*0.475*44/12</f>
        <v>4.183055211812264E-11</v>
      </c>
      <c r="CN112" s="22">
        <f t="shared" si="66"/>
        <v>4.3312426068578782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210.04871822652808</v>
      </c>
      <c r="CZ112" s="59">
        <f t="shared" si="96"/>
        <v>250.17540614049324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1.5272629867664806</v>
      </c>
      <c r="DG112" s="21">
        <f>EXP(-LN(2)/25)*DG111+(1-EXP(-LN(2)/25))/(LN(2)/25)*Calculateur!DB112*Calculateur!DD112*VLOOKUP('Données projet'!$B$13,Paramètres!$A$1:$I$89,3,0)*0.475*44/12</f>
        <v>3.1136482999545727</v>
      </c>
      <c r="DH112" s="21">
        <f>EXP(-LN(2)/2)*DH111+(1-EXP(-LN(2)/2))/(LN(2)/2)*DB112*DE112*VLOOKUP('Données projet'!$B$13,Paramètres!$A$1:$I$89,3,0)*0.475*44/12</f>
        <v>2.7723037214167091E-11</v>
      </c>
      <c r="DI112" s="22">
        <f t="shared" si="69"/>
        <v>4.6409112867487758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-5.1159076974727213E-13</v>
      </c>
      <c r="DP112" s="17">
        <f>DO112*VLOOKUP('Données projet'!$B$14,Paramètres!$A$1:$I$89,3,0)*VLOOKUP('Données projet'!$B$14,Paramètres!$A$1:$I$89,5,0)</f>
        <v>-3.7509835237869992E-13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234.09142087023463</v>
      </c>
      <c r="DU112" s="59">
        <f t="shared" si="98"/>
        <v>278.990685815294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0.51035028046545339</v>
      </c>
      <c r="EB112" s="21">
        <f>EXP(-LN(2)/25)*EB111+(1-EXP(-LN(2)/25))/(LN(2)/25)*Calculateur!DW112*Calculateur!DY112*VLOOKUP('Données projet'!$B$14,Paramètres!$A$1:$I$89,3,0)*0.475*44/12</f>
        <v>1.7164629349296263</v>
      </c>
      <c r="EC112" s="21">
        <f>EXP(-LN(2)/2)*EC111+(1-EXP(-LN(2)/2))/(LN(2)/2)*DW112*DZ112*VLOOKUP('Données projet'!$B$14,Paramètres!$A$1:$I$89,3,0)*0.475*44/12</f>
        <v>2.8494423148935676E-11</v>
      </c>
      <c r="ED112" s="22">
        <f t="shared" si="72"/>
        <v>2.226813215423574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259.30247982593914</v>
      </c>
      <c r="T113" s="59">
        <f t="shared" si="88"/>
        <v>275.24740346220779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1.9623312066165111</v>
      </c>
      <c r="AB113" s="21">
        <f>EXP(-LN(2)/2)*AB112+(1-EXP(-LN(2)/2))/(LN(2)/2)*V113*Y113*VLOOKUP('Données projet'!$B$9,Paramètres!$A$1:$I$89,3,0)*0.475*44/12</f>
        <v>2.6084735674762702E-11</v>
      </c>
      <c r="AC113" s="22">
        <f t="shared" si="57"/>
        <v>1.9623312066425957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7.9580786405131221E-13</v>
      </c>
      <c r="AJ113" s="13">
        <f>AI113*VLOOKUP('Données projet'!$B$10,Paramètres!$A$1:$I$89,3,0)*VLOOKUP('Données projet'!$B$10,Paramètres!$A$1:$I$89,5,0)</f>
        <v>3.8278358260868117E-13</v>
      </c>
      <c r="AK113" s="13">
        <f t="shared" si="89"/>
        <v>4.9186917125089072E-12</v>
      </c>
      <c r="AL113" s="20">
        <f t="shared" si="58"/>
        <v>9.2334028056631319E-12</v>
      </c>
      <c r="AM113" s="59">
        <f t="shared" si="59"/>
        <v>293.33333333334252</v>
      </c>
      <c r="AN113" s="59">
        <f ca="1">AVERAGE(OFFSET($AM$3,0,0,'Données projet'!$E$10+1,1))-AVERAGE(OFFSET($H$3,0,0,'Données projet'!$E$10+1,1))</f>
        <v>297.21955661193238</v>
      </c>
      <c r="AO113" s="59">
        <f t="shared" si="90"/>
        <v>273.69206144662144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1.3818750940855178</v>
      </c>
      <c r="AV113" s="21">
        <f>EXP(-LN(2)/25)*AV112+(1-EXP(-LN(2)/25))/(LN(2)/25)*Calculateur!AQ113*Calculateur!AS113*VLOOKUP('Données projet'!$B$10,Paramètres!$A$1:$I$89,3,0)*0.475*44/12</f>
        <v>1.4606898195335272</v>
      </c>
      <c r="AW113" s="21">
        <f>EXP(-LN(2)/2)*AW112+(1-EXP(-LN(2)/2))/(LN(2)/2)*AQ113*AT113*VLOOKUP('Données projet'!$B$10,Paramètres!$A$1:$I$89,3,0)*0.475*44/12</f>
        <v>1.9020065727302458E-11</v>
      </c>
      <c r="AX113" s="21">
        <f t="shared" si="60"/>
        <v>2.8425649136380646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3.6357050703372803E-14</v>
      </c>
      <c r="BF113" s="13">
        <f t="shared" si="91"/>
        <v>6.1445232567661395E-13</v>
      </c>
      <c r="BG113" s="20">
        <f t="shared" si="61"/>
        <v>1.1334929971951436E-12</v>
      </c>
      <c r="BH113" s="59">
        <f t="shared" si="62"/>
        <v>293.33333333333445</v>
      </c>
      <c r="BI113" s="59">
        <f ca="1">AVERAGE(OFFSET($BH$3,0,0,'Données projet'!$E$11+1,1))-AVERAGE(OFFSET($H$3,0,0,'Données projet'!$E$11+1,1))</f>
        <v>176.90404027101607</v>
      </c>
      <c r="BJ113" s="59">
        <f t="shared" si="92"/>
        <v>295.34177980841878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0.36379615268201765</v>
      </c>
      <c r="BQ113" s="21">
        <f>EXP(-LN(2)/25)*BQ112+(1-EXP(-LN(2)/25))/(LN(2)/25)*Calculateur!BL113*Calculateur!BN113*VLOOKUP('Données projet'!$B$11,Paramètres!$A$1:$I$89,3,0)*0.475*44/12</f>
        <v>0.8967227722172102</v>
      </c>
      <c r="BR113" s="21">
        <f>EXP(-LN(2)/2)*BR112+(1-EXP(-LN(2)/2))/(LN(2)/2)*BL113*BO113*VLOOKUP('Données projet'!$B$11,Paramètres!$A$1:$I$89,3,0)*0.475*44/12</f>
        <v>3.0652243074003673E-14</v>
      </c>
      <c r="BS113" s="22">
        <f t="shared" si="63"/>
        <v>1.2605189248992585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-5.6843418860808015E-13</v>
      </c>
      <c r="BZ113" s="13">
        <f>BY113*VLOOKUP('Données projet'!$B$12,Paramètres!$A$1:$I$89,3,0)*VLOOKUP('Données projet'!$B$12,Paramètres!$A$1:$I$89,5,0)</f>
        <v>-3.177547114319168E-13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326.31232746914907</v>
      </c>
      <c r="CE113" s="59">
        <f t="shared" si="94"/>
        <v>330.17137761430297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0.93681171918860662</v>
      </c>
      <c r="CL113" s="21">
        <f>EXP(-LN(2)/25)*CL112+(1-EXP(-LN(2)/25))/(LN(2)/25)*Calculateur!CG113*Calculateur!CI113*VLOOKUP('Données projet'!$B$12,Paramètres!$A$1:$I$89,3,0)*0.475*44/12</f>
        <v>3.2833846389348227</v>
      </c>
      <c r="CM113" s="21">
        <f>EXP(-LN(2)/2)*CM112+(1-EXP(-LN(2)/2))/(LN(2)/2)*CG113*CJ113*VLOOKUP('Données projet'!$B$12,Paramètres!$A$1:$I$89,3,0)*0.475*44/12</f>
        <v>2.9578667063501818E-11</v>
      </c>
      <c r="CN113" s="22">
        <f t="shared" si="66"/>
        <v>4.2201963581530082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210.04871822652808</v>
      </c>
      <c r="CZ113" s="59">
        <f t="shared" si="96"/>
        <v>250.17540614049324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1.4973142911344302</v>
      </c>
      <c r="DG113" s="21">
        <f>EXP(-LN(2)/25)*DG112+(1-EXP(-LN(2)/25))/(LN(2)/25)*Calculateur!DB113*Calculateur!DD113*VLOOKUP('Données projet'!$B$13,Paramètres!$A$1:$I$89,3,0)*0.475*44/12</f>
        <v>3.0285054234526672</v>
      </c>
      <c r="DH113" s="21">
        <f>EXP(-LN(2)/2)*DH112+(1-EXP(-LN(2)/2))/(LN(2)/2)*DB113*DE113*VLOOKUP('Données projet'!$B$13,Paramètres!$A$1:$I$89,3,0)*0.475*44/12</f>
        <v>1.9603147609224563E-11</v>
      </c>
      <c r="DI113" s="22">
        <f t="shared" si="69"/>
        <v>4.5258197146067003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-5.1159076974727213E-13</v>
      </c>
      <c r="DP113" s="17">
        <f>DO113*VLOOKUP('Données projet'!$B$14,Paramètres!$A$1:$I$89,3,0)*VLOOKUP('Données projet'!$B$14,Paramètres!$A$1:$I$89,5,0)</f>
        <v>-3.7509835237869992E-13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234.09142087023463</v>
      </c>
      <c r="DU113" s="59">
        <f t="shared" si="98"/>
        <v>278.990685815294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0.50034262274846031</v>
      </c>
      <c r="EB113" s="21">
        <f>EXP(-LN(2)/25)*EB112+(1-EXP(-LN(2)/25))/(LN(2)/25)*Calculateur!DW113*Calculateur!DY113*VLOOKUP('Données projet'!$B$14,Paramètres!$A$1:$I$89,3,0)*0.475*44/12</f>
        <v>1.6695261657091129</v>
      </c>
      <c r="EC113" s="21">
        <f>EXP(-LN(2)/2)*EC112+(1-EXP(-LN(2)/2))/(LN(2)/2)*DW113*DZ113*VLOOKUP('Données projet'!$B$14,Paramètres!$A$1:$I$89,3,0)*0.475*44/12</f>
        <v>2.0148599834611356E-11</v>
      </c>
      <c r="ED113" s="22">
        <f t="shared" si="72"/>
        <v>2.1698687884777219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259.30247982593914</v>
      </c>
      <c r="T114" s="59">
        <f t="shared" si="88"/>
        <v>275.24740346220779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1.9086711565770693</v>
      </c>
      <c r="AB114" s="21">
        <f>EXP(-LN(2)/2)*AB113+(1-EXP(-LN(2)/2))/(LN(2)/2)*V114*Y114*VLOOKUP('Données projet'!$B$9,Paramètres!$A$1:$I$89,3,0)*0.475*44/12</f>
        <v>1.844469348108336E-11</v>
      </c>
      <c r="AC114" s="22">
        <f t="shared" si="57"/>
        <v>1.9086711565955141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7.9580786405131221E-13</v>
      </c>
      <c r="AJ114" s="13">
        <f>AI114*VLOOKUP('Données projet'!$B$10,Paramètres!$A$1:$I$89,3,0)*VLOOKUP('Données projet'!$B$10,Paramètres!$A$1:$I$89,5,0)</f>
        <v>3.8278358260868117E-13</v>
      </c>
      <c r="AK114" s="13">
        <f t="shared" si="89"/>
        <v>4.9186917125089072E-12</v>
      </c>
      <c r="AL114" s="20">
        <f t="shared" si="58"/>
        <v>9.2334028056631319E-12</v>
      </c>
      <c r="AM114" s="59">
        <f t="shared" si="59"/>
        <v>293.33333333334252</v>
      </c>
      <c r="AN114" s="59">
        <f ca="1">AVERAGE(OFFSET($AM$3,0,0,'Données projet'!$E$10+1,1))-AVERAGE(OFFSET($H$3,0,0,'Données projet'!$E$10+1,1))</f>
        <v>297.21955661193238</v>
      </c>
      <c r="AO114" s="59">
        <f t="shared" si="90"/>
        <v>273.69206144662144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1.3547773663510827</v>
      </c>
      <c r="AV114" s="21">
        <f>EXP(-LN(2)/25)*AV113+(1-EXP(-LN(2)/25))/(LN(2)/25)*Calculateur!AQ114*Calculateur!AS114*VLOOKUP('Données projet'!$B$10,Paramètres!$A$1:$I$89,3,0)*0.475*44/12</f>
        <v>1.4207471796040436</v>
      </c>
      <c r="AW114" s="21">
        <f>EXP(-LN(2)/2)*AW113+(1-EXP(-LN(2)/2))/(LN(2)/2)*AQ114*AT114*VLOOKUP('Données projet'!$B$10,Paramètres!$A$1:$I$89,3,0)*0.475*44/12</f>
        <v>1.3449217454389411E-11</v>
      </c>
      <c r="AX114" s="21">
        <f t="shared" si="60"/>
        <v>2.7755245459685756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3.6357050703372803E-14</v>
      </c>
      <c r="BF114" s="13">
        <f t="shared" si="91"/>
        <v>6.1445232567661395E-13</v>
      </c>
      <c r="BG114" s="20">
        <f t="shared" si="61"/>
        <v>1.1334929971951436E-12</v>
      </c>
      <c r="BH114" s="59">
        <f t="shared" si="62"/>
        <v>293.33333333333445</v>
      </c>
      <c r="BI114" s="59">
        <f ca="1">AVERAGE(OFFSET($BH$3,0,0,'Données projet'!$E$11+1,1))-AVERAGE(OFFSET($H$3,0,0,'Données projet'!$E$11+1,1))</f>
        <v>176.90404027101607</v>
      </c>
      <c r="BJ114" s="59">
        <f t="shared" si="92"/>
        <v>295.34177980841878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0.35666233202166625</v>
      </c>
      <c r="BQ114" s="21">
        <f>EXP(-LN(2)/25)*BQ113+(1-EXP(-LN(2)/25))/(LN(2)/25)*Calculateur!BL114*Calculateur!BN114*VLOOKUP('Données projet'!$B$11,Paramètres!$A$1:$I$89,3,0)*0.475*44/12</f>
        <v>0.8722018408543295</v>
      </c>
      <c r="BR114" s="21">
        <f>EXP(-LN(2)/2)*BR113+(1-EXP(-LN(2)/2))/(LN(2)/2)*BL114*BO114*VLOOKUP('Données projet'!$B$11,Paramètres!$A$1:$I$89,3,0)*0.475*44/12</f>
        <v>2.1674408936206383E-14</v>
      </c>
      <c r="BS114" s="22">
        <f t="shared" si="63"/>
        <v>1.2288641728760175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-5.6843418860808015E-13</v>
      </c>
      <c r="BZ114" s="13">
        <f>BY114*VLOOKUP('Données projet'!$B$12,Paramètres!$A$1:$I$89,3,0)*VLOOKUP('Données projet'!$B$12,Paramètres!$A$1:$I$89,5,0)</f>
        <v>-3.177547114319168E-13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326.31232746914907</v>
      </c>
      <c r="CE114" s="59">
        <f t="shared" si="94"/>
        <v>330.17137761430297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0.91844141277404578</v>
      </c>
      <c r="CL114" s="21">
        <f>EXP(-LN(2)/25)*CL113+(1-EXP(-LN(2)/25))/(LN(2)/25)*Calculateur!CG114*Calculateur!CI114*VLOOKUP('Données projet'!$B$12,Paramètres!$A$1:$I$89,3,0)*0.475*44/12</f>
        <v>3.193600313317456</v>
      </c>
      <c r="CM114" s="21">
        <f>EXP(-LN(2)/2)*CM113+(1-EXP(-LN(2)/2))/(LN(2)/2)*CG114*CJ114*VLOOKUP('Données projet'!$B$12,Paramètres!$A$1:$I$89,3,0)*0.475*44/12</f>
        <v>2.091527605906132E-11</v>
      </c>
      <c r="CN114" s="22">
        <f t="shared" si="66"/>
        <v>4.1120417261124178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210.04871822652808</v>
      </c>
      <c r="CZ114" s="59">
        <f t="shared" si="96"/>
        <v>250.17540614049324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1.4679528711568235</v>
      </c>
      <c r="DG114" s="21">
        <f>EXP(-LN(2)/25)*DG113+(1-EXP(-LN(2)/25))/(LN(2)/25)*Calculateur!DB114*Calculateur!DD114*VLOOKUP('Données projet'!$B$13,Paramètres!$A$1:$I$89,3,0)*0.475*44/12</f>
        <v>2.9456907833861754</v>
      </c>
      <c r="DH114" s="21">
        <f>EXP(-LN(2)/2)*DH113+(1-EXP(-LN(2)/2))/(LN(2)/2)*DB114*DE114*VLOOKUP('Données projet'!$B$13,Paramètres!$A$1:$I$89,3,0)*0.475*44/12</f>
        <v>1.3861518607083546E-11</v>
      </c>
      <c r="DI114" s="22">
        <f t="shared" si="69"/>
        <v>4.4136436545568607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-5.1159076974727213E-13</v>
      </c>
      <c r="DP114" s="17">
        <f>DO114*VLOOKUP('Données projet'!$B$14,Paramètres!$A$1:$I$89,3,0)*VLOOKUP('Données projet'!$B$14,Paramètres!$A$1:$I$89,5,0)</f>
        <v>-3.7509835237869992E-13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234.09142087023463</v>
      </c>
      <c r="DU114" s="59">
        <f t="shared" si="98"/>
        <v>278.990685815294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0.49053120909522896</v>
      </c>
      <c r="EB114" s="21">
        <f>EXP(-LN(2)/25)*EB113+(1-EXP(-LN(2)/25))/(LN(2)/25)*Calculateur!DW114*Calculateur!DY114*VLOOKUP('Données projet'!$B$14,Paramètres!$A$1:$I$89,3,0)*0.475*44/12</f>
        <v>1.6238728849112321</v>
      </c>
      <c r="EC114" s="21">
        <f>EXP(-LN(2)/2)*EC113+(1-EXP(-LN(2)/2))/(LN(2)/2)*DW114*DZ114*VLOOKUP('Données projet'!$B$14,Paramètres!$A$1:$I$89,3,0)*0.475*44/12</f>
        <v>1.424721157446784E-11</v>
      </c>
      <c r="ED114" s="22">
        <f t="shared" si="72"/>
        <v>2.1144040940207081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259.30247982593914</v>
      </c>
      <c r="T115" s="59">
        <f t="shared" si="88"/>
        <v>275.24740346220779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1.8564784434278156</v>
      </c>
      <c r="AB115" s="21">
        <f>EXP(-LN(2)/2)*AB114+(1-EXP(-LN(2)/2))/(LN(2)/2)*V115*Y115*VLOOKUP('Données projet'!$B$9,Paramètres!$A$1:$I$89,3,0)*0.475*44/12</f>
        <v>1.3042367837381351E-11</v>
      </c>
      <c r="AC115" s="22">
        <f t="shared" si="57"/>
        <v>1.8564784434408581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7.9580786405131221E-13</v>
      </c>
      <c r="AJ115" s="13">
        <f>AI115*VLOOKUP('Données projet'!$B$10,Paramètres!$A$1:$I$89,3,0)*VLOOKUP('Données projet'!$B$10,Paramètres!$A$1:$I$89,5,0)</f>
        <v>3.8278358260868117E-13</v>
      </c>
      <c r="AK115" s="13">
        <f t="shared" si="89"/>
        <v>4.9186917125089072E-12</v>
      </c>
      <c r="AL115" s="20">
        <f t="shared" si="58"/>
        <v>9.2334028056631319E-12</v>
      </c>
      <c r="AM115" s="59">
        <f t="shared" si="59"/>
        <v>293.33333333334252</v>
      </c>
      <c r="AN115" s="59">
        <f ca="1">AVERAGE(OFFSET($AM$3,0,0,'Données projet'!$E$10+1,1))-AVERAGE(OFFSET($H$3,0,0,'Données projet'!$E$10+1,1))</f>
        <v>297.21955661193238</v>
      </c>
      <c r="AO115" s="59">
        <f t="shared" si="90"/>
        <v>273.69206144662144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1.3282110085295378</v>
      </c>
      <c r="AV115" s="21">
        <f>EXP(-LN(2)/25)*AV114+(1-EXP(-LN(2)/25))/(LN(2)/25)*Calculateur!AQ115*Calculateur!AS115*VLOOKUP('Données projet'!$B$10,Paramètres!$A$1:$I$89,3,0)*0.475*44/12</f>
        <v>1.381896773263924</v>
      </c>
      <c r="AW115" s="21">
        <f>EXP(-LN(2)/2)*AW114+(1-EXP(-LN(2)/2))/(LN(2)/2)*AQ115*AT115*VLOOKUP('Données projet'!$B$10,Paramètres!$A$1:$I$89,3,0)*0.475*44/12</f>
        <v>9.5100328636512291E-12</v>
      </c>
      <c r="AX115" s="21">
        <f t="shared" si="60"/>
        <v>2.710107781802972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3.6357050703372803E-14</v>
      </c>
      <c r="BF115" s="13">
        <f t="shared" si="91"/>
        <v>6.1445232567661395E-13</v>
      </c>
      <c r="BG115" s="20">
        <f t="shared" si="61"/>
        <v>1.1334929971951436E-12</v>
      </c>
      <c r="BH115" s="59">
        <f t="shared" si="62"/>
        <v>293.33333333333445</v>
      </c>
      <c r="BI115" s="59">
        <f ca="1">AVERAGE(OFFSET($BH$3,0,0,'Données projet'!$E$11+1,1))-AVERAGE(OFFSET($H$3,0,0,'Données projet'!$E$11+1,1))</f>
        <v>176.90404027101607</v>
      </c>
      <c r="BJ115" s="59">
        <f t="shared" si="92"/>
        <v>295.34177980841878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0.34966840123326337</v>
      </c>
      <c r="BQ115" s="21">
        <f>EXP(-LN(2)/25)*BQ114+(1-EXP(-LN(2)/25))/(LN(2)/25)*Calculateur!BL115*Calculateur!BN115*VLOOKUP('Données projet'!$B$11,Paramètres!$A$1:$I$89,3,0)*0.475*44/12</f>
        <v>0.84835143564906645</v>
      </c>
      <c r="BR115" s="21">
        <f>EXP(-LN(2)/2)*BR114+(1-EXP(-LN(2)/2))/(LN(2)/2)*BL115*BO115*VLOOKUP('Données projet'!$B$11,Paramètres!$A$1:$I$89,3,0)*0.475*44/12</f>
        <v>1.5326121537001837E-14</v>
      </c>
      <c r="BS115" s="22">
        <f t="shared" si="63"/>
        <v>1.1980198368823451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-5.6843418860808015E-13</v>
      </c>
      <c r="BZ115" s="13">
        <f>BY115*VLOOKUP('Données projet'!$B$12,Paramètres!$A$1:$I$89,3,0)*VLOOKUP('Données projet'!$B$12,Paramètres!$A$1:$I$89,5,0)</f>
        <v>-3.177547114319168E-13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326.31232746914907</v>
      </c>
      <c r="CE115" s="59">
        <f t="shared" si="94"/>
        <v>330.17137761430297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0.90043133686349397</v>
      </c>
      <c r="CL115" s="21">
        <f>EXP(-LN(2)/25)*CL114+(1-EXP(-LN(2)/25))/(LN(2)/25)*Calculateur!CG115*Calculateur!CI115*VLOOKUP('Données projet'!$B$12,Paramètres!$A$1:$I$89,3,0)*0.475*44/12</f>
        <v>3.1062711448056488</v>
      </c>
      <c r="CM115" s="21">
        <f>EXP(-LN(2)/2)*CM114+(1-EXP(-LN(2)/2))/(LN(2)/2)*CG115*CJ115*VLOOKUP('Données projet'!$B$12,Paramètres!$A$1:$I$89,3,0)*0.475*44/12</f>
        <v>1.4789333531750909E-11</v>
      </c>
      <c r="CN115" s="22">
        <f t="shared" si="66"/>
        <v>4.0067024816839316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210.04871822652808</v>
      </c>
      <c r="CZ115" s="59">
        <f t="shared" si="96"/>
        <v>250.17540614049324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1.4391672107162798</v>
      </c>
      <c r="DG115" s="21">
        <f>EXP(-LN(2)/25)*DG114+(1-EXP(-LN(2)/25))/(LN(2)/25)*Calculateur!DB115*Calculateur!DD115*VLOOKUP('Données projet'!$B$13,Paramètres!$A$1:$I$89,3,0)*0.475*44/12</f>
        <v>2.8651407140073344</v>
      </c>
      <c r="DH115" s="21">
        <f>EXP(-LN(2)/2)*DH114+(1-EXP(-LN(2)/2))/(LN(2)/2)*DB115*DE115*VLOOKUP('Données projet'!$B$13,Paramètres!$A$1:$I$89,3,0)*0.475*44/12</f>
        <v>9.8015738046122815E-12</v>
      </c>
      <c r="DI115" s="22">
        <f t="shared" si="69"/>
        <v>4.3043079247334166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-5.1159076974727213E-13</v>
      </c>
      <c r="DP115" s="17">
        <f>DO115*VLOOKUP('Données projet'!$B$14,Paramètres!$A$1:$I$89,3,0)*VLOOKUP('Données projet'!$B$14,Paramètres!$A$1:$I$89,5,0)</f>
        <v>-3.7509835237869992E-13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234.09142087023463</v>
      </c>
      <c r="DU115" s="59">
        <f t="shared" si="98"/>
        <v>278.990685815294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0.48091219127936607</v>
      </c>
      <c r="EB115" s="21">
        <f>EXP(-LN(2)/25)*EB114+(1-EXP(-LN(2)/25))/(LN(2)/25)*Calculateur!DW115*Calculateur!DY115*VLOOKUP('Données projet'!$B$14,Paramètres!$A$1:$I$89,3,0)*0.475*44/12</f>
        <v>1.5794679954775708</v>
      </c>
      <c r="EC115" s="21">
        <f>EXP(-LN(2)/2)*EC114+(1-EXP(-LN(2)/2))/(LN(2)/2)*DW115*DZ115*VLOOKUP('Données projet'!$B$14,Paramètres!$A$1:$I$89,3,0)*0.475*44/12</f>
        <v>1.0074299917305679E-11</v>
      </c>
      <c r="ED115" s="22">
        <f t="shared" si="72"/>
        <v>2.0603801867670111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259.30247982593914</v>
      </c>
      <c r="T116" s="59">
        <f t="shared" si="88"/>
        <v>275.24740346220779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1.8057129427643237</v>
      </c>
      <c r="AB116" s="21">
        <f>EXP(-LN(2)/2)*AB115+(1-EXP(-LN(2)/2))/(LN(2)/2)*V116*Y116*VLOOKUP('Données projet'!$B$9,Paramètres!$A$1:$I$89,3,0)*0.475*44/12</f>
        <v>9.2223467405416799E-12</v>
      </c>
      <c r="AC116" s="22">
        <f t="shared" si="57"/>
        <v>1.8057129427735461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7.9580786405131221E-13</v>
      </c>
      <c r="AJ116" s="13">
        <f>AI116*VLOOKUP('Données projet'!$B$10,Paramètres!$A$1:$I$89,3,0)*VLOOKUP('Données projet'!$B$10,Paramètres!$A$1:$I$89,5,0)</f>
        <v>3.8278358260868117E-13</v>
      </c>
      <c r="AK116" s="13">
        <f t="shared" si="89"/>
        <v>4.9186917125089072E-12</v>
      </c>
      <c r="AL116" s="20">
        <f t="shared" si="58"/>
        <v>9.2334028056631319E-12</v>
      </c>
      <c r="AM116" s="59">
        <f t="shared" si="59"/>
        <v>293.33333333334252</v>
      </c>
      <c r="AN116" s="59">
        <f ca="1">AVERAGE(OFFSET($AM$3,0,0,'Données projet'!$E$10+1,1))-AVERAGE(OFFSET($H$3,0,0,'Données projet'!$E$10+1,1))</f>
        <v>297.21955661193238</v>
      </c>
      <c r="AO116" s="59">
        <f t="shared" si="90"/>
        <v>273.69206144662144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1.3021656007809952</v>
      </c>
      <c r="AV116" s="21">
        <f>EXP(-LN(2)/25)*AV115+(1-EXP(-LN(2)/25))/(LN(2)/25)*Calculateur!AQ116*Calculateur!AS116*VLOOKUP('Données projet'!$B$10,Paramètres!$A$1:$I$89,3,0)*0.475*44/12</f>
        <v>1.3441087333282291</v>
      </c>
      <c r="AW116" s="21">
        <f>EXP(-LN(2)/2)*AW115+(1-EXP(-LN(2)/2))/(LN(2)/2)*AQ116*AT116*VLOOKUP('Données projet'!$B$10,Paramètres!$A$1:$I$89,3,0)*0.475*44/12</f>
        <v>6.7246087271947057E-12</v>
      </c>
      <c r="AX116" s="21">
        <f t="shared" si="60"/>
        <v>2.6462743341159487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3.6357050703372803E-14</v>
      </c>
      <c r="BF116" s="13">
        <f t="shared" si="91"/>
        <v>6.1445232567661395E-13</v>
      </c>
      <c r="BG116" s="20">
        <f t="shared" si="61"/>
        <v>1.1334929971951436E-12</v>
      </c>
      <c r="BH116" s="59">
        <f t="shared" si="62"/>
        <v>293.33333333333445</v>
      </c>
      <c r="BI116" s="59">
        <f ca="1">AVERAGE(OFFSET($BH$3,0,0,'Données projet'!$E$11+1,1))-AVERAGE(OFFSET($H$3,0,0,'Données projet'!$E$11+1,1))</f>
        <v>176.90404027101607</v>
      </c>
      <c r="BJ116" s="59">
        <f t="shared" si="92"/>
        <v>295.34177980841878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0.34281161716174452</v>
      </c>
      <c r="BQ116" s="21">
        <f>EXP(-LN(2)/25)*BQ115+(1-EXP(-LN(2)/25))/(LN(2)/25)*Calculateur!BL116*Calculateur!BN116*VLOOKUP('Données projet'!$B$11,Paramètres!$A$1:$I$89,3,0)*0.475*44/12</f>
        <v>0.82515322102837962</v>
      </c>
      <c r="BR116" s="21">
        <f>EXP(-LN(2)/2)*BR115+(1-EXP(-LN(2)/2))/(LN(2)/2)*BL116*BO116*VLOOKUP('Données projet'!$B$11,Paramètres!$A$1:$I$89,3,0)*0.475*44/12</f>
        <v>1.0837204468103191E-14</v>
      </c>
      <c r="BS116" s="22">
        <f t="shared" si="63"/>
        <v>1.1679648381901351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-5.6843418860808015E-13</v>
      </c>
      <c r="BZ116" s="13">
        <f>BY116*VLOOKUP('Données projet'!$B$12,Paramètres!$A$1:$I$89,3,0)*VLOOKUP('Données projet'!$B$12,Paramètres!$A$1:$I$89,5,0)</f>
        <v>-3.177547114319168E-13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326.31232746914907</v>
      </c>
      <c r="CE116" s="59">
        <f t="shared" si="94"/>
        <v>330.17137761430297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0.8827744275564865</v>
      </c>
      <c r="CL116" s="21">
        <f>EXP(-LN(2)/25)*CL115+(1-EXP(-LN(2)/25))/(LN(2)/25)*Calculateur!CG116*Calculateur!CI116*VLOOKUP('Données projet'!$B$12,Paramètres!$A$1:$I$89,3,0)*0.475*44/12</f>
        <v>3.0213299969992384</v>
      </c>
      <c r="CM116" s="21">
        <f>EXP(-LN(2)/2)*CM115+(1-EXP(-LN(2)/2))/(LN(2)/2)*CG116*CJ116*VLOOKUP('Données projet'!$B$12,Paramètres!$A$1:$I$89,3,0)*0.475*44/12</f>
        <v>1.045763802953066E-11</v>
      </c>
      <c r="CN116" s="22">
        <f t="shared" si="66"/>
        <v>3.9041044245661829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210.04871822652808</v>
      </c>
      <c r="CZ116" s="59">
        <f t="shared" si="96"/>
        <v>250.17540614049324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1.4109460195194561</v>
      </c>
      <c r="DG116" s="21">
        <f>EXP(-LN(2)/25)*DG115+(1-EXP(-LN(2)/25))/(LN(2)/25)*Calculateur!DB116*Calculateur!DD116*VLOOKUP('Données projet'!$B$13,Paramètres!$A$1:$I$89,3,0)*0.475*44/12</f>
        <v>2.7867932905116022</v>
      </c>
      <c r="DH116" s="21">
        <f>EXP(-LN(2)/2)*DH115+(1-EXP(-LN(2)/2))/(LN(2)/2)*DB116*DE116*VLOOKUP('Données projet'!$B$13,Paramètres!$A$1:$I$89,3,0)*0.475*44/12</f>
        <v>6.9307593035417728E-12</v>
      </c>
      <c r="DI116" s="22">
        <f t="shared" si="69"/>
        <v>4.1977393100379885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-5.1159076974727213E-13</v>
      </c>
      <c r="DP116" s="17">
        <f>DO116*VLOOKUP('Données projet'!$B$14,Paramètres!$A$1:$I$89,3,0)*VLOOKUP('Données projet'!$B$14,Paramètres!$A$1:$I$89,5,0)</f>
        <v>-3.7509835237869992E-13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234.09142087023463</v>
      </c>
      <c r="DU116" s="59">
        <f t="shared" si="98"/>
        <v>278.990685815294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0.47148179653585071</v>
      </c>
      <c r="EB116" s="21">
        <f>EXP(-LN(2)/25)*EB115+(1-EXP(-LN(2)/25))/(LN(2)/25)*Calculateur!DW116*Calculateur!DY116*VLOOKUP('Données projet'!$B$14,Paramètres!$A$1:$I$89,3,0)*0.475*44/12</f>
        <v>1.5362773600806245</v>
      </c>
      <c r="EC116" s="21">
        <f>EXP(-LN(2)/2)*EC115+(1-EXP(-LN(2)/2))/(LN(2)/2)*DW116*DZ116*VLOOKUP('Données projet'!$B$14,Paramètres!$A$1:$I$89,3,0)*0.475*44/12</f>
        <v>7.1236057872339215E-12</v>
      </c>
      <c r="ED116" s="22">
        <f t="shared" si="72"/>
        <v>2.0077591566235991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259.30247982593914</v>
      </c>
      <c r="T117" s="59">
        <f t="shared" si="88"/>
        <v>275.24740346220779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1.7563356273861166</v>
      </c>
      <c r="AB117" s="21">
        <f>EXP(-LN(2)/2)*AB116+(1-EXP(-LN(2)/2))/(LN(2)/2)*V117*Y117*VLOOKUP('Données projet'!$B$9,Paramètres!$A$1:$I$89,3,0)*0.475*44/12</f>
        <v>6.5211839186906756E-12</v>
      </c>
      <c r="AC117" s="22">
        <f t="shared" si="57"/>
        <v>1.7563356273926378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7.9580786405131221E-13</v>
      </c>
      <c r="AJ117" s="13">
        <f>AI117*VLOOKUP('Données projet'!$B$10,Paramètres!$A$1:$I$89,3,0)*VLOOKUP('Données projet'!$B$10,Paramètres!$A$1:$I$89,5,0)</f>
        <v>3.8278358260868117E-13</v>
      </c>
      <c r="AK117" s="13">
        <f t="shared" si="89"/>
        <v>4.9186917125089072E-12</v>
      </c>
      <c r="AL117" s="20">
        <f t="shared" si="58"/>
        <v>9.2334028056631319E-12</v>
      </c>
      <c r="AM117" s="59">
        <f t="shared" si="59"/>
        <v>293.33333333334252</v>
      </c>
      <c r="AN117" s="59">
        <f ca="1">AVERAGE(OFFSET($AM$3,0,0,'Données projet'!$E$10+1,1))-AVERAGE(OFFSET($H$3,0,0,'Données projet'!$E$10+1,1))</f>
        <v>297.21955661193238</v>
      </c>
      <c r="AO117" s="59">
        <f t="shared" si="90"/>
        <v>273.69206144662144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1.2766309275922714</v>
      </c>
      <c r="AV117" s="21">
        <f>EXP(-LN(2)/25)*AV116+(1-EXP(-LN(2)/25))/(LN(2)/25)*Calculateur!AQ117*Calculateur!AS117*VLOOKUP('Données projet'!$B$10,Paramètres!$A$1:$I$89,3,0)*0.475*44/12</f>
        <v>1.3073540093317624</v>
      </c>
      <c r="AW117" s="21">
        <f>EXP(-LN(2)/2)*AW116+(1-EXP(-LN(2)/2))/(LN(2)/2)*AQ117*AT117*VLOOKUP('Données projet'!$B$10,Paramètres!$A$1:$I$89,3,0)*0.475*44/12</f>
        <v>4.7550164318256145E-12</v>
      </c>
      <c r="AX117" s="21">
        <f t="shared" si="60"/>
        <v>2.5839849369287884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3.6357050703372803E-14</v>
      </c>
      <c r="BF117" s="13">
        <f t="shared" si="91"/>
        <v>6.1445232567661395E-13</v>
      </c>
      <c r="BG117" s="20">
        <f t="shared" si="61"/>
        <v>1.1334929971951436E-12</v>
      </c>
      <c r="BH117" s="59">
        <f t="shared" si="62"/>
        <v>293.33333333333445</v>
      </c>
      <c r="BI117" s="59">
        <f ca="1">AVERAGE(OFFSET($BH$3,0,0,'Données projet'!$E$11+1,1))-AVERAGE(OFFSET($H$3,0,0,'Données projet'!$E$11+1,1))</f>
        <v>176.90404027101607</v>
      </c>
      <c r="BJ117" s="59">
        <f t="shared" si="92"/>
        <v>295.34177980841878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0.33608929044364283</v>
      </c>
      <c r="BQ117" s="21">
        <f>EXP(-LN(2)/25)*BQ116+(1-EXP(-LN(2)/25))/(LN(2)/25)*Calculateur!BL117*Calculateur!BN117*VLOOKUP('Données projet'!$B$11,Paramètres!$A$1:$I$89,3,0)*0.475*44/12</f>
        <v>0.80258936280643656</v>
      </c>
      <c r="BR117" s="21">
        <f>EXP(-LN(2)/2)*BR116+(1-EXP(-LN(2)/2))/(LN(2)/2)*BL117*BO117*VLOOKUP('Données projet'!$B$11,Paramètres!$A$1:$I$89,3,0)*0.475*44/12</f>
        <v>7.6630607685009183E-15</v>
      </c>
      <c r="BS117" s="22">
        <f t="shared" si="63"/>
        <v>1.1386786532500872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-5.6843418860808015E-13</v>
      </c>
      <c r="BZ117" s="13">
        <f>BY117*VLOOKUP('Données projet'!$B$12,Paramètres!$A$1:$I$89,3,0)*VLOOKUP('Données projet'!$B$12,Paramètres!$A$1:$I$89,5,0)</f>
        <v>-3.177547114319168E-13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326.31232746914907</v>
      </c>
      <c r="CE117" s="59">
        <f t="shared" si="94"/>
        <v>330.17137761430297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0.86546375947133813</v>
      </c>
      <c r="CL117" s="21">
        <f>EXP(-LN(2)/25)*CL116+(1-EXP(-LN(2)/25))/(LN(2)/25)*Calculateur!CG117*Calculateur!CI117*VLOOKUP('Données projet'!$B$12,Paramètres!$A$1:$I$89,3,0)*0.475*44/12</f>
        <v>2.9387115693464549</v>
      </c>
      <c r="CM117" s="21">
        <f>EXP(-LN(2)/2)*CM116+(1-EXP(-LN(2)/2))/(LN(2)/2)*CG117*CJ117*VLOOKUP('Données projet'!$B$12,Paramètres!$A$1:$I$89,3,0)*0.475*44/12</f>
        <v>7.3946667658754545E-12</v>
      </c>
      <c r="CN117" s="22">
        <f t="shared" si="66"/>
        <v>3.8041753288251878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210.04871822652808</v>
      </c>
      <c r="CZ117" s="59">
        <f t="shared" si="96"/>
        <v>250.17540614049324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1.383278228668775</v>
      </c>
      <c r="DG117" s="21">
        <f>EXP(-LN(2)/25)*DG116+(1-EXP(-LN(2)/25))/(LN(2)/25)*Calculateur!DB117*Calculateur!DD117*VLOOKUP('Données projet'!$B$13,Paramètres!$A$1:$I$89,3,0)*0.475*44/12</f>
        <v>2.7105882814314728</v>
      </c>
      <c r="DH117" s="21">
        <f>EXP(-LN(2)/2)*DH116+(1-EXP(-LN(2)/2))/(LN(2)/2)*DB117*DE117*VLOOKUP('Données projet'!$B$13,Paramètres!$A$1:$I$89,3,0)*0.475*44/12</f>
        <v>4.9007869023061408E-12</v>
      </c>
      <c r="DI117" s="22">
        <f t="shared" si="69"/>
        <v>4.0938665101051486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-5.1159076974727213E-13</v>
      </c>
      <c r="DP117" s="17">
        <f>DO117*VLOOKUP('Données projet'!$B$14,Paramètres!$A$1:$I$89,3,0)*VLOOKUP('Données projet'!$B$14,Paramètres!$A$1:$I$89,5,0)</f>
        <v>-3.7509835237869992E-13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234.09142087023463</v>
      </c>
      <c r="DU117" s="59">
        <f t="shared" si="98"/>
        <v>278.990685815294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0.46223632608128284</v>
      </c>
      <c r="EB117" s="21">
        <f>EXP(-LN(2)/25)*EB116+(1-EXP(-LN(2)/25))/(LN(2)/25)*Calculateur!DW117*Calculateur!DY117*VLOOKUP('Données projet'!$B$14,Paramètres!$A$1:$I$89,3,0)*0.475*44/12</f>
        <v>1.4942677748799047</v>
      </c>
      <c r="EC117" s="21">
        <f>EXP(-LN(2)/2)*EC116+(1-EXP(-LN(2)/2))/(LN(2)/2)*DW117*DZ117*VLOOKUP('Données projet'!$B$14,Paramètres!$A$1:$I$89,3,0)*0.475*44/12</f>
        <v>5.0371499586528405E-12</v>
      </c>
      <c r="ED117" s="22">
        <f t="shared" si="72"/>
        <v>1.9565041009662247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259.30247982593914</v>
      </c>
      <c r="T118" s="59">
        <f t="shared" si="88"/>
        <v>275.24740346220779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1.7083085372935667</v>
      </c>
      <c r="AB118" s="21">
        <f>EXP(-LN(2)/2)*AB117+(1-EXP(-LN(2)/2))/(LN(2)/2)*V118*Y118*VLOOKUP('Données projet'!$B$9,Paramètres!$A$1:$I$89,3,0)*0.475*44/12</f>
        <v>4.61117337027084E-12</v>
      </c>
      <c r="AC118" s="22">
        <f t="shared" si="57"/>
        <v>1.7083085372981779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7.9580786405131221E-13</v>
      </c>
      <c r="AJ118" s="13">
        <f>AI118*VLOOKUP('Données projet'!$B$10,Paramètres!$A$1:$I$89,3,0)*VLOOKUP('Données projet'!$B$10,Paramètres!$A$1:$I$89,5,0)</f>
        <v>3.8278358260868117E-13</v>
      </c>
      <c r="AK118" s="13">
        <f t="shared" si="89"/>
        <v>4.9186917125089072E-12</v>
      </c>
      <c r="AL118" s="20">
        <f t="shared" si="58"/>
        <v>9.2334028056631319E-12</v>
      </c>
      <c r="AM118" s="59">
        <f t="shared" si="59"/>
        <v>293.33333333334252</v>
      </c>
      <c r="AN118" s="59">
        <f ca="1">AVERAGE(OFFSET($AM$3,0,0,'Données projet'!$E$10+1,1))-AVERAGE(OFFSET($H$3,0,0,'Données projet'!$E$10+1,1))</f>
        <v>297.21955661193238</v>
      </c>
      <c r="AO118" s="59">
        <f t="shared" si="90"/>
        <v>273.69206144662144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1.2515969737701658</v>
      </c>
      <c r="AV118" s="21">
        <f>EXP(-LN(2)/25)*AV117+(1-EXP(-LN(2)/25))/(LN(2)/25)*Calculateur!AQ118*Calculateur!AS118*VLOOKUP('Données projet'!$B$10,Paramètres!$A$1:$I$89,3,0)*0.475*44/12</f>
        <v>1.2716043451958259</v>
      </c>
      <c r="AW118" s="21">
        <f>EXP(-LN(2)/2)*AW117+(1-EXP(-LN(2)/2))/(LN(2)/2)*AQ118*AT118*VLOOKUP('Données projet'!$B$10,Paramètres!$A$1:$I$89,3,0)*0.475*44/12</f>
        <v>3.3623043635973528E-12</v>
      </c>
      <c r="AX118" s="21">
        <f t="shared" si="60"/>
        <v>2.5232013189693538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3.6357050703372803E-14</v>
      </c>
      <c r="BF118" s="13">
        <f t="shared" si="91"/>
        <v>6.1445232567661395E-13</v>
      </c>
      <c r="BG118" s="20">
        <f t="shared" si="61"/>
        <v>1.1334929971951436E-12</v>
      </c>
      <c r="BH118" s="59">
        <f t="shared" si="62"/>
        <v>293.33333333333445</v>
      </c>
      <c r="BI118" s="59">
        <f ca="1">AVERAGE(OFFSET($BH$3,0,0,'Données projet'!$E$11+1,1))-AVERAGE(OFFSET($H$3,0,0,'Données projet'!$E$11+1,1))</f>
        <v>176.90404027101607</v>
      </c>
      <c r="BJ118" s="59">
        <f t="shared" si="92"/>
        <v>295.34177980841878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0.32949878445226866</v>
      </c>
      <c r="BQ118" s="21">
        <f>EXP(-LN(2)/25)*BQ117+(1-EXP(-LN(2)/25))/(LN(2)/25)*Calculateur!BL118*Calculateur!BN118*VLOOKUP('Données projet'!$B$11,Paramètres!$A$1:$I$89,3,0)*0.475*44/12</f>
        <v>0.78064251447415434</v>
      </c>
      <c r="BR118" s="21">
        <f>EXP(-LN(2)/2)*BR117+(1-EXP(-LN(2)/2))/(LN(2)/2)*BL118*BO118*VLOOKUP('Données projet'!$B$11,Paramètres!$A$1:$I$89,3,0)*0.475*44/12</f>
        <v>5.4186022340515956E-15</v>
      </c>
      <c r="BS118" s="22">
        <f t="shared" si="63"/>
        <v>1.1101412989264283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-5.6843418860808015E-13</v>
      </c>
      <c r="BZ118" s="13">
        <f>BY118*VLOOKUP('Données projet'!$B$12,Paramètres!$A$1:$I$89,3,0)*VLOOKUP('Données projet'!$B$12,Paramètres!$A$1:$I$89,5,0)</f>
        <v>-3.177547114319168E-13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326.31232746914907</v>
      </c>
      <c r="CE118" s="59">
        <f t="shared" si="94"/>
        <v>330.17137761430297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0.84849254302887456</v>
      </c>
      <c r="CL118" s="21">
        <f>EXP(-LN(2)/25)*CL117+(1-EXP(-LN(2)/25))/(LN(2)/25)*Calculateur!CG118*Calculateur!CI118*VLOOKUP('Données projet'!$B$12,Paramètres!$A$1:$I$89,3,0)*0.475*44/12</f>
        <v>2.8583523469425511</v>
      </c>
      <c r="CM118" s="21">
        <f>EXP(-LN(2)/2)*CM117+(1-EXP(-LN(2)/2))/(LN(2)/2)*CG118*CJ118*VLOOKUP('Données projet'!$B$12,Paramètres!$A$1:$I$89,3,0)*0.475*44/12</f>
        <v>5.22881901476533E-12</v>
      </c>
      <c r="CN118" s="22">
        <f t="shared" si="66"/>
        <v>3.7068448899766544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210.04871822652808</v>
      </c>
      <c r="CZ118" s="59">
        <f t="shared" si="96"/>
        <v>250.17540614049324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1.3561529863209898</v>
      </c>
      <c r="DG118" s="21">
        <f>EXP(-LN(2)/25)*DG117+(1-EXP(-LN(2)/25))/(LN(2)/25)*Calculateur!DB118*Calculateur!DD118*VLOOKUP('Données projet'!$B$13,Paramètres!$A$1:$I$89,3,0)*0.475*44/12</f>
        <v>2.6364671023320865</v>
      </c>
      <c r="DH118" s="21">
        <f>EXP(-LN(2)/2)*DH117+(1-EXP(-LN(2)/2))/(LN(2)/2)*DB118*DE118*VLOOKUP('Données projet'!$B$13,Paramètres!$A$1:$I$89,3,0)*0.475*44/12</f>
        <v>3.4653796517708864E-12</v>
      </c>
      <c r="DI118" s="22">
        <f t="shared" si="69"/>
        <v>3.9926200886565417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-5.1159076974727213E-13</v>
      </c>
      <c r="DP118" s="17">
        <f>DO118*VLOOKUP('Données projet'!$B$14,Paramètres!$A$1:$I$89,3,0)*VLOOKUP('Données projet'!$B$14,Paramètres!$A$1:$I$89,5,0)</f>
        <v>-3.7509835237869992E-13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234.09142087023463</v>
      </c>
      <c r="DU118" s="59">
        <f t="shared" si="98"/>
        <v>278.990685815294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0.45317215366314889</v>
      </c>
      <c r="EB118" s="21">
        <f>EXP(-LN(2)/25)*EB117+(1-EXP(-LN(2)/25))/(LN(2)/25)*Calculateur!DW118*Calculateur!DY118*VLOOKUP('Données projet'!$B$14,Paramètres!$A$1:$I$89,3,0)*0.475*44/12</f>
        <v>1.4534069439956867</v>
      </c>
      <c r="EC118" s="21">
        <f>EXP(-LN(2)/2)*EC117+(1-EXP(-LN(2)/2))/(LN(2)/2)*DW118*DZ118*VLOOKUP('Données projet'!$B$14,Paramètres!$A$1:$I$89,3,0)*0.475*44/12</f>
        <v>3.5618028936169611E-12</v>
      </c>
      <c r="ED118" s="22">
        <f t="shared" si="72"/>
        <v>1.9065790976623973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259.30247982593914</v>
      </c>
      <c r="T119" s="59">
        <f t="shared" si="88"/>
        <v>275.24740346220779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1.6615947505052324</v>
      </c>
      <c r="AB119" s="21">
        <f>EXP(-LN(2)/2)*AB118+(1-EXP(-LN(2)/2))/(LN(2)/2)*V119*Y119*VLOOKUP('Données projet'!$B$9,Paramètres!$A$1:$I$89,3,0)*0.475*44/12</f>
        <v>3.2605919593453378E-12</v>
      </c>
      <c r="AC119" s="22">
        <f t="shared" si="57"/>
        <v>1.6615947505084929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7.9580786405131221E-13</v>
      </c>
      <c r="AJ119" s="13">
        <f>AI119*VLOOKUP('Données projet'!$B$10,Paramètres!$A$1:$I$89,3,0)*VLOOKUP('Données projet'!$B$10,Paramètres!$A$1:$I$89,5,0)</f>
        <v>3.8278358260868117E-13</v>
      </c>
      <c r="AK119" s="13">
        <f t="shared" si="89"/>
        <v>4.9186917125089072E-12</v>
      </c>
      <c r="AL119" s="20">
        <f t="shared" si="58"/>
        <v>9.2334028056631319E-12</v>
      </c>
      <c r="AM119" s="59">
        <f t="shared" si="59"/>
        <v>293.33333333334252</v>
      </c>
      <c r="AN119" s="59">
        <f ca="1">AVERAGE(OFFSET($AM$3,0,0,'Données projet'!$E$10+1,1))-AVERAGE(OFFSET($H$3,0,0,'Données projet'!$E$10+1,1))</f>
        <v>297.21955661193238</v>
      </c>
      <c r="AO119" s="59">
        <f t="shared" si="90"/>
        <v>273.69206144662144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1.2270539205133075</v>
      </c>
      <c r="AV119" s="21">
        <f>EXP(-LN(2)/25)*AV118+(1-EXP(-LN(2)/25))/(LN(2)/25)*Calculateur!AQ119*Calculateur!AS119*VLOOKUP('Données projet'!$B$10,Paramètres!$A$1:$I$89,3,0)*0.475*44/12</f>
        <v>1.2368322575056798</v>
      </c>
      <c r="AW119" s="21">
        <f>EXP(-LN(2)/2)*AW118+(1-EXP(-LN(2)/2))/(LN(2)/2)*AQ119*AT119*VLOOKUP('Données projet'!$B$10,Paramètres!$A$1:$I$89,3,0)*0.475*44/12</f>
        <v>2.3775082159128073E-12</v>
      </c>
      <c r="AX119" s="21">
        <f t="shared" si="60"/>
        <v>2.4638861780213652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3.6357050703372803E-14</v>
      </c>
      <c r="BF119" s="13">
        <f t="shared" si="91"/>
        <v>6.1445232567661395E-13</v>
      </c>
      <c r="BG119" s="20">
        <f t="shared" si="61"/>
        <v>1.1334929971951436E-12</v>
      </c>
      <c r="BH119" s="59">
        <f t="shared" si="62"/>
        <v>293.33333333333445</v>
      </c>
      <c r="BI119" s="59">
        <f ca="1">AVERAGE(OFFSET($BH$3,0,0,'Données projet'!$E$11+1,1))-AVERAGE(OFFSET($H$3,0,0,'Données projet'!$E$11+1,1))</f>
        <v>176.90404027101607</v>
      </c>
      <c r="BJ119" s="59">
        <f t="shared" si="92"/>
        <v>295.34177980841878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0.32303751426357363</v>
      </c>
      <c r="BQ119" s="21">
        <f>EXP(-LN(2)/25)*BQ118+(1-EXP(-LN(2)/25))/(LN(2)/25)*Calculateur!BL119*Calculateur!BN119*VLOOKUP('Données projet'!$B$11,Paramètres!$A$1:$I$89,3,0)*0.475*44/12</f>
        <v>0.75929580386365292</v>
      </c>
      <c r="BR119" s="21">
        <f>EXP(-LN(2)/2)*BR118+(1-EXP(-LN(2)/2))/(LN(2)/2)*BL119*BO119*VLOOKUP('Données projet'!$B$11,Paramètres!$A$1:$I$89,3,0)*0.475*44/12</f>
        <v>3.8315303842504592E-15</v>
      </c>
      <c r="BS119" s="22">
        <f t="shared" si="63"/>
        <v>1.0823333181272303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-5.6843418860808015E-13</v>
      </c>
      <c r="BZ119" s="13">
        <f>BY119*VLOOKUP('Données projet'!$B$12,Paramètres!$A$1:$I$89,3,0)*VLOOKUP('Données projet'!$B$12,Paramètres!$A$1:$I$89,5,0)</f>
        <v>-3.177547114319168E-13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326.31232746914907</v>
      </c>
      <c r="CE119" s="59">
        <f t="shared" si="94"/>
        <v>330.17137761430297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0.83185412178942775</v>
      </c>
      <c r="CL119" s="21">
        <f>EXP(-LN(2)/25)*CL118+(1-EXP(-LN(2)/25))/(LN(2)/25)*Calculateur!CG119*Calculateur!CI119*VLOOKUP('Données projet'!$B$12,Paramètres!$A$1:$I$89,3,0)*0.475*44/12</f>
        <v>2.7801905517011898</v>
      </c>
      <c r="CM119" s="21">
        <f>EXP(-LN(2)/2)*CM118+(1-EXP(-LN(2)/2))/(LN(2)/2)*CG119*CJ119*VLOOKUP('Données projet'!$B$12,Paramètres!$A$1:$I$89,3,0)*0.475*44/12</f>
        <v>3.6973333829377272E-12</v>
      </c>
      <c r="CN119" s="22">
        <f t="shared" si="66"/>
        <v>3.612044673494315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210.04871822652808</v>
      </c>
      <c r="CZ119" s="59">
        <f t="shared" si="96"/>
        <v>250.17540614049324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1.3295596534308805</v>
      </c>
      <c r="DG119" s="21">
        <f>EXP(-LN(2)/25)*DG118+(1-EXP(-LN(2)/25))/(LN(2)/25)*Calculateur!DB119*Calculateur!DD119*VLOOKUP('Données projet'!$B$13,Paramètres!$A$1:$I$89,3,0)*0.475*44/12</f>
        <v>2.5643727707730366</v>
      </c>
      <c r="DH119" s="21">
        <f>EXP(-LN(2)/2)*DH118+(1-EXP(-LN(2)/2))/(LN(2)/2)*DB119*DE119*VLOOKUP('Données projet'!$B$13,Paramètres!$A$1:$I$89,3,0)*0.475*44/12</f>
        <v>2.4503934511530704E-12</v>
      </c>
      <c r="DI119" s="22">
        <f t="shared" si="69"/>
        <v>3.8939324242063673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-5.1159076974727213E-13</v>
      </c>
      <c r="DP119" s="17">
        <f>DO119*VLOOKUP('Données projet'!$B$14,Paramètres!$A$1:$I$89,3,0)*VLOOKUP('Données projet'!$B$14,Paramètres!$A$1:$I$89,5,0)</f>
        <v>-3.7509835237869992E-13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234.09142087023463</v>
      </c>
      <c r="DU119" s="59">
        <f t="shared" si="98"/>
        <v>278.990685815294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0.44428572413753525</v>
      </c>
      <c r="EB119" s="21">
        <f>EXP(-LN(2)/25)*EB118+(1-EXP(-LN(2)/25))/(LN(2)/25)*Calculateur!DW119*Calculateur!DY119*VLOOKUP('Données projet'!$B$14,Paramètres!$A$1:$I$89,3,0)*0.475*44/12</f>
        <v>1.4136634546807754</v>
      </c>
      <c r="EC119" s="21">
        <f>EXP(-LN(2)/2)*EC118+(1-EXP(-LN(2)/2))/(LN(2)/2)*DW119*DZ119*VLOOKUP('Données projet'!$B$14,Paramètres!$A$1:$I$89,3,0)*0.475*44/12</f>
        <v>2.5185749793264207E-12</v>
      </c>
      <c r="ED119" s="22">
        <f t="shared" si="72"/>
        <v>1.8579491788208293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259.30247982593914</v>
      </c>
      <c r="T120" s="59">
        <f t="shared" si="88"/>
        <v>275.24740346220779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1.6161583546731966</v>
      </c>
      <c r="AB120" s="21">
        <f>EXP(-LN(2)/2)*AB119+(1-EXP(-LN(2)/2))/(LN(2)/2)*V120*Y120*VLOOKUP('Données projet'!$B$9,Paramètres!$A$1:$I$89,3,0)*0.475*44/12</f>
        <v>2.30558668513542E-12</v>
      </c>
      <c r="AC120" s="22">
        <f t="shared" si="57"/>
        <v>1.6161583546755021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7.9580786405131221E-13</v>
      </c>
      <c r="AJ120" s="13">
        <f>AI120*VLOOKUP('Données projet'!$B$10,Paramètres!$A$1:$I$89,3,0)*VLOOKUP('Données projet'!$B$10,Paramètres!$A$1:$I$89,5,0)</f>
        <v>3.8278358260868117E-13</v>
      </c>
      <c r="AK120" s="13">
        <f t="shared" si="89"/>
        <v>4.9186917125089072E-12</v>
      </c>
      <c r="AL120" s="20">
        <f t="shared" si="58"/>
        <v>9.2334028056631319E-12</v>
      </c>
      <c r="AM120" s="59">
        <f t="shared" si="59"/>
        <v>293.33333333334252</v>
      </c>
      <c r="AN120" s="59">
        <f ca="1">AVERAGE(OFFSET($AM$3,0,0,'Données projet'!$E$10+1,1))-AVERAGE(OFFSET($H$3,0,0,'Données projet'!$E$10+1,1))</f>
        <v>297.21955661193238</v>
      </c>
      <c r="AO120" s="59">
        <f t="shared" si="90"/>
        <v>273.69206144662144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1.2029921415610318</v>
      </c>
      <c r="AV120" s="21">
        <f>EXP(-LN(2)/25)*AV119+(1-EXP(-LN(2)/25))/(LN(2)/25)*Calculateur!AQ120*Calculateur!AS120*VLOOKUP('Données projet'!$B$10,Paramètres!$A$1:$I$89,3,0)*0.475*44/12</f>
        <v>1.2030110143820054</v>
      </c>
      <c r="AW120" s="21">
        <f>EXP(-LN(2)/2)*AW119+(1-EXP(-LN(2)/2))/(LN(2)/2)*AQ120*AT120*VLOOKUP('Données projet'!$B$10,Paramètres!$A$1:$I$89,3,0)*0.475*44/12</f>
        <v>1.6811521817986764E-12</v>
      </c>
      <c r="AX120" s="21">
        <f t="shared" si="60"/>
        <v>2.4060031559447186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3.6357050703372803E-14</v>
      </c>
      <c r="BF120" s="13">
        <f t="shared" si="91"/>
        <v>6.1445232567661395E-13</v>
      </c>
      <c r="BG120" s="20">
        <f t="shared" si="61"/>
        <v>1.1334929971951436E-12</v>
      </c>
      <c r="BH120" s="59">
        <f t="shared" si="62"/>
        <v>293.33333333333445</v>
      </c>
      <c r="BI120" s="59">
        <f ca="1">AVERAGE(OFFSET($BH$3,0,0,'Données projet'!$E$11+1,1))-AVERAGE(OFFSET($H$3,0,0,'Données projet'!$E$11+1,1))</f>
        <v>176.90404027101607</v>
      </c>
      <c r="BJ120" s="59">
        <f t="shared" si="92"/>
        <v>295.34177980841878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0.31670294564229323</v>
      </c>
      <c r="BQ120" s="21">
        <f>EXP(-LN(2)/25)*BQ119+(1-EXP(-LN(2)/25))/(LN(2)/25)*Calculateur!BL120*Calculateur!BN120*VLOOKUP('Données projet'!$B$11,Paramètres!$A$1:$I$89,3,0)*0.475*44/12</f>
        <v>0.73853282017737043</v>
      </c>
      <c r="BR120" s="21">
        <f>EXP(-LN(2)/2)*BR119+(1-EXP(-LN(2)/2))/(LN(2)/2)*BL120*BO120*VLOOKUP('Données projet'!$B$11,Paramètres!$A$1:$I$89,3,0)*0.475*44/12</f>
        <v>2.7093011170257978E-15</v>
      </c>
      <c r="BS120" s="22">
        <f t="shared" si="63"/>
        <v>1.0552357658196663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-5.6843418860808015E-13</v>
      </c>
      <c r="BZ120" s="13">
        <f>BY120*VLOOKUP('Données projet'!$B$12,Paramètres!$A$1:$I$89,3,0)*VLOOKUP('Données projet'!$B$12,Paramètres!$A$1:$I$89,5,0)</f>
        <v>-3.177547114319168E-13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326.31232746914907</v>
      </c>
      <c r="CE120" s="59">
        <f t="shared" si="94"/>
        <v>330.17137761430297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0.81554196984205163</v>
      </c>
      <c r="CL120" s="21">
        <f>EXP(-LN(2)/25)*CL119+(1-EXP(-LN(2)/25))/(LN(2)/25)*Calculateur!CG120*Calculateur!CI120*VLOOKUP('Données projet'!$B$12,Paramètres!$A$1:$I$89,3,0)*0.475*44/12</f>
        <v>2.704166094861054</v>
      </c>
      <c r="CM120" s="21">
        <f>EXP(-LN(2)/2)*CM119+(1-EXP(-LN(2)/2))/(LN(2)/2)*CG120*CJ120*VLOOKUP('Données projet'!$B$12,Paramètres!$A$1:$I$89,3,0)*0.475*44/12</f>
        <v>2.614409507382665E-12</v>
      </c>
      <c r="CN120" s="22">
        <f t="shared" si="66"/>
        <v>3.51970806470572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210.04871822652808</v>
      </c>
      <c r="CZ120" s="59">
        <f t="shared" si="96"/>
        <v>250.17540614049324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1.3034877995784147</v>
      </c>
      <c r="DG120" s="21">
        <f>EXP(-LN(2)/25)*DG119+(1-EXP(-LN(2)/25))/(LN(2)/25)*Calculateur!DB120*Calculateur!DD120*VLOOKUP('Données projet'!$B$13,Paramètres!$A$1:$I$89,3,0)*0.475*44/12</f>
        <v>2.4942498625017451</v>
      </c>
      <c r="DH120" s="21">
        <f>EXP(-LN(2)/2)*DH119+(1-EXP(-LN(2)/2))/(LN(2)/2)*DB120*DE120*VLOOKUP('Données projet'!$B$13,Paramètres!$A$1:$I$89,3,0)*0.475*44/12</f>
        <v>1.7326898258854432E-12</v>
      </c>
      <c r="DI120" s="22">
        <f t="shared" si="69"/>
        <v>3.7977376620818926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-5.1159076974727213E-13</v>
      </c>
      <c r="DP120" s="17">
        <f>DO120*VLOOKUP('Données projet'!$B$14,Paramètres!$A$1:$I$89,3,0)*VLOOKUP('Données projet'!$B$14,Paramètres!$A$1:$I$89,5,0)</f>
        <v>-3.7509835237869992E-13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234.09142087023463</v>
      </c>
      <c r="DU120" s="59">
        <f t="shared" si="98"/>
        <v>278.990685815294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0.43557355207473214</v>
      </c>
      <c r="EB120" s="21">
        <f>EXP(-LN(2)/25)*EB119+(1-EXP(-LN(2)/25))/(LN(2)/25)*Calculateur!DW120*Calculateur!DY120*VLOOKUP('Données projet'!$B$14,Paramètres!$A$1:$I$89,3,0)*0.475*44/12</f>
        <v>1.3750067531711994</v>
      </c>
      <c r="EC120" s="21">
        <f>EXP(-LN(2)/2)*EC119+(1-EXP(-LN(2)/2))/(LN(2)/2)*DW120*DZ120*VLOOKUP('Données projet'!$B$14,Paramètres!$A$1:$I$89,3,0)*0.475*44/12</f>
        <v>1.780901446808481E-12</v>
      </c>
      <c r="ED120" s="22">
        <f t="shared" si="72"/>
        <v>1.8105803052477123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259.30247982593914</v>
      </c>
      <c r="T121" s="59">
        <f t="shared" si="88"/>
        <v>275.24740346220779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1.5719644194745839</v>
      </c>
      <c r="AB121" s="21">
        <f>EXP(-LN(2)/2)*AB120+(1-EXP(-LN(2)/2))/(LN(2)/2)*V121*Y121*VLOOKUP('Données projet'!$B$9,Paramètres!$A$1:$I$89,3,0)*0.475*44/12</f>
        <v>1.6302959796726689E-12</v>
      </c>
      <c r="AC121" s="22">
        <f t="shared" si="57"/>
        <v>1.5719644194762141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7.9580786405131221E-13</v>
      </c>
      <c r="AJ121" s="13">
        <f>AI121*VLOOKUP('Données projet'!$B$10,Paramètres!$A$1:$I$89,3,0)*VLOOKUP('Données projet'!$B$10,Paramètres!$A$1:$I$89,5,0)</f>
        <v>3.8278358260868117E-13</v>
      </c>
      <c r="AK121" s="13">
        <f t="shared" si="89"/>
        <v>4.9186917125089072E-12</v>
      </c>
      <c r="AL121" s="20">
        <f t="shared" si="58"/>
        <v>9.2334028056631319E-12</v>
      </c>
      <c r="AM121" s="59">
        <f t="shared" si="59"/>
        <v>293.33333333334252</v>
      </c>
      <c r="AN121" s="59">
        <f ca="1">AVERAGE(OFFSET($AM$3,0,0,'Données projet'!$E$10+1,1))-AVERAGE(OFFSET($H$3,0,0,'Données projet'!$E$10+1,1))</f>
        <v>297.21955661193238</v>
      </c>
      <c r="AO121" s="59">
        <f t="shared" si="90"/>
        <v>273.69206144662144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1.1794021994177744</v>
      </c>
      <c r="AV121" s="21">
        <f>EXP(-LN(2)/25)*AV120+(1-EXP(-LN(2)/25))/(LN(2)/25)*Calculateur!AQ121*Calculateur!AS121*VLOOKUP('Données projet'!$B$10,Paramètres!$A$1:$I$89,3,0)*0.475*44/12</f>
        <v>1.1701146149301298</v>
      </c>
      <c r="AW121" s="21">
        <f>EXP(-LN(2)/2)*AW120+(1-EXP(-LN(2)/2))/(LN(2)/2)*AQ121*AT121*VLOOKUP('Données projet'!$B$10,Paramètres!$A$1:$I$89,3,0)*0.475*44/12</f>
        <v>1.1887541079564036E-12</v>
      </c>
      <c r="AX121" s="21">
        <f t="shared" si="60"/>
        <v>2.349516814349093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3.6357050703372803E-14</v>
      </c>
      <c r="BF121" s="13">
        <f t="shared" si="91"/>
        <v>6.1445232567661395E-13</v>
      </c>
      <c r="BG121" s="20">
        <f t="shared" si="61"/>
        <v>1.1334929971951436E-12</v>
      </c>
      <c r="BH121" s="59">
        <f t="shared" si="62"/>
        <v>293.33333333333445</v>
      </c>
      <c r="BI121" s="59">
        <f ca="1">AVERAGE(OFFSET($BH$3,0,0,'Données projet'!$E$11+1,1))-AVERAGE(OFFSET($H$3,0,0,'Données projet'!$E$11+1,1))</f>
        <v>176.90404027101607</v>
      </c>
      <c r="BJ121" s="59">
        <f t="shared" si="92"/>
        <v>295.34177980841878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0.3104925940479708</v>
      </c>
      <c r="BQ121" s="21">
        <f>EXP(-LN(2)/25)*BQ120+(1-EXP(-LN(2)/25))/(LN(2)/25)*Calculateur!BL121*Calculateur!BN121*VLOOKUP('Données projet'!$B$11,Paramètres!$A$1:$I$89,3,0)*0.475*44/12</f>
        <v>0.7183376013718672</v>
      </c>
      <c r="BR121" s="21">
        <f>EXP(-LN(2)/2)*BR120+(1-EXP(-LN(2)/2))/(LN(2)/2)*BL121*BO121*VLOOKUP('Données projet'!$B$11,Paramètres!$A$1:$I$89,3,0)*0.475*44/12</f>
        <v>1.9157651921252296E-15</v>
      </c>
      <c r="BS121" s="22">
        <f t="shared" si="63"/>
        <v>1.02883019541984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-5.6843418860808015E-13</v>
      </c>
      <c r="BZ121" s="13">
        <f>BY121*VLOOKUP('Données projet'!$B$12,Paramètres!$A$1:$I$89,3,0)*VLOOKUP('Données projet'!$B$12,Paramètres!$A$1:$I$89,5,0)</f>
        <v>-3.177547114319168E-13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326.31232746914907</v>
      </c>
      <c r="CE121" s="59">
        <f t="shared" si="94"/>
        <v>330.17137761430297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0.7995496892449333</v>
      </c>
      <c r="CL121" s="21">
        <f>EXP(-LN(2)/25)*CL120+(1-EXP(-LN(2)/25))/(LN(2)/25)*Calculateur!CG121*Calculateur!CI121*VLOOKUP('Données projet'!$B$12,Paramètres!$A$1:$I$89,3,0)*0.475*44/12</f>
        <v>2.6302205307911639</v>
      </c>
      <c r="CM121" s="21">
        <f>EXP(-LN(2)/2)*CM120+(1-EXP(-LN(2)/2))/(LN(2)/2)*CG121*CJ121*VLOOKUP('Données projet'!$B$12,Paramètres!$A$1:$I$89,3,0)*0.475*44/12</f>
        <v>1.8486666914688636E-12</v>
      </c>
      <c r="CN121" s="22">
        <f t="shared" si="66"/>
        <v>3.4297702200379461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210.04871822652808</v>
      </c>
      <c r="CZ121" s="59">
        <f t="shared" si="96"/>
        <v>250.17540614049324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1.2779271988777352</v>
      </c>
      <c r="DG121" s="21">
        <f>EXP(-LN(2)/25)*DG120+(1-EXP(-LN(2)/25))/(LN(2)/25)*Calculateur!DB121*Calculateur!DD121*VLOOKUP('Données projet'!$B$13,Paramètres!$A$1:$I$89,3,0)*0.475*44/12</f>
        <v>2.4260444688447351</v>
      </c>
      <c r="DH121" s="21">
        <f>EXP(-LN(2)/2)*DH120+(1-EXP(-LN(2)/2))/(LN(2)/2)*DB121*DE121*VLOOKUP('Données projet'!$B$13,Paramètres!$A$1:$I$89,3,0)*0.475*44/12</f>
        <v>1.2251967255765352E-12</v>
      </c>
      <c r="DI121" s="22">
        <f t="shared" si="69"/>
        <v>3.7039716677236956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-5.1159076974727213E-13</v>
      </c>
      <c r="DP121" s="17">
        <f>DO121*VLOOKUP('Données projet'!$B$14,Paramètres!$A$1:$I$89,3,0)*VLOOKUP('Données projet'!$B$14,Paramètres!$A$1:$I$89,5,0)</f>
        <v>-3.7509835237869992E-13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234.09142087023463</v>
      </c>
      <c r="DU121" s="59">
        <f t="shared" si="98"/>
        <v>278.990685815294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0.42703222039218031</v>
      </c>
      <c r="EB121" s="21">
        <f>EXP(-LN(2)/25)*EB120+(1-EXP(-LN(2)/25))/(LN(2)/25)*Calculateur!DW121*Calculateur!DY121*VLOOKUP('Données projet'!$B$14,Paramètres!$A$1:$I$89,3,0)*0.475*44/12</f>
        <v>1.3374071211972705</v>
      </c>
      <c r="EC121" s="21">
        <f>EXP(-LN(2)/2)*EC120+(1-EXP(-LN(2)/2))/(LN(2)/2)*DW121*DZ121*VLOOKUP('Données projet'!$B$14,Paramètres!$A$1:$I$89,3,0)*0.475*44/12</f>
        <v>1.2592874896632105E-12</v>
      </c>
      <c r="ED121" s="22">
        <f t="shared" si="72"/>
        <v>1.76443934159071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259.30247982593914</v>
      </c>
      <c r="T122" s="59">
        <f t="shared" si="88"/>
        <v>275.24740346220779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1.5289789697580354</v>
      </c>
      <c r="AB122" s="21">
        <f>EXP(-LN(2)/2)*AB121+(1-EXP(-LN(2)/2))/(LN(2)/2)*V122*Y122*VLOOKUP('Données projet'!$B$9,Paramètres!$A$1:$I$89,3,0)*0.475*44/12</f>
        <v>1.15279334256771E-12</v>
      </c>
      <c r="AC122" s="22">
        <f t="shared" si="57"/>
        <v>1.5289789697591882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7.9580786405131221E-13</v>
      </c>
      <c r="AJ122" s="13">
        <f>AI122*VLOOKUP('Données projet'!$B$10,Paramètres!$A$1:$I$89,3,0)*VLOOKUP('Données projet'!$B$10,Paramètres!$A$1:$I$89,5,0)</f>
        <v>3.8278358260868117E-13</v>
      </c>
      <c r="AK122" s="13">
        <f t="shared" si="89"/>
        <v>4.9186917125089072E-12</v>
      </c>
      <c r="AL122" s="20">
        <f t="shared" si="58"/>
        <v>9.2334028056631319E-12</v>
      </c>
      <c r="AM122" s="59">
        <f t="shared" si="59"/>
        <v>293.33333333334252</v>
      </c>
      <c r="AN122" s="59">
        <f ca="1">AVERAGE(OFFSET($AM$3,0,0,'Données projet'!$E$10+1,1))-AVERAGE(OFFSET($H$3,0,0,'Données projet'!$E$10+1,1))</f>
        <v>297.21955661193238</v>
      </c>
      <c r="AO122" s="59">
        <f t="shared" si="90"/>
        <v>273.69206144662144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1.1562748416515021</v>
      </c>
      <c r="AV122" s="21">
        <f>EXP(-LN(2)/25)*AV121+(1-EXP(-LN(2)/25))/(LN(2)/25)*Calculateur!AQ122*Calculateur!AS122*VLOOKUP('Données projet'!$B$10,Paramètres!$A$1:$I$89,3,0)*0.475*44/12</f>
        <v>1.1381177692512121</v>
      </c>
      <c r="AW122" s="21">
        <f>EXP(-LN(2)/2)*AW121+(1-EXP(-LN(2)/2))/(LN(2)/2)*AQ122*AT122*VLOOKUP('Données projet'!$B$10,Paramètres!$A$1:$I$89,3,0)*0.475*44/12</f>
        <v>8.4057609089933821E-13</v>
      </c>
      <c r="AX122" s="21">
        <f t="shared" si="60"/>
        <v>2.2943926109035551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3.6357050703372803E-14</v>
      </c>
      <c r="BF122" s="13">
        <f t="shared" si="91"/>
        <v>6.1445232567661395E-13</v>
      </c>
      <c r="BG122" s="20">
        <f t="shared" si="61"/>
        <v>1.1334929971951436E-12</v>
      </c>
      <c r="BH122" s="59">
        <f t="shared" si="62"/>
        <v>293.33333333333445</v>
      </c>
      <c r="BI122" s="59">
        <f ca="1">AVERAGE(OFFSET($BH$3,0,0,'Données projet'!$E$11+1,1))-AVERAGE(OFFSET($H$3,0,0,'Données projet'!$E$11+1,1))</f>
        <v>176.90404027101607</v>
      </c>
      <c r="BJ122" s="59">
        <f t="shared" si="92"/>
        <v>295.34177980841878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0.30440402366047259</v>
      </c>
      <c r="BQ122" s="21">
        <f>EXP(-LN(2)/25)*BQ121+(1-EXP(-LN(2)/25))/(LN(2)/25)*Calculateur!BL122*Calculateur!BN122*VLOOKUP('Données projet'!$B$11,Paramètres!$A$1:$I$89,3,0)*0.475*44/12</f>
        <v>0.69869462188662079</v>
      </c>
      <c r="BR122" s="21">
        <f>EXP(-LN(2)/2)*BR121+(1-EXP(-LN(2)/2))/(LN(2)/2)*BL122*BO122*VLOOKUP('Données projet'!$B$11,Paramètres!$A$1:$I$89,3,0)*0.475*44/12</f>
        <v>1.3546505585128989E-15</v>
      </c>
      <c r="BS122" s="22">
        <f t="shared" si="63"/>
        <v>1.0030986455470947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-5.6843418860808015E-13</v>
      </c>
      <c r="BZ122" s="13">
        <f>BY122*VLOOKUP('Données projet'!$B$12,Paramètres!$A$1:$I$89,3,0)*VLOOKUP('Données projet'!$B$12,Paramètres!$A$1:$I$89,5,0)</f>
        <v>-3.177547114319168E-13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326.31232746914907</v>
      </c>
      <c r="CE122" s="59">
        <f t="shared" si="94"/>
        <v>330.17137761430297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0.78387100751599648</v>
      </c>
      <c r="CL122" s="21">
        <f>EXP(-LN(2)/25)*CL121+(1-EXP(-LN(2)/25))/(LN(2)/25)*Calculateur!CG122*Calculateur!CI122*VLOOKUP('Données projet'!$B$12,Paramètres!$A$1:$I$89,3,0)*0.475*44/12</f>
        <v>2.5582970120593931</v>
      </c>
      <c r="CM122" s="21">
        <f>EXP(-LN(2)/2)*CM121+(1-EXP(-LN(2)/2))/(LN(2)/2)*CG122*CJ122*VLOOKUP('Données projet'!$B$12,Paramètres!$A$1:$I$89,3,0)*0.475*44/12</f>
        <v>1.3072047536913325E-12</v>
      </c>
      <c r="CN122" s="22">
        <f t="shared" si="66"/>
        <v>3.3421680195766967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210.04871822652808</v>
      </c>
      <c r="CZ122" s="59">
        <f t="shared" si="96"/>
        <v>250.17540614049324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1.252867825966369</v>
      </c>
      <c r="DG122" s="21">
        <f>EXP(-LN(2)/25)*DG121+(1-EXP(-LN(2)/25))/(LN(2)/25)*Calculateur!DB122*Calculateur!DD122*VLOOKUP('Données projet'!$B$13,Paramètres!$A$1:$I$89,3,0)*0.475*44/12</f>
        <v>2.3597041552640419</v>
      </c>
      <c r="DH122" s="21">
        <f>EXP(-LN(2)/2)*DH121+(1-EXP(-LN(2)/2))/(LN(2)/2)*DB122*DE122*VLOOKUP('Données projet'!$B$13,Paramètres!$A$1:$I$89,3,0)*0.475*44/12</f>
        <v>8.6634491294272159E-13</v>
      </c>
      <c r="DI122" s="22">
        <f t="shared" si="69"/>
        <v>3.6125719812312771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-5.1159076974727213E-13</v>
      </c>
      <c r="DP122" s="17">
        <f>DO122*VLOOKUP('Données projet'!$B$14,Paramètres!$A$1:$I$89,3,0)*VLOOKUP('Données projet'!$B$14,Paramètres!$A$1:$I$89,5,0)</f>
        <v>-3.7509835237869992E-13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234.09142087023463</v>
      </c>
      <c r="DU122" s="59">
        <f t="shared" si="98"/>
        <v>278.990685815294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0.41865837901422542</v>
      </c>
      <c r="EB122" s="21">
        <f>EXP(-LN(2)/25)*EB121+(1-EXP(-LN(2)/25))/(LN(2)/25)*Calculateur!DW122*Calculateur!DY122*VLOOKUP('Données projet'!$B$14,Paramètres!$A$1:$I$89,3,0)*0.475*44/12</f>
        <v>1.3008356531369474</v>
      </c>
      <c r="EC122" s="21">
        <f>EXP(-LN(2)/2)*EC121+(1-EXP(-LN(2)/2))/(LN(2)/2)*DW122*DZ122*VLOOKUP('Données projet'!$B$14,Paramètres!$A$1:$I$89,3,0)*0.475*44/12</f>
        <v>8.9045072340424059E-13</v>
      </c>
      <c r="ED122" s="22">
        <f t="shared" si="72"/>
        <v>1.7194940321520633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259.30247982593914</v>
      </c>
      <c r="T123" s="59">
        <f t="shared" si="88"/>
        <v>275.24740346220779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1.4871689594244923</v>
      </c>
      <c r="AB123" s="21">
        <f>EXP(-LN(2)/2)*AB122+(1-EXP(-LN(2)/2))/(LN(2)/2)*V123*Y123*VLOOKUP('Données projet'!$B$9,Paramètres!$A$1:$I$89,3,0)*0.475*44/12</f>
        <v>8.1514798983633445E-13</v>
      </c>
      <c r="AC123" s="22">
        <f t="shared" si="57"/>
        <v>1.4871689594253075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7.9580786405131221E-13</v>
      </c>
      <c r="AJ123" s="13">
        <f>AI123*VLOOKUP('Données projet'!$B$10,Paramètres!$A$1:$I$89,3,0)*VLOOKUP('Données projet'!$B$10,Paramètres!$A$1:$I$89,5,0)</f>
        <v>3.8278358260868117E-13</v>
      </c>
      <c r="AK123" s="13">
        <f t="shared" si="89"/>
        <v>4.9186917125089072E-12</v>
      </c>
      <c r="AL123" s="20">
        <f t="shared" si="58"/>
        <v>9.2334028056631319E-12</v>
      </c>
      <c r="AM123" s="59">
        <f t="shared" si="59"/>
        <v>293.33333333334252</v>
      </c>
      <c r="AN123" s="59">
        <f ca="1">AVERAGE(OFFSET($AM$3,0,0,'Données projet'!$E$10+1,1))-AVERAGE(OFFSET($H$3,0,0,'Données projet'!$E$10+1,1))</f>
        <v>297.21955661193238</v>
      </c>
      <c r="AO123" s="59">
        <f t="shared" si="90"/>
        <v>273.69206144662144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1.1336009972647312</v>
      </c>
      <c r="AV123" s="21">
        <f>EXP(-LN(2)/25)*AV122+(1-EXP(-LN(2)/25))/(LN(2)/25)*Calculateur!AQ123*Calculateur!AS123*VLOOKUP('Données projet'!$B$10,Paramètres!$A$1:$I$89,3,0)*0.475*44/12</f>
        <v>1.1069958790000254</v>
      </c>
      <c r="AW123" s="21">
        <f>EXP(-LN(2)/2)*AW122+(1-EXP(-LN(2)/2))/(LN(2)/2)*AQ123*AT123*VLOOKUP('Données projet'!$B$10,Paramètres!$A$1:$I$89,3,0)*0.475*44/12</f>
        <v>5.9437705397820182E-13</v>
      </c>
      <c r="AX123" s="21">
        <f t="shared" si="60"/>
        <v>2.240596876265351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3.6357050703372803E-14</v>
      </c>
      <c r="BF123" s="13">
        <f t="shared" si="91"/>
        <v>6.1445232567661395E-13</v>
      </c>
      <c r="BG123" s="20">
        <f t="shared" si="61"/>
        <v>1.1334929971951436E-12</v>
      </c>
      <c r="BH123" s="59">
        <f t="shared" si="62"/>
        <v>293.33333333333445</v>
      </c>
      <c r="BI123" s="59">
        <f ca="1">AVERAGE(OFFSET($BH$3,0,0,'Données projet'!$E$11+1,1))-AVERAGE(OFFSET($H$3,0,0,'Données projet'!$E$11+1,1))</f>
        <v>176.90404027101607</v>
      </c>
      <c r="BJ123" s="59">
        <f t="shared" si="92"/>
        <v>295.34177980841878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0.29843484642461193</v>
      </c>
      <c r="BQ123" s="21">
        <f>EXP(-LN(2)/25)*BQ122+(1-EXP(-LN(2)/25))/(LN(2)/25)*Calculateur!BL123*Calculateur!BN123*VLOOKUP('Données projet'!$B$11,Paramètres!$A$1:$I$89,3,0)*0.475*44/12</f>
        <v>0.67958878070837792</v>
      </c>
      <c r="BR123" s="21">
        <f>EXP(-LN(2)/2)*BR122+(1-EXP(-LN(2)/2))/(LN(2)/2)*BL123*BO123*VLOOKUP('Données projet'!$B$11,Paramètres!$A$1:$I$89,3,0)*0.475*44/12</f>
        <v>9.5788259606261479E-16</v>
      </c>
      <c r="BS123" s="22">
        <f t="shared" si="63"/>
        <v>0.97802362713299085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-5.6843418860808015E-13</v>
      </c>
      <c r="BZ123" s="13">
        <f>BY123*VLOOKUP('Données projet'!$B$12,Paramètres!$A$1:$I$89,3,0)*VLOOKUP('Données projet'!$B$12,Paramètres!$A$1:$I$89,5,0)</f>
        <v>-3.177547114319168E-13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326.31232746914907</v>
      </c>
      <c r="CE123" s="59">
        <f t="shared" si="94"/>
        <v>330.17137761430297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0.76849977517271251</v>
      </c>
      <c r="CL123" s="21">
        <f>EXP(-LN(2)/25)*CL122+(1-EXP(-LN(2)/25))/(LN(2)/25)*Calculateur!CG123*Calculateur!CI123*VLOOKUP('Données projet'!$B$12,Paramètres!$A$1:$I$89,3,0)*0.475*44/12</f>
        <v>2.4883402457296362</v>
      </c>
      <c r="CM123" s="21">
        <f>EXP(-LN(2)/2)*CM122+(1-EXP(-LN(2)/2))/(LN(2)/2)*CG123*CJ123*VLOOKUP('Données projet'!$B$12,Paramètres!$A$1:$I$89,3,0)*0.475*44/12</f>
        <v>9.2433334573443181E-13</v>
      </c>
      <c r="CN123" s="22">
        <f t="shared" si="66"/>
        <v>3.2568400209032728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210.04871822652808</v>
      </c>
      <c r="CZ123" s="59">
        <f t="shared" si="96"/>
        <v>250.17540614049324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1.2282998520730866</v>
      </c>
      <c r="DG123" s="21">
        <f>EXP(-LN(2)/25)*DG122+(1-EXP(-LN(2)/25))/(LN(2)/25)*Calculateur!DB123*Calculateur!DD123*VLOOKUP('Données projet'!$B$13,Paramètres!$A$1:$I$89,3,0)*0.475*44/12</f>
        <v>2.2951779210468981</v>
      </c>
      <c r="DH123" s="21">
        <f>EXP(-LN(2)/2)*DH122+(1-EXP(-LN(2)/2))/(LN(2)/2)*DB123*DE123*VLOOKUP('Données projet'!$B$13,Paramètres!$A$1:$I$89,3,0)*0.475*44/12</f>
        <v>6.125983627882676E-13</v>
      </c>
      <c r="DI123" s="22">
        <f t="shared" si="69"/>
        <v>3.5234777731205971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-5.1159076974727213E-13</v>
      </c>
      <c r="DP123" s="17">
        <f>DO123*VLOOKUP('Données projet'!$B$14,Paramètres!$A$1:$I$89,3,0)*VLOOKUP('Données projet'!$B$14,Paramètres!$A$1:$I$89,5,0)</f>
        <v>-3.7509835237869992E-13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234.09142087023463</v>
      </c>
      <c r="DU123" s="59">
        <f t="shared" si="98"/>
        <v>278.990685815294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0.41044874355815331</v>
      </c>
      <c r="EB123" s="21">
        <f>EXP(-LN(2)/25)*EB122+(1-EXP(-LN(2)/25))/(LN(2)/25)*Calculateur!DW123*Calculateur!DY123*VLOOKUP('Données projet'!$B$14,Paramètres!$A$1:$I$89,3,0)*0.475*44/12</f>
        <v>1.2652642337939437</v>
      </c>
      <c r="EC123" s="21">
        <f>EXP(-LN(2)/2)*EC122+(1-EXP(-LN(2)/2))/(LN(2)/2)*DW123*DZ123*VLOOKUP('Données projet'!$B$14,Paramètres!$A$1:$I$89,3,0)*0.475*44/12</f>
        <v>6.2964374483160537E-13</v>
      </c>
      <c r="ED123" s="22">
        <f t="shared" si="72"/>
        <v>1.6757129773527266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259.30247982593914</v>
      </c>
      <c r="T124" s="59">
        <f t="shared" si="88"/>
        <v>275.24740346220779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1.446502246022213</v>
      </c>
      <c r="AB124" s="21">
        <f>EXP(-LN(2)/2)*AB123+(1-EXP(-LN(2)/2))/(LN(2)/2)*V124*Y124*VLOOKUP('Données projet'!$B$9,Paramètres!$A$1:$I$89,3,0)*0.475*44/12</f>
        <v>5.76396671283855E-13</v>
      </c>
      <c r="AC124" s="22">
        <f t="shared" si="57"/>
        <v>1.4465022460227894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7.9580786405131221E-13</v>
      </c>
      <c r="AJ124" s="13">
        <f>AI124*VLOOKUP('Données projet'!$B$10,Paramètres!$A$1:$I$89,3,0)*VLOOKUP('Données projet'!$B$10,Paramètres!$A$1:$I$89,5,0)</f>
        <v>3.8278358260868117E-13</v>
      </c>
      <c r="AK124" s="13">
        <f t="shared" si="89"/>
        <v>4.9186917125089072E-12</v>
      </c>
      <c r="AL124" s="20">
        <f t="shared" si="58"/>
        <v>9.2334028056631319E-12</v>
      </c>
      <c r="AM124" s="59">
        <f t="shared" si="59"/>
        <v>293.33333333334252</v>
      </c>
      <c r="AN124" s="59">
        <f ca="1">AVERAGE(OFFSET($AM$3,0,0,'Données projet'!$E$10+1,1))-AVERAGE(OFFSET($H$3,0,0,'Données projet'!$E$10+1,1))</f>
        <v>297.21955661193238</v>
      </c>
      <c r="AO124" s="59">
        <f t="shared" si="90"/>
        <v>273.69206144662144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1.1113717731367052</v>
      </c>
      <c r="AV124" s="21">
        <f>EXP(-LN(2)/25)*AV123+(1-EXP(-LN(2)/25))/(LN(2)/25)*Calculateur!AQ124*Calculateur!AS124*VLOOKUP('Données projet'!$B$10,Paramètres!$A$1:$I$89,3,0)*0.475*44/12</f>
        <v>1.0767250184743864</v>
      </c>
      <c r="AW124" s="21">
        <f>EXP(-LN(2)/2)*AW123+(1-EXP(-LN(2)/2))/(LN(2)/2)*AQ124*AT124*VLOOKUP('Données projet'!$B$10,Paramètres!$A$1:$I$89,3,0)*0.475*44/12</f>
        <v>4.2028804544966911E-13</v>
      </c>
      <c r="AX124" s="21">
        <f t="shared" si="60"/>
        <v>2.1880967916115117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3.6357050703372803E-14</v>
      </c>
      <c r="BF124" s="13">
        <f t="shared" si="91"/>
        <v>6.1445232567661395E-13</v>
      </c>
      <c r="BG124" s="20">
        <f t="shared" si="61"/>
        <v>1.1334929971951436E-12</v>
      </c>
      <c r="BH124" s="59">
        <f t="shared" si="62"/>
        <v>293.33333333333445</v>
      </c>
      <c r="BI124" s="59">
        <f ca="1">AVERAGE(OFFSET($BH$3,0,0,'Données projet'!$E$11+1,1))-AVERAGE(OFFSET($H$3,0,0,'Données projet'!$E$11+1,1))</f>
        <v>176.90404027101607</v>
      </c>
      <c r="BJ124" s="59">
        <f t="shared" si="92"/>
        <v>295.34177980841878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0.29258272111350792</v>
      </c>
      <c r="BQ124" s="21">
        <f>EXP(-LN(2)/25)*BQ123+(1-EXP(-LN(2)/25))/(LN(2)/25)*Calculateur!BL124*Calculateur!BN124*VLOOKUP('Données projet'!$B$11,Paramètres!$A$1:$I$89,3,0)*0.475*44/12</f>
        <v>0.66100538976188661</v>
      </c>
      <c r="BR124" s="21">
        <f>EXP(-LN(2)/2)*BR123+(1-EXP(-LN(2)/2))/(LN(2)/2)*BL124*BO124*VLOOKUP('Données projet'!$B$11,Paramètres!$A$1:$I$89,3,0)*0.475*44/12</f>
        <v>6.7732527925644946E-16</v>
      </c>
      <c r="BS124" s="22">
        <f t="shared" si="63"/>
        <v>0.95358811087539519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-5.6843418860808015E-13</v>
      </c>
      <c r="BZ124" s="13">
        <f>BY124*VLOOKUP('Données projet'!$B$12,Paramètres!$A$1:$I$89,3,0)*VLOOKUP('Données projet'!$B$12,Paramètres!$A$1:$I$89,5,0)</f>
        <v>-3.177547114319168E-13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326.31232746914907</v>
      </c>
      <c r="CE124" s="59">
        <f t="shared" si="94"/>
        <v>330.17137761430297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0.75342996332015433</v>
      </c>
      <c r="CL124" s="21">
        <f>EXP(-LN(2)/25)*CL123+(1-EXP(-LN(2)/25))/(LN(2)/25)*Calculateur!CG124*Calculateur!CI124*VLOOKUP('Données projet'!$B$12,Paramètres!$A$1:$I$89,3,0)*0.475*44/12</f>
        <v>2.4202964508540328</v>
      </c>
      <c r="CM124" s="21">
        <f>EXP(-LN(2)/2)*CM123+(1-EXP(-LN(2)/2))/(LN(2)/2)*CG124*CJ124*VLOOKUP('Données projet'!$B$12,Paramètres!$A$1:$I$89,3,0)*0.475*44/12</f>
        <v>6.5360237684566625E-13</v>
      </c>
      <c r="CN124" s="22">
        <f t="shared" si="66"/>
        <v>3.1737264141748409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210.04871822652808</v>
      </c>
      <c r="CZ124" s="59">
        <f t="shared" si="96"/>
        <v>250.17540614049324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1.2042136411628668</v>
      </c>
      <c r="DG124" s="21">
        <f>EXP(-LN(2)/25)*DG123+(1-EXP(-LN(2)/25))/(LN(2)/25)*Calculateur!DB124*Calculateur!DD124*VLOOKUP('Données projet'!$B$13,Paramètres!$A$1:$I$89,3,0)*0.475*44/12</f>
        <v>2.2324161600977095</v>
      </c>
      <c r="DH124" s="21">
        <f>EXP(-LN(2)/2)*DH123+(1-EXP(-LN(2)/2))/(LN(2)/2)*DB124*DE124*VLOOKUP('Données projet'!$B$13,Paramètres!$A$1:$I$89,3,0)*0.475*44/12</f>
        <v>4.331724564713608E-13</v>
      </c>
      <c r="DI124" s="22">
        <f t="shared" si="69"/>
        <v>3.436629801261009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-5.1159076974727213E-13</v>
      </c>
      <c r="DP124" s="17">
        <f>DO124*VLOOKUP('Données projet'!$B$14,Paramètres!$A$1:$I$89,3,0)*VLOOKUP('Données projet'!$B$14,Paramètres!$A$1:$I$89,5,0)</f>
        <v>-3.7509835237869992E-13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234.09142087023463</v>
      </c>
      <c r="DU124" s="59">
        <f t="shared" si="98"/>
        <v>278.990685815294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0.40240009404599159</v>
      </c>
      <c r="EB124" s="21">
        <f>EXP(-LN(2)/25)*EB123+(1-EXP(-LN(2)/25))/(LN(2)/25)*Calculateur!DW124*Calculateur!DY124*VLOOKUP('Données projet'!$B$14,Paramètres!$A$1:$I$89,3,0)*0.475*44/12</f>
        <v>1.2306655167834941</v>
      </c>
      <c r="EC124" s="21">
        <f>EXP(-LN(2)/2)*EC123+(1-EXP(-LN(2)/2))/(LN(2)/2)*DW124*DZ124*VLOOKUP('Données projet'!$B$14,Paramètres!$A$1:$I$89,3,0)*0.475*44/12</f>
        <v>4.4522536170212039E-13</v>
      </c>
      <c r="ED124" s="22">
        <f t="shared" si="72"/>
        <v>1.6330656108299308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259.30247982593914</v>
      </c>
      <c r="T125" s="59">
        <f t="shared" si="88"/>
        <v>275.24740346220779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1.4069475660364885</v>
      </c>
      <c r="AB125" s="21">
        <f>EXP(-LN(2)/2)*AB124+(1-EXP(-LN(2)/2))/(LN(2)/2)*V125*Y125*VLOOKUP('Données projet'!$B$9,Paramètres!$A$1:$I$89,3,0)*0.475*44/12</f>
        <v>4.0757399491816722E-13</v>
      </c>
      <c r="AC125" s="22">
        <f t="shared" si="57"/>
        <v>1.4069475660368962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7.9580786405131221E-13</v>
      </c>
      <c r="AJ125" s="13">
        <f>AI125*VLOOKUP('Données projet'!$B$10,Paramètres!$A$1:$I$89,3,0)*VLOOKUP('Données projet'!$B$10,Paramètres!$A$1:$I$89,5,0)</f>
        <v>3.8278358260868117E-13</v>
      </c>
      <c r="AK125" s="13">
        <f t="shared" si="89"/>
        <v>4.9186917125089072E-12</v>
      </c>
      <c r="AL125" s="20">
        <f t="shared" si="58"/>
        <v>9.2334028056631319E-12</v>
      </c>
      <c r="AM125" s="59">
        <f t="shared" si="59"/>
        <v>293.33333333334252</v>
      </c>
      <c r="AN125" s="59">
        <f ca="1">AVERAGE(OFFSET($AM$3,0,0,'Données projet'!$E$10+1,1))-AVERAGE(OFFSET($H$3,0,0,'Données projet'!$E$10+1,1))</f>
        <v>297.21955661193238</v>
      </c>
      <c r="AO125" s="59">
        <f t="shared" si="90"/>
        <v>273.69206144662144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1.0895784505353419</v>
      </c>
      <c r="AV125" s="21">
        <f>EXP(-LN(2)/25)*AV124+(1-EXP(-LN(2)/25))/(LN(2)/25)*Calculateur!AQ125*Calculateur!AS125*VLOOKUP('Données projet'!$B$10,Paramètres!$A$1:$I$89,3,0)*0.475*44/12</f>
        <v>1.0472819162216964</v>
      </c>
      <c r="AW125" s="21">
        <f>EXP(-LN(2)/2)*AW124+(1-EXP(-LN(2)/2))/(LN(2)/2)*AQ125*AT125*VLOOKUP('Données projet'!$B$10,Paramètres!$A$1:$I$89,3,0)*0.475*44/12</f>
        <v>2.9718852698910091E-13</v>
      </c>
      <c r="AX125" s="21">
        <f t="shared" si="60"/>
        <v>2.1368603667573356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3.6357050703372803E-14</v>
      </c>
      <c r="BF125" s="13">
        <f t="shared" si="91"/>
        <v>6.1445232567661395E-13</v>
      </c>
      <c r="BG125" s="20">
        <f t="shared" si="61"/>
        <v>1.1334929971951436E-12</v>
      </c>
      <c r="BH125" s="59">
        <f t="shared" si="62"/>
        <v>293.33333333333445</v>
      </c>
      <c r="BI125" s="59">
        <f ca="1">AVERAGE(OFFSET($BH$3,0,0,'Données projet'!$E$11+1,1))-AVERAGE(OFFSET($H$3,0,0,'Données projet'!$E$11+1,1))</f>
        <v>176.90404027101607</v>
      </c>
      <c r="BJ125" s="59">
        <f t="shared" si="92"/>
        <v>295.34177980841878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0.28684535241031067</v>
      </c>
      <c r="BQ125" s="21">
        <f>EXP(-LN(2)/25)*BQ124+(1-EXP(-LN(2)/25))/(LN(2)/25)*Calculateur!BL125*Calculateur!BN125*VLOOKUP('Données projet'!$B$11,Paramètres!$A$1:$I$89,3,0)*0.475*44/12</f>
        <v>0.64293016261808511</v>
      </c>
      <c r="BR125" s="21">
        <f>EXP(-LN(2)/2)*BR124+(1-EXP(-LN(2)/2))/(LN(2)/2)*BL125*BO125*VLOOKUP('Données projet'!$B$11,Paramètres!$A$1:$I$89,3,0)*0.475*44/12</f>
        <v>4.789412980313074E-16</v>
      </c>
      <c r="BS125" s="22">
        <f t="shared" si="63"/>
        <v>0.92977551502839617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-5.6843418860808015E-13</v>
      </c>
      <c r="BZ125" s="13">
        <f>BY125*VLOOKUP('Données projet'!$B$12,Paramètres!$A$1:$I$89,3,0)*VLOOKUP('Données projet'!$B$12,Paramètres!$A$1:$I$89,5,0)</f>
        <v>-3.177547114319168E-13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326.31232746914907</v>
      </c>
      <c r="CE125" s="59">
        <f t="shared" si="94"/>
        <v>330.17137761430297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0.73865566128634719</v>
      </c>
      <c r="CL125" s="21">
        <f>EXP(-LN(2)/25)*CL124+(1-EXP(-LN(2)/25))/(LN(2)/25)*Calculateur!CG125*Calculateur!CI125*VLOOKUP('Données projet'!$B$12,Paramètres!$A$1:$I$89,3,0)*0.475*44/12</f>
        <v>2.3541133171275708</v>
      </c>
      <c r="CM125" s="21">
        <f>EXP(-LN(2)/2)*CM124+(1-EXP(-LN(2)/2))/(LN(2)/2)*CG125*CJ125*VLOOKUP('Données projet'!$B$12,Paramètres!$A$1:$I$89,3,0)*0.475*44/12</f>
        <v>4.621666728672159E-13</v>
      </c>
      <c r="CN125" s="22">
        <f t="shared" si="66"/>
        <v>3.0927689784143801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210.04871822652808</v>
      </c>
      <c r="CZ125" s="59">
        <f t="shared" si="96"/>
        <v>250.17540614049324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1.1805997461574584</v>
      </c>
      <c r="DG125" s="21">
        <f>EXP(-LN(2)/25)*DG124+(1-EXP(-LN(2)/25))/(LN(2)/25)*Calculateur!DB125*Calculateur!DD125*VLOOKUP('Données projet'!$B$13,Paramètres!$A$1:$I$89,3,0)*0.475*44/12</f>
        <v>2.1713706228021739</v>
      </c>
      <c r="DH125" s="21">
        <f>EXP(-LN(2)/2)*DH124+(1-EXP(-LN(2)/2))/(LN(2)/2)*DB125*DE125*VLOOKUP('Données projet'!$B$13,Paramètres!$A$1:$I$89,3,0)*0.475*44/12</f>
        <v>3.062991813941338E-13</v>
      </c>
      <c r="DI125" s="22">
        <f t="shared" si="69"/>
        <v>3.3519703689599387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-5.1159076974727213E-13</v>
      </c>
      <c r="DP125" s="17">
        <f>DO125*VLOOKUP('Données projet'!$B$14,Paramètres!$A$1:$I$89,3,0)*VLOOKUP('Données projet'!$B$14,Paramètres!$A$1:$I$89,5,0)</f>
        <v>-3.7509835237869992E-13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234.09142087023463</v>
      </c>
      <c r="DU125" s="59">
        <f t="shared" si="98"/>
        <v>278.990685815294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0.3945092736415719</v>
      </c>
      <c r="EB125" s="21">
        <f>EXP(-LN(2)/25)*EB124+(1-EXP(-LN(2)/25))/(LN(2)/25)*Calculateur!DW125*Calculateur!DY125*VLOOKUP('Données projet'!$B$14,Paramètres!$A$1:$I$89,3,0)*0.475*44/12</f>
        <v>1.1970129035091626</v>
      </c>
      <c r="EC125" s="21">
        <f>EXP(-LN(2)/2)*EC124+(1-EXP(-LN(2)/2))/(LN(2)/2)*DW125*DZ125*VLOOKUP('Données projet'!$B$14,Paramètres!$A$1:$I$89,3,0)*0.475*44/12</f>
        <v>3.1482187241580273E-13</v>
      </c>
      <c r="ED125" s="22">
        <f t="shared" si="72"/>
        <v>1.5915221771510493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259.30247982593914</v>
      </c>
      <c r="T126" s="59">
        <f t="shared" si="88"/>
        <v>275.24740346220779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1.3684745108550638</v>
      </c>
      <c r="AB126" s="21">
        <f>EXP(-LN(2)/2)*AB125+(1-EXP(-LN(2)/2))/(LN(2)/2)*V126*Y126*VLOOKUP('Données projet'!$B$9,Paramètres!$A$1:$I$89,3,0)*0.475*44/12</f>
        <v>2.881983356419275E-13</v>
      </c>
      <c r="AC126" s="22">
        <f t="shared" si="57"/>
        <v>1.368474510855352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7.9580786405131221E-13</v>
      </c>
      <c r="AJ126" s="13">
        <f>AI126*VLOOKUP('Données projet'!$B$10,Paramètres!$A$1:$I$89,3,0)*VLOOKUP('Données projet'!$B$10,Paramètres!$A$1:$I$89,5,0)</f>
        <v>3.8278358260868117E-13</v>
      </c>
      <c r="AK126" s="13">
        <f t="shared" si="89"/>
        <v>4.9186917125089072E-12</v>
      </c>
      <c r="AL126" s="20">
        <f t="shared" si="58"/>
        <v>9.2334028056631319E-12</v>
      </c>
      <c r="AM126" s="59">
        <f t="shared" si="59"/>
        <v>293.33333333334252</v>
      </c>
      <c r="AN126" s="59">
        <f ca="1">AVERAGE(OFFSET($AM$3,0,0,'Données projet'!$E$10+1,1))-AVERAGE(OFFSET($H$3,0,0,'Données projet'!$E$10+1,1))</f>
        <v>297.21955661193238</v>
      </c>
      <c r="AO126" s="59">
        <f t="shared" si="90"/>
        <v>273.69206144662144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1.0682124816975771</v>
      </c>
      <c r="AV126" s="21">
        <f>EXP(-LN(2)/25)*AV125+(1-EXP(-LN(2)/25))/(LN(2)/25)*Calculateur!AQ126*Calculateur!AS126*VLOOKUP('Données projet'!$B$10,Paramètres!$A$1:$I$89,3,0)*0.475*44/12</f>
        <v>1.0186439371484517</v>
      </c>
      <c r="AW126" s="21">
        <f>EXP(-LN(2)/2)*AW125+(1-EXP(-LN(2)/2))/(LN(2)/2)*AQ126*AT126*VLOOKUP('Données projet'!$B$10,Paramètres!$A$1:$I$89,3,0)*0.475*44/12</f>
        <v>2.1014402272483455E-13</v>
      </c>
      <c r="AX126" s="21">
        <f t="shared" si="60"/>
        <v>2.0868564188462391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3.6357050703372803E-14</v>
      </c>
      <c r="BF126" s="13">
        <f t="shared" si="91"/>
        <v>6.1445232567661395E-13</v>
      </c>
      <c r="BG126" s="20">
        <f t="shared" si="61"/>
        <v>1.1334929971951436E-12</v>
      </c>
      <c r="BH126" s="59">
        <f t="shared" si="62"/>
        <v>293.33333333333445</v>
      </c>
      <c r="BI126" s="59">
        <f ca="1">AVERAGE(OFFSET($BH$3,0,0,'Données projet'!$E$11+1,1))-AVERAGE(OFFSET($H$3,0,0,'Données projet'!$E$11+1,1))</f>
        <v>176.90404027101607</v>
      </c>
      <c r="BJ126" s="59">
        <f t="shared" si="92"/>
        <v>295.34177980841878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0.28122049000793375</v>
      </c>
      <c r="BQ126" s="21">
        <f>EXP(-LN(2)/25)*BQ125+(1-EXP(-LN(2)/25))/(LN(2)/25)*Calculateur!BL126*Calculateur!BN126*VLOOKUP('Données projet'!$B$11,Paramètres!$A$1:$I$89,3,0)*0.475*44/12</f>
        <v>0.62534920351106571</v>
      </c>
      <c r="BR126" s="21">
        <f>EXP(-LN(2)/2)*BR125+(1-EXP(-LN(2)/2))/(LN(2)/2)*BL126*BO126*VLOOKUP('Données projet'!$B$11,Paramètres!$A$1:$I$89,3,0)*0.475*44/12</f>
        <v>3.3866263962822473E-16</v>
      </c>
      <c r="BS126" s="22">
        <f t="shared" si="63"/>
        <v>0.90656969351899985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-5.6843418860808015E-13</v>
      </c>
      <c r="BZ126" s="13">
        <f>BY126*VLOOKUP('Données projet'!$B$12,Paramètres!$A$1:$I$89,3,0)*VLOOKUP('Données projet'!$B$12,Paramètres!$A$1:$I$89,5,0)</f>
        <v>-3.177547114319168E-13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326.31232746914907</v>
      </c>
      <c r="CE126" s="59">
        <f t="shared" si="94"/>
        <v>330.17137761430297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0.72417107430398864</v>
      </c>
      <c r="CL126" s="21">
        <f>EXP(-LN(2)/25)*CL125+(1-EXP(-LN(2)/25))/(LN(2)/25)*Calculateur!CG126*Calculateur!CI126*VLOOKUP('Données projet'!$B$12,Paramètres!$A$1:$I$89,3,0)*0.475*44/12</f>
        <v>2.2897399646732786</v>
      </c>
      <c r="CM126" s="21">
        <f>EXP(-LN(2)/2)*CM125+(1-EXP(-LN(2)/2))/(LN(2)/2)*CG126*CJ126*VLOOKUP('Données projet'!$B$12,Paramètres!$A$1:$I$89,3,0)*0.475*44/12</f>
        <v>3.2680118842283312E-13</v>
      </c>
      <c r="CN126" s="22">
        <f t="shared" si="66"/>
        <v>3.0139110389775938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210.04871822652808</v>
      </c>
      <c r="CZ126" s="59">
        <f t="shared" si="96"/>
        <v>250.17540614049324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1.1574489052300523</v>
      </c>
      <c r="DG126" s="21">
        <f>EXP(-LN(2)/25)*DG125+(1-EXP(-LN(2)/25))/(LN(2)/25)*Calculateur!DB126*Calculateur!DD126*VLOOKUP('Données projet'!$B$13,Paramètres!$A$1:$I$89,3,0)*0.475*44/12</f>
        <v>2.1119943789342299</v>
      </c>
      <c r="DH126" s="21">
        <f>EXP(-LN(2)/2)*DH125+(1-EXP(-LN(2)/2))/(LN(2)/2)*DB126*DE126*VLOOKUP('Données projet'!$B$13,Paramètres!$A$1:$I$89,3,0)*0.475*44/12</f>
        <v>2.165862282356804E-13</v>
      </c>
      <c r="DI126" s="22">
        <f t="shared" si="69"/>
        <v>3.2694432841644989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-5.1159076974727213E-13</v>
      </c>
      <c r="DP126" s="17">
        <f>DO126*VLOOKUP('Données projet'!$B$14,Paramètres!$A$1:$I$89,3,0)*VLOOKUP('Données projet'!$B$14,Paramètres!$A$1:$I$89,5,0)</f>
        <v>-3.7509835237869992E-13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234.09142087023463</v>
      </c>
      <c r="DU126" s="59">
        <f t="shared" si="98"/>
        <v>278.990685815294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0.38677318741235767</v>
      </c>
      <c r="EB126" s="21">
        <f>EXP(-LN(2)/25)*EB125+(1-EXP(-LN(2)/25))/(LN(2)/25)*Calculateur!DW126*Calculateur!DY126*VLOOKUP('Données projet'!$B$14,Paramètres!$A$1:$I$89,3,0)*0.475*44/12</f>
        <v>1.1642805227145316</v>
      </c>
      <c r="EC126" s="21">
        <f>EXP(-LN(2)/2)*EC125+(1-EXP(-LN(2)/2))/(LN(2)/2)*DW126*DZ126*VLOOKUP('Données projet'!$B$14,Paramètres!$A$1:$I$89,3,0)*0.475*44/12</f>
        <v>2.2261268085106022E-13</v>
      </c>
      <c r="ED126" s="22">
        <f t="shared" si="72"/>
        <v>1.551053710127112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259.30247982593914</v>
      </c>
      <c r="T127" s="59">
        <f t="shared" si="88"/>
        <v>275.24740346220779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1.3310535033907853</v>
      </c>
      <c r="AB127" s="21">
        <f>EXP(-LN(2)/2)*AB126+(1-EXP(-LN(2)/2))/(LN(2)/2)*V127*Y127*VLOOKUP('Données projet'!$B$9,Paramètres!$A$1:$I$89,3,0)*0.475*44/12</f>
        <v>2.0378699745908361E-13</v>
      </c>
      <c r="AC127" s="22">
        <f t="shared" si="57"/>
        <v>1.3310535033909892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7.9580786405131221E-13</v>
      </c>
      <c r="AJ127" s="13">
        <f>AI127*VLOOKUP('Données projet'!$B$10,Paramètres!$A$1:$I$89,3,0)*VLOOKUP('Données projet'!$B$10,Paramètres!$A$1:$I$89,5,0)</f>
        <v>3.8278358260868117E-13</v>
      </c>
      <c r="AK127" s="13">
        <f t="shared" si="89"/>
        <v>4.9186917125089072E-12</v>
      </c>
      <c r="AL127" s="20">
        <f t="shared" si="58"/>
        <v>9.2334028056631319E-12</v>
      </c>
      <c r="AM127" s="59">
        <f t="shared" si="59"/>
        <v>293.33333333334252</v>
      </c>
      <c r="AN127" s="59">
        <f ca="1">AVERAGE(OFFSET($AM$3,0,0,'Données projet'!$E$10+1,1))-AVERAGE(OFFSET($H$3,0,0,'Données projet'!$E$10+1,1))</f>
        <v>297.21955661193238</v>
      </c>
      <c r="AO127" s="59">
        <f t="shared" si="90"/>
        <v>273.69206144662144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1.0472654864767668</v>
      </c>
      <c r="AV127" s="21">
        <f>EXP(-LN(2)/25)*AV126+(1-EXP(-LN(2)/25))/(LN(2)/25)*Calculateur!AQ127*Calculateur!AS127*VLOOKUP('Données projet'!$B$10,Paramètres!$A$1:$I$89,3,0)*0.475*44/12</f>
        <v>0.9907890651189708</v>
      </c>
      <c r="AW127" s="21">
        <f>EXP(-LN(2)/2)*AW126+(1-EXP(-LN(2)/2))/(LN(2)/2)*AQ127*AT127*VLOOKUP('Données projet'!$B$10,Paramètres!$A$1:$I$89,3,0)*0.475*44/12</f>
        <v>1.4859426349455045E-13</v>
      </c>
      <c r="AX127" s="21">
        <f t="shared" si="60"/>
        <v>2.0380545515958866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3.6357050703372803E-14</v>
      </c>
      <c r="BF127" s="13">
        <f t="shared" si="91"/>
        <v>6.1445232567661395E-13</v>
      </c>
      <c r="BG127" s="20">
        <f t="shared" si="61"/>
        <v>1.1334929971951436E-12</v>
      </c>
      <c r="BH127" s="59">
        <f t="shared" si="62"/>
        <v>293.33333333333445</v>
      </c>
      <c r="BI127" s="59">
        <f ca="1">AVERAGE(OFFSET($BH$3,0,0,'Données projet'!$E$11+1,1))-AVERAGE(OFFSET($H$3,0,0,'Données projet'!$E$11+1,1))</f>
        <v>176.90404027101607</v>
      </c>
      <c r="BJ127" s="59">
        <f t="shared" si="92"/>
        <v>295.34177980841878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0.27570592772644015</v>
      </c>
      <c r="BQ127" s="21">
        <f>EXP(-LN(2)/25)*BQ126+(1-EXP(-LN(2)/25))/(LN(2)/25)*Calculateur!BL127*Calculateur!BN127*VLOOKUP('Données projet'!$B$11,Paramètres!$A$1:$I$89,3,0)*0.475*44/12</f>
        <v>0.60824899665537024</v>
      </c>
      <c r="BR127" s="21">
        <f>EXP(-LN(2)/2)*BR126+(1-EXP(-LN(2)/2))/(LN(2)/2)*BL127*BO127*VLOOKUP('Données projet'!$B$11,Paramètres!$A$1:$I$89,3,0)*0.475*44/12</f>
        <v>2.394706490156537E-16</v>
      </c>
      <c r="BS127" s="22">
        <f t="shared" si="63"/>
        <v>0.88395492438181056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-5.6843418860808015E-13</v>
      </c>
      <c r="BZ127" s="13">
        <f>BY127*VLOOKUP('Données projet'!$B$12,Paramètres!$A$1:$I$89,3,0)*VLOOKUP('Données projet'!$B$12,Paramètres!$A$1:$I$89,5,0)</f>
        <v>-3.177547114319168E-13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326.31232746914907</v>
      </c>
      <c r="CE127" s="59">
        <f t="shared" si="94"/>
        <v>330.17137761430297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0.70997052123762838</v>
      </c>
      <c r="CL127" s="21">
        <f>EXP(-LN(2)/25)*CL126+(1-EXP(-LN(2)/25))/(LN(2)/25)*Calculateur!CG127*Calculateur!CI127*VLOOKUP('Données projet'!$B$12,Paramètres!$A$1:$I$89,3,0)*0.475*44/12</f>
        <v>2.2271269049270961</v>
      </c>
      <c r="CM127" s="21">
        <f>EXP(-LN(2)/2)*CM126+(1-EXP(-LN(2)/2))/(LN(2)/2)*CG127*CJ127*VLOOKUP('Données projet'!$B$12,Paramètres!$A$1:$I$89,3,0)*0.475*44/12</f>
        <v>2.3108333643360795E-13</v>
      </c>
      <c r="CN127" s="22">
        <f t="shared" si="66"/>
        <v>2.9370974261649554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210.04871822652808</v>
      </c>
      <c r="CZ127" s="59">
        <f t="shared" si="96"/>
        <v>250.17540614049324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1.1347520381726139</v>
      </c>
      <c r="DG127" s="21">
        <f>EXP(-LN(2)/25)*DG126+(1-EXP(-LN(2)/25))/(LN(2)/25)*Calculateur!DB127*Calculateur!DD127*VLOOKUP('Données projet'!$B$13,Paramètres!$A$1:$I$89,3,0)*0.475*44/12</f>
        <v>2.054241781577316</v>
      </c>
      <c r="DH127" s="21">
        <f>EXP(-LN(2)/2)*DH126+(1-EXP(-LN(2)/2))/(LN(2)/2)*DB127*DE127*VLOOKUP('Données projet'!$B$13,Paramètres!$A$1:$I$89,3,0)*0.475*44/12</f>
        <v>1.531495906970669E-13</v>
      </c>
      <c r="DI127" s="22">
        <f t="shared" si="69"/>
        <v>3.1889938197500833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-5.1159076974727213E-13</v>
      </c>
      <c r="DP127" s="17">
        <f>DO127*VLOOKUP('Données projet'!$B$14,Paramètres!$A$1:$I$89,3,0)*VLOOKUP('Données projet'!$B$14,Paramètres!$A$1:$I$89,5,0)</f>
        <v>-3.7509835237869992E-13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234.09142087023463</v>
      </c>
      <c r="DU127" s="59">
        <f t="shared" si="98"/>
        <v>278.990685815294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0.37918880111555164</v>
      </c>
      <c r="EB127" s="21">
        <f>EXP(-LN(2)/25)*EB126+(1-EXP(-LN(2)/25))/(LN(2)/25)*Calculateur!DW127*Calculateur!DY127*VLOOKUP('Données projet'!$B$14,Paramètres!$A$1:$I$89,3,0)*0.475*44/12</f>
        <v>1.1324432105940512</v>
      </c>
      <c r="EC127" s="21">
        <f>EXP(-LN(2)/2)*EC126+(1-EXP(-LN(2)/2))/(LN(2)/2)*DW127*DZ127*VLOOKUP('Données projet'!$B$14,Paramètres!$A$1:$I$89,3,0)*0.475*44/12</f>
        <v>1.5741093620790139E-13</v>
      </c>
      <c r="ED127" s="22">
        <f t="shared" si="72"/>
        <v>1.5116320117097601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259.30247982593914</v>
      </c>
      <c r="T128" s="59">
        <f t="shared" si="88"/>
        <v>275.24740346220779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1.2946557753435026</v>
      </c>
      <c r="AB128" s="21">
        <f>EXP(-LN(2)/2)*AB127+(1-EXP(-LN(2)/2))/(LN(2)/2)*V128*Y128*VLOOKUP('Données projet'!$B$9,Paramètres!$A$1:$I$89,3,0)*0.475*44/12</f>
        <v>1.4409916782096375E-13</v>
      </c>
      <c r="AC128" s="22">
        <f t="shared" si="57"/>
        <v>1.2946557753436467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7.9580786405131221E-13</v>
      </c>
      <c r="AJ128" s="13">
        <f>AI128*VLOOKUP('Données projet'!$B$10,Paramètres!$A$1:$I$89,3,0)*VLOOKUP('Données projet'!$B$10,Paramètres!$A$1:$I$89,5,0)</f>
        <v>3.8278358260868117E-13</v>
      </c>
      <c r="AK128" s="13">
        <f t="shared" si="89"/>
        <v>4.9186917125089072E-12</v>
      </c>
      <c r="AL128" s="20">
        <f t="shared" si="58"/>
        <v>9.2334028056631319E-12</v>
      </c>
      <c r="AM128" s="59">
        <f t="shared" si="59"/>
        <v>293.33333333334252</v>
      </c>
      <c r="AN128" s="59">
        <f ca="1">AVERAGE(OFFSET($AM$3,0,0,'Données projet'!$E$10+1,1))-AVERAGE(OFFSET($H$3,0,0,'Données projet'!$E$10+1,1))</f>
        <v>297.21955661193238</v>
      </c>
      <c r="AO128" s="59">
        <f t="shared" si="90"/>
        <v>273.69206144662144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1.0267292490558309</v>
      </c>
      <c r="AV128" s="21">
        <f>EXP(-LN(2)/25)*AV127+(1-EXP(-LN(2)/25))/(LN(2)/25)*Calculateur!AQ128*Calculateur!AS128*VLOOKUP('Données projet'!$B$10,Paramètres!$A$1:$I$89,3,0)*0.475*44/12</f>
        <v>0.96369588602996004</v>
      </c>
      <c r="AW128" s="21">
        <f>EXP(-LN(2)/2)*AW127+(1-EXP(-LN(2)/2))/(LN(2)/2)*AQ128*AT128*VLOOKUP('Données projet'!$B$10,Paramètres!$A$1:$I$89,3,0)*0.475*44/12</f>
        <v>1.0507201136241728E-13</v>
      </c>
      <c r="AX128" s="21">
        <f t="shared" si="60"/>
        <v>1.9904251350858959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3.6357050703372803E-14</v>
      </c>
      <c r="BF128" s="13">
        <f t="shared" si="91"/>
        <v>6.1445232567661395E-13</v>
      </c>
      <c r="BG128" s="20">
        <f t="shared" si="61"/>
        <v>1.1334929971951436E-12</v>
      </c>
      <c r="BH128" s="59">
        <f t="shared" si="62"/>
        <v>293.33333333333445</v>
      </c>
      <c r="BI128" s="59">
        <f ca="1">AVERAGE(OFFSET($BH$3,0,0,'Données projet'!$E$11+1,1))-AVERAGE(OFFSET($H$3,0,0,'Données projet'!$E$11+1,1))</f>
        <v>176.90404027101607</v>
      </c>
      <c r="BJ128" s="59">
        <f t="shared" si="92"/>
        <v>295.34177980841878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0.27029950264773578</v>
      </c>
      <c r="BQ128" s="21">
        <f>EXP(-LN(2)/25)*BQ127+(1-EXP(-LN(2)/25))/(LN(2)/25)*Calculateur!BL128*Calculateur!BN128*VLOOKUP('Données projet'!$B$11,Paramètres!$A$1:$I$89,3,0)*0.475*44/12</f>
        <v>0.5916163958554046</v>
      </c>
      <c r="BR128" s="21">
        <f>EXP(-LN(2)/2)*BR127+(1-EXP(-LN(2)/2))/(LN(2)/2)*BL128*BO128*VLOOKUP('Données projet'!$B$11,Paramètres!$A$1:$I$89,3,0)*0.475*44/12</f>
        <v>1.6933131981411236E-16</v>
      </c>
      <c r="BS128" s="22">
        <f t="shared" si="63"/>
        <v>0.86191589850314054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-5.6843418860808015E-13</v>
      </c>
      <c r="BZ128" s="13">
        <f>BY128*VLOOKUP('Données projet'!$B$12,Paramètres!$A$1:$I$89,3,0)*VLOOKUP('Données projet'!$B$12,Paramètres!$A$1:$I$89,5,0)</f>
        <v>-3.177547114319168E-13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326.31232746914907</v>
      </c>
      <c r="CE128" s="59">
        <f t="shared" si="94"/>
        <v>330.17137761430297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0.69604843235541736</v>
      </c>
      <c r="CL128" s="21">
        <f>EXP(-LN(2)/25)*CL127+(1-EXP(-LN(2)/25))/(LN(2)/25)*Calculateur!CG128*Calculateur!CI128*VLOOKUP('Données projet'!$B$12,Paramètres!$A$1:$I$89,3,0)*0.475*44/12</f>
        <v>2.1662260025923508</v>
      </c>
      <c r="CM128" s="21">
        <f>EXP(-LN(2)/2)*CM127+(1-EXP(-LN(2)/2))/(LN(2)/2)*CG128*CJ128*VLOOKUP('Données projet'!$B$12,Paramètres!$A$1:$I$89,3,0)*0.475*44/12</f>
        <v>1.6340059421141656E-13</v>
      </c>
      <c r="CN128" s="22">
        <f t="shared" si="66"/>
        <v>2.8622744349479317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210.04871822652808</v>
      </c>
      <c r="CZ128" s="59">
        <f t="shared" si="96"/>
        <v>250.17540614049324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1.1125002428344501</v>
      </c>
      <c r="DG128" s="21">
        <f>EXP(-LN(2)/25)*DG127+(1-EXP(-LN(2)/25))/(LN(2)/25)*Calculateur!DB128*Calculateur!DD128*VLOOKUP('Données projet'!$B$13,Paramètres!$A$1:$I$89,3,0)*0.475*44/12</f>
        <v>1.998068432032204</v>
      </c>
      <c r="DH128" s="21">
        <f>EXP(-LN(2)/2)*DH127+(1-EXP(-LN(2)/2))/(LN(2)/2)*DB128*DE128*VLOOKUP('Données projet'!$B$13,Paramètres!$A$1:$I$89,3,0)*0.475*44/12</f>
        <v>1.082931141178402E-13</v>
      </c>
      <c r="DI128" s="22">
        <f t="shared" si="69"/>
        <v>3.1105686748667623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-5.1159076974727213E-13</v>
      </c>
      <c r="DP128" s="17">
        <f>DO128*VLOOKUP('Données projet'!$B$14,Paramètres!$A$1:$I$89,3,0)*VLOOKUP('Données projet'!$B$14,Paramètres!$A$1:$I$89,5,0)</f>
        <v>-3.7509835237869992E-13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234.09142087023463</v>
      </c>
      <c r="DU128" s="59">
        <f t="shared" si="98"/>
        <v>278.990685815294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0.37175314000800713</v>
      </c>
      <c r="EB128" s="21">
        <f>EXP(-LN(2)/25)*EB127+(1-EXP(-LN(2)/25))/(LN(2)/25)*Calculateur!DW128*Calculateur!DY128*VLOOKUP('Données projet'!$B$14,Paramètres!$A$1:$I$89,3,0)*0.475*44/12</f>
        <v>1.1014764914477566</v>
      </c>
      <c r="EC128" s="21">
        <f>EXP(-LN(2)/2)*EC127+(1-EXP(-LN(2)/2))/(LN(2)/2)*DW128*DZ128*VLOOKUP('Données projet'!$B$14,Paramètres!$A$1:$I$89,3,0)*0.475*44/12</f>
        <v>1.1130634042553012E-13</v>
      </c>
      <c r="ED128" s="22">
        <f t="shared" si="72"/>
        <v>1.473229631455875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259.30247982593914</v>
      </c>
      <c r="T129" s="59">
        <f t="shared" si="88"/>
        <v>275.24740346220779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1.2592533450837462</v>
      </c>
      <c r="AB129" s="21">
        <f>EXP(-LN(2)/2)*AB128+(1-EXP(-LN(2)/2))/(LN(2)/2)*V129*Y129*VLOOKUP('Données projet'!$B$9,Paramètres!$A$1:$I$89,3,0)*0.475*44/12</f>
        <v>1.0189349872954181E-13</v>
      </c>
      <c r="AC129" s="22">
        <f t="shared" si="57"/>
        <v>1.2592533450838481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7.9580786405131221E-13</v>
      </c>
      <c r="AJ129" s="13">
        <f>AI129*VLOOKUP('Données projet'!$B$10,Paramètres!$A$1:$I$89,3,0)*VLOOKUP('Données projet'!$B$10,Paramètres!$A$1:$I$89,5,0)</f>
        <v>3.8278358260868117E-13</v>
      </c>
      <c r="AK129" s="13">
        <f t="shared" si="89"/>
        <v>4.9186917125089072E-12</v>
      </c>
      <c r="AL129" s="20">
        <f t="shared" si="58"/>
        <v>9.2334028056631319E-12</v>
      </c>
      <c r="AM129" s="59">
        <f t="shared" si="59"/>
        <v>293.33333333334252</v>
      </c>
      <c r="AN129" s="59">
        <f ca="1">AVERAGE(OFFSET($AM$3,0,0,'Données projet'!$E$10+1,1))-AVERAGE(OFFSET($H$3,0,0,'Données projet'!$E$10+1,1))</f>
        <v>297.21955661193238</v>
      </c>
      <c r="AO129" s="59">
        <f t="shared" si="90"/>
        <v>273.69206144662144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1.0065957147248517</v>
      </c>
      <c r="AV129" s="21">
        <f>EXP(-LN(2)/25)*AV128+(1-EXP(-LN(2)/25))/(LN(2)/25)*Calculateur!AQ129*Calculateur!AS129*VLOOKUP('Données projet'!$B$10,Paramètres!$A$1:$I$89,3,0)*0.475*44/12</f>
        <v>0.93734357134790669</v>
      </c>
      <c r="AW129" s="21">
        <f>EXP(-LN(2)/2)*AW128+(1-EXP(-LN(2)/2))/(LN(2)/2)*AQ129*AT129*VLOOKUP('Données projet'!$B$10,Paramètres!$A$1:$I$89,3,0)*0.475*44/12</f>
        <v>7.4297131747275227E-14</v>
      </c>
      <c r="AX129" s="21">
        <f t="shared" si="60"/>
        <v>1.9439392860728326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3.6357050703372803E-14</v>
      </c>
      <c r="BF129" s="13">
        <f t="shared" si="91"/>
        <v>6.1445232567661395E-13</v>
      </c>
      <c r="BG129" s="20">
        <f t="shared" si="61"/>
        <v>1.1334929971951436E-12</v>
      </c>
      <c r="BH129" s="59">
        <f t="shared" si="62"/>
        <v>293.33333333333445</v>
      </c>
      <c r="BI129" s="59">
        <f ca="1">AVERAGE(OFFSET($BH$3,0,0,'Données projet'!$E$11+1,1))-AVERAGE(OFFSET($H$3,0,0,'Données projet'!$E$11+1,1))</f>
        <v>176.90404027101607</v>
      </c>
      <c r="BJ129" s="59">
        <f t="shared" si="92"/>
        <v>295.34177980841878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0.26499909426723106</v>
      </c>
      <c r="BQ129" s="21">
        <f>EXP(-LN(2)/25)*BQ128+(1-EXP(-LN(2)/25))/(LN(2)/25)*Calculateur!BL129*Calculateur!BN129*VLOOKUP('Données projet'!$B$11,Paramètres!$A$1:$I$89,3,0)*0.475*44/12</f>
        <v>0.57543861439898447</v>
      </c>
      <c r="BR129" s="21">
        <f>EXP(-LN(2)/2)*BR128+(1-EXP(-LN(2)/2))/(LN(2)/2)*BL129*BO129*VLOOKUP('Données projet'!$B$11,Paramètres!$A$1:$I$89,3,0)*0.475*44/12</f>
        <v>1.1973532450782685E-16</v>
      </c>
      <c r="BS129" s="22">
        <f t="shared" si="63"/>
        <v>0.8404377086662157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-5.6843418860808015E-13</v>
      </c>
      <c r="BZ129" s="13">
        <f>BY129*VLOOKUP('Données projet'!$B$12,Paramètres!$A$1:$I$89,3,0)*VLOOKUP('Données projet'!$B$12,Paramètres!$A$1:$I$89,5,0)</f>
        <v>-3.177547114319168E-13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326.31232746914907</v>
      </c>
      <c r="CE129" s="59">
        <f t="shared" si="94"/>
        <v>330.17137761430297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0.68239934714455075</v>
      </c>
      <c r="CL129" s="21">
        <f>EXP(-LN(2)/25)*CL128+(1-EXP(-LN(2)/25))/(LN(2)/25)*Calculateur!CG129*Calculateur!CI129*VLOOKUP('Données projet'!$B$12,Paramètres!$A$1:$I$89,3,0)*0.475*44/12</f>
        <v>2.1069904386345883</v>
      </c>
      <c r="CM129" s="21">
        <f>EXP(-LN(2)/2)*CM128+(1-EXP(-LN(2)/2))/(LN(2)/2)*CG129*CJ129*VLOOKUP('Données projet'!$B$12,Paramètres!$A$1:$I$89,3,0)*0.475*44/12</f>
        <v>1.1554166821680398E-13</v>
      </c>
      <c r="CN129" s="22">
        <f t="shared" si="66"/>
        <v>2.7893897857792544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210.04871822652808</v>
      </c>
      <c r="CZ129" s="59">
        <f t="shared" si="96"/>
        <v>250.17540614049324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1.0906847916306126</v>
      </c>
      <c r="DG129" s="21">
        <f>EXP(-LN(2)/25)*DG128+(1-EXP(-LN(2)/25))/(LN(2)/25)*Calculateur!DB129*Calculateur!DD129*VLOOKUP('Données projet'!$B$13,Paramètres!$A$1:$I$89,3,0)*0.475*44/12</f>
        <v>1.9434311456844311</v>
      </c>
      <c r="DH129" s="21">
        <f>EXP(-LN(2)/2)*DH128+(1-EXP(-LN(2)/2))/(LN(2)/2)*DB129*DE129*VLOOKUP('Données projet'!$B$13,Paramètres!$A$1:$I$89,3,0)*0.475*44/12</f>
        <v>7.6574795348533449E-14</v>
      </c>
      <c r="DI129" s="22">
        <f t="shared" si="69"/>
        <v>3.0341159373151201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-5.1159076974727213E-13</v>
      </c>
      <c r="DP129" s="17">
        <f>DO129*VLOOKUP('Données projet'!$B$14,Paramètres!$A$1:$I$89,3,0)*VLOOKUP('Données projet'!$B$14,Paramètres!$A$1:$I$89,5,0)</f>
        <v>-3.7509835237869992E-13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234.09142087023463</v>
      </c>
      <c r="DU129" s="59">
        <f t="shared" si="98"/>
        <v>278.990685815294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0.36446328767947611</v>
      </c>
      <c r="EB129" s="21">
        <f>EXP(-LN(2)/25)*EB128+(1-EXP(-LN(2)/25))/(LN(2)/25)*Calculateur!DW129*Calculateur!DY129*VLOOKUP('Données projet'!$B$14,Paramètres!$A$1:$I$89,3,0)*0.475*44/12</f>
        <v>1.0713565588649865</v>
      </c>
      <c r="EC129" s="21">
        <f>EXP(-LN(2)/2)*EC128+(1-EXP(-LN(2)/2))/(LN(2)/2)*DW129*DZ129*VLOOKUP('Données projet'!$B$14,Paramètres!$A$1:$I$89,3,0)*0.475*44/12</f>
        <v>7.8705468103950709E-14</v>
      </c>
      <c r="ED129" s="22">
        <f t="shared" si="72"/>
        <v>1.4358198465445411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259.30247982593914</v>
      </c>
      <c r="T130" s="59">
        <f t="shared" si="88"/>
        <v>275.24740346220779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1.2248189961411757</v>
      </c>
      <c r="AB130" s="21">
        <f>EXP(-LN(2)/2)*AB129+(1-EXP(-LN(2)/2))/(LN(2)/2)*V130*Y130*VLOOKUP('Données projet'!$B$9,Paramètres!$A$1:$I$89,3,0)*0.475*44/12</f>
        <v>7.2049583910481875E-14</v>
      </c>
      <c r="AC130" s="22">
        <f t="shared" si="57"/>
        <v>1.2248189961412477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7.9580786405131221E-13</v>
      </c>
      <c r="AJ130" s="13">
        <f>AI130*VLOOKUP('Données projet'!$B$10,Paramètres!$A$1:$I$89,3,0)*VLOOKUP('Données projet'!$B$10,Paramètres!$A$1:$I$89,5,0)</f>
        <v>3.8278358260868117E-13</v>
      </c>
      <c r="AK130" s="13">
        <f t="shared" si="89"/>
        <v>4.9186917125089072E-12</v>
      </c>
      <c r="AL130" s="20">
        <f t="shared" si="58"/>
        <v>9.2334028056631319E-12</v>
      </c>
      <c r="AM130" s="59">
        <f t="shared" si="59"/>
        <v>293.33333333334252</v>
      </c>
      <c r="AN130" s="59">
        <f ca="1">AVERAGE(OFFSET($AM$3,0,0,'Données projet'!$E$10+1,1))-AVERAGE(OFFSET($H$3,0,0,'Données projet'!$E$10+1,1))</f>
        <v>297.21955661193238</v>
      </c>
      <c r="AO130" s="59">
        <f t="shared" si="90"/>
        <v>273.69206144662144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0.98685698672185951</v>
      </c>
      <c r="AV130" s="21">
        <f>EXP(-LN(2)/25)*AV129+(1-EXP(-LN(2)/25))/(LN(2)/25)*Calculateur!AQ130*Calculateur!AS130*VLOOKUP('Données projet'!$B$10,Paramètres!$A$1:$I$89,3,0)*0.475*44/12</f>
        <v>0.91171186209664212</v>
      </c>
      <c r="AW130" s="21">
        <f>EXP(-LN(2)/2)*AW129+(1-EXP(-LN(2)/2))/(LN(2)/2)*AQ130*AT130*VLOOKUP('Données projet'!$B$10,Paramètres!$A$1:$I$89,3,0)*0.475*44/12</f>
        <v>5.2536005681208638E-14</v>
      </c>
      <c r="AX130" s="21">
        <f t="shared" si="60"/>
        <v>1.8985688488185544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3.6357050703372803E-14</v>
      </c>
      <c r="BF130" s="13">
        <f t="shared" si="91"/>
        <v>6.1445232567661395E-13</v>
      </c>
      <c r="BG130" s="20">
        <f t="shared" si="61"/>
        <v>1.1334929971951436E-12</v>
      </c>
      <c r="BH130" s="59">
        <f t="shared" si="62"/>
        <v>293.33333333333445</v>
      </c>
      <c r="BI130" s="59">
        <f ca="1">AVERAGE(OFFSET($BH$3,0,0,'Données projet'!$E$11+1,1))-AVERAGE(OFFSET($H$3,0,0,'Données projet'!$E$11+1,1))</f>
        <v>176.90404027101607</v>
      </c>
      <c r="BJ130" s="59">
        <f t="shared" si="92"/>
        <v>295.34177980841878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0.25980262366213819</v>
      </c>
      <c r="BQ130" s="21">
        <f>EXP(-LN(2)/25)*BQ129+(1-EXP(-LN(2)/25))/(LN(2)/25)*Calculateur!BL130*Calculateur!BN130*VLOOKUP('Données projet'!$B$11,Paramètres!$A$1:$I$89,3,0)*0.475*44/12</f>
        <v>0.55970321522724265</v>
      </c>
      <c r="BR130" s="21">
        <f>EXP(-LN(2)/2)*BR129+(1-EXP(-LN(2)/2))/(LN(2)/2)*BL130*BO130*VLOOKUP('Données projet'!$B$11,Paramètres!$A$1:$I$89,3,0)*0.475*44/12</f>
        <v>8.4665659907056182E-17</v>
      </c>
      <c r="BS130" s="22">
        <f t="shared" si="63"/>
        <v>0.81950583888938089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-5.6843418860808015E-13</v>
      </c>
      <c r="BZ130" s="13">
        <f>BY130*VLOOKUP('Données projet'!$B$12,Paramètres!$A$1:$I$89,3,0)*VLOOKUP('Données projet'!$B$12,Paramètres!$A$1:$I$89,5,0)</f>
        <v>-3.177547114319168E-13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326.31232746914907</v>
      </c>
      <c r="CE130" s="59">
        <f t="shared" si="94"/>
        <v>330.17137761430297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0.66901791216954931</v>
      </c>
      <c r="CL130" s="21">
        <f>EXP(-LN(2)/25)*CL129+(1-EXP(-LN(2)/25))/(LN(2)/25)*Calculateur!CG130*Calculateur!CI130*VLOOKUP('Données projet'!$B$12,Paramètres!$A$1:$I$89,3,0)*0.475*44/12</f>
        <v>2.0493746742883139</v>
      </c>
      <c r="CM130" s="21">
        <f>EXP(-LN(2)/2)*CM129+(1-EXP(-LN(2)/2))/(LN(2)/2)*CG130*CJ130*VLOOKUP('Données projet'!$B$12,Paramètres!$A$1:$I$89,3,0)*0.475*44/12</f>
        <v>8.1700297105708281E-14</v>
      </c>
      <c r="CN130" s="22">
        <f t="shared" si="66"/>
        <v>2.718392586457945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210.04871822652808</v>
      </c>
      <c r="CZ130" s="59">
        <f t="shared" si="96"/>
        <v>250.17540614049324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1.0692971281187711</v>
      </c>
      <c r="DG130" s="21">
        <f>EXP(-LN(2)/25)*DG129+(1-EXP(-LN(2)/25))/(LN(2)/25)*Calculateur!DB130*Calculateur!DD130*VLOOKUP('Données projet'!$B$13,Paramètres!$A$1:$I$89,3,0)*0.475*44/12</f>
        <v>1.8902879188050881</v>
      </c>
      <c r="DH130" s="21">
        <f>EXP(-LN(2)/2)*DH129+(1-EXP(-LN(2)/2))/(LN(2)/2)*DB130*DE130*VLOOKUP('Données projet'!$B$13,Paramètres!$A$1:$I$89,3,0)*0.475*44/12</f>
        <v>5.41465570589201E-14</v>
      </c>
      <c r="DI130" s="22">
        <f t="shared" si="69"/>
        <v>2.9595850469239133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-5.1159076974727213E-13</v>
      </c>
      <c r="DP130" s="17">
        <f>DO130*VLOOKUP('Données projet'!$B$14,Paramètres!$A$1:$I$89,3,0)*VLOOKUP('Données projet'!$B$14,Paramètres!$A$1:$I$89,5,0)</f>
        <v>-3.7509835237869992E-13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234.09142087023463</v>
      </c>
      <c r="DU130" s="59">
        <f t="shared" si="98"/>
        <v>278.990685815294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0.35731638490873668</v>
      </c>
      <c r="EB130" s="21">
        <f>EXP(-LN(2)/25)*EB129+(1-EXP(-LN(2)/25))/(LN(2)/25)*Calculateur!DW130*Calculateur!DY130*VLOOKUP('Données projet'!$B$14,Paramètres!$A$1:$I$89,3,0)*0.475*44/12</f>
        <v>1.0420602574226305</v>
      </c>
      <c r="EC130" s="21">
        <f>EXP(-LN(2)/2)*EC129+(1-EXP(-LN(2)/2))/(LN(2)/2)*DW130*DZ130*VLOOKUP('Données projet'!$B$14,Paramètres!$A$1:$I$89,3,0)*0.475*44/12</f>
        <v>5.5653170212765074E-14</v>
      </c>
      <c r="ED130" s="22">
        <f t="shared" si="72"/>
        <v>1.3993766423314229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259.30247982593914</v>
      </c>
      <c r="T131" s="59">
        <f t="shared" si="88"/>
        <v>275.24740346220779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1.1913262562812637</v>
      </c>
      <c r="AB131" s="21">
        <f>EXP(-LN(2)/2)*AB130+(1-EXP(-LN(2)/2))/(LN(2)/2)*V131*Y131*VLOOKUP('Données projet'!$B$9,Paramètres!$A$1:$I$89,3,0)*0.475*44/12</f>
        <v>5.0946749364770903E-14</v>
      </c>
      <c r="AC131" s="22">
        <f t="shared" si="57"/>
        <v>1.1913262562813145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7.9580786405131221E-13</v>
      </c>
      <c r="AJ131" s="13">
        <f>AI131*VLOOKUP('Données projet'!$B$10,Paramètres!$A$1:$I$89,3,0)*VLOOKUP('Données projet'!$B$10,Paramètres!$A$1:$I$89,5,0)</f>
        <v>3.8278358260868117E-13</v>
      </c>
      <c r="AK131" s="13">
        <f t="shared" si="89"/>
        <v>4.9186917125089072E-12</v>
      </c>
      <c r="AL131" s="20">
        <f t="shared" si="58"/>
        <v>9.2334028056631319E-12</v>
      </c>
      <c r="AM131" s="59">
        <f t="shared" si="59"/>
        <v>293.33333333334252</v>
      </c>
      <c r="AN131" s="59">
        <f ca="1">AVERAGE(OFFSET($AM$3,0,0,'Données projet'!$E$10+1,1))-AVERAGE(OFFSET($H$3,0,0,'Données projet'!$E$10+1,1))</f>
        <v>297.21955661193238</v>
      </c>
      <c r="AO131" s="59">
        <f t="shared" si="90"/>
        <v>273.69206144662144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0.9675053231355708</v>
      </c>
      <c r="AV131" s="21">
        <f>EXP(-LN(2)/25)*AV130+(1-EXP(-LN(2)/25))/(LN(2)/25)*Calculateur!AQ131*Calculateur!AS131*VLOOKUP('Données projet'!$B$10,Paramètres!$A$1:$I$89,3,0)*0.475*44/12</f>
        <v>0.88678105328276635</v>
      </c>
      <c r="AW131" s="21">
        <f>EXP(-LN(2)/2)*AW130+(1-EXP(-LN(2)/2))/(LN(2)/2)*AQ131*AT131*VLOOKUP('Données projet'!$B$10,Paramètres!$A$1:$I$89,3,0)*0.475*44/12</f>
        <v>3.7148565873637614E-14</v>
      </c>
      <c r="AX131" s="21">
        <f t="shared" si="60"/>
        <v>1.8542863764183741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3.6357050703372803E-14</v>
      </c>
      <c r="BF131" s="13">
        <f t="shared" si="91"/>
        <v>6.1445232567661395E-13</v>
      </c>
      <c r="BG131" s="20">
        <f t="shared" si="61"/>
        <v>1.1334929971951436E-12</v>
      </c>
      <c r="BH131" s="59">
        <f t="shared" si="62"/>
        <v>293.33333333333445</v>
      </c>
      <c r="BI131" s="59">
        <f ca="1">AVERAGE(OFFSET($BH$3,0,0,'Données projet'!$E$11+1,1))-AVERAGE(OFFSET($H$3,0,0,'Données projet'!$E$11+1,1))</f>
        <v>176.90404027101607</v>
      </c>
      <c r="BJ131" s="59">
        <f t="shared" si="92"/>
        <v>295.34177980841878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0.2547080526760771</v>
      </c>
      <c r="BQ131" s="21">
        <f>EXP(-LN(2)/25)*BQ130+(1-EXP(-LN(2)/25))/(LN(2)/25)*Calculateur!BL131*Calculateur!BN131*VLOOKUP('Données projet'!$B$11,Paramètres!$A$1:$I$89,3,0)*0.475*44/12</f>
        <v>0.54439810137334077</v>
      </c>
      <c r="BR131" s="21">
        <f>EXP(-LN(2)/2)*BR130+(1-EXP(-LN(2)/2))/(LN(2)/2)*BL131*BO131*VLOOKUP('Données projet'!$B$11,Paramètres!$A$1:$I$89,3,0)*0.475*44/12</f>
        <v>5.9867662253913424E-17</v>
      </c>
      <c r="BS131" s="22">
        <f t="shared" si="63"/>
        <v>0.79910615404941798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-5.6843418860808015E-13</v>
      </c>
      <c r="BZ131" s="13">
        <f>BY131*VLOOKUP('Données projet'!$B$12,Paramètres!$A$1:$I$89,3,0)*VLOOKUP('Données projet'!$B$12,Paramètres!$A$1:$I$89,5,0)</f>
        <v>-3.177547114319168E-13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326.31232746914907</v>
      </c>
      <c r="CE131" s="59">
        <f t="shared" si="94"/>
        <v>330.17137761430297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0.65589887897253818</v>
      </c>
      <c r="CL131" s="21">
        <f>EXP(-LN(2)/25)*CL130+(1-EXP(-LN(2)/25))/(LN(2)/25)*Calculateur!CG131*Calculateur!CI131*VLOOKUP('Données projet'!$B$12,Paramètres!$A$1:$I$89,3,0)*0.475*44/12</f>
        <v>1.9933344160479698</v>
      </c>
      <c r="CM131" s="21">
        <f>EXP(-LN(2)/2)*CM130+(1-EXP(-LN(2)/2))/(LN(2)/2)*CG131*CJ131*VLOOKUP('Données projet'!$B$12,Paramètres!$A$1:$I$89,3,0)*0.475*44/12</f>
        <v>5.7770834108401988E-14</v>
      </c>
      <c r="CN131" s="22">
        <f t="shared" si="66"/>
        <v>2.6492332950205659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210.04871822652808</v>
      </c>
      <c r="CZ131" s="59">
        <f t="shared" si="96"/>
        <v>250.17540614049324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1.04832886364321</v>
      </c>
      <c r="DG131" s="21">
        <f>EXP(-LN(2)/25)*DG130+(1-EXP(-LN(2)/25))/(LN(2)/25)*Calculateur!DB131*Calculateur!DD131*VLOOKUP('Données projet'!$B$13,Paramètres!$A$1:$I$89,3,0)*0.475*44/12</f>
        <v>1.8385978962594416</v>
      </c>
      <c r="DH131" s="21">
        <f>EXP(-LN(2)/2)*DH130+(1-EXP(-LN(2)/2))/(LN(2)/2)*DB131*DE131*VLOOKUP('Données projet'!$B$13,Paramètres!$A$1:$I$89,3,0)*0.475*44/12</f>
        <v>3.8287397674266725E-14</v>
      </c>
      <c r="DI131" s="22">
        <f t="shared" si="69"/>
        <v>2.88692675990269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-5.1159076974727213E-13</v>
      </c>
      <c r="DP131" s="17">
        <f>DO131*VLOOKUP('Données projet'!$B$14,Paramètres!$A$1:$I$89,3,0)*VLOOKUP('Données projet'!$B$14,Paramètres!$A$1:$I$89,5,0)</f>
        <v>-3.7509835237869992E-13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234.09142087023463</v>
      </c>
      <c r="DU131" s="59">
        <f t="shared" si="98"/>
        <v>278.990685815294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0.3503096285421512</v>
      </c>
      <c r="EB131" s="21">
        <f>EXP(-LN(2)/25)*EB130+(1-EXP(-LN(2)/25))/(LN(2)/25)*Calculateur!DW131*Calculateur!DY131*VLOOKUP('Données projet'!$B$14,Paramètres!$A$1:$I$89,3,0)*0.475*44/12</f>
        <v>1.0135650648838415</v>
      </c>
      <c r="EC131" s="21">
        <f>EXP(-LN(2)/2)*EC130+(1-EXP(-LN(2)/2))/(LN(2)/2)*DW131*DZ131*VLOOKUP('Données projet'!$B$14,Paramètres!$A$1:$I$89,3,0)*0.475*44/12</f>
        <v>3.9352734051975361E-14</v>
      </c>
      <c r="ED131" s="22">
        <f t="shared" si="72"/>
        <v>1.363874693426032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259.30247982593914</v>
      </c>
      <c r="T132" s="59">
        <f t="shared" si="88"/>
        <v>275.24740346220779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1.1587493771541275</v>
      </c>
      <c r="AB132" s="21">
        <f>EXP(-LN(2)/2)*AB131+(1-EXP(-LN(2)/2))/(LN(2)/2)*V132*Y132*VLOOKUP('Données projet'!$B$9,Paramètres!$A$1:$I$89,3,0)*0.475*44/12</f>
        <v>3.6024791955240937E-14</v>
      </c>
      <c r="AC132" s="22">
        <f t="shared" ref="AC132:AC153" si="111">SUM(Z132:AB132)</f>
        <v>1.1587493771541635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7.9580786405131221E-13</v>
      </c>
      <c r="AJ132" s="13">
        <f>AI132*VLOOKUP('Données projet'!$B$10,Paramètres!$A$1:$I$89,3,0)*VLOOKUP('Données projet'!$B$10,Paramètres!$A$1:$I$89,5,0)</f>
        <v>3.8278358260868117E-13</v>
      </c>
      <c r="AK132" s="13">
        <f t="shared" si="89"/>
        <v>4.9186917125089072E-12</v>
      </c>
      <c r="AL132" s="20">
        <f t="shared" ref="AL132:AL153" si="112">(AJ132+AK132)*0.475*44/12</f>
        <v>9.2334028056631319E-12</v>
      </c>
      <c r="AM132" s="59">
        <f t="shared" ref="AM132:AM195" si="113">AL132+(AD132+AE132)*44/12</f>
        <v>293.33333333334252</v>
      </c>
      <c r="AN132" s="59">
        <f ca="1">AVERAGE(OFFSET($AM$3,0,0,'Données projet'!$E$10+1,1))-AVERAGE(OFFSET($H$3,0,0,'Données projet'!$E$10+1,1))</f>
        <v>297.21955661193238</v>
      </c>
      <c r="AO132" s="59">
        <f t="shared" si="90"/>
        <v>273.69206144662144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0.94853313386885985</v>
      </c>
      <c r="AV132" s="21">
        <f>EXP(-LN(2)/25)*AV131+(1-EXP(-LN(2)/25))/(LN(2)/25)*Calculateur!AQ132*Calculateur!AS132*VLOOKUP('Données projet'!$B$10,Paramètres!$A$1:$I$89,3,0)*0.475*44/12</f>
        <v>0.8625319787469603</v>
      </c>
      <c r="AW132" s="21">
        <f>EXP(-LN(2)/2)*AW131+(1-EXP(-LN(2)/2))/(LN(2)/2)*AQ132*AT132*VLOOKUP('Données projet'!$B$10,Paramètres!$A$1:$I$89,3,0)*0.475*44/12</f>
        <v>2.6268002840604319E-14</v>
      </c>
      <c r="AX132" s="21">
        <f t="shared" ref="AX132:AX153" si="114">SUM(AU132:AW132)</f>
        <v>1.8110651126158464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3.6357050703372803E-14</v>
      </c>
      <c r="BF132" s="13">
        <f t="shared" si="91"/>
        <v>6.1445232567661395E-13</v>
      </c>
      <c r="BG132" s="20">
        <f t="shared" ref="BG132:BG153" si="115">(BE132+BF132)*0.475*44/12</f>
        <v>1.1334929971951436E-12</v>
      </c>
      <c r="BH132" s="59">
        <f t="shared" ref="BH132:BH195" si="116">BG132+(AY132+AZ132)*44/12</f>
        <v>293.33333333333445</v>
      </c>
      <c r="BI132" s="59">
        <f ca="1">AVERAGE(OFFSET($BH$3,0,0,'Données projet'!$E$11+1,1))-AVERAGE(OFFSET($H$3,0,0,'Données projet'!$E$11+1,1))</f>
        <v>176.90404027101607</v>
      </c>
      <c r="BJ132" s="59">
        <f t="shared" si="92"/>
        <v>295.34177980841878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0.24971338311967117</v>
      </c>
      <c r="BQ132" s="21">
        <f>EXP(-LN(2)/25)*BQ131+(1-EXP(-LN(2)/25))/(LN(2)/25)*Calculateur!BL132*Calculateur!BN132*VLOOKUP('Données projet'!$B$11,Paramètres!$A$1:$I$89,3,0)*0.475*44/12</f>
        <v>0.5295115066626348</v>
      </c>
      <c r="BR132" s="21">
        <f>EXP(-LN(2)/2)*BR131+(1-EXP(-LN(2)/2))/(LN(2)/2)*BL132*BO132*VLOOKUP('Données projet'!$B$11,Paramètres!$A$1:$I$89,3,0)*0.475*44/12</f>
        <v>4.2332829953528091E-17</v>
      </c>
      <c r="BS132" s="22">
        <f t="shared" ref="BS132:BS153" si="117">SUM(BP132:BR132)</f>
        <v>0.77922488978230597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-5.6843418860808015E-13</v>
      </c>
      <c r="BZ132" s="13">
        <f>BY132*VLOOKUP('Données projet'!$B$12,Paramètres!$A$1:$I$89,3,0)*VLOOKUP('Données projet'!$B$12,Paramètres!$A$1:$I$89,5,0)</f>
        <v>-3.177547114319168E-13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326.31232746914907</v>
      </c>
      <c r="CE132" s="59">
        <f t="shared" si="94"/>
        <v>330.17137761430297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0.64303710201470032</v>
      </c>
      <c r="CL132" s="21">
        <f>EXP(-LN(2)/25)*CL131+(1-EXP(-LN(2)/25))/(LN(2)/25)*Calculateur!CG132*Calculateur!CI132*VLOOKUP('Données projet'!$B$12,Paramètres!$A$1:$I$89,3,0)*0.475*44/12</f>
        <v>1.9388265816162369</v>
      </c>
      <c r="CM132" s="21">
        <f>EXP(-LN(2)/2)*CM131+(1-EXP(-LN(2)/2))/(LN(2)/2)*CG132*CJ132*VLOOKUP('Données projet'!$B$12,Paramètres!$A$1:$I$89,3,0)*0.475*44/12</f>
        <v>4.0850148552854141E-14</v>
      </c>
      <c r="CN132" s="22">
        <f t="shared" ref="CN132:CN153" si="120">SUM(CK132:CM132)</f>
        <v>2.5818636836309778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210.04871822652808</v>
      </c>
      <c r="CZ132" s="59">
        <f t="shared" si="96"/>
        <v>250.17540614049324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1.0277717740446362</v>
      </c>
      <c r="DG132" s="21">
        <f>EXP(-LN(2)/25)*DG131+(1-EXP(-LN(2)/25))/(LN(2)/25)*Calculateur!DB132*Calculateur!DD132*VLOOKUP('Données projet'!$B$13,Paramètres!$A$1:$I$89,3,0)*0.475*44/12</f>
        <v>1.788321340098566</v>
      </c>
      <c r="DH132" s="21">
        <f>EXP(-LN(2)/2)*DH131+(1-EXP(-LN(2)/2))/(LN(2)/2)*DB132*DE132*VLOOKUP('Données projet'!$B$13,Paramètres!$A$1:$I$89,3,0)*0.475*44/12</f>
        <v>2.707327852946005E-14</v>
      </c>
      <c r="DI132" s="22">
        <f t="shared" ref="DI132:DI153" si="123">SUM(DF132:DH132)</f>
        <v>2.816093114143229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-5.1159076974727213E-13</v>
      </c>
      <c r="DP132" s="17">
        <f>DO132*VLOOKUP('Données projet'!$B$14,Paramètres!$A$1:$I$89,3,0)*VLOOKUP('Données projet'!$B$14,Paramètres!$A$1:$I$89,5,0)</f>
        <v>-3.7509835237869992E-13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234.09142087023463</v>
      </c>
      <c r="DU132" s="59">
        <f t="shared" si="98"/>
        <v>278.990685815294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0.3434402703942151</v>
      </c>
      <c r="EB132" s="21">
        <f>EXP(-LN(2)/25)*EB131+(1-EXP(-LN(2)/25))/(LN(2)/25)*Calculateur!DW132*Calculateur!DY132*VLOOKUP('Données projet'!$B$14,Paramètres!$A$1:$I$89,3,0)*0.475*44/12</f>
        <v>0.98584907488352258</v>
      </c>
      <c r="EC132" s="21">
        <f>EXP(-LN(2)/2)*EC131+(1-EXP(-LN(2)/2))/(LN(2)/2)*DW132*DZ132*VLOOKUP('Données projet'!$B$14,Paramètres!$A$1:$I$89,3,0)*0.475*44/12</f>
        <v>2.782658510638254E-14</v>
      </c>
      <c r="ED132" s="22">
        <f t="shared" ref="ED132:ED153" si="126">SUM(EA132:EC132)</f>
        <v>1.3292893452777654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259.30247982593914</v>
      </c>
      <c r="T133" s="59">
        <f t="shared" ref="T133:T196" si="142">$T$3</f>
        <v>275.24740346220779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1.1270633144998665</v>
      </c>
      <c r="AB133" s="21">
        <f>EXP(-LN(2)/2)*AB132+(1-EXP(-LN(2)/2))/(LN(2)/2)*V133*Y133*VLOOKUP('Données projet'!$B$9,Paramètres!$A$1:$I$89,3,0)*0.475*44/12</f>
        <v>2.5473374682385451E-14</v>
      </c>
      <c r="AC133" s="22">
        <f t="shared" si="111"/>
        <v>1.1270633144998921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7.9580786405131221E-13</v>
      </c>
      <c r="AJ133" s="13">
        <f>AI133*VLOOKUP('Données projet'!$B$10,Paramètres!$A$1:$I$89,3,0)*VLOOKUP('Données projet'!$B$10,Paramètres!$A$1:$I$89,5,0)</f>
        <v>3.8278358260868117E-13</v>
      </c>
      <c r="AK133" s="13">
        <f t="shared" ref="AK133:AK153" si="143">EXP(-1.0587+0.8836*LN(AJ133)+0.284)</f>
        <v>4.9186917125089072E-12</v>
      </c>
      <c r="AL133" s="20">
        <f t="shared" si="112"/>
        <v>9.2334028056631319E-12</v>
      </c>
      <c r="AM133" s="59">
        <f t="shared" si="113"/>
        <v>293.33333333334252</v>
      </c>
      <c r="AN133" s="59">
        <f ca="1">AVERAGE(OFFSET($AM$3,0,0,'Données projet'!$E$10+1,1))-AVERAGE(OFFSET($H$3,0,0,'Données projet'!$E$10+1,1))</f>
        <v>297.21955661193238</v>
      </c>
      <c r="AO133" s="59">
        <f t="shared" ref="AO133:AO196" si="144">$AO$3</f>
        <v>273.69206144662144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0.92993297766177629</v>
      </c>
      <c r="AV133" s="21">
        <f>EXP(-LN(2)/25)*AV132+(1-EXP(-LN(2)/25))/(LN(2)/25)*Calculateur!AQ133*Calculateur!AS133*VLOOKUP('Données projet'!$B$10,Paramètres!$A$1:$I$89,3,0)*0.475*44/12</f>
        <v>0.83894599642953926</v>
      </c>
      <c r="AW133" s="21">
        <f>EXP(-LN(2)/2)*AW132+(1-EXP(-LN(2)/2))/(LN(2)/2)*AQ133*AT133*VLOOKUP('Données projet'!$B$10,Paramètres!$A$1:$I$89,3,0)*0.475*44/12</f>
        <v>1.8574282936818807E-14</v>
      </c>
      <c r="AX133" s="21">
        <f t="shared" si="114"/>
        <v>1.7688789740913342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3.6357050703372803E-14</v>
      </c>
      <c r="BF133" s="13">
        <f t="shared" ref="BF133:BF153" si="145">EXP(-1.0587+0.8836*LN(BE133)+0.284)</f>
        <v>6.1445232567661395E-13</v>
      </c>
      <c r="BG133" s="20">
        <f t="shared" si="115"/>
        <v>1.1334929971951436E-12</v>
      </c>
      <c r="BH133" s="59">
        <f t="shared" si="116"/>
        <v>293.33333333333445</v>
      </c>
      <c r="BI133" s="59">
        <f ca="1">AVERAGE(OFFSET($BH$3,0,0,'Données projet'!$E$11+1,1))-AVERAGE(OFFSET($H$3,0,0,'Données projet'!$E$11+1,1))</f>
        <v>176.90404027101607</v>
      </c>
      <c r="BJ133" s="59">
        <f t="shared" ref="BJ133:BJ196" si="146">$BJ$3</f>
        <v>295.34177980841878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0.24481665598681876</v>
      </c>
      <c r="BQ133" s="21">
        <f>EXP(-LN(2)/25)*BQ132+(1-EXP(-LN(2)/25))/(LN(2)/25)*Calculateur!BL133*Calculateur!BN133*VLOOKUP('Données projet'!$B$11,Paramètres!$A$1:$I$89,3,0)*0.475*44/12</f>
        <v>0.51503198666714511</v>
      </c>
      <c r="BR133" s="21">
        <f>EXP(-LN(2)/2)*BR132+(1-EXP(-LN(2)/2))/(LN(2)/2)*BL133*BO133*VLOOKUP('Données projet'!$B$11,Paramètres!$A$1:$I$89,3,0)*0.475*44/12</f>
        <v>2.9933831126956712E-17</v>
      </c>
      <c r="BS133" s="22">
        <f t="shared" si="117"/>
        <v>0.7598486426539639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-5.6843418860808015E-13</v>
      </c>
      <c r="BZ133" s="13">
        <f>BY133*VLOOKUP('Données projet'!$B$12,Paramètres!$A$1:$I$89,3,0)*VLOOKUP('Données projet'!$B$12,Paramètres!$A$1:$I$89,5,0)</f>
        <v>-3.177547114319168E-13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326.31232746914907</v>
      </c>
      <c r="CE133" s="59">
        <f t="shared" ref="CE133:CE196" si="148">$CE$3</f>
        <v>330.17137761430297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0.63042753665809637</v>
      </c>
      <c r="CL133" s="21">
        <f>EXP(-LN(2)/25)*CL132+(1-EXP(-LN(2)/25))/(LN(2)/25)*Calculateur!CG133*Calculateur!CI133*VLOOKUP('Données projet'!$B$12,Paramètres!$A$1:$I$89,3,0)*0.475*44/12</f>
        <v>1.8858092667834823</v>
      </c>
      <c r="CM133" s="21">
        <f>EXP(-LN(2)/2)*CM132+(1-EXP(-LN(2)/2))/(LN(2)/2)*CG133*CJ133*VLOOKUP('Données projet'!$B$12,Paramètres!$A$1:$I$89,3,0)*0.475*44/12</f>
        <v>2.8885417054200994E-14</v>
      </c>
      <c r="CN133" s="22">
        <f t="shared" si="120"/>
        <v>2.5162368034416076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210.04871822652808</v>
      </c>
      <c r="CZ133" s="59">
        <f t="shared" ref="CZ133:CZ196" si="150">$CZ$3</f>
        <v>250.17540614049324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1.0076177964345039</v>
      </c>
      <c r="DG133" s="21">
        <f>EXP(-LN(2)/25)*DG132+(1-EXP(-LN(2)/25))/(LN(2)/25)*Calculateur!DB133*Calculateur!DD133*VLOOKUP('Données projet'!$B$13,Paramètres!$A$1:$I$89,3,0)*0.475*44/12</f>
        <v>1.7394195990098387</v>
      </c>
      <c r="DH133" s="21">
        <f>EXP(-LN(2)/2)*DH132+(1-EXP(-LN(2)/2))/(LN(2)/2)*DB133*DE133*VLOOKUP('Données projet'!$B$13,Paramètres!$A$1:$I$89,3,0)*0.475*44/12</f>
        <v>1.9143698837133362E-14</v>
      </c>
      <c r="DI133" s="22">
        <f t="shared" si="123"/>
        <v>2.7470373954443619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-5.1159076974727213E-13</v>
      </c>
      <c r="DP133" s="17">
        <f>DO133*VLOOKUP('Données projet'!$B$14,Paramètres!$A$1:$I$89,3,0)*VLOOKUP('Données projet'!$B$14,Paramètres!$A$1:$I$89,5,0)</f>
        <v>-3.7509835237869992E-13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234.09142087023463</v>
      </c>
      <c r="DU133" s="59">
        <f t="shared" ref="DU133:DU196" si="152">$DU$3</f>
        <v>278.990685815294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0.33670561616966527</v>
      </c>
      <c r="EB133" s="21">
        <f>EXP(-LN(2)/25)*EB132+(1-EXP(-LN(2)/25))/(LN(2)/25)*Calculateur!DW133*Calculateur!DY133*VLOOKUP('Données projet'!$B$14,Paramètres!$A$1:$I$89,3,0)*0.475*44/12</f>
        <v>0.95889098008728302</v>
      </c>
      <c r="EC133" s="21">
        <f>EXP(-LN(2)/2)*EC132+(1-EXP(-LN(2)/2))/(LN(2)/2)*DW133*DZ133*VLOOKUP('Données projet'!$B$14,Paramètres!$A$1:$I$89,3,0)*0.475*44/12</f>
        <v>1.9676367025987683E-14</v>
      </c>
      <c r="ED133" s="22">
        <f t="shared" si="126"/>
        <v>1.295596596256968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259.30247982593914</v>
      </c>
      <c r="T134" s="59">
        <f t="shared" si="142"/>
        <v>275.24740346220779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1.096243708895184</v>
      </c>
      <c r="AB134" s="21">
        <f>EXP(-LN(2)/2)*AB133+(1-EXP(-LN(2)/2))/(LN(2)/2)*V134*Y134*VLOOKUP('Données projet'!$B$9,Paramètres!$A$1:$I$89,3,0)*0.475*44/12</f>
        <v>1.8012395977620469E-14</v>
      </c>
      <c r="AC134" s="22">
        <f t="shared" si="111"/>
        <v>1.096243708895202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7.9580786405131221E-13</v>
      </c>
      <c r="AJ134" s="13">
        <f>AI134*VLOOKUP('Données projet'!$B$10,Paramètres!$A$1:$I$89,3,0)*VLOOKUP('Données projet'!$B$10,Paramètres!$A$1:$I$89,5,0)</f>
        <v>3.8278358260868117E-13</v>
      </c>
      <c r="AK134" s="13">
        <f t="shared" si="143"/>
        <v>4.9186917125089072E-12</v>
      </c>
      <c r="AL134" s="20">
        <f t="shared" si="112"/>
        <v>9.2334028056631319E-12</v>
      </c>
      <c r="AM134" s="59">
        <f t="shared" si="113"/>
        <v>293.33333333334252</v>
      </c>
      <c r="AN134" s="59">
        <f ca="1">AVERAGE(OFFSET($AM$3,0,0,'Données projet'!$E$10+1,1))-AVERAGE(OFFSET($H$3,0,0,'Données projet'!$E$10+1,1))</f>
        <v>297.21955661193238</v>
      </c>
      <c r="AO134" s="59">
        <f t="shared" si="144"/>
        <v>273.69206144662144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0.9116975591729386</v>
      </c>
      <c r="AV134" s="21">
        <f>EXP(-LN(2)/25)*AV133+(1-EXP(-LN(2)/25))/(LN(2)/25)*Calculateur!AQ134*Calculateur!AS134*VLOOKUP('Données projet'!$B$10,Paramètres!$A$1:$I$89,3,0)*0.475*44/12</f>
        <v>0.81600497403892103</v>
      </c>
      <c r="AW134" s="21">
        <f>EXP(-LN(2)/2)*AW133+(1-EXP(-LN(2)/2))/(LN(2)/2)*AQ134*AT134*VLOOKUP('Données projet'!$B$10,Paramètres!$A$1:$I$89,3,0)*0.475*44/12</f>
        <v>1.313400142030216E-14</v>
      </c>
      <c r="AX134" s="21">
        <f t="shared" si="114"/>
        <v>1.7277025332118727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3.6357050703372803E-14</v>
      </c>
      <c r="BF134" s="13">
        <f t="shared" si="145"/>
        <v>6.1445232567661395E-13</v>
      </c>
      <c r="BG134" s="20">
        <f t="shared" si="115"/>
        <v>1.1334929971951436E-12</v>
      </c>
      <c r="BH134" s="59">
        <f t="shared" si="116"/>
        <v>293.33333333333445</v>
      </c>
      <c r="BI134" s="59">
        <f ca="1">AVERAGE(OFFSET($BH$3,0,0,'Données projet'!$E$11+1,1))-AVERAGE(OFFSET($H$3,0,0,'Données projet'!$E$11+1,1))</f>
        <v>176.90404027101607</v>
      </c>
      <c r="BJ134" s="59">
        <f t="shared" si="146"/>
        <v>295.34177980841878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0.24001595068633294</v>
      </c>
      <c r="BQ134" s="21">
        <f>EXP(-LN(2)/25)*BQ133+(1-EXP(-LN(2)/25))/(LN(2)/25)*Calculateur!BL134*Calculateur!BN134*VLOOKUP('Données projet'!$B$11,Paramètres!$A$1:$I$89,3,0)*0.475*44/12</f>
        <v>0.50094840990737699</v>
      </c>
      <c r="BR134" s="21">
        <f>EXP(-LN(2)/2)*BR133+(1-EXP(-LN(2)/2))/(LN(2)/2)*BL134*BO134*VLOOKUP('Données projet'!$B$11,Paramètres!$A$1:$I$89,3,0)*0.475*44/12</f>
        <v>2.1166414976764046E-17</v>
      </c>
      <c r="BS134" s="22">
        <f t="shared" si="117"/>
        <v>0.74096436059370996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-5.6843418860808015E-13</v>
      </c>
      <c r="BZ134" s="13">
        <f>BY134*VLOOKUP('Données projet'!$B$12,Paramètres!$A$1:$I$89,3,0)*VLOOKUP('Données projet'!$B$12,Paramètres!$A$1:$I$89,5,0)</f>
        <v>-3.177547114319168E-13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326.31232746914907</v>
      </c>
      <c r="CE134" s="59">
        <f t="shared" si="148"/>
        <v>330.17137761430297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0.61806523718705997</v>
      </c>
      <c r="CL134" s="21">
        <f>EXP(-LN(2)/25)*CL133+(1-EXP(-LN(2)/25))/(LN(2)/25)*Calculateur!CG134*Calculateur!CI134*VLOOKUP('Données projet'!$B$12,Paramètres!$A$1:$I$89,3,0)*0.475*44/12</f>
        <v>1.8342417132128888</v>
      </c>
      <c r="CM134" s="21">
        <f>EXP(-LN(2)/2)*CM133+(1-EXP(-LN(2)/2))/(LN(2)/2)*CG134*CJ134*VLOOKUP('Données projet'!$B$12,Paramètres!$A$1:$I$89,3,0)*0.475*44/12</f>
        <v>2.042507427642707E-14</v>
      </c>
      <c r="CN134" s="22">
        <f t="shared" si="120"/>
        <v>2.452306950399969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210.04871822652808</v>
      </c>
      <c r="CZ134" s="59">
        <f t="shared" si="150"/>
        <v>250.17540614049324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0.98785902603259379</v>
      </c>
      <c r="DG134" s="21">
        <f>EXP(-LN(2)/25)*DG133+(1-EXP(-LN(2)/25))/(LN(2)/25)*Calculateur!DB134*Calculateur!DD134*VLOOKUP('Données projet'!$B$13,Paramètres!$A$1:$I$89,3,0)*0.475*44/12</f>
        <v>1.6918550786028135</v>
      </c>
      <c r="DH134" s="21">
        <f>EXP(-LN(2)/2)*DH133+(1-EXP(-LN(2)/2))/(LN(2)/2)*DB134*DE134*VLOOKUP('Données projet'!$B$13,Paramètres!$A$1:$I$89,3,0)*0.475*44/12</f>
        <v>1.3536639264730025E-14</v>
      </c>
      <c r="DI134" s="22">
        <f t="shared" si="123"/>
        <v>2.6797141046354205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-5.1159076974727213E-13</v>
      </c>
      <c r="DP134" s="17">
        <f>DO134*VLOOKUP('Données projet'!$B$14,Paramètres!$A$1:$I$89,3,0)*VLOOKUP('Données projet'!$B$14,Paramètres!$A$1:$I$89,5,0)</f>
        <v>-3.7509835237869992E-13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234.09142087023463</v>
      </c>
      <c r="DU134" s="59">
        <f t="shared" si="152"/>
        <v>278.990685815294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0.3301030244067254</v>
      </c>
      <c r="EB134" s="21">
        <f>EXP(-LN(2)/25)*EB133+(1-EXP(-LN(2)/25))/(LN(2)/25)*Calculateur!DW134*Calculateur!DY134*VLOOKUP('Données projet'!$B$14,Paramètres!$A$1:$I$89,3,0)*0.475*44/12</f>
        <v>0.93267005581091122</v>
      </c>
      <c r="EC134" s="21">
        <f>EXP(-LN(2)/2)*EC133+(1-EXP(-LN(2)/2))/(LN(2)/2)*DW134*DZ134*VLOOKUP('Données projet'!$B$14,Paramètres!$A$1:$I$89,3,0)*0.475*44/12</f>
        <v>1.3913292553191273E-14</v>
      </c>
      <c r="ED134" s="22">
        <f t="shared" si="126"/>
        <v>1.2627730802176507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259.30247982593914</v>
      </c>
      <c r="T135" s="59">
        <f t="shared" si="142"/>
        <v>275.24740346220779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1.0662668670264941</v>
      </c>
      <c r="AB135" s="21">
        <f>EXP(-LN(2)/2)*AB134+(1-EXP(-LN(2)/2))/(LN(2)/2)*V135*Y135*VLOOKUP('Données projet'!$B$9,Paramètres!$A$1:$I$89,3,0)*0.475*44/12</f>
        <v>1.2736687341192726E-14</v>
      </c>
      <c r="AC135" s="22">
        <f t="shared" si="111"/>
        <v>1.0662668670265067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7.9580786405131221E-13</v>
      </c>
      <c r="AJ135" s="13">
        <f>AI135*VLOOKUP('Données projet'!$B$10,Paramètres!$A$1:$I$89,3,0)*VLOOKUP('Données projet'!$B$10,Paramètres!$A$1:$I$89,5,0)</f>
        <v>3.8278358260868117E-13</v>
      </c>
      <c r="AK135" s="13">
        <f t="shared" si="143"/>
        <v>4.9186917125089072E-12</v>
      </c>
      <c r="AL135" s="20">
        <f t="shared" si="112"/>
        <v>9.2334028056631319E-12</v>
      </c>
      <c r="AM135" s="59">
        <f t="shared" si="113"/>
        <v>293.33333333334252</v>
      </c>
      <c r="AN135" s="59">
        <f ca="1">AVERAGE(OFFSET($AM$3,0,0,'Données projet'!$E$10+1,1))-AVERAGE(OFFSET($H$3,0,0,'Données projet'!$E$10+1,1))</f>
        <v>297.21955661193238</v>
      </c>
      <c r="AO135" s="59">
        <f t="shared" si="144"/>
        <v>273.69206144662144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0.89381972611815996</v>
      </c>
      <c r="AV135" s="21">
        <f>EXP(-LN(2)/25)*AV134+(1-EXP(-LN(2)/25))/(LN(2)/25)*Calculateur!AQ135*Calculateur!AS135*VLOOKUP('Données projet'!$B$10,Paramètres!$A$1:$I$89,3,0)*0.475*44/12</f>
        <v>0.79369127511199011</v>
      </c>
      <c r="AW135" s="21">
        <f>EXP(-LN(2)/2)*AW134+(1-EXP(-LN(2)/2))/(LN(2)/2)*AQ135*AT135*VLOOKUP('Données projet'!$B$10,Paramètres!$A$1:$I$89,3,0)*0.475*44/12</f>
        <v>9.2871414684094034E-15</v>
      </c>
      <c r="AX135" s="21">
        <f t="shared" si="114"/>
        <v>1.6875110012301593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3.6357050703372803E-14</v>
      </c>
      <c r="BF135" s="13">
        <f t="shared" si="145"/>
        <v>6.1445232567661395E-13</v>
      </c>
      <c r="BG135" s="20">
        <f t="shared" si="115"/>
        <v>1.1334929971951436E-12</v>
      </c>
      <c r="BH135" s="59">
        <f t="shared" si="116"/>
        <v>293.33333333333445</v>
      </c>
      <c r="BI135" s="59">
        <f ca="1">AVERAGE(OFFSET($BH$3,0,0,'Données projet'!$E$11+1,1))-AVERAGE(OFFSET($H$3,0,0,'Données projet'!$E$11+1,1))</f>
        <v>176.90404027101607</v>
      </c>
      <c r="BJ135" s="59">
        <f t="shared" si="146"/>
        <v>295.34177980841878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0.23530938428864853</v>
      </c>
      <c r="BQ135" s="21">
        <f>EXP(-LN(2)/25)*BQ134+(1-EXP(-LN(2)/25))/(LN(2)/25)*Calculateur!BL135*Calculateur!BN135*VLOOKUP('Données projet'!$B$11,Paramètres!$A$1:$I$89,3,0)*0.475*44/12</f>
        <v>0.48724994929472781</v>
      </c>
      <c r="BR135" s="21">
        <f>EXP(-LN(2)/2)*BR134+(1-EXP(-LN(2)/2))/(LN(2)/2)*BL135*BO135*VLOOKUP('Données projet'!$B$11,Paramètres!$A$1:$I$89,3,0)*0.475*44/12</f>
        <v>1.4966915563478356E-17</v>
      </c>
      <c r="BS135" s="22">
        <f t="shared" si="117"/>
        <v>0.72255933358337632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-5.6843418860808015E-13</v>
      </c>
      <c r="BZ135" s="13">
        <f>BY135*VLOOKUP('Données projet'!$B$12,Paramètres!$A$1:$I$89,3,0)*VLOOKUP('Données projet'!$B$12,Paramètres!$A$1:$I$89,5,0)</f>
        <v>-3.177547114319168E-13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326.31232746914907</v>
      </c>
      <c r="CE135" s="59">
        <f t="shared" si="148"/>
        <v>330.17137761430297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0.60594535486839252</v>
      </c>
      <c r="CL135" s="21">
        <f>EXP(-LN(2)/25)*CL134+(1-EXP(-LN(2)/25))/(LN(2)/25)*Calculateur!CG135*Calculateur!CI135*VLOOKUP('Données projet'!$B$12,Paramètres!$A$1:$I$89,3,0)*0.475*44/12</f>
        <v>1.7840842771065029</v>
      </c>
      <c r="CM135" s="21">
        <f>EXP(-LN(2)/2)*CM134+(1-EXP(-LN(2)/2))/(LN(2)/2)*CG135*CJ135*VLOOKUP('Données projet'!$B$12,Paramètres!$A$1:$I$89,3,0)*0.475*44/12</f>
        <v>1.4442708527100497E-14</v>
      </c>
      <c r="CN135" s="22">
        <f t="shared" si="120"/>
        <v>2.3900296319749099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210.04871822652808</v>
      </c>
      <c r="CZ135" s="59">
        <f t="shared" si="150"/>
        <v>250.17540614049324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0.96848771306660519</v>
      </c>
      <c r="DG135" s="21">
        <f>EXP(-LN(2)/25)*DG134+(1-EXP(-LN(2)/25))/(LN(2)/25)*Calculateur!DB135*Calculateur!DD135*VLOOKUP('Données projet'!$B$13,Paramètres!$A$1:$I$89,3,0)*0.475*44/12</f>
        <v>1.6455912125076277</v>
      </c>
      <c r="DH135" s="21">
        <f>EXP(-LN(2)/2)*DH134+(1-EXP(-LN(2)/2))/(LN(2)/2)*DB135*DE135*VLOOKUP('Données projet'!$B$13,Paramètres!$A$1:$I$89,3,0)*0.475*44/12</f>
        <v>9.5718494185666812E-15</v>
      </c>
      <c r="DI135" s="22">
        <f t="shared" si="123"/>
        <v>2.6140789255742427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-5.1159076974727213E-13</v>
      </c>
      <c r="DP135" s="17">
        <f>DO135*VLOOKUP('Données projet'!$B$14,Paramètres!$A$1:$I$89,3,0)*VLOOKUP('Données projet'!$B$14,Paramètres!$A$1:$I$89,5,0)</f>
        <v>-3.7509835237869992E-13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234.09142087023463</v>
      </c>
      <c r="DU135" s="59">
        <f t="shared" si="152"/>
        <v>278.990685815294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0.32362990544107345</v>
      </c>
      <c r="EB135" s="21">
        <f>EXP(-LN(2)/25)*EB134+(1-EXP(-LN(2)/25))/(LN(2)/25)*Calculateur!DW135*Calculateur!DY135*VLOOKUP('Données projet'!$B$14,Paramètres!$A$1:$I$89,3,0)*0.475*44/12</f>
        <v>0.90716614408777529</v>
      </c>
      <c r="EC135" s="21">
        <f>EXP(-LN(2)/2)*EC134+(1-EXP(-LN(2)/2))/(LN(2)/2)*DW135*DZ135*VLOOKUP('Données projet'!$B$14,Paramètres!$A$1:$I$89,3,0)*0.475*44/12</f>
        <v>9.8381835129938433E-15</v>
      </c>
      <c r="ED135" s="22">
        <f t="shared" si="126"/>
        <v>1.2307960495288586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259.30247982593914</v>
      </c>
      <c r="T136" s="59">
        <f t="shared" si="142"/>
        <v>275.24740346220779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1.0371097434751171</v>
      </c>
      <c r="AB136" s="21">
        <f>EXP(-LN(2)/2)*AB135+(1-EXP(-LN(2)/2))/(LN(2)/2)*V136*Y136*VLOOKUP('Données projet'!$B$9,Paramètres!$A$1:$I$89,3,0)*0.475*44/12</f>
        <v>9.0061979888102343E-15</v>
      </c>
      <c r="AC136" s="22">
        <f t="shared" si="111"/>
        <v>1.0371097434751262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7.9580786405131221E-13</v>
      </c>
      <c r="AJ136" s="13">
        <f>AI136*VLOOKUP('Données projet'!$B$10,Paramètres!$A$1:$I$89,3,0)*VLOOKUP('Données projet'!$B$10,Paramètres!$A$1:$I$89,5,0)</f>
        <v>3.8278358260868117E-13</v>
      </c>
      <c r="AK136" s="13">
        <f t="shared" si="143"/>
        <v>4.9186917125089072E-12</v>
      </c>
      <c r="AL136" s="20">
        <f t="shared" si="112"/>
        <v>9.2334028056631319E-12</v>
      </c>
      <c r="AM136" s="59">
        <f t="shared" si="113"/>
        <v>293.33333333334252</v>
      </c>
      <c r="AN136" s="59">
        <f ca="1">AVERAGE(OFFSET($AM$3,0,0,'Données projet'!$E$10+1,1))-AVERAGE(OFFSET($H$3,0,0,'Données projet'!$E$10+1,1))</f>
        <v>297.21955661193238</v>
      </c>
      <c r="AO136" s="59">
        <f t="shared" si="144"/>
        <v>273.69206144662144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0.87629246646518411</v>
      </c>
      <c r="AV136" s="21">
        <f>EXP(-LN(2)/25)*AV135+(1-EXP(-LN(2)/25))/(LN(2)/25)*Calculateur!AQ136*Calculateur!AS136*VLOOKUP('Données projet'!$B$10,Paramètres!$A$1:$I$89,3,0)*0.475*44/12</f>
        <v>0.77198774545564264</v>
      </c>
      <c r="AW136" s="21">
        <f>EXP(-LN(2)/2)*AW135+(1-EXP(-LN(2)/2))/(LN(2)/2)*AQ136*AT136*VLOOKUP('Données projet'!$B$10,Paramètres!$A$1:$I$89,3,0)*0.475*44/12</f>
        <v>6.5670007101510798E-15</v>
      </c>
      <c r="AX136" s="21">
        <f t="shared" si="114"/>
        <v>1.6482802119208335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3.6357050703372803E-14</v>
      </c>
      <c r="BF136" s="13">
        <f t="shared" si="145"/>
        <v>6.1445232567661395E-13</v>
      </c>
      <c r="BG136" s="20">
        <f t="shared" si="115"/>
        <v>1.1334929971951436E-12</v>
      </c>
      <c r="BH136" s="59">
        <f t="shared" si="116"/>
        <v>293.33333333333445</v>
      </c>
      <c r="BI136" s="59">
        <f ca="1">AVERAGE(OFFSET($BH$3,0,0,'Données projet'!$E$11+1,1))-AVERAGE(OFFSET($H$3,0,0,'Données projet'!$E$11+1,1))</f>
        <v>176.90404027101607</v>
      </c>
      <c r="BJ136" s="59">
        <f t="shared" si="146"/>
        <v>295.34177980841878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0.23069511078730068</v>
      </c>
      <c r="BQ136" s="21">
        <f>EXP(-LN(2)/25)*BQ135+(1-EXP(-LN(2)/25))/(LN(2)/25)*Calculateur!BL136*Calculateur!BN136*VLOOKUP('Données projet'!$B$11,Paramètres!$A$1:$I$89,3,0)*0.475*44/12</f>
        <v>0.47392607380790225</v>
      </c>
      <c r="BR136" s="21">
        <f>EXP(-LN(2)/2)*BR135+(1-EXP(-LN(2)/2))/(LN(2)/2)*BL136*BO136*VLOOKUP('Données projet'!$B$11,Paramètres!$A$1:$I$89,3,0)*0.475*44/12</f>
        <v>1.0583207488382023E-17</v>
      </c>
      <c r="BS136" s="22">
        <f t="shared" si="117"/>
        <v>0.70462118459520295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-5.6843418860808015E-13</v>
      </c>
      <c r="BZ136" s="13">
        <f>BY136*VLOOKUP('Données projet'!$B$12,Paramètres!$A$1:$I$89,3,0)*VLOOKUP('Données projet'!$B$12,Paramètres!$A$1:$I$89,5,0)</f>
        <v>-3.177547114319168E-13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326.31232746914907</v>
      </c>
      <c r="CE136" s="59">
        <f t="shared" si="148"/>
        <v>330.17137761430297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0.59406313604959582</v>
      </c>
      <c r="CL136" s="21">
        <f>EXP(-LN(2)/25)*CL135+(1-EXP(-LN(2)/25))/(LN(2)/25)*Calculateur!CG136*Calculateur!CI136*VLOOKUP('Données projet'!$B$12,Paramètres!$A$1:$I$89,3,0)*0.475*44/12</f>
        <v>1.735298398728111</v>
      </c>
      <c r="CM136" s="21">
        <f>EXP(-LN(2)/2)*CM135+(1-EXP(-LN(2)/2))/(LN(2)/2)*CG136*CJ136*VLOOKUP('Données projet'!$B$12,Paramètres!$A$1:$I$89,3,0)*0.475*44/12</f>
        <v>1.0212537138213535E-14</v>
      </c>
      <c r="CN136" s="22">
        <f t="shared" si="120"/>
        <v>2.3293615347777172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210.04871822652808</v>
      </c>
      <c r="CZ136" s="59">
        <f t="shared" si="150"/>
        <v>250.17540614049324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0.94949625973254537</v>
      </c>
      <c r="DG136" s="21">
        <f>EXP(-LN(2)/25)*DG135+(1-EXP(-LN(2)/25))/(LN(2)/25)*Calculateur!DB136*Calculateur!DD136*VLOOKUP('Données projet'!$B$13,Paramètres!$A$1:$I$89,3,0)*0.475*44/12</f>
        <v>1.6005924342637259</v>
      </c>
      <c r="DH136" s="21">
        <f>EXP(-LN(2)/2)*DH135+(1-EXP(-LN(2)/2))/(LN(2)/2)*DB136*DE136*VLOOKUP('Données projet'!$B$13,Paramètres!$A$1:$I$89,3,0)*0.475*44/12</f>
        <v>6.7683196323650125E-15</v>
      </c>
      <c r="DI136" s="22">
        <f t="shared" si="123"/>
        <v>2.5500886939962779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-5.1159076974727213E-13</v>
      </c>
      <c r="DP136" s="17">
        <f>DO136*VLOOKUP('Données projet'!$B$14,Paramètres!$A$1:$I$89,3,0)*VLOOKUP('Données projet'!$B$14,Paramètres!$A$1:$I$89,5,0)</f>
        <v>-3.7509835237869992E-13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234.09142087023463</v>
      </c>
      <c r="DU136" s="59">
        <f t="shared" si="152"/>
        <v>278.990685815294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0.3172837203901252</v>
      </c>
      <c r="EB136" s="21">
        <f>EXP(-LN(2)/25)*EB135+(1-EXP(-LN(2)/25))/(LN(2)/25)*Calculateur!DW136*Calculateur!DY136*VLOOKUP('Données projet'!$B$14,Paramètres!$A$1:$I$89,3,0)*0.475*44/12</f>
        <v>0.88235963817190088</v>
      </c>
      <c r="EC136" s="21">
        <f>EXP(-LN(2)/2)*EC135+(1-EXP(-LN(2)/2))/(LN(2)/2)*DW136*DZ136*VLOOKUP('Données projet'!$B$14,Paramètres!$A$1:$I$89,3,0)*0.475*44/12</f>
        <v>6.9566462765956375E-15</v>
      </c>
      <c r="ED136" s="22">
        <f t="shared" si="126"/>
        <v>1.199643358562033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259.30247982593914</v>
      </c>
      <c r="T137" s="59">
        <f t="shared" si="142"/>
        <v>275.24740346220779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1.008749923000559</v>
      </c>
      <c r="AB137" s="21">
        <f>EXP(-LN(2)/2)*AB136+(1-EXP(-LN(2)/2))/(LN(2)/2)*V137*Y137*VLOOKUP('Données projet'!$B$9,Paramètres!$A$1:$I$89,3,0)*0.475*44/12</f>
        <v>6.3683436705963629E-15</v>
      </c>
      <c r="AC137" s="22">
        <f t="shared" si="111"/>
        <v>1.0087499230005654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7.9580786405131221E-13</v>
      </c>
      <c r="AJ137" s="13">
        <f>AI137*VLOOKUP('Données projet'!$B$10,Paramètres!$A$1:$I$89,3,0)*VLOOKUP('Données projet'!$B$10,Paramètres!$A$1:$I$89,5,0)</f>
        <v>3.8278358260868117E-13</v>
      </c>
      <c r="AK137" s="13">
        <f t="shared" si="143"/>
        <v>4.9186917125089072E-12</v>
      </c>
      <c r="AL137" s="20">
        <f t="shared" si="112"/>
        <v>9.2334028056631319E-12</v>
      </c>
      <c r="AM137" s="59">
        <f t="shared" si="113"/>
        <v>293.33333333334252</v>
      </c>
      <c r="AN137" s="59">
        <f ca="1">AVERAGE(OFFSET($AM$3,0,0,'Données projet'!$E$10+1,1))-AVERAGE(OFFSET($H$3,0,0,'Données projet'!$E$10+1,1))</f>
        <v>297.21955661193238</v>
      </c>
      <c r="AO137" s="59">
        <f t="shared" si="144"/>
        <v>273.69206144662144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0.85910890568343035</v>
      </c>
      <c r="AV137" s="21">
        <f>EXP(-LN(2)/25)*AV136+(1-EXP(-LN(2)/25))/(LN(2)/25)*Calculateur!AQ137*Calculateur!AS137*VLOOKUP('Données projet'!$B$10,Paramètres!$A$1:$I$89,3,0)*0.475*44/12</f>
        <v>0.75087769995908693</v>
      </c>
      <c r="AW137" s="21">
        <f>EXP(-LN(2)/2)*AW136+(1-EXP(-LN(2)/2))/(LN(2)/2)*AQ137*AT137*VLOOKUP('Données projet'!$B$10,Paramètres!$A$1:$I$89,3,0)*0.475*44/12</f>
        <v>4.6435707342047017E-15</v>
      </c>
      <c r="AX137" s="21">
        <f t="shared" si="114"/>
        <v>1.6099866056425218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3.6357050703372803E-14</v>
      </c>
      <c r="BF137" s="13">
        <f t="shared" si="145"/>
        <v>6.1445232567661395E-13</v>
      </c>
      <c r="BG137" s="20">
        <f t="shared" si="115"/>
        <v>1.1334929971951436E-12</v>
      </c>
      <c r="BH137" s="59">
        <f t="shared" si="116"/>
        <v>293.33333333333445</v>
      </c>
      <c r="BI137" s="59">
        <f ca="1">AVERAGE(OFFSET($BH$3,0,0,'Données projet'!$E$11+1,1))-AVERAGE(OFFSET($H$3,0,0,'Données projet'!$E$11+1,1))</f>
        <v>176.90404027101607</v>
      </c>
      <c r="BJ137" s="59">
        <f t="shared" si="146"/>
        <v>295.34177980841878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0.22617132037488533</v>
      </c>
      <c r="BQ137" s="21">
        <f>EXP(-LN(2)/25)*BQ136+(1-EXP(-LN(2)/25))/(LN(2)/25)*Calculateur!BL137*Calculateur!BN137*VLOOKUP('Données projet'!$B$11,Paramètres!$A$1:$I$89,3,0)*0.475*44/12</f>
        <v>0.46096654039693613</v>
      </c>
      <c r="BR137" s="21">
        <f>EXP(-LN(2)/2)*BR136+(1-EXP(-LN(2)/2))/(LN(2)/2)*BL137*BO137*VLOOKUP('Données projet'!$B$11,Paramètres!$A$1:$I$89,3,0)*0.475*44/12</f>
        <v>7.4834577817391781E-18</v>
      </c>
      <c r="BS137" s="22">
        <f t="shared" si="117"/>
        <v>0.68713786077182148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-5.6843418860808015E-13</v>
      </c>
      <c r="BZ137" s="13">
        <f>BY137*VLOOKUP('Données projet'!$B$12,Paramètres!$A$1:$I$89,3,0)*VLOOKUP('Données projet'!$B$12,Paramètres!$A$1:$I$89,5,0)</f>
        <v>-3.177547114319168E-13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326.31232746914907</v>
      </c>
      <c r="CE137" s="59">
        <f t="shared" si="148"/>
        <v>330.17137761430297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0.58241392029439787</v>
      </c>
      <c r="CL137" s="21">
        <f>EXP(-LN(2)/25)*CL136+(1-EXP(-LN(2)/25))/(LN(2)/25)*Calculateur!CG137*Calculateur!CI137*VLOOKUP('Données projet'!$B$12,Paramètres!$A$1:$I$89,3,0)*0.475*44/12</f>
        <v>1.687846572759514</v>
      </c>
      <c r="CM137" s="21">
        <f>EXP(-LN(2)/2)*CM136+(1-EXP(-LN(2)/2))/(LN(2)/2)*CG137*CJ137*VLOOKUP('Données projet'!$B$12,Paramètres!$A$1:$I$89,3,0)*0.475*44/12</f>
        <v>7.2213542635502485E-15</v>
      </c>
      <c r="CN137" s="22">
        <f t="shared" si="120"/>
        <v>2.270260493053919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210.04871822652808</v>
      </c>
      <c r="CZ137" s="59">
        <f t="shared" si="150"/>
        <v>250.17540614049324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0.93087721721472372</v>
      </c>
      <c r="DG137" s="21">
        <f>EXP(-LN(2)/25)*DG136+(1-EXP(-LN(2)/25))/(LN(2)/25)*Calculateur!DB137*Calculateur!DD137*VLOOKUP('Données projet'!$B$13,Paramètres!$A$1:$I$89,3,0)*0.475*44/12</f>
        <v>1.5568241499772864</v>
      </c>
      <c r="DH137" s="21">
        <f>EXP(-LN(2)/2)*DH136+(1-EXP(-LN(2)/2))/(LN(2)/2)*DB137*DE137*VLOOKUP('Données projet'!$B$13,Paramètres!$A$1:$I$89,3,0)*0.475*44/12</f>
        <v>4.7859247092833406E-15</v>
      </c>
      <c r="DI137" s="22">
        <f t="shared" si="123"/>
        <v>2.487701367192015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-5.1159076974727213E-13</v>
      </c>
      <c r="DP137" s="17">
        <f>DO137*VLOOKUP('Données projet'!$B$14,Paramètres!$A$1:$I$89,3,0)*VLOOKUP('Données projet'!$B$14,Paramètres!$A$1:$I$89,5,0)</f>
        <v>-3.7509835237869992E-13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234.09142087023463</v>
      </c>
      <c r="DU137" s="59">
        <f t="shared" si="152"/>
        <v>278.990685815294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0.31106198015723541</v>
      </c>
      <c r="EB137" s="21">
        <f>EXP(-LN(2)/25)*EB136+(1-EXP(-LN(2)/25))/(LN(2)/25)*Calculateur!DW137*Calculateur!DY137*VLOOKUP('Données projet'!$B$14,Paramètres!$A$1:$I$89,3,0)*0.475*44/12</f>
        <v>0.85823146746481349</v>
      </c>
      <c r="EC137" s="21">
        <f>EXP(-LN(2)/2)*EC136+(1-EXP(-LN(2)/2))/(LN(2)/2)*DW137*DZ137*VLOOKUP('Données projet'!$B$14,Paramètres!$A$1:$I$89,3,0)*0.475*44/12</f>
        <v>4.9190917564969224E-15</v>
      </c>
      <c r="ED137" s="22">
        <f t="shared" si="126"/>
        <v>1.1692934476220538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259.30247982593914</v>
      </c>
      <c r="T138" s="59">
        <f t="shared" si="142"/>
        <v>275.24740346220779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0.98116560330825575</v>
      </c>
      <c r="AB138" s="21">
        <f>EXP(-LN(2)/2)*AB137+(1-EXP(-LN(2)/2))/(LN(2)/2)*V138*Y138*VLOOKUP('Données projet'!$B$9,Paramètres!$A$1:$I$89,3,0)*0.475*44/12</f>
        <v>4.5030989944051172E-15</v>
      </c>
      <c r="AC138" s="22">
        <f t="shared" si="111"/>
        <v>0.9811656033082603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7.9580786405131221E-13</v>
      </c>
      <c r="AJ138" s="13">
        <f>AI138*VLOOKUP('Données projet'!$B$10,Paramètres!$A$1:$I$89,3,0)*VLOOKUP('Données projet'!$B$10,Paramètres!$A$1:$I$89,5,0)</f>
        <v>3.8278358260868117E-13</v>
      </c>
      <c r="AK138" s="13">
        <f t="shared" si="143"/>
        <v>4.9186917125089072E-12</v>
      </c>
      <c r="AL138" s="20">
        <f t="shared" si="112"/>
        <v>9.2334028056631319E-12</v>
      </c>
      <c r="AM138" s="59">
        <f t="shared" si="113"/>
        <v>293.33333333334252</v>
      </c>
      <c r="AN138" s="59">
        <f ca="1">AVERAGE(OFFSET($AM$3,0,0,'Données projet'!$E$10+1,1))-AVERAGE(OFFSET($H$3,0,0,'Données projet'!$E$10+1,1))</f>
        <v>297.21955661193238</v>
      </c>
      <c r="AO138" s="59">
        <f t="shared" si="144"/>
        <v>273.69206144662144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0.84226230404766955</v>
      </c>
      <c r="AV138" s="21">
        <f>EXP(-LN(2)/25)*AV137+(1-EXP(-LN(2)/25))/(LN(2)/25)*Calculateur!AQ138*Calculateur!AS138*VLOOKUP('Données projet'!$B$10,Paramètres!$A$1:$I$89,3,0)*0.475*44/12</f>
        <v>0.73034490976676358</v>
      </c>
      <c r="AW138" s="21">
        <f>EXP(-LN(2)/2)*AW137+(1-EXP(-LN(2)/2))/(LN(2)/2)*AQ138*AT138*VLOOKUP('Données projet'!$B$10,Paramètres!$A$1:$I$89,3,0)*0.475*44/12</f>
        <v>3.2835003550755399E-15</v>
      </c>
      <c r="AX138" s="21">
        <f t="shared" si="114"/>
        <v>1.5726072138144365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3.6357050703372803E-14</v>
      </c>
      <c r="BF138" s="13">
        <f t="shared" si="145"/>
        <v>6.1445232567661395E-13</v>
      </c>
      <c r="BG138" s="20">
        <f t="shared" si="115"/>
        <v>1.1334929971951436E-12</v>
      </c>
      <c r="BH138" s="59">
        <f t="shared" si="116"/>
        <v>293.33333333333445</v>
      </c>
      <c r="BI138" s="59">
        <f ca="1">AVERAGE(OFFSET($BH$3,0,0,'Données projet'!$E$11+1,1))-AVERAGE(OFFSET($H$3,0,0,'Données projet'!$E$11+1,1))</f>
        <v>176.90404027101607</v>
      </c>
      <c r="BJ138" s="59">
        <f t="shared" si="146"/>
        <v>295.34177980841878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0.22173623873321774</v>
      </c>
      <c r="BQ138" s="21">
        <f>EXP(-LN(2)/25)*BQ137+(1-EXP(-LN(2)/25))/(LN(2)/25)*Calculateur!BL138*Calculateur!BN138*VLOOKUP('Données projet'!$B$11,Paramètres!$A$1:$I$89,3,0)*0.475*44/12</f>
        <v>0.4483613861086051</v>
      </c>
      <c r="BR138" s="21">
        <f>EXP(-LN(2)/2)*BR137+(1-EXP(-LN(2)/2))/(LN(2)/2)*BL138*BO138*VLOOKUP('Données projet'!$B$11,Paramètres!$A$1:$I$89,3,0)*0.475*44/12</f>
        <v>5.2916037441910114E-18</v>
      </c>
      <c r="BS138" s="22">
        <f t="shared" si="117"/>
        <v>0.67009762484182289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-5.6843418860808015E-13</v>
      </c>
      <c r="BZ138" s="13">
        <f>BY138*VLOOKUP('Données projet'!$B$12,Paramètres!$A$1:$I$89,3,0)*VLOOKUP('Données projet'!$B$12,Paramètres!$A$1:$I$89,5,0)</f>
        <v>-3.177547114319168E-13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326.31232746914907</v>
      </c>
      <c r="CE138" s="59">
        <f t="shared" si="148"/>
        <v>330.17137761430297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0.57099313855483935</v>
      </c>
      <c r="CL138" s="21">
        <f>EXP(-LN(2)/25)*CL137+(1-EXP(-LN(2)/25))/(LN(2)/25)*Calculateur!CG138*Calculateur!CI138*VLOOKUP('Données projet'!$B$12,Paramètres!$A$1:$I$89,3,0)*0.475*44/12</f>
        <v>1.6416923194674113</v>
      </c>
      <c r="CM138" s="21">
        <f>EXP(-LN(2)/2)*CM137+(1-EXP(-LN(2)/2))/(LN(2)/2)*CG138*CJ138*VLOOKUP('Données projet'!$B$12,Paramètres!$A$1:$I$89,3,0)*0.475*44/12</f>
        <v>5.1062685691067676E-15</v>
      </c>
      <c r="CN138" s="22">
        <f t="shared" si="120"/>
        <v>2.2126854580222557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210.04871822652808</v>
      </c>
      <c r="CZ138" s="59">
        <f t="shared" si="150"/>
        <v>250.17540614049324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0.91262328276418192</v>
      </c>
      <c r="DG138" s="21">
        <f>EXP(-LN(2)/25)*DG137+(1-EXP(-LN(2)/25))/(LN(2)/25)*Calculateur!DB138*Calculateur!DD138*VLOOKUP('Données projet'!$B$13,Paramètres!$A$1:$I$89,3,0)*0.475*44/12</f>
        <v>1.5142527117263336</v>
      </c>
      <c r="DH138" s="21">
        <f>EXP(-LN(2)/2)*DH137+(1-EXP(-LN(2)/2))/(LN(2)/2)*DB138*DE138*VLOOKUP('Données projet'!$B$13,Paramètres!$A$1:$I$89,3,0)*0.475*44/12</f>
        <v>3.3841598161825062E-15</v>
      </c>
      <c r="DI138" s="22">
        <f t="shared" si="123"/>
        <v>2.4268759944905192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-5.1159076974727213E-13</v>
      </c>
      <c r="DP138" s="17">
        <f>DO138*VLOOKUP('Données projet'!$B$14,Paramètres!$A$1:$I$89,3,0)*VLOOKUP('Données projet'!$B$14,Paramètres!$A$1:$I$89,5,0)</f>
        <v>-3.7509835237869992E-13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234.09142087023463</v>
      </c>
      <c r="DU138" s="59">
        <f t="shared" si="152"/>
        <v>278.990685815294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0.30496224445542575</v>
      </c>
      <c r="EB138" s="21">
        <f>EXP(-LN(2)/25)*EB137+(1-EXP(-LN(2)/25))/(LN(2)/25)*Calculateur!DW138*Calculateur!DY138*VLOOKUP('Données projet'!$B$14,Paramètres!$A$1:$I$89,3,0)*0.475*44/12</f>
        <v>0.8347630828545568</v>
      </c>
      <c r="EC138" s="21">
        <f>EXP(-LN(2)/2)*EC137+(1-EXP(-LN(2)/2))/(LN(2)/2)*DW138*DZ138*VLOOKUP('Données projet'!$B$14,Paramètres!$A$1:$I$89,3,0)*0.475*44/12</f>
        <v>3.4783231382978191E-15</v>
      </c>
      <c r="ED138" s="22">
        <f t="shared" si="126"/>
        <v>1.1397253273099861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259.30247982593914</v>
      </c>
      <c r="T139" s="59">
        <f t="shared" si="142"/>
        <v>275.24740346220779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0.95433557828853488</v>
      </c>
      <c r="AB139" s="21">
        <f>EXP(-LN(2)/2)*AB138+(1-EXP(-LN(2)/2))/(LN(2)/2)*V139*Y139*VLOOKUP('Données projet'!$B$9,Paramètres!$A$1:$I$89,3,0)*0.475*44/12</f>
        <v>3.1841718352981814E-15</v>
      </c>
      <c r="AC139" s="22">
        <f t="shared" si="111"/>
        <v>0.9543355782885381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7.9580786405131221E-13</v>
      </c>
      <c r="AJ139" s="13">
        <f>AI139*VLOOKUP('Données projet'!$B$10,Paramètres!$A$1:$I$89,3,0)*VLOOKUP('Données projet'!$B$10,Paramètres!$A$1:$I$89,5,0)</f>
        <v>3.8278358260868117E-13</v>
      </c>
      <c r="AK139" s="13">
        <f t="shared" si="143"/>
        <v>4.9186917125089072E-12</v>
      </c>
      <c r="AL139" s="20">
        <f t="shared" si="112"/>
        <v>9.2334028056631319E-12</v>
      </c>
      <c r="AM139" s="59">
        <f t="shared" si="113"/>
        <v>293.33333333334252</v>
      </c>
      <c r="AN139" s="59">
        <f ca="1">AVERAGE(OFFSET($AM$3,0,0,'Données projet'!$E$10+1,1))-AVERAGE(OFFSET($H$3,0,0,'Données projet'!$E$10+1,1))</f>
        <v>297.21955661193238</v>
      </c>
      <c r="AO139" s="59">
        <f t="shared" si="144"/>
        <v>273.69206144662144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0.82574605399457368</v>
      </c>
      <c r="AV139" s="21">
        <f>EXP(-LN(2)/25)*AV138+(1-EXP(-LN(2)/25))/(LN(2)/25)*Calculateur!AQ139*Calculateur!AS139*VLOOKUP('Données projet'!$B$10,Paramètres!$A$1:$I$89,3,0)*0.475*44/12</f>
        <v>0.71037358980202181</v>
      </c>
      <c r="AW139" s="21">
        <f>EXP(-LN(2)/2)*AW138+(1-EXP(-LN(2)/2))/(LN(2)/2)*AQ139*AT139*VLOOKUP('Données projet'!$B$10,Paramètres!$A$1:$I$89,3,0)*0.475*44/12</f>
        <v>2.3217853671023508E-15</v>
      </c>
      <c r="AX139" s="21">
        <f t="shared" si="114"/>
        <v>1.5361196437965976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3.6357050703372803E-14</v>
      </c>
      <c r="BF139" s="13">
        <f t="shared" si="145"/>
        <v>6.1445232567661395E-13</v>
      </c>
      <c r="BG139" s="20">
        <f t="shared" si="115"/>
        <v>1.1334929971951436E-12</v>
      </c>
      <c r="BH139" s="59">
        <f t="shared" si="116"/>
        <v>293.33333333333445</v>
      </c>
      <c r="BI139" s="59">
        <f ca="1">AVERAGE(OFFSET($BH$3,0,0,'Données projet'!$E$11+1,1))-AVERAGE(OFFSET($H$3,0,0,'Données projet'!$E$11+1,1))</f>
        <v>176.90404027101607</v>
      </c>
      <c r="BJ139" s="59">
        <f t="shared" si="146"/>
        <v>295.34177980841878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0.21738812633741056</v>
      </c>
      <c r="BQ139" s="21">
        <f>EXP(-LN(2)/25)*BQ138+(1-EXP(-LN(2)/25))/(LN(2)/25)*Calculateur!BL139*Calculateur!BN139*VLOOKUP('Données projet'!$B$11,Paramètres!$A$1:$I$89,3,0)*0.475*44/12</f>
        <v>0.43610092042716475</v>
      </c>
      <c r="BR139" s="21">
        <f>EXP(-LN(2)/2)*BR138+(1-EXP(-LN(2)/2))/(LN(2)/2)*BL139*BO139*VLOOKUP('Données projet'!$B$11,Paramètres!$A$1:$I$89,3,0)*0.475*44/12</f>
        <v>3.741728890869589E-18</v>
      </c>
      <c r="BS139" s="22">
        <f t="shared" si="117"/>
        <v>0.65348904676457531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-5.6843418860808015E-13</v>
      </c>
      <c r="BZ139" s="13">
        <f>BY139*VLOOKUP('Données projet'!$B$12,Paramètres!$A$1:$I$89,3,0)*VLOOKUP('Données projet'!$B$12,Paramètres!$A$1:$I$89,5,0)</f>
        <v>-3.177547114319168E-13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326.31232746914907</v>
      </c>
      <c r="CE139" s="59">
        <f t="shared" si="148"/>
        <v>330.17137761430297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0.55979631137920449</v>
      </c>
      <c r="CL139" s="21">
        <f>EXP(-LN(2)/25)*CL138+(1-EXP(-LN(2)/25))/(LN(2)/25)*Calculateur!CG139*Calculateur!CI139*VLOOKUP('Données projet'!$B$12,Paramètres!$A$1:$I$89,3,0)*0.475*44/12</f>
        <v>1.596800156658728</v>
      </c>
      <c r="CM139" s="21">
        <f>EXP(-LN(2)/2)*CM138+(1-EXP(-LN(2)/2))/(LN(2)/2)*CG139*CJ139*VLOOKUP('Données projet'!$B$12,Paramètres!$A$1:$I$89,3,0)*0.475*44/12</f>
        <v>3.6106771317751242E-15</v>
      </c>
      <c r="CN139" s="22">
        <f t="shared" si="120"/>
        <v>2.1565964680379359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210.04871822652808</v>
      </c>
      <c r="CZ139" s="59">
        <f t="shared" si="150"/>
        <v>250.17540614049324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0.89472729683441465</v>
      </c>
      <c r="DG139" s="21">
        <f>EXP(-LN(2)/25)*DG138+(1-EXP(-LN(2)/25))/(LN(2)/25)*Calculateur!DB139*Calculateur!DD139*VLOOKUP('Données projet'!$B$13,Paramètres!$A$1:$I$89,3,0)*0.475*44/12</f>
        <v>1.4728453916930877</v>
      </c>
      <c r="DH139" s="21">
        <f>EXP(-LN(2)/2)*DH138+(1-EXP(-LN(2)/2))/(LN(2)/2)*DB139*DE139*VLOOKUP('Données projet'!$B$13,Paramètres!$A$1:$I$89,3,0)*0.475*44/12</f>
        <v>2.3929623546416703E-15</v>
      </c>
      <c r="DI139" s="22">
        <f t="shared" si="123"/>
        <v>2.3675726885275048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-5.1159076974727213E-13</v>
      </c>
      <c r="DP139" s="17">
        <f>DO139*VLOOKUP('Données projet'!$B$14,Paramètres!$A$1:$I$89,3,0)*VLOOKUP('Données projet'!$B$14,Paramètres!$A$1:$I$89,5,0)</f>
        <v>-3.7509835237869992E-13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234.09142087023463</v>
      </c>
      <c r="DU139" s="59">
        <f t="shared" si="152"/>
        <v>278.990685815294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0.29898212085025716</v>
      </c>
      <c r="EB139" s="21">
        <f>EXP(-LN(2)/25)*EB138+(1-EXP(-LN(2)/25))/(LN(2)/25)*Calculateur!DW139*Calculateur!DY139*VLOOKUP('Données projet'!$B$14,Paramètres!$A$1:$I$89,3,0)*0.475*44/12</f>
        <v>0.81193644245561625</v>
      </c>
      <c r="EC139" s="21">
        <f>EXP(-LN(2)/2)*EC138+(1-EXP(-LN(2)/2))/(LN(2)/2)*DW139*DZ139*VLOOKUP('Données projet'!$B$14,Paramètres!$A$1:$I$89,3,0)*0.475*44/12</f>
        <v>2.4595458782484616E-15</v>
      </c>
      <c r="ED139" s="22">
        <f t="shared" si="126"/>
        <v>1.1109185633058758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259.30247982593914</v>
      </c>
      <c r="T140" s="59">
        <f t="shared" si="142"/>
        <v>275.24740346220779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0.92823922171390805</v>
      </c>
      <c r="AB140" s="21">
        <f>EXP(-LN(2)/2)*AB139+(1-EXP(-LN(2)/2))/(LN(2)/2)*V140*Y140*VLOOKUP('Données projet'!$B$9,Paramètres!$A$1:$I$89,3,0)*0.475*44/12</f>
        <v>2.2515494972025586E-15</v>
      </c>
      <c r="AC140" s="22">
        <f t="shared" si="111"/>
        <v>0.92823922171391027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7.9580786405131221E-13</v>
      </c>
      <c r="AJ140" s="13">
        <f>AI140*VLOOKUP('Données projet'!$B$10,Paramètres!$A$1:$I$89,3,0)*VLOOKUP('Données projet'!$B$10,Paramètres!$A$1:$I$89,5,0)</f>
        <v>3.8278358260868117E-13</v>
      </c>
      <c r="AK140" s="13">
        <f t="shared" si="143"/>
        <v>4.9186917125089072E-12</v>
      </c>
      <c r="AL140" s="20">
        <f t="shared" si="112"/>
        <v>9.2334028056631319E-12</v>
      </c>
      <c r="AM140" s="59">
        <f t="shared" si="113"/>
        <v>293.33333333334252</v>
      </c>
      <c r="AN140" s="59">
        <f ca="1">AVERAGE(OFFSET($AM$3,0,0,'Données projet'!$E$10+1,1))-AVERAGE(OFFSET($H$3,0,0,'Données projet'!$E$10+1,1))</f>
        <v>297.21955661193238</v>
      </c>
      <c r="AO140" s="59">
        <f t="shared" si="144"/>
        <v>273.69206144662144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0.80955367753110119</v>
      </c>
      <c r="AV140" s="21">
        <f>EXP(-LN(2)/25)*AV139+(1-EXP(-LN(2)/25))/(LN(2)/25)*Calculateur!AQ140*Calculateur!AS140*VLOOKUP('Données projet'!$B$10,Paramètres!$A$1:$I$89,3,0)*0.475*44/12</f>
        <v>0.69094838663196201</v>
      </c>
      <c r="AW140" s="21">
        <f>EXP(-LN(2)/2)*AW139+(1-EXP(-LN(2)/2))/(LN(2)/2)*AQ140*AT140*VLOOKUP('Données projet'!$B$10,Paramètres!$A$1:$I$89,3,0)*0.475*44/12</f>
        <v>1.6417501775377699E-15</v>
      </c>
      <c r="AX140" s="21">
        <f t="shared" si="114"/>
        <v>1.5005020641630649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3.6357050703372803E-14</v>
      </c>
      <c r="BF140" s="13">
        <f t="shared" si="145"/>
        <v>6.1445232567661395E-13</v>
      </c>
      <c r="BG140" s="20">
        <f t="shared" si="115"/>
        <v>1.1334929971951436E-12</v>
      </c>
      <c r="BH140" s="59">
        <f t="shared" si="116"/>
        <v>293.33333333333445</v>
      </c>
      <c r="BI140" s="59">
        <f ca="1">AVERAGE(OFFSET($BH$3,0,0,'Données projet'!$E$11+1,1))-AVERAGE(OFFSET($H$3,0,0,'Données projet'!$E$11+1,1))</f>
        <v>176.90404027101607</v>
      </c>
      <c r="BJ140" s="59">
        <f t="shared" si="146"/>
        <v>295.34177980841878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0.21312527777359846</v>
      </c>
      <c r="BQ140" s="21">
        <f>EXP(-LN(2)/25)*BQ139+(1-EXP(-LN(2)/25))/(LN(2)/25)*Calculateur!BL140*Calculateur!BN140*VLOOKUP('Données projet'!$B$11,Paramètres!$A$1:$I$89,3,0)*0.475*44/12</f>
        <v>0.42417571782453323</v>
      </c>
      <c r="BR140" s="21">
        <f>EXP(-LN(2)/2)*BR139+(1-EXP(-LN(2)/2))/(LN(2)/2)*BL140*BO140*VLOOKUP('Données projet'!$B$11,Paramètres!$A$1:$I$89,3,0)*0.475*44/12</f>
        <v>2.6458018720955057E-18</v>
      </c>
      <c r="BS140" s="22">
        <f t="shared" si="117"/>
        <v>0.63730099559813169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-5.6843418860808015E-13</v>
      </c>
      <c r="BZ140" s="13">
        <f>BY140*VLOOKUP('Données projet'!$B$12,Paramètres!$A$1:$I$89,3,0)*VLOOKUP('Données projet'!$B$12,Paramètres!$A$1:$I$89,5,0)</f>
        <v>-3.177547114319168E-13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326.31232746914907</v>
      </c>
      <c r="CE140" s="59">
        <f t="shared" si="148"/>
        <v>330.17137761430297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0.54881904715509366</v>
      </c>
      <c r="CL140" s="21">
        <f>EXP(-LN(2)/25)*CL139+(1-EXP(-LN(2)/25))/(LN(2)/25)*Calculateur!CG140*Calculateur!CI140*VLOOKUP('Données projet'!$B$12,Paramètres!$A$1:$I$89,3,0)*0.475*44/12</f>
        <v>1.5531355724028244</v>
      </c>
      <c r="CM140" s="21">
        <f>EXP(-LN(2)/2)*CM139+(1-EXP(-LN(2)/2))/(LN(2)/2)*CG140*CJ140*VLOOKUP('Données projet'!$B$12,Paramètres!$A$1:$I$89,3,0)*0.475*44/12</f>
        <v>2.5531342845533838E-15</v>
      </c>
      <c r="CN140" s="22">
        <f t="shared" si="120"/>
        <v>2.1019546195579206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210.04871822652808</v>
      </c>
      <c r="CZ140" s="59">
        <f t="shared" si="150"/>
        <v>250.17540614049324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0.87718224027325653</v>
      </c>
      <c r="DG140" s="21">
        <f>EXP(-LN(2)/25)*DG139+(1-EXP(-LN(2)/25))/(LN(2)/25)*Calculateur!DB140*Calculateur!DD140*VLOOKUP('Données projet'!$B$13,Paramètres!$A$1:$I$89,3,0)*0.475*44/12</f>
        <v>1.4325703570036672</v>
      </c>
      <c r="DH140" s="21">
        <f>EXP(-LN(2)/2)*DH139+(1-EXP(-LN(2)/2))/(LN(2)/2)*DB140*DE140*VLOOKUP('Données projet'!$B$13,Paramètres!$A$1:$I$89,3,0)*0.475*44/12</f>
        <v>1.6920799080912531E-15</v>
      </c>
      <c r="DI140" s="22">
        <f t="shared" si="123"/>
        <v>2.3097525972769253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-5.1159076974727213E-13</v>
      </c>
      <c r="DP140" s="17">
        <f>DO140*VLOOKUP('Données projet'!$B$14,Paramètres!$A$1:$I$89,3,0)*VLOOKUP('Données projet'!$B$14,Paramètres!$A$1:$I$89,5,0)</f>
        <v>-3.7509835237869992E-13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234.09142087023463</v>
      </c>
      <c r="DU140" s="59">
        <f t="shared" si="152"/>
        <v>278.990685815294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0.29311926382147069</v>
      </c>
      <c r="EB140" s="21">
        <f>EXP(-LN(2)/25)*EB139+(1-EXP(-LN(2)/25))/(LN(2)/25)*Calculateur!DW140*Calculateur!DY140*VLOOKUP('Données projet'!$B$14,Paramètres!$A$1:$I$89,3,0)*0.475*44/12</f>
        <v>0.78973399773878561</v>
      </c>
      <c r="EC140" s="21">
        <f>EXP(-LN(2)/2)*EC139+(1-EXP(-LN(2)/2))/(LN(2)/2)*DW140*DZ140*VLOOKUP('Données projet'!$B$14,Paramètres!$A$1:$I$89,3,0)*0.475*44/12</f>
        <v>1.73916156914891E-15</v>
      </c>
      <c r="ED140" s="22">
        <f t="shared" si="126"/>
        <v>1.082853261560258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259.30247982593914</v>
      </c>
      <c r="T141" s="59">
        <f t="shared" si="142"/>
        <v>275.24740346220779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0.90285647138216207</v>
      </c>
      <c r="AB141" s="21">
        <f>EXP(-LN(2)/2)*AB140+(1-EXP(-LN(2)/2))/(LN(2)/2)*V141*Y141*VLOOKUP('Données projet'!$B$9,Paramètres!$A$1:$I$89,3,0)*0.475*44/12</f>
        <v>1.5920859176490907E-15</v>
      </c>
      <c r="AC141" s="22">
        <f t="shared" si="111"/>
        <v>0.90285647138216363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7.9580786405131221E-13</v>
      </c>
      <c r="AJ141" s="13">
        <f>AI141*VLOOKUP('Données projet'!$B$10,Paramètres!$A$1:$I$89,3,0)*VLOOKUP('Données projet'!$B$10,Paramètres!$A$1:$I$89,5,0)</f>
        <v>3.8278358260868117E-13</v>
      </c>
      <c r="AK141" s="13">
        <f t="shared" si="143"/>
        <v>4.9186917125089072E-12</v>
      </c>
      <c r="AL141" s="20">
        <f t="shared" si="112"/>
        <v>9.2334028056631319E-12</v>
      </c>
      <c r="AM141" s="59">
        <f t="shared" si="113"/>
        <v>293.33333333334252</v>
      </c>
      <c r="AN141" s="59">
        <f ca="1">AVERAGE(OFFSET($AM$3,0,0,'Données projet'!$E$10+1,1))-AVERAGE(OFFSET($H$3,0,0,'Données projet'!$E$10+1,1))</f>
        <v>297.21955661193238</v>
      </c>
      <c r="AO141" s="59">
        <f t="shared" si="144"/>
        <v>273.69206144662144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0.79367882369370302</v>
      </c>
      <c r="AV141" s="21">
        <f>EXP(-LN(2)/25)*AV140+(1-EXP(-LN(2)/25))/(LN(2)/25)*Calculateur!AQ141*Calculateur!AS141*VLOOKUP('Données projet'!$B$10,Paramètres!$A$1:$I$89,3,0)*0.475*44/12</f>
        <v>0.67205436666411456</v>
      </c>
      <c r="AW141" s="21">
        <f>EXP(-LN(2)/2)*AW140+(1-EXP(-LN(2)/2))/(LN(2)/2)*AQ141*AT141*VLOOKUP('Données projet'!$B$10,Paramètres!$A$1:$I$89,3,0)*0.475*44/12</f>
        <v>1.1608926835511754E-15</v>
      </c>
      <c r="AX141" s="21">
        <f t="shared" si="114"/>
        <v>1.4657331903578188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3.6357050703372803E-14</v>
      </c>
      <c r="BF141" s="13">
        <f t="shared" si="145"/>
        <v>6.1445232567661395E-13</v>
      </c>
      <c r="BG141" s="20">
        <f t="shared" si="115"/>
        <v>1.1334929971951436E-12</v>
      </c>
      <c r="BH141" s="59">
        <f t="shared" si="116"/>
        <v>293.33333333333445</v>
      </c>
      <c r="BI141" s="59">
        <f ca="1">AVERAGE(OFFSET($BH$3,0,0,'Données projet'!$E$11+1,1))-AVERAGE(OFFSET($H$3,0,0,'Données projet'!$E$11+1,1))</f>
        <v>176.90404027101607</v>
      </c>
      <c r="BJ141" s="59">
        <f t="shared" si="146"/>
        <v>295.34177980841878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0.20894602107004184</v>
      </c>
      <c r="BQ141" s="21">
        <f>EXP(-LN(2)/25)*BQ140+(1-EXP(-LN(2)/25))/(LN(2)/25)*Calculateur!BL141*Calculateur!BN141*VLOOKUP('Données projet'!$B$11,Paramètres!$A$1:$I$89,3,0)*0.475*44/12</f>
        <v>0.41257661051418981</v>
      </c>
      <c r="BR141" s="21">
        <f>EXP(-LN(2)/2)*BR140+(1-EXP(-LN(2)/2))/(LN(2)/2)*BL141*BO141*VLOOKUP('Données projet'!$B$11,Paramètres!$A$1:$I$89,3,0)*0.475*44/12</f>
        <v>1.8708644454347945E-18</v>
      </c>
      <c r="BS141" s="22">
        <f t="shared" si="117"/>
        <v>0.62152263158423171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-5.6843418860808015E-13</v>
      </c>
      <c r="BZ141" s="13">
        <f>BY141*VLOOKUP('Données projet'!$B$12,Paramètres!$A$1:$I$89,3,0)*VLOOKUP('Données projet'!$B$12,Paramètres!$A$1:$I$89,5,0)</f>
        <v>-3.177547114319168E-13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326.31232746914907</v>
      </c>
      <c r="CE141" s="59">
        <f t="shared" si="148"/>
        <v>330.17137761430297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0.53805704038694757</v>
      </c>
      <c r="CL141" s="21">
        <f>EXP(-LN(2)/25)*CL140+(1-EXP(-LN(2)/25))/(LN(2)/25)*Calculateur!CG141*Calculateur!CI141*VLOOKUP('Données projet'!$B$12,Paramètres!$A$1:$I$89,3,0)*0.475*44/12</f>
        <v>1.5106649984996192</v>
      </c>
      <c r="CM141" s="21">
        <f>EXP(-LN(2)/2)*CM140+(1-EXP(-LN(2)/2))/(LN(2)/2)*CG141*CJ141*VLOOKUP('Données projet'!$B$12,Paramètres!$A$1:$I$89,3,0)*0.475*44/12</f>
        <v>1.8053385658875621E-15</v>
      </c>
      <c r="CN141" s="22">
        <f t="shared" si="120"/>
        <v>2.0487220388865683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210.04871822652808</v>
      </c>
      <c r="CZ141" s="59">
        <f t="shared" si="150"/>
        <v>250.17540614049324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0.85998123156983486</v>
      </c>
      <c r="DG141" s="21">
        <f>EXP(-LN(2)/25)*DG140+(1-EXP(-LN(2)/25))/(LN(2)/25)*Calculateur!DB141*Calculateur!DD141*VLOOKUP('Données projet'!$B$13,Paramètres!$A$1:$I$89,3,0)*0.475*44/12</f>
        <v>1.3933966452558011</v>
      </c>
      <c r="DH141" s="21">
        <f>EXP(-LN(2)/2)*DH140+(1-EXP(-LN(2)/2))/(LN(2)/2)*DB141*DE141*VLOOKUP('Données projet'!$B$13,Paramètres!$A$1:$I$89,3,0)*0.475*44/12</f>
        <v>1.1964811773208351E-15</v>
      </c>
      <c r="DI141" s="22">
        <f t="shared" si="123"/>
        <v>2.2533778768256374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-5.1159076974727213E-13</v>
      </c>
      <c r="DP141" s="17">
        <f>DO141*VLOOKUP('Données projet'!$B$14,Paramètres!$A$1:$I$89,3,0)*VLOOKUP('Données projet'!$B$14,Paramètres!$A$1:$I$89,5,0)</f>
        <v>-3.7509835237869992E-13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234.09142087023463</v>
      </c>
      <c r="DU141" s="59">
        <f t="shared" si="152"/>
        <v>278.990685815294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0.28737137384302902</v>
      </c>
      <c r="EB141" s="21">
        <f>EXP(-LN(2)/25)*EB140+(1-EXP(-LN(2)/25))/(LN(2)/25)*Calculateur!DW141*Calculateur!DY141*VLOOKUP('Données projet'!$B$14,Paramètres!$A$1:$I$89,3,0)*0.475*44/12</f>
        <v>0.76813868004031249</v>
      </c>
      <c r="EC141" s="21">
        <f>EXP(-LN(2)/2)*EC140+(1-EXP(-LN(2)/2))/(LN(2)/2)*DW141*DZ141*VLOOKUP('Données projet'!$B$14,Paramètres!$A$1:$I$89,3,0)*0.475*44/12</f>
        <v>1.229772939124231E-15</v>
      </c>
      <c r="ED141" s="22">
        <f t="shared" si="126"/>
        <v>1.0555100538833428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259.30247982593914</v>
      </c>
      <c r="T142" s="59">
        <f t="shared" si="142"/>
        <v>275.24740346220779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0.87816781369305852</v>
      </c>
      <c r="AB142" s="21">
        <f>EXP(-LN(2)/2)*AB141+(1-EXP(-LN(2)/2))/(LN(2)/2)*V142*Y142*VLOOKUP('Données projet'!$B$9,Paramètres!$A$1:$I$89,3,0)*0.475*44/12</f>
        <v>1.1257747486012793E-15</v>
      </c>
      <c r="AC142" s="22">
        <f t="shared" si="111"/>
        <v>0.87816781369305963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7.9580786405131221E-13</v>
      </c>
      <c r="AJ142" s="13">
        <f>AI142*VLOOKUP('Données projet'!$B$10,Paramètres!$A$1:$I$89,3,0)*VLOOKUP('Données projet'!$B$10,Paramètres!$A$1:$I$89,5,0)</f>
        <v>3.8278358260868117E-13</v>
      </c>
      <c r="AK142" s="13">
        <f t="shared" si="143"/>
        <v>4.9186917125089072E-12</v>
      </c>
      <c r="AL142" s="20">
        <f t="shared" si="112"/>
        <v>9.2334028056631319E-12</v>
      </c>
      <c r="AM142" s="59">
        <f t="shared" si="113"/>
        <v>293.33333333334252</v>
      </c>
      <c r="AN142" s="59">
        <f ca="1">AVERAGE(OFFSET($AM$3,0,0,'Données projet'!$E$10+1,1))-AVERAGE(OFFSET($H$3,0,0,'Données projet'!$E$10+1,1))</f>
        <v>297.21955661193238</v>
      </c>
      <c r="AO142" s="59">
        <f t="shared" si="144"/>
        <v>273.69206144662144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0.77811526605735137</v>
      </c>
      <c r="AV142" s="21">
        <f>EXP(-LN(2)/25)*AV141+(1-EXP(-LN(2)/25))/(LN(2)/25)*Calculateur!AQ142*Calculateur!AS142*VLOOKUP('Données projet'!$B$10,Paramètres!$A$1:$I$89,3,0)*0.475*44/12</f>
        <v>0.65367700466588119</v>
      </c>
      <c r="AW142" s="21">
        <f>EXP(-LN(2)/2)*AW141+(1-EXP(-LN(2)/2))/(LN(2)/2)*AQ142*AT142*VLOOKUP('Données projet'!$B$10,Paramètres!$A$1:$I$89,3,0)*0.475*44/12</f>
        <v>8.2087508876888497E-16</v>
      </c>
      <c r="AX142" s="21">
        <f t="shared" si="114"/>
        <v>1.4317922707232333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3.6357050703372803E-14</v>
      </c>
      <c r="BF142" s="13">
        <f t="shared" si="145"/>
        <v>6.1445232567661395E-13</v>
      </c>
      <c r="BG142" s="20">
        <f t="shared" si="115"/>
        <v>1.1334929971951436E-12</v>
      </c>
      <c r="BH142" s="59">
        <f t="shared" si="116"/>
        <v>293.33333333333445</v>
      </c>
      <c r="BI142" s="59">
        <f ca="1">AVERAGE(OFFSET($BH$3,0,0,'Données projet'!$E$11+1,1))-AVERAGE(OFFSET($H$3,0,0,'Données projet'!$E$11+1,1))</f>
        <v>176.90404027101607</v>
      </c>
      <c r="BJ142" s="59">
        <f t="shared" si="146"/>
        <v>295.34177980841878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0.20484871704134708</v>
      </c>
      <c r="BQ142" s="21">
        <f>EXP(-LN(2)/25)*BQ141+(1-EXP(-LN(2)/25))/(LN(2)/25)*Calculateur!BL142*Calculateur!BN142*VLOOKUP('Données projet'!$B$11,Paramètres!$A$1:$I$89,3,0)*0.475*44/12</f>
        <v>0.40129468140321828</v>
      </c>
      <c r="BR142" s="21">
        <f>EXP(-LN(2)/2)*BR141+(1-EXP(-LN(2)/2))/(LN(2)/2)*BL142*BO142*VLOOKUP('Données projet'!$B$11,Paramètres!$A$1:$I$89,3,0)*0.475*44/12</f>
        <v>1.3229009360477528E-18</v>
      </c>
      <c r="BS142" s="22">
        <f t="shared" si="117"/>
        <v>0.60614339844456533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-5.6843418860808015E-13</v>
      </c>
      <c r="BZ142" s="13">
        <f>BY142*VLOOKUP('Données projet'!$B$12,Paramètres!$A$1:$I$89,3,0)*VLOOKUP('Données projet'!$B$12,Paramètres!$A$1:$I$89,5,0)</f>
        <v>-3.177547114319168E-13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326.31232746914907</v>
      </c>
      <c r="CE142" s="59">
        <f t="shared" si="148"/>
        <v>330.17137761430297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0.52750607000734884</v>
      </c>
      <c r="CL142" s="21">
        <f>EXP(-LN(2)/25)*CL141+(1-EXP(-LN(2)/25))/(LN(2)/25)*Calculateur!CG142*Calculateur!CI142*VLOOKUP('Données projet'!$B$12,Paramètres!$A$1:$I$89,3,0)*0.475*44/12</f>
        <v>1.4693557846732275</v>
      </c>
      <c r="CM142" s="21">
        <f>EXP(-LN(2)/2)*CM141+(1-EXP(-LN(2)/2))/(LN(2)/2)*CG142*CJ142*VLOOKUP('Données projet'!$B$12,Paramètres!$A$1:$I$89,3,0)*0.475*44/12</f>
        <v>1.2765671422766919E-15</v>
      </c>
      <c r="CN142" s="22">
        <f t="shared" si="120"/>
        <v>1.9968618546805776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210.04871822652808</v>
      </c>
      <c r="CZ142" s="59">
        <f t="shared" si="150"/>
        <v>250.17540614049324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0.843117524155508</v>
      </c>
      <c r="DG142" s="21">
        <f>EXP(-LN(2)/25)*DG141+(1-EXP(-LN(2)/25))/(LN(2)/25)*Calculateur!DB142*Calculateur!DD142*VLOOKUP('Données projet'!$B$13,Paramètres!$A$1:$I$89,3,0)*0.475*44/12</f>
        <v>1.3552941407157364</v>
      </c>
      <c r="DH142" s="21">
        <f>EXP(-LN(2)/2)*DH141+(1-EXP(-LN(2)/2))/(LN(2)/2)*DB142*DE142*VLOOKUP('Données projet'!$B$13,Paramètres!$A$1:$I$89,3,0)*0.475*44/12</f>
        <v>8.4603995404562656E-16</v>
      </c>
      <c r="DI142" s="22">
        <f t="shared" si="123"/>
        <v>2.1984116648712453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-5.1159076974727213E-13</v>
      </c>
      <c r="DP142" s="17">
        <f>DO142*VLOOKUP('Données projet'!$B$14,Paramètres!$A$1:$I$89,3,0)*VLOOKUP('Données projet'!$B$14,Paramètres!$A$1:$I$89,5,0)</f>
        <v>-3.7509835237869992E-13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234.09142087023463</v>
      </c>
      <c r="DU142" s="59">
        <f t="shared" si="152"/>
        <v>278.990685815294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0.28173619648119785</v>
      </c>
      <c r="EB142" s="21">
        <f>EXP(-LN(2)/25)*EB141+(1-EXP(-LN(2)/25))/(LN(2)/25)*Calculateur!DW142*Calculateur!DY142*VLOOKUP('Données projet'!$B$14,Paramètres!$A$1:$I$89,3,0)*0.475*44/12</f>
        <v>0.74713388743995257</v>
      </c>
      <c r="EC142" s="21">
        <f>EXP(-LN(2)/2)*EC141+(1-EXP(-LN(2)/2))/(LN(2)/2)*DW142*DZ142*VLOOKUP('Données projet'!$B$14,Paramètres!$A$1:$I$89,3,0)*0.475*44/12</f>
        <v>8.6958078457445508E-16</v>
      </c>
      <c r="ED142" s="22">
        <f t="shared" si="126"/>
        <v>1.0288700839211513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259.30247982593914</v>
      </c>
      <c r="T143" s="59">
        <f t="shared" si="142"/>
        <v>275.24740346220779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0.85415426864678357</v>
      </c>
      <c r="AB143" s="21">
        <f>EXP(-LN(2)/2)*AB142+(1-EXP(-LN(2)/2))/(LN(2)/2)*V143*Y143*VLOOKUP('Données projet'!$B$9,Paramètres!$A$1:$I$89,3,0)*0.475*44/12</f>
        <v>7.9604295882454536E-16</v>
      </c>
      <c r="AC143" s="22">
        <f t="shared" si="111"/>
        <v>0.85415426864678434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7.9580786405131221E-13</v>
      </c>
      <c r="AJ143" s="13">
        <f>AI143*VLOOKUP('Données projet'!$B$10,Paramètres!$A$1:$I$89,3,0)*VLOOKUP('Données projet'!$B$10,Paramètres!$A$1:$I$89,5,0)</f>
        <v>3.8278358260868117E-13</v>
      </c>
      <c r="AK143" s="13">
        <f t="shared" si="143"/>
        <v>4.9186917125089072E-12</v>
      </c>
      <c r="AL143" s="20">
        <f t="shared" si="112"/>
        <v>9.2334028056631319E-12</v>
      </c>
      <c r="AM143" s="59">
        <f t="shared" si="113"/>
        <v>293.33333333334252</v>
      </c>
      <c r="AN143" s="59">
        <f ca="1">AVERAGE(OFFSET($AM$3,0,0,'Données projet'!$E$10+1,1))-AVERAGE(OFFSET($H$3,0,0,'Données projet'!$E$10+1,1))</f>
        <v>297.21955661193238</v>
      </c>
      <c r="AO143" s="59">
        <f t="shared" si="144"/>
        <v>273.69206144662144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0.7628569002934158</v>
      </c>
      <c r="AV143" s="21">
        <f>EXP(-LN(2)/25)*AV142+(1-EXP(-LN(2)/25))/(LN(2)/25)*Calculateur!AQ143*Calculateur!AS143*VLOOKUP('Données projet'!$B$10,Paramètres!$A$1:$I$89,3,0)*0.475*44/12</f>
        <v>0.63580217259791294</v>
      </c>
      <c r="AW143" s="21">
        <f>EXP(-LN(2)/2)*AW142+(1-EXP(-LN(2)/2))/(LN(2)/2)*AQ143*AT143*VLOOKUP('Données projet'!$B$10,Paramètres!$A$1:$I$89,3,0)*0.475*44/12</f>
        <v>5.8044634177558771E-16</v>
      </c>
      <c r="AX143" s="21">
        <f t="shared" si="114"/>
        <v>1.3986590728913295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3.6357050703372803E-14</v>
      </c>
      <c r="BF143" s="13">
        <f t="shared" si="145"/>
        <v>6.1445232567661395E-13</v>
      </c>
      <c r="BG143" s="20">
        <f t="shared" si="115"/>
        <v>1.1334929971951436E-12</v>
      </c>
      <c r="BH143" s="59">
        <f t="shared" si="116"/>
        <v>293.33333333333445</v>
      </c>
      <c r="BI143" s="59">
        <f ca="1">AVERAGE(OFFSET($BH$3,0,0,'Données projet'!$E$11+1,1))-AVERAGE(OFFSET($H$3,0,0,'Données projet'!$E$11+1,1))</f>
        <v>176.90404027101607</v>
      </c>
      <c r="BJ143" s="59">
        <f t="shared" si="146"/>
        <v>295.34177980841878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0.20083175864554634</v>
      </c>
      <c r="BQ143" s="21">
        <f>EXP(-LN(2)/25)*BQ142+(1-EXP(-LN(2)/25))/(LN(2)/25)*Calculateur!BL143*Calculateur!BN143*VLOOKUP('Données projet'!$B$11,Paramètres!$A$1:$I$89,3,0)*0.475*44/12</f>
        <v>0.39032125723707717</v>
      </c>
      <c r="BR143" s="21">
        <f>EXP(-LN(2)/2)*BR142+(1-EXP(-LN(2)/2))/(LN(2)/2)*BL143*BO143*VLOOKUP('Données projet'!$B$11,Paramètres!$A$1:$I$89,3,0)*0.475*44/12</f>
        <v>9.3543222271739726E-19</v>
      </c>
      <c r="BS143" s="22">
        <f t="shared" si="117"/>
        <v>0.59115301588262348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-5.6843418860808015E-13</v>
      </c>
      <c r="BZ143" s="13">
        <f>BY143*VLOOKUP('Données projet'!$B$12,Paramètres!$A$1:$I$89,3,0)*VLOOKUP('Données projet'!$B$12,Paramètres!$A$1:$I$89,5,0)</f>
        <v>-3.177547114319168E-13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326.31232746914907</v>
      </c>
      <c r="CE143" s="59">
        <f t="shared" si="148"/>
        <v>330.17137761430297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0.51716199772143756</v>
      </c>
      <c r="CL143" s="21">
        <f>EXP(-LN(2)/25)*CL142+(1-EXP(-LN(2)/25))/(LN(2)/25)*Calculateur!CG143*Calculateur!CI143*VLOOKUP('Données projet'!$B$12,Paramètres!$A$1:$I$89,3,0)*0.475*44/12</f>
        <v>1.4291761734712756</v>
      </c>
      <c r="CM143" s="21">
        <f>EXP(-LN(2)/2)*CM142+(1-EXP(-LN(2)/2))/(LN(2)/2)*CG143*CJ143*VLOOKUP('Données projet'!$B$12,Paramètres!$A$1:$I$89,3,0)*0.475*44/12</f>
        <v>9.0266928294378106E-16</v>
      </c>
      <c r="CN143" s="22">
        <f t="shared" si="120"/>
        <v>1.9463381711927141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210.04871822652808</v>
      </c>
      <c r="CZ143" s="59">
        <f t="shared" si="150"/>
        <v>250.17540614049324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0.82658450375773018</v>
      </c>
      <c r="DG143" s="21">
        <f>EXP(-LN(2)/25)*DG142+(1-EXP(-LN(2)/25))/(LN(2)/25)*Calculateur!DB143*Calculateur!DD143*VLOOKUP('Données projet'!$B$13,Paramètres!$A$1:$I$89,3,0)*0.475*44/12</f>
        <v>1.3182335511660432</v>
      </c>
      <c r="DH143" s="21">
        <f>EXP(-LN(2)/2)*DH142+(1-EXP(-LN(2)/2))/(LN(2)/2)*DB143*DE143*VLOOKUP('Données projet'!$B$13,Paramètres!$A$1:$I$89,3,0)*0.475*44/12</f>
        <v>5.9824058866041757E-16</v>
      </c>
      <c r="DI143" s="22">
        <f t="shared" si="123"/>
        <v>2.1448180549237739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-5.1159076974727213E-13</v>
      </c>
      <c r="DP143" s="17">
        <f>DO143*VLOOKUP('Données projet'!$B$14,Paramètres!$A$1:$I$89,3,0)*VLOOKUP('Données projet'!$B$14,Paramètres!$A$1:$I$89,5,0)</f>
        <v>-3.7509835237869992E-13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234.09142087023463</v>
      </c>
      <c r="DU143" s="59">
        <f t="shared" si="152"/>
        <v>278.990685815294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0.27621152151031342</v>
      </c>
      <c r="EB143" s="21">
        <f>EXP(-LN(2)/25)*EB142+(1-EXP(-LN(2)/25))/(LN(2)/25)*Calculateur!DW143*Calculateur!DY143*VLOOKUP('Données projet'!$B$14,Paramètres!$A$1:$I$89,3,0)*0.475*44/12</f>
        <v>0.72670347199784358</v>
      </c>
      <c r="EC143" s="21">
        <f>EXP(-LN(2)/2)*EC142+(1-EXP(-LN(2)/2))/(LN(2)/2)*DW143*DZ143*VLOOKUP('Données projet'!$B$14,Paramètres!$A$1:$I$89,3,0)*0.475*44/12</f>
        <v>6.148864695621156E-16</v>
      </c>
      <c r="ED143" s="22">
        <f t="shared" si="126"/>
        <v>1.0029149935081576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259.30247982593914</v>
      </c>
      <c r="T144" s="59">
        <f t="shared" si="142"/>
        <v>275.24740346220779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0.83079737525261643</v>
      </c>
      <c r="AB144" s="21">
        <f>EXP(-LN(2)/2)*AB143+(1-EXP(-LN(2)/2))/(LN(2)/2)*V144*Y144*VLOOKUP('Données projet'!$B$9,Paramètres!$A$1:$I$89,3,0)*0.475*44/12</f>
        <v>5.6288737430063965E-16</v>
      </c>
      <c r="AC144" s="22">
        <f t="shared" si="111"/>
        <v>0.83079737525261699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7.9580786405131221E-13</v>
      </c>
      <c r="AJ144" s="13">
        <f>AI144*VLOOKUP('Données projet'!$B$10,Paramètres!$A$1:$I$89,3,0)*VLOOKUP('Données projet'!$B$10,Paramètres!$A$1:$I$89,5,0)</f>
        <v>3.8278358260868117E-13</v>
      </c>
      <c r="AK144" s="13">
        <f t="shared" si="143"/>
        <v>4.9186917125089072E-12</v>
      </c>
      <c r="AL144" s="20">
        <f t="shared" si="112"/>
        <v>9.2334028056631319E-12</v>
      </c>
      <c r="AM144" s="59">
        <f t="shared" si="113"/>
        <v>293.33333333334252</v>
      </c>
      <c r="AN144" s="59">
        <f ca="1">AVERAGE(OFFSET($AM$3,0,0,'Données projet'!$E$10+1,1))-AVERAGE(OFFSET($H$3,0,0,'Données projet'!$E$10+1,1))</f>
        <v>297.21955661193238</v>
      </c>
      <c r="AO144" s="59">
        <f t="shared" si="144"/>
        <v>273.69206144662144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0.74789774177542689</v>
      </c>
      <c r="AV144" s="21">
        <f>EXP(-LN(2)/25)*AV143+(1-EXP(-LN(2)/25))/(LN(2)/25)*Calculateur!AQ144*Calculateur!AS144*VLOOKUP('Données projet'!$B$10,Paramètres!$A$1:$I$89,3,0)*0.475*44/12</f>
        <v>0.61841612875283991</v>
      </c>
      <c r="AW144" s="21">
        <f>EXP(-LN(2)/2)*AW143+(1-EXP(-LN(2)/2))/(LN(2)/2)*AQ144*AT144*VLOOKUP('Données projet'!$B$10,Paramètres!$A$1:$I$89,3,0)*0.475*44/12</f>
        <v>4.1043754438444249E-16</v>
      </c>
      <c r="AX144" s="21">
        <f t="shared" si="114"/>
        <v>1.3663138705282671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3.6357050703372803E-14</v>
      </c>
      <c r="BF144" s="13">
        <f t="shared" si="145"/>
        <v>6.1445232567661395E-13</v>
      </c>
      <c r="BG144" s="20">
        <f t="shared" si="115"/>
        <v>1.1334929971951436E-12</v>
      </c>
      <c r="BH144" s="59">
        <f t="shared" si="116"/>
        <v>293.33333333333445</v>
      </c>
      <c r="BI144" s="59">
        <f ca="1">AVERAGE(OFFSET($BH$3,0,0,'Données projet'!$E$11+1,1))-AVERAGE(OFFSET($H$3,0,0,'Données projet'!$E$11+1,1))</f>
        <v>176.90404027101607</v>
      </c>
      <c r="BJ144" s="59">
        <f t="shared" si="146"/>
        <v>295.34177980841878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0.19689357035378455</v>
      </c>
      <c r="BQ144" s="21">
        <f>EXP(-LN(2)/25)*BQ143+(1-EXP(-LN(2)/25))/(LN(2)/25)*Calculateur!BL144*Calculateur!BN144*VLOOKUP('Données projet'!$B$11,Paramètres!$A$1:$I$89,3,0)*0.475*44/12</f>
        <v>0.37964790193182646</v>
      </c>
      <c r="BR144" s="21">
        <f>EXP(-LN(2)/2)*BR143+(1-EXP(-LN(2)/2))/(LN(2)/2)*BL144*BO144*VLOOKUP('Données projet'!$B$11,Paramètres!$A$1:$I$89,3,0)*0.475*44/12</f>
        <v>6.6145046802387642E-19</v>
      </c>
      <c r="BS144" s="22">
        <f t="shared" si="117"/>
        <v>0.57654147228561103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-5.6843418860808015E-13</v>
      </c>
      <c r="BZ144" s="13">
        <f>BY144*VLOOKUP('Données projet'!$B$12,Paramètres!$A$1:$I$89,3,0)*VLOOKUP('Données projet'!$B$12,Paramètres!$A$1:$I$89,5,0)</f>
        <v>-3.177547114319168E-13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326.31232746914907</v>
      </c>
      <c r="CE144" s="59">
        <f t="shared" si="148"/>
        <v>330.17137761430297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0.5070207663837919</v>
      </c>
      <c r="CL144" s="21">
        <f>EXP(-LN(2)/25)*CL143+(1-EXP(-LN(2)/25))/(LN(2)/25)*Calculateur!CG144*Calculateur!CI144*VLOOKUP('Données projet'!$B$12,Paramètres!$A$1:$I$89,3,0)*0.475*44/12</f>
        <v>1.3900952758505949</v>
      </c>
      <c r="CM144" s="21">
        <f>EXP(-LN(2)/2)*CM143+(1-EXP(-LN(2)/2))/(LN(2)/2)*CG144*CJ144*VLOOKUP('Données projet'!$B$12,Paramètres!$A$1:$I$89,3,0)*0.475*44/12</f>
        <v>6.3828357113834595E-16</v>
      </c>
      <c r="CN144" s="22">
        <f t="shared" si="120"/>
        <v>1.8971160422343873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210.04871822652808</v>
      </c>
      <c r="CZ144" s="59">
        <f t="shared" si="150"/>
        <v>250.17540614049324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0.8103756858058061</v>
      </c>
      <c r="DG144" s="21">
        <f>EXP(-LN(2)/25)*DG143+(1-EXP(-LN(2)/25))/(LN(2)/25)*Calculateur!DB144*Calculateur!DD144*VLOOKUP('Données projet'!$B$13,Paramètres!$A$1:$I$89,3,0)*0.475*44/12</f>
        <v>1.2821863853865183</v>
      </c>
      <c r="DH144" s="21">
        <f>EXP(-LN(2)/2)*DH143+(1-EXP(-LN(2)/2))/(LN(2)/2)*DB144*DE144*VLOOKUP('Données projet'!$B$13,Paramètres!$A$1:$I$89,3,0)*0.475*44/12</f>
        <v>4.2301997702281328E-16</v>
      </c>
      <c r="DI144" s="22">
        <f t="shared" si="123"/>
        <v>2.092562071192325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-5.1159076974727213E-13</v>
      </c>
      <c r="DP144" s="17">
        <f>DO144*VLOOKUP('Données projet'!$B$14,Paramètres!$A$1:$I$89,3,0)*VLOOKUP('Données projet'!$B$14,Paramètres!$A$1:$I$89,5,0)</f>
        <v>-3.7509835237869992E-13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234.09142087023463</v>
      </c>
      <c r="DU144" s="59">
        <f t="shared" si="152"/>
        <v>278.990685815294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0.27079518204588904</v>
      </c>
      <c r="EB144" s="21">
        <f>EXP(-LN(2)/25)*EB143+(1-EXP(-LN(2)/25))/(LN(2)/25)*Calculateur!DW144*Calculateur!DY144*VLOOKUP('Données projet'!$B$14,Paramètres!$A$1:$I$89,3,0)*0.475*44/12</f>
        <v>0.70683172734038791</v>
      </c>
      <c r="EC144" s="21">
        <f>EXP(-LN(2)/2)*EC143+(1-EXP(-LN(2)/2))/(LN(2)/2)*DW144*DZ144*VLOOKUP('Données projet'!$B$14,Paramètres!$A$1:$I$89,3,0)*0.475*44/12</f>
        <v>4.3479039228722764E-16</v>
      </c>
      <c r="ED144" s="22">
        <f t="shared" si="126"/>
        <v>0.97762690938627739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259.30247982593914</v>
      </c>
      <c r="T145" s="59">
        <f t="shared" si="142"/>
        <v>275.24740346220779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0.80807917733659851</v>
      </c>
      <c r="AB145" s="21">
        <f>EXP(-LN(2)/2)*AB144+(1-EXP(-LN(2)/2))/(LN(2)/2)*V145*Y145*VLOOKUP('Données projet'!$B$9,Paramètres!$A$1:$I$89,3,0)*0.475*44/12</f>
        <v>3.9802147941227268E-16</v>
      </c>
      <c r="AC145" s="22">
        <f t="shared" si="111"/>
        <v>0.80807917733659895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7.9580786405131221E-13</v>
      </c>
      <c r="AJ145" s="13">
        <f>AI145*VLOOKUP('Données projet'!$B$10,Paramètres!$A$1:$I$89,3,0)*VLOOKUP('Données projet'!$B$10,Paramètres!$A$1:$I$89,5,0)</f>
        <v>3.8278358260868117E-13</v>
      </c>
      <c r="AK145" s="13">
        <f t="shared" si="143"/>
        <v>4.9186917125089072E-12</v>
      </c>
      <c r="AL145" s="20">
        <f t="shared" si="112"/>
        <v>9.2334028056631319E-12</v>
      </c>
      <c r="AM145" s="59">
        <f t="shared" si="113"/>
        <v>293.33333333334252</v>
      </c>
      <c r="AN145" s="59">
        <f ca="1">AVERAGE(OFFSET($AM$3,0,0,'Données projet'!$E$10+1,1))-AVERAGE(OFFSET($H$3,0,0,'Données projet'!$E$10+1,1))</f>
        <v>297.21955661193238</v>
      </c>
      <c r="AO145" s="59">
        <f t="shared" si="144"/>
        <v>273.69206144662144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0.73323192323178998</v>
      </c>
      <c r="AV145" s="21">
        <f>EXP(-LN(2)/25)*AV144+(1-EXP(-LN(2)/25))/(LN(2)/25)*Calculateur!AQ145*Calculateur!AS145*VLOOKUP('Données projet'!$B$10,Paramètres!$A$1:$I$89,3,0)*0.475*44/12</f>
        <v>0.60150550719100271</v>
      </c>
      <c r="AW145" s="21">
        <f>EXP(-LN(2)/2)*AW144+(1-EXP(-LN(2)/2))/(LN(2)/2)*AQ145*AT145*VLOOKUP('Données projet'!$B$10,Paramètres!$A$1:$I$89,3,0)*0.475*44/12</f>
        <v>2.9022317088779386E-16</v>
      </c>
      <c r="AX145" s="21">
        <f t="shared" si="114"/>
        <v>1.3347374304227928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3.6357050703372803E-14</v>
      </c>
      <c r="BF145" s="13">
        <f t="shared" si="145"/>
        <v>6.1445232567661395E-13</v>
      </c>
      <c r="BG145" s="20">
        <f t="shared" si="115"/>
        <v>1.1334929971951436E-12</v>
      </c>
      <c r="BH145" s="59">
        <f t="shared" si="116"/>
        <v>293.33333333333445</v>
      </c>
      <c r="BI145" s="59">
        <f ca="1">AVERAGE(OFFSET($BH$3,0,0,'Données projet'!$E$11+1,1))-AVERAGE(OFFSET($H$3,0,0,'Données projet'!$E$11+1,1))</f>
        <v>176.90404027101607</v>
      </c>
      <c r="BJ145" s="59">
        <f t="shared" si="146"/>
        <v>295.34177980841878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0.19303260753236653</v>
      </c>
      <c r="BQ145" s="21">
        <f>EXP(-LN(2)/25)*BQ144+(1-EXP(-LN(2)/25))/(LN(2)/25)*Calculateur!BL145*Calculateur!BN145*VLOOKUP('Données projet'!$B$11,Paramètres!$A$1:$I$89,3,0)*0.475*44/12</f>
        <v>0.36926641008868522</v>
      </c>
      <c r="BR145" s="21">
        <f>EXP(-LN(2)/2)*BR144+(1-EXP(-LN(2)/2))/(LN(2)/2)*BL145*BO145*VLOOKUP('Données projet'!$B$11,Paramètres!$A$1:$I$89,3,0)*0.475*44/12</f>
        <v>4.6771611135869863E-19</v>
      </c>
      <c r="BS145" s="22">
        <f t="shared" si="117"/>
        <v>0.56229901762105172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-5.6843418860808015E-13</v>
      </c>
      <c r="BZ145" s="13">
        <f>BY145*VLOOKUP('Données projet'!$B$12,Paramètres!$A$1:$I$89,3,0)*VLOOKUP('Données projet'!$B$12,Paramètres!$A$1:$I$89,5,0)</f>
        <v>-3.177547114319168E-13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326.31232746914907</v>
      </c>
      <c r="CE145" s="59">
        <f t="shared" si="148"/>
        <v>330.17137761430297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0.49707839840713713</v>
      </c>
      <c r="CL145" s="21">
        <f>EXP(-LN(2)/25)*CL144+(1-EXP(-LN(2)/25))/(LN(2)/25)*Calculateur!CG145*Calculateur!CI145*VLOOKUP('Données projet'!$B$12,Paramètres!$A$1:$I$89,3,0)*0.475*44/12</f>
        <v>1.352083047430527</v>
      </c>
      <c r="CM145" s="21">
        <f>EXP(-LN(2)/2)*CM144+(1-EXP(-LN(2)/2))/(LN(2)/2)*CG145*CJ145*VLOOKUP('Données projet'!$B$12,Paramètres!$A$1:$I$89,3,0)*0.475*44/12</f>
        <v>4.5133464147189053E-16</v>
      </c>
      <c r="CN145" s="22">
        <f t="shared" si="120"/>
        <v>1.8491614458376646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210.04871822652808</v>
      </c>
      <c r="CZ145" s="59">
        <f t="shared" si="150"/>
        <v>250.17540614049324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0.79448471288751643</v>
      </c>
      <c r="DG145" s="21">
        <f>EXP(-LN(2)/25)*DG144+(1-EXP(-LN(2)/25))/(LN(2)/25)*Calculateur!DB145*Calculateur!DD145*VLOOKUP('Données projet'!$B$13,Paramètres!$A$1:$I$89,3,0)*0.475*44/12</f>
        <v>1.2471249312508725</v>
      </c>
      <c r="DH145" s="21">
        <f>EXP(-LN(2)/2)*DH144+(1-EXP(-LN(2)/2))/(LN(2)/2)*DB145*DE145*VLOOKUP('Données projet'!$B$13,Paramètres!$A$1:$I$89,3,0)*0.475*44/12</f>
        <v>2.9912029433020879E-16</v>
      </c>
      <c r="DI145" s="22">
        <f t="shared" si="123"/>
        <v>2.0416096441383895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-5.1159076974727213E-13</v>
      </c>
      <c r="DP145" s="17">
        <f>DO145*VLOOKUP('Données projet'!$B$14,Paramètres!$A$1:$I$89,3,0)*VLOOKUP('Données projet'!$B$14,Paramètres!$A$1:$I$89,5,0)</f>
        <v>-3.7509835237869992E-13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234.09142087023463</v>
      </c>
      <c r="DU145" s="59">
        <f t="shared" si="152"/>
        <v>278.990685815294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0.26548505369472114</v>
      </c>
      <c r="EB145" s="21">
        <f>EXP(-LN(2)/25)*EB144+(1-EXP(-LN(2)/25))/(LN(2)/25)*Calculateur!DW145*Calculateur!DY145*VLOOKUP('Données projet'!$B$14,Paramètres!$A$1:$I$89,3,0)*0.475*44/12</f>
        <v>0.6875033765855999</v>
      </c>
      <c r="EC145" s="21">
        <f>EXP(-LN(2)/2)*EC144+(1-EXP(-LN(2)/2))/(LN(2)/2)*DW145*DZ145*VLOOKUP('Données projet'!$B$14,Paramètres!$A$1:$I$89,3,0)*0.475*44/12</f>
        <v>3.0744323478105785E-16</v>
      </c>
      <c r="ED145" s="22">
        <f t="shared" si="126"/>
        <v>0.95298843028032143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259.30247982593914</v>
      </c>
      <c r="T146" s="59">
        <f t="shared" si="142"/>
        <v>275.24740346220779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0.78598220973729216</v>
      </c>
      <c r="AB146" s="21">
        <f>EXP(-LN(2)/2)*AB145+(1-EXP(-LN(2)/2))/(LN(2)/2)*V146*Y146*VLOOKUP('Données projet'!$B$9,Paramètres!$A$1:$I$89,3,0)*0.475*44/12</f>
        <v>2.8144368715031982E-16</v>
      </c>
      <c r="AC146" s="22">
        <f t="shared" si="111"/>
        <v>0.78598220973729249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7.9580786405131221E-13</v>
      </c>
      <c r="AJ146" s="13">
        <f>AI146*VLOOKUP('Données projet'!$B$10,Paramètres!$A$1:$I$89,3,0)*VLOOKUP('Données projet'!$B$10,Paramètres!$A$1:$I$89,5,0)</f>
        <v>3.8278358260868117E-13</v>
      </c>
      <c r="AK146" s="13">
        <f t="shared" si="143"/>
        <v>4.9186917125089072E-12</v>
      </c>
      <c r="AL146" s="20">
        <f t="shared" si="112"/>
        <v>9.2334028056631319E-12</v>
      </c>
      <c r="AM146" s="59">
        <f t="shared" si="113"/>
        <v>293.33333333334252</v>
      </c>
      <c r="AN146" s="59">
        <f ca="1">AVERAGE(OFFSET($AM$3,0,0,'Données projet'!$E$10+1,1))-AVERAGE(OFFSET($H$3,0,0,'Données projet'!$E$10+1,1))</f>
        <v>297.21955661193238</v>
      </c>
      <c r="AO146" s="59">
        <f t="shared" si="144"/>
        <v>273.69206144662144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0.71885369244452768</v>
      </c>
      <c r="AV146" s="21">
        <f>EXP(-LN(2)/25)*AV145+(1-EXP(-LN(2)/25))/(LN(2)/25)*Calculateur!AQ146*Calculateur!AS146*VLOOKUP('Données projet'!$B$10,Paramètres!$A$1:$I$89,3,0)*0.475*44/12</f>
        <v>0.5850573074650649</v>
      </c>
      <c r="AW146" s="21">
        <f>EXP(-LN(2)/2)*AW145+(1-EXP(-LN(2)/2))/(LN(2)/2)*AQ146*AT146*VLOOKUP('Données projet'!$B$10,Paramètres!$A$1:$I$89,3,0)*0.475*44/12</f>
        <v>2.0521877219222124E-16</v>
      </c>
      <c r="AX146" s="21">
        <f t="shared" si="114"/>
        <v>1.3039109999095928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3.6357050703372803E-14</v>
      </c>
      <c r="BF146" s="13">
        <f t="shared" si="145"/>
        <v>6.1445232567661395E-13</v>
      </c>
      <c r="BG146" s="20">
        <f t="shared" si="115"/>
        <v>1.1334929971951436E-12</v>
      </c>
      <c r="BH146" s="59">
        <f t="shared" si="116"/>
        <v>293.33333333333445</v>
      </c>
      <c r="BI146" s="59">
        <f ca="1">AVERAGE(OFFSET($BH$3,0,0,'Données projet'!$E$11+1,1))-AVERAGE(OFFSET($H$3,0,0,'Données projet'!$E$11+1,1))</f>
        <v>176.90404027101607</v>
      </c>
      <c r="BJ146" s="59">
        <f t="shared" si="146"/>
        <v>295.34177980841878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0.18924735583692173</v>
      </c>
      <c r="BQ146" s="21">
        <f>EXP(-LN(2)/25)*BQ145+(1-EXP(-LN(2)/25))/(LN(2)/25)*Calculateur!BL146*Calculateur!BN146*VLOOKUP('Données projet'!$B$11,Paramètres!$A$1:$I$89,3,0)*0.475*44/12</f>
        <v>0.3591688006859336</v>
      </c>
      <c r="BR146" s="21">
        <f>EXP(-LN(2)/2)*BR145+(1-EXP(-LN(2)/2))/(LN(2)/2)*BL146*BO146*VLOOKUP('Données projet'!$B$11,Paramètres!$A$1:$I$89,3,0)*0.475*44/12</f>
        <v>3.3072523401193821E-19</v>
      </c>
      <c r="BS146" s="22">
        <f t="shared" si="117"/>
        <v>0.54841615652285536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-5.6843418860808015E-13</v>
      </c>
      <c r="BZ146" s="13">
        <f>BY146*VLOOKUP('Données projet'!$B$12,Paramètres!$A$1:$I$89,3,0)*VLOOKUP('Données projet'!$B$12,Paramètres!$A$1:$I$89,5,0)</f>
        <v>-3.177547114319168E-13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326.31232746914907</v>
      </c>
      <c r="CE146" s="59">
        <f t="shared" si="148"/>
        <v>330.17137761430297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0.48733099420225889</v>
      </c>
      <c r="CL146" s="21">
        <f>EXP(-LN(2)/25)*CL145+(1-EXP(-LN(2)/25))/(LN(2)/25)*Calculateur!CG146*Calculateur!CI146*VLOOKUP('Données projet'!$B$12,Paramètres!$A$1:$I$89,3,0)*0.475*44/12</f>
        <v>1.315110265395582</v>
      </c>
      <c r="CM146" s="21">
        <f>EXP(-LN(2)/2)*CM145+(1-EXP(-LN(2)/2))/(LN(2)/2)*CG146*CJ146*VLOOKUP('Données projet'!$B$12,Paramètres!$A$1:$I$89,3,0)*0.475*44/12</f>
        <v>3.1914178556917297E-16</v>
      </c>
      <c r="CN146" s="22">
        <f t="shared" si="120"/>
        <v>1.8024412595978412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210.04871822652808</v>
      </c>
      <c r="CZ146" s="59">
        <f t="shared" si="150"/>
        <v>250.17540614049324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0.77890535225561797</v>
      </c>
      <c r="DG146" s="21">
        <f>EXP(-LN(2)/25)*DG145+(1-EXP(-LN(2)/25))/(LN(2)/25)*Calculateur!DB146*Calculateur!DD146*VLOOKUP('Données projet'!$B$13,Paramètres!$A$1:$I$89,3,0)*0.475*44/12</f>
        <v>1.2130222344223676</v>
      </c>
      <c r="DH146" s="21">
        <f>EXP(-LN(2)/2)*DH145+(1-EXP(-LN(2)/2))/(LN(2)/2)*DB146*DE146*VLOOKUP('Données projet'!$B$13,Paramètres!$A$1:$I$89,3,0)*0.475*44/12</f>
        <v>2.1150998851140664E-16</v>
      </c>
      <c r="DI146" s="22">
        <f t="shared" si="123"/>
        <v>1.9919275866779858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-5.1159076974727213E-13</v>
      </c>
      <c r="DP146" s="17">
        <f>DO146*VLOOKUP('Données projet'!$B$14,Paramètres!$A$1:$I$89,3,0)*VLOOKUP('Données projet'!$B$14,Paramètres!$A$1:$I$89,5,0)</f>
        <v>-3.7509835237869992E-13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234.09142087023463</v>
      </c>
      <c r="DU146" s="59">
        <f t="shared" si="152"/>
        <v>278.990685815294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0.26027905372166116</v>
      </c>
      <c r="EB146" s="21">
        <f>EXP(-LN(2)/25)*EB145+(1-EXP(-LN(2)/25))/(LN(2)/25)*Calculateur!DW146*Calculateur!DY146*VLOOKUP('Données projet'!$B$14,Paramètres!$A$1:$I$89,3,0)*0.475*44/12</f>
        <v>0.66870356059863545</v>
      </c>
      <c r="EC146" s="21">
        <f>EXP(-LN(2)/2)*EC145+(1-EXP(-LN(2)/2))/(LN(2)/2)*DW146*DZ146*VLOOKUP('Données projet'!$B$14,Paramètres!$A$1:$I$89,3,0)*0.475*44/12</f>
        <v>2.1739519614361384E-16</v>
      </c>
      <c r="ED146" s="22">
        <f t="shared" si="126"/>
        <v>0.92898261432029683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259.30247982593914</v>
      </c>
      <c r="T147" s="59">
        <f t="shared" si="142"/>
        <v>275.24740346220779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0.76448948487901791</v>
      </c>
      <c r="AB147" s="21">
        <f>EXP(-LN(2)/2)*AB146+(1-EXP(-LN(2)/2))/(LN(2)/2)*V147*Y147*VLOOKUP('Données projet'!$B$9,Paramètres!$A$1:$I$89,3,0)*0.475*44/12</f>
        <v>1.9901073970613634E-16</v>
      </c>
      <c r="AC147" s="22">
        <f t="shared" si="111"/>
        <v>0.76448948487901813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7.9580786405131221E-13</v>
      </c>
      <c r="AJ147" s="13">
        <f>AI147*VLOOKUP('Données projet'!$B$10,Paramètres!$A$1:$I$89,3,0)*VLOOKUP('Données projet'!$B$10,Paramètres!$A$1:$I$89,5,0)</f>
        <v>3.8278358260868117E-13</v>
      </c>
      <c r="AK147" s="13">
        <f t="shared" si="143"/>
        <v>4.9186917125089072E-12</v>
      </c>
      <c r="AL147" s="20">
        <f t="shared" si="112"/>
        <v>9.2334028056631319E-12</v>
      </c>
      <c r="AM147" s="59">
        <f t="shared" si="113"/>
        <v>293.33333333334252</v>
      </c>
      <c r="AN147" s="59">
        <f ca="1">AVERAGE(OFFSET($AM$3,0,0,'Données projet'!$E$10+1,1))-AVERAGE(OFFSET($H$3,0,0,'Données projet'!$E$10+1,1))</f>
        <v>297.21955661193238</v>
      </c>
      <c r="AO147" s="59">
        <f t="shared" si="144"/>
        <v>273.69206144662144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0.70475740999314884</v>
      </c>
      <c r="AV147" s="21">
        <f>EXP(-LN(2)/25)*AV146+(1-EXP(-LN(2)/25))/(LN(2)/25)*Calculateur!AQ147*Calculateur!AS147*VLOOKUP('Données projet'!$B$10,Paramètres!$A$1:$I$89,3,0)*0.475*44/12</f>
        <v>0.56905888462560605</v>
      </c>
      <c r="AW147" s="21">
        <f>EXP(-LN(2)/2)*AW146+(1-EXP(-LN(2)/2))/(LN(2)/2)*AQ147*AT147*VLOOKUP('Données projet'!$B$10,Paramètres!$A$1:$I$89,3,0)*0.475*44/12</f>
        <v>1.4511158544389693E-16</v>
      </c>
      <c r="AX147" s="21">
        <f t="shared" si="114"/>
        <v>1.273816294618755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3.6357050703372803E-14</v>
      </c>
      <c r="BF147" s="13">
        <f t="shared" si="145"/>
        <v>6.1445232567661395E-13</v>
      </c>
      <c r="BG147" s="20">
        <f t="shared" si="115"/>
        <v>1.1334929971951436E-12</v>
      </c>
      <c r="BH147" s="59">
        <f t="shared" si="116"/>
        <v>293.33333333333445</v>
      </c>
      <c r="BI147" s="59">
        <f ca="1">AVERAGE(OFFSET($BH$3,0,0,'Données projet'!$E$11+1,1))-AVERAGE(OFFSET($H$3,0,0,'Données projet'!$E$11+1,1))</f>
        <v>176.90404027101607</v>
      </c>
      <c r="BJ147" s="59">
        <f t="shared" si="146"/>
        <v>295.34177980841878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0.18553633061844904</v>
      </c>
      <c r="BQ147" s="21">
        <f>EXP(-LN(2)/25)*BQ146+(1-EXP(-LN(2)/25))/(LN(2)/25)*Calculateur!BL147*Calculateur!BN147*VLOOKUP('Données projet'!$B$11,Paramètres!$A$1:$I$89,3,0)*0.475*44/12</f>
        <v>0.3493473109433104</v>
      </c>
      <c r="BR147" s="21">
        <f>EXP(-LN(2)/2)*BR146+(1-EXP(-LN(2)/2))/(LN(2)/2)*BL147*BO147*VLOOKUP('Données projet'!$B$11,Paramètres!$A$1:$I$89,3,0)*0.475*44/12</f>
        <v>2.3385805567934931E-19</v>
      </c>
      <c r="BS147" s="22">
        <f t="shared" si="117"/>
        <v>0.53488364156175949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-5.6843418860808015E-13</v>
      </c>
      <c r="BZ147" s="13">
        <f>BY147*VLOOKUP('Données projet'!$B$12,Paramètres!$A$1:$I$89,3,0)*VLOOKUP('Données projet'!$B$12,Paramètres!$A$1:$I$89,5,0)</f>
        <v>-3.177547114319168E-13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326.31232746914907</v>
      </c>
      <c r="CE147" s="59">
        <f t="shared" si="148"/>
        <v>330.17137761430297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0.47777473064850878</v>
      </c>
      <c r="CL147" s="21">
        <f>EXP(-LN(2)/25)*CL146+(1-EXP(-LN(2)/25))/(LN(2)/25)*Calculateur!CG147*Calculateur!CI147*VLOOKUP('Données projet'!$B$12,Paramètres!$A$1:$I$89,3,0)*0.475*44/12</f>
        <v>1.2791485060296965</v>
      </c>
      <c r="CM147" s="21">
        <f>EXP(-LN(2)/2)*CM146+(1-EXP(-LN(2)/2))/(LN(2)/2)*CG147*CJ147*VLOOKUP('Données projet'!$B$12,Paramètres!$A$1:$I$89,3,0)*0.475*44/12</f>
        <v>2.2566732073594527E-16</v>
      </c>
      <c r="CN147" s="22">
        <f t="shared" si="120"/>
        <v>1.7569232366782055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210.04871822652808</v>
      </c>
      <c r="CZ147" s="59">
        <f t="shared" si="150"/>
        <v>250.17540614049324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0.76363149338323943</v>
      </c>
      <c r="DG147" s="21">
        <f>EXP(-LN(2)/25)*DG146+(1-EXP(-LN(2)/25))/(LN(2)/25)*Calculateur!DB147*Calculateur!DD147*VLOOKUP('Données projet'!$B$13,Paramètres!$A$1:$I$89,3,0)*0.475*44/12</f>
        <v>1.1798520776320209</v>
      </c>
      <c r="DH147" s="21">
        <f>EXP(-LN(2)/2)*DH146+(1-EXP(-LN(2)/2))/(LN(2)/2)*DB147*DE147*VLOOKUP('Données projet'!$B$13,Paramètres!$A$1:$I$89,3,0)*0.475*44/12</f>
        <v>1.4956014716510439E-16</v>
      </c>
      <c r="DI147" s="22">
        <f t="shared" si="123"/>
        <v>1.9434835710152607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-5.1159076974727213E-13</v>
      </c>
      <c r="DP147" s="17">
        <f>DO147*VLOOKUP('Données projet'!$B$14,Paramètres!$A$1:$I$89,3,0)*VLOOKUP('Données projet'!$B$14,Paramètres!$A$1:$I$89,5,0)</f>
        <v>-3.7509835237869992E-13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234.09142087023463</v>
      </c>
      <c r="DU147" s="59">
        <f t="shared" si="152"/>
        <v>278.990685815294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0.25517514023272642</v>
      </c>
      <c r="EB147" s="21">
        <f>EXP(-LN(2)/25)*EB146+(1-EXP(-LN(2)/25))/(LN(2)/25)*Calculateur!DW147*Calculateur!DY147*VLOOKUP('Données projet'!$B$14,Paramètres!$A$1:$I$89,3,0)*0.475*44/12</f>
        <v>0.6504178265684738</v>
      </c>
      <c r="EC147" s="21">
        <f>EXP(-LN(2)/2)*EC146+(1-EXP(-LN(2)/2))/(LN(2)/2)*DW147*DZ147*VLOOKUP('Données projet'!$B$14,Paramètres!$A$1:$I$89,3,0)*0.475*44/12</f>
        <v>1.5372161739052895E-16</v>
      </c>
      <c r="ED147" s="22">
        <f t="shared" si="126"/>
        <v>0.90559296680120027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259.30247982593914</v>
      </c>
      <c r="T148" s="59">
        <f t="shared" si="142"/>
        <v>275.24740346220779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0.74358447971224639</v>
      </c>
      <c r="AB148" s="21">
        <f>EXP(-LN(2)/2)*AB147+(1-EXP(-LN(2)/2))/(LN(2)/2)*V148*Y148*VLOOKUP('Données projet'!$B$9,Paramètres!$A$1:$I$89,3,0)*0.475*44/12</f>
        <v>1.4072184357515991E-16</v>
      </c>
      <c r="AC148" s="22">
        <f t="shared" si="111"/>
        <v>0.7435844797122465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7.9580786405131221E-13</v>
      </c>
      <c r="AJ148" s="13">
        <f>AI148*VLOOKUP('Données projet'!$B$10,Paramètres!$A$1:$I$89,3,0)*VLOOKUP('Données projet'!$B$10,Paramètres!$A$1:$I$89,5,0)</f>
        <v>3.8278358260868117E-13</v>
      </c>
      <c r="AK148" s="13">
        <f t="shared" si="143"/>
        <v>4.9186917125089072E-12</v>
      </c>
      <c r="AL148" s="20">
        <f t="shared" si="112"/>
        <v>9.2334028056631319E-12</v>
      </c>
      <c r="AM148" s="59">
        <f t="shared" si="113"/>
        <v>293.33333333334252</v>
      </c>
      <c r="AN148" s="59">
        <f ca="1">AVERAGE(OFFSET($AM$3,0,0,'Données projet'!$E$10+1,1))-AVERAGE(OFFSET($H$3,0,0,'Données projet'!$E$10+1,1))</f>
        <v>297.21955661193238</v>
      </c>
      <c r="AO148" s="59">
        <f t="shared" si="144"/>
        <v>273.69206144662144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0.69093754704275823</v>
      </c>
      <c r="AV148" s="21">
        <f>EXP(-LN(2)/25)*AV147+(1-EXP(-LN(2)/25))/(LN(2)/25)*Calculateur!AQ148*Calculateur!AS148*VLOOKUP('Données projet'!$B$10,Paramètres!$A$1:$I$89,3,0)*0.475*44/12</f>
        <v>0.55349793950001269</v>
      </c>
      <c r="AW148" s="21">
        <f>EXP(-LN(2)/2)*AW147+(1-EXP(-LN(2)/2))/(LN(2)/2)*AQ148*AT148*VLOOKUP('Données projet'!$B$10,Paramètres!$A$1:$I$89,3,0)*0.475*44/12</f>
        <v>1.0260938609611062E-16</v>
      </c>
      <c r="AX148" s="21">
        <f t="shared" si="114"/>
        <v>1.2444354865427709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3.6357050703372803E-14</v>
      </c>
      <c r="BF148" s="13">
        <f t="shared" si="145"/>
        <v>6.1445232567661395E-13</v>
      </c>
      <c r="BG148" s="20">
        <f t="shared" si="115"/>
        <v>1.1334929971951436E-12</v>
      </c>
      <c r="BH148" s="59">
        <f t="shared" si="116"/>
        <v>293.33333333333445</v>
      </c>
      <c r="BI148" s="59">
        <f ca="1">AVERAGE(OFFSET($BH$3,0,0,'Données projet'!$E$11+1,1))-AVERAGE(OFFSET($H$3,0,0,'Données projet'!$E$11+1,1))</f>
        <v>176.90404027101607</v>
      </c>
      <c r="BJ148" s="59">
        <f t="shared" si="146"/>
        <v>295.34177980841878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0.18189807634100871</v>
      </c>
      <c r="BQ148" s="21">
        <f>EXP(-LN(2)/25)*BQ147+(1-EXP(-LN(2)/25))/(LN(2)/25)*Calculateur!BL148*Calculateur!BN148*VLOOKUP('Données projet'!$B$11,Paramètres!$A$1:$I$89,3,0)*0.475*44/12</f>
        <v>0.33979439035418896</v>
      </c>
      <c r="BR148" s="21">
        <f>EXP(-LN(2)/2)*BR147+(1-EXP(-LN(2)/2))/(LN(2)/2)*BL148*BO148*VLOOKUP('Données projet'!$B$11,Paramètres!$A$1:$I$89,3,0)*0.475*44/12</f>
        <v>1.6536261700596911E-19</v>
      </c>
      <c r="BS148" s="22">
        <f t="shared" si="117"/>
        <v>0.52169246669519764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-5.6843418860808015E-13</v>
      </c>
      <c r="BZ148" s="13">
        <f>BY148*VLOOKUP('Données projet'!$B$12,Paramètres!$A$1:$I$89,3,0)*VLOOKUP('Données projet'!$B$12,Paramètres!$A$1:$I$89,5,0)</f>
        <v>-3.177547114319168E-13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326.31232746914907</v>
      </c>
      <c r="CE148" s="59">
        <f t="shared" si="148"/>
        <v>330.17137761430297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0.46840585959430248</v>
      </c>
      <c r="CL148" s="21">
        <f>EXP(-LN(2)/25)*CL147+(1-EXP(-LN(2)/25))/(LN(2)/25)*Calculateur!CG148*Calculateur!CI148*VLOOKUP('Données projet'!$B$12,Paramètres!$A$1:$I$89,3,0)*0.475*44/12</f>
        <v>1.2441701228648181</v>
      </c>
      <c r="CM148" s="21">
        <f>EXP(-LN(2)/2)*CM147+(1-EXP(-LN(2)/2))/(LN(2)/2)*CG148*CJ148*VLOOKUP('Données projet'!$B$12,Paramètres!$A$1:$I$89,3,0)*0.475*44/12</f>
        <v>1.5957089278458649E-16</v>
      </c>
      <c r="CN148" s="22">
        <f t="shared" si="120"/>
        <v>1.7125759824591207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210.04871822652808</v>
      </c>
      <c r="CZ148" s="59">
        <f t="shared" si="150"/>
        <v>250.17540614049324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0.74865714556721419</v>
      </c>
      <c r="DG148" s="21">
        <f>EXP(-LN(2)/25)*DG147+(1-EXP(-LN(2)/25))/(LN(2)/25)*Calculateur!DB148*Calculateur!DD148*VLOOKUP('Données projet'!$B$13,Paramètres!$A$1:$I$89,3,0)*0.475*44/12</f>
        <v>1.1475889605234491</v>
      </c>
      <c r="DH148" s="21">
        <f>EXP(-LN(2)/2)*DH147+(1-EXP(-LN(2)/2))/(LN(2)/2)*DB148*DE148*VLOOKUP('Données projet'!$B$13,Paramètres!$A$1:$I$89,3,0)*0.475*44/12</f>
        <v>1.0575499425570332E-16</v>
      </c>
      <c r="DI148" s="22">
        <f t="shared" si="123"/>
        <v>1.8962461060906632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-5.1159076974727213E-13</v>
      </c>
      <c r="DP148" s="17">
        <f>DO148*VLOOKUP('Données projet'!$B$14,Paramètres!$A$1:$I$89,3,0)*VLOOKUP('Données projet'!$B$14,Paramètres!$A$1:$I$89,5,0)</f>
        <v>-3.7509835237869992E-13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234.09142087023463</v>
      </c>
      <c r="DU148" s="59">
        <f t="shared" si="152"/>
        <v>278.990685815294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0.25017131137422988</v>
      </c>
      <c r="EB148" s="21">
        <f>EXP(-LN(2)/25)*EB147+(1-EXP(-LN(2)/25))/(LN(2)/25)*Calculateur!DW148*Calculateur!DY148*VLOOKUP('Données projet'!$B$14,Paramètres!$A$1:$I$89,3,0)*0.475*44/12</f>
        <v>0.63263211689697196</v>
      </c>
      <c r="EC148" s="21">
        <f>EXP(-LN(2)/2)*EC147+(1-EXP(-LN(2)/2))/(LN(2)/2)*DW148*DZ148*VLOOKUP('Données projet'!$B$14,Paramètres!$A$1:$I$89,3,0)*0.475*44/12</f>
        <v>1.0869759807180693E-16</v>
      </c>
      <c r="ED148" s="22">
        <f t="shared" si="126"/>
        <v>0.88280342827120195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259.30247982593914</v>
      </c>
      <c r="T149" s="59">
        <f t="shared" si="142"/>
        <v>275.24740346220779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0.72325112301110672</v>
      </c>
      <c r="AB149" s="21">
        <f>EXP(-LN(2)/2)*AB148+(1-EXP(-LN(2)/2))/(LN(2)/2)*V149*Y149*VLOOKUP('Données projet'!$B$9,Paramètres!$A$1:$I$89,3,0)*0.475*44/12</f>
        <v>9.950536985306817E-17</v>
      </c>
      <c r="AC149" s="22">
        <f t="shared" si="111"/>
        <v>0.72325112301110683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7.9580786405131221E-13</v>
      </c>
      <c r="AJ149" s="13">
        <f>AI149*VLOOKUP('Données projet'!$B$10,Paramètres!$A$1:$I$89,3,0)*VLOOKUP('Données projet'!$B$10,Paramètres!$A$1:$I$89,5,0)</f>
        <v>3.8278358260868117E-13</v>
      </c>
      <c r="AK149" s="13">
        <f t="shared" si="143"/>
        <v>4.9186917125089072E-12</v>
      </c>
      <c r="AL149" s="20">
        <f t="shared" si="112"/>
        <v>9.2334028056631319E-12</v>
      </c>
      <c r="AM149" s="59">
        <f t="shared" si="113"/>
        <v>293.33333333334252</v>
      </c>
      <c r="AN149" s="59">
        <f ca="1">AVERAGE(OFFSET($AM$3,0,0,'Données projet'!$E$10+1,1))-AVERAGE(OFFSET($H$3,0,0,'Données projet'!$E$10+1,1))</f>
        <v>297.21955661193238</v>
      </c>
      <c r="AO149" s="59">
        <f t="shared" si="144"/>
        <v>273.69206144662144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0.67738868317554068</v>
      </c>
      <c r="AV149" s="21">
        <f>EXP(-LN(2)/25)*AV148+(1-EXP(-LN(2)/25))/(LN(2)/25)*Calculateur!AQ149*Calculateur!AS149*VLOOKUP('Données projet'!$B$10,Paramètres!$A$1:$I$89,3,0)*0.475*44/12</f>
        <v>0.5383625092371932</v>
      </c>
      <c r="AW149" s="21">
        <f>EXP(-LN(2)/2)*AW148+(1-EXP(-LN(2)/2))/(LN(2)/2)*AQ149*AT149*VLOOKUP('Données projet'!$B$10,Paramètres!$A$1:$I$89,3,0)*0.475*44/12</f>
        <v>7.2555792721948464E-17</v>
      </c>
      <c r="AX149" s="21">
        <f t="shared" si="114"/>
        <v>1.2157511924127338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3.6357050703372803E-14</v>
      </c>
      <c r="BF149" s="13">
        <f t="shared" si="145"/>
        <v>6.1445232567661395E-13</v>
      </c>
      <c r="BG149" s="20">
        <f t="shared" si="115"/>
        <v>1.1334929971951436E-12</v>
      </c>
      <c r="BH149" s="59">
        <f t="shared" si="116"/>
        <v>293.33333333333445</v>
      </c>
      <c r="BI149" s="59">
        <f ca="1">AVERAGE(OFFSET($BH$3,0,0,'Données projet'!$E$11+1,1))-AVERAGE(OFFSET($H$3,0,0,'Données projet'!$E$11+1,1))</f>
        <v>176.90404027101607</v>
      </c>
      <c r="BJ149" s="59">
        <f t="shared" si="146"/>
        <v>295.34177980841878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0.17833116601083301</v>
      </c>
      <c r="BQ149" s="21">
        <f>EXP(-LN(2)/25)*BQ148+(1-EXP(-LN(2)/25))/(LN(2)/25)*Calculateur!BL149*Calculateur!BN149*VLOOKUP('Données projet'!$B$11,Paramètres!$A$1:$I$89,3,0)*0.475*44/12</f>
        <v>0.3305026948809433</v>
      </c>
      <c r="BR149" s="21">
        <f>EXP(-LN(2)/2)*BR148+(1-EXP(-LN(2)/2))/(LN(2)/2)*BL149*BO149*VLOOKUP('Données projet'!$B$11,Paramètres!$A$1:$I$89,3,0)*0.475*44/12</f>
        <v>1.1692902783967466E-19</v>
      </c>
      <c r="BS149" s="22">
        <f t="shared" si="117"/>
        <v>0.50883386089177629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-5.6843418860808015E-13</v>
      </c>
      <c r="BZ149" s="13">
        <f>BY149*VLOOKUP('Données projet'!$B$12,Paramètres!$A$1:$I$89,3,0)*VLOOKUP('Données projet'!$B$12,Paramètres!$A$1:$I$89,5,0)</f>
        <v>-3.177547114319168E-13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326.31232746914907</v>
      </c>
      <c r="CE149" s="59">
        <f t="shared" si="148"/>
        <v>330.17137761430297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0.45922070638702212</v>
      </c>
      <c r="CL149" s="21">
        <f>EXP(-LN(2)/25)*CL148+(1-EXP(-LN(2)/25))/(LN(2)/25)*Calculateur!CG149*Calculateur!CI149*VLOOKUP('Données projet'!$B$12,Paramètres!$A$1:$I$89,3,0)*0.475*44/12</f>
        <v>1.2101482254270164</v>
      </c>
      <c r="CM149" s="21">
        <f>EXP(-LN(2)/2)*CM148+(1-EXP(-LN(2)/2))/(LN(2)/2)*CG149*CJ149*VLOOKUP('Données projet'!$B$12,Paramètres!$A$1:$I$89,3,0)*0.475*44/12</f>
        <v>1.1283366036797263E-16</v>
      </c>
      <c r="CN149" s="22">
        <f t="shared" si="120"/>
        <v>1.6693689318140388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210.04871822652808</v>
      </c>
      <c r="CZ149" s="59">
        <f t="shared" si="150"/>
        <v>250.17540614049324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0.73397643557841086</v>
      </c>
      <c r="DG149" s="21">
        <f>EXP(-LN(2)/25)*DG148+(1-EXP(-LN(2)/25))/(LN(2)/25)*Calculateur!DB149*Calculateur!DD149*VLOOKUP('Données projet'!$B$13,Paramètres!$A$1:$I$89,3,0)*0.475*44/12</f>
        <v>1.1162080800488547</v>
      </c>
      <c r="DH149" s="21">
        <f>EXP(-LN(2)/2)*DH148+(1-EXP(-LN(2)/2))/(LN(2)/2)*DB149*DE149*VLOOKUP('Données projet'!$B$13,Paramètres!$A$1:$I$89,3,0)*0.475*44/12</f>
        <v>7.4780073582552197E-17</v>
      </c>
      <c r="DI149" s="22">
        <f t="shared" si="123"/>
        <v>1.8501845156272656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-5.1159076974727213E-13</v>
      </c>
      <c r="DP149" s="17">
        <f>DO149*VLOOKUP('Données projet'!$B$14,Paramètres!$A$1:$I$89,3,0)*VLOOKUP('Données projet'!$B$14,Paramètres!$A$1:$I$89,5,0)</f>
        <v>-3.7509835237869992E-13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234.09142087023463</v>
      </c>
      <c r="DU149" s="59">
        <f t="shared" si="152"/>
        <v>278.990685815294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0.2452656045476142</v>
      </c>
      <c r="EB149" s="21">
        <f>EXP(-LN(2)/25)*EB148+(1-EXP(-LN(2)/25))/(LN(2)/25)*Calculateur!DW149*Calculateur!DY149*VLOOKUP('Données projet'!$B$14,Paramètres!$A$1:$I$89,3,0)*0.475*44/12</f>
        <v>0.61533275839174717</v>
      </c>
      <c r="EC149" s="21">
        <f>EXP(-LN(2)/2)*EC148+(1-EXP(-LN(2)/2))/(LN(2)/2)*DW149*DZ149*VLOOKUP('Données projet'!$B$14,Paramètres!$A$1:$I$89,3,0)*0.475*44/12</f>
        <v>7.6860808695264487E-17</v>
      </c>
      <c r="ED149" s="22">
        <f t="shared" si="126"/>
        <v>0.86059836293936154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259.30247982593914</v>
      </c>
      <c r="T150" s="59">
        <f t="shared" si="142"/>
        <v>275.24740346220779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0.70347378301824448</v>
      </c>
      <c r="AB150" s="21">
        <f>EXP(-LN(2)/2)*AB149+(1-EXP(-LN(2)/2))/(LN(2)/2)*V150*Y150*VLOOKUP('Données projet'!$B$9,Paramètres!$A$1:$I$89,3,0)*0.475*44/12</f>
        <v>7.0360921787579956E-17</v>
      </c>
      <c r="AC150" s="22">
        <f t="shared" si="111"/>
        <v>0.70347378301824459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7.9580786405131221E-13</v>
      </c>
      <c r="AJ150" s="13">
        <f>AI150*VLOOKUP('Données projet'!$B$10,Paramètres!$A$1:$I$89,3,0)*VLOOKUP('Données projet'!$B$10,Paramètres!$A$1:$I$89,5,0)</f>
        <v>3.8278358260868117E-13</v>
      </c>
      <c r="AK150" s="13">
        <f t="shared" si="143"/>
        <v>4.9186917125089072E-12</v>
      </c>
      <c r="AL150" s="20">
        <f t="shared" si="112"/>
        <v>9.2334028056631319E-12</v>
      </c>
      <c r="AM150" s="59">
        <f t="shared" si="113"/>
        <v>293.33333333334252</v>
      </c>
      <c r="AN150" s="59">
        <f ca="1">AVERAGE(OFFSET($AM$3,0,0,'Données projet'!$E$10+1,1))-AVERAGE(OFFSET($H$3,0,0,'Données projet'!$E$10+1,1))</f>
        <v>297.21955661193238</v>
      </c>
      <c r="AO150" s="59">
        <f t="shared" si="144"/>
        <v>273.69206144662144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0.66410550426476833</v>
      </c>
      <c r="AV150" s="21">
        <f>EXP(-LN(2)/25)*AV149+(1-EXP(-LN(2)/25))/(LN(2)/25)*Calculateur!AQ150*Calculateur!AS150*VLOOKUP('Données projet'!$B$10,Paramètres!$A$1:$I$89,3,0)*0.475*44/12</f>
        <v>0.52364095811084821</v>
      </c>
      <c r="AW150" s="21">
        <f>EXP(-LN(2)/2)*AW149+(1-EXP(-LN(2)/2))/(LN(2)/2)*AQ150*AT150*VLOOKUP('Données projet'!$B$10,Paramètres!$A$1:$I$89,3,0)*0.475*44/12</f>
        <v>5.1304693048055311E-17</v>
      </c>
      <c r="AX150" s="21">
        <f t="shared" si="114"/>
        <v>1.1877464623756167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3.6357050703372803E-14</v>
      </c>
      <c r="BF150" s="13">
        <f t="shared" si="145"/>
        <v>6.1445232567661395E-13</v>
      </c>
      <c r="BG150" s="20">
        <f t="shared" si="115"/>
        <v>1.1334929971951436E-12</v>
      </c>
      <c r="BH150" s="59">
        <f t="shared" si="116"/>
        <v>293.33333333333445</v>
      </c>
      <c r="BI150" s="59">
        <f ca="1">AVERAGE(OFFSET($BH$3,0,0,'Données projet'!$E$11+1,1))-AVERAGE(OFFSET($H$3,0,0,'Données projet'!$E$11+1,1))</f>
        <v>176.90404027101607</v>
      </c>
      <c r="BJ150" s="59">
        <f t="shared" si="146"/>
        <v>295.34177980841878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0.17483420061663157</v>
      </c>
      <c r="BQ150" s="21">
        <f>EXP(-LN(2)/25)*BQ149+(1-EXP(-LN(2)/25))/(LN(2)/25)*Calculateur!BL150*Calculateur!BN150*VLOOKUP('Données projet'!$B$11,Paramètres!$A$1:$I$89,3,0)*0.475*44/12</f>
        <v>0.32146508130904256</v>
      </c>
      <c r="BR150" s="21">
        <f>EXP(-LN(2)/2)*BR149+(1-EXP(-LN(2)/2))/(LN(2)/2)*BL150*BO150*VLOOKUP('Données projet'!$B$11,Paramètres!$A$1:$I$89,3,0)*0.475*44/12</f>
        <v>8.2681308502984553E-20</v>
      </c>
      <c r="BS150" s="22">
        <f t="shared" si="117"/>
        <v>0.49629928192567413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-5.6843418860808015E-13</v>
      </c>
      <c r="BZ150" s="13">
        <f>BY150*VLOOKUP('Données projet'!$B$12,Paramètres!$A$1:$I$89,3,0)*VLOOKUP('Données projet'!$B$12,Paramètres!$A$1:$I$89,5,0)</f>
        <v>-3.177547114319168E-13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326.31232746914907</v>
      </c>
      <c r="CE150" s="59">
        <f t="shared" si="148"/>
        <v>330.17137761430297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0.45021566843174621</v>
      </c>
      <c r="CL150" s="21">
        <f>EXP(-LN(2)/25)*CL149+(1-EXP(-LN(2)/25))/(LN(2)/25)*Calculateur!CG150*Calculateur!CI150*VLOOKUP('Données projet'!$B$12,Paramètres!$A$1:$I$89,3,0)*0.475*44/12</f>
        <v>1.1770566585637854</v>
      </c>
      <c r="CM150" s="21">
        <f>EXP(-LN(2)/2)*CM149+(1-EXP(-LN(2)/2))/(LN(2)/2)*CG150*CJ150*VLOOKUP('Données projet'!$B$12,Paramètres!$A$1:$I$89,3,0)*0.475*44/12</f>
        <v>7.9785446392293243E-17</v>
      </c>
      <c r="CN150" s="22">
        <f t="shared" si="120"/>
        <v>1.6272723269955316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210.04871822652808</v>
      </c>
      <c r="CZ150" s="59">
        <f t="shared" si="150"/>
        <v>250.17540614049324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0.71958360535813903</v>
      </c>
      <c r="DG150" s="21">
        <f>EXP(-LN(2)/25)*DG149+(1-EXP(-LN(2)/25))/(LN(2)/25)*Calculateur!DB150*Calculateur!DD150*VLOOKUP('Données projet'!$B$13,Paramètres!$A$1:$I$89,3,0)*0.475*44/12</f>
        <v>1.0856853114010869</v>
      </c>
      <c r="DH150" s="21">
        <f>EXP(-LN(2)/2)*DH149+(1-EXP(-LN(2)/2))/(LN(2)/2)*DB150*DE150*VLOOKUP('Données projet'!$B$13,Paramètres!$A$1:$I$89,3,0)*0.475*44/12</f>
        <v>5.287749712785166E-17</v>
      </c>
      <c r="DI150" s="22">
        <f t="shared" si="123"/>
        <v>1.805268916759226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-5.1159076974727213E-13</v>
      </c>
      <c r="DP150" s="17">
        <f>DO150*VLOOKUP('Données projet'!$B$14,Paramètres!$A$1:$I$89,3,0)*VLOOKUP('Données projet'!$B$14,Paramètres!$A$1:$I$89,5,0)</f>
        <v>-3.7509835237869992E-13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234.09142087023463</v>
      </c>
      <c r="DU150" s="59">
        <f t="shared" si="152"/>
        <v>278.990685815294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0.24045609563968276</v>
      </c>
      <c r="EB150" s="21">
        <f>EXP(-LN(2)/25)*EB149+(1-EXP(-LN(2)/25))/(LN(2)/25)*Calculateur!DW150*Calculateur!DY150*VLOOKUP('Données projet'!$B$14,Paramètres!$A$1:$I$89,3,0)*0.475*44/12</f>
        <v>0.59850645175458139</v>
      </c>
      <c r="EC150" s="21">
        <f>EXP(-LN(2)/2)*EC149+(1-EXP(-LN(2)/2))/(LN(2)/2)*DW150*DZ150*VLOOKUP('Données projet'!$B$14,Paramètres!$A$1:$I$89,3,0)*0.475*44/12</f>
        <v>5.4348799035903479E-17</v>
      </c>
      <c r="ED150" s="22">
        <f t="shared" si="126"/>
        <v>0.83896254739426412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259.30247982593914</v>
      </c>
      <c r="T151" s="59">
        <f t="shared" si="142"/>
        <v>275.24740346220779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0.68423725542753211</v>
      </c>
      <c r="AB151" s="21">
        <f>EXP(-LN(2)/2)*AB150+(1-EXP(-LN(2)/2))/(LN(2)/2)*V151*Y151*VLOOKUP('Données projet'!$B$9,Paramètres!$A$1:$I$89,3,0)*0.475*44/12</f>
        <v>4.9752684926534085E-17</v>
      </c>
      <c r="AC151" s="22">
        <f t="shared" si="111"/>
        <v>0.68423725542753211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7.9580786405131221E-13</v>
      </c>
      <c r="AJ151" s="13">
        <f>AI151*VLOOKUP('Données projet'!$B$10,Paramètres!$A$1:$I$89,3,0)*VLOOKUP('Données projet'!$B$10,Paramètres!$A$1:$I$89,5,0)</f>
        <v>3.8278358260868117E-13</v>
      </c>
      <c r="AK151" s="13">
        <f t="shared" si="143"/>
        <v>4.9186917125089072E-12</v>
      </c>
      <c r="AL151" s="20">
        <f t="shared" si="112"/>
        <v>9.2334028056631319E-12</v>
      </c>
      <c r="AM151" s="59">
        <f t="shared" si="113"/>
        <v>293.33333333334252</v>
      </c>
      <c r="AN151" s="59">
        <f ca="1">AVERAGE(OFFSET($AM$3,0,0,'Données projet'!$E$10+1,1))-AVERAGE(OFFSET($H$3,0,0,'Données projet'!$E$10+1,1))</f>
        <v>297.21955661193238</v>
      </c>
      <c r="AO151" s="59">
        <f t="shared" si="144"/>
        <v>273.69206144662144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0.65108280039049704</v>
      </c>
      <c r="AV151" s="21">
        <f>EXP(-LN(2)/25)*AV150+(1-EXP(-LN(2)/25))/(LN(2)/25)*Calculateur!AQ151*Calculateur!AS151*VLOOKUP('Données projet'!$B$10,Paramètres!$A$1:$I$89,3,0)*0.475*44/12</f>
        <v>0.50932196857422585</v>
      </c>
      <c r="AW151" s="21">
        <f>EXP(-LN(2)/2)*AW150+(1-EXP(-LN(2)/2))/(LN(2)/2)*AQ151*AT151*VLOOKUP('Données projet'!$B$10,Paramètres!$A$1:$I$89,3,0)*0.475*44/12</f>
        <v>3.6277896360974232E-17</v>
      </c>
      <c r="AX151" s="21">
        <f t="shared" si="114"/>
        <v>1.1604047689647228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3.6357050703372803E-14</v>
      </c>
      <c r="BF151" s="13">
        <f t="shared" si="145"/>
        <v>6.1445232567661395E-13</v>
      </c>
      <c r="BG151" s="20">
        <f t="shared" si="115"/>
        <v>1.1334929971951436E-12</v>
      </c>
      <c r="BH151" s="59">
        <f t="shared" si="116"/>
        <v>293.33333333333445</v>
      </c>
      <c r="BI151" s="59">
        <f ca="1">AVERAGE(OFFSET($BH$3,0,0,'Données projet'!$E$11+1,1))-AVERAGE(OFFSET($H$3,0,0,'Données projet'!$E$11+1,1))</f>
        <v>176.90404027101607</v>
      </c>
      <c r="BJ151" s="59">
        <f t="shared" si="146"/>
        <v>295.34177980841878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0.17140580858087215</v>
      </c>
      <c r="BQ151" s="21">
        <f>EXP(-LN(2)/25)*BQ150+(1-EXP(-LN(2)/25))/(LN(2)/25)*Calculateur!BL151*Calculateur!BN151*VLOOKUP('Données projet'!$B$11,Paramètres!$A$1:$I$89,3,0)*0.475*44/12</f>
        <v>0.31267460175553285</v>
      </c>
      <c r="BR151" s="21">
        <f>EXP(-LN(2)/2)*BR150+(1-EXP(-LN(2)/2))/(LN(2)/2)*BL151*BO151*VLOOKUP('Données projet'!$B$11,Paramètres!$A$1:$I$89,3,0)*0.475*44/12</f>
        <v>5.8464513919837329E-20</v>
      </c>
      <c r="BS151" s="22">
        <f t="shared" si="117"/>
        <v>0.48408041033640503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-5.6843418860808015E-13</v>
      </c>
      <c r="BZ151" s="13">
        <f>BY151*VLOOKUP('Données projet'!$B$12,Paramètres!$A$1:$I$89,3,0)*VLOOKUP('Données projet'!$B$12,Paramètres!$A$1:$I$89,5,0)</f>
        <v>-3.177547114319168E-13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326.31232746914907</v>
      </c>
      <c r="CE151" s="59">
        <f t="shared" si="148"/>
        <v>330.17137761430297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0.44138721377824247</v>
      </c>
      <c r="CL151" s="21">
        <f>EXP(-LN(2)/25)*CL150+(1-EXP(-LN(2)/25))/(LN(2)/25)*Calculateur!CG151*Calculateur!CI151*VLOOKUP('Données projet'!$B$12,Paramètres!$A$1:$I$89,3,0)*0.475*44/12</f>
        <v>1.1448699823366393</v>
      </c>
      <c r="CM151" s="21">
        <f>EXP(-LN(2)/2)*CM150+(1-EXP(-LN(2)/2))/(LN(2)/2)*CG151*CJ151*VLOOKUP('Données projet'!$B$12,Paramètres!$A$1:$I$89,3,0)*0.475*44/12</f>
        <v>5.6416830183986316E-17</v>
      </c>
      <c r="CN151" s="22">
        <f t="shared" si="120"/>
        <v>1.5862571961148817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210.04871822652808</v>
      </c>
      <c r="CZ151" s="59">
        <f t="shared" si="150"/>
        <v>250.17540614049324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0.70547300975972715</v>
      </c>
      <c r="DG151" s="21">
        <f>EXP(-LN(2)/25)*DG150+(1-EXP(-LN(2)/25))/(LN(2)/25)*Calculateur!DB151*Calculateur!DD151*VLOOKUP('Données projet'!$B$13,Paramètres!$A$1:$I$89,3,0)*0.475*44/12</f>
        <v>1.055997189467115</v>
      </c>
      <c r="DH151" s="21">
        <f>EXP(-LN(2)/2)*DH150+(1-EXP(-LN(2)/2))/(LN(2)/2)*DB151*DE151*VLOOKUP('Données projet'!$B$13,Paramètres!$A$1:$I$89,3,0)*0.475*44/12</f>
        <v>3.7390036791276098E-17</v>
      </c>
      <c r="DI151" s="22">
        <f t="shared" si="123"/>
        <v>1.7614701992268422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-5.1159076974727213E-13</v>
      </c>
      <c r="DP151" s="17">
        <f>DO151*VLOOKUP('Données projet'!$B$14,Paramètres!$A$1:$I$89,3,0)*VLOOKUP('Données projet'!$B$14,Paramètres!$A$1:$I$89,5,0)</f>
        <v>-3.7509835237869992E-13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234.09142087023463</v>
      </c>
      <c r="DU151" s="59">
        <f t="shared" si="152"/>
        <v>278.990685815294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0.23574089826792508</v>
      </c>
      <c r="EB151" s="21">
        <f>EXP(-LN(2)/25)*EB150+(1-EXP(-LN(2)/25))/(LN(2)/25)*Calculateur!DW151*Calculateur!DY151*VLOOKUP('Données projet'!$B$14,Paramètres!$A$1:$I$89,3,0)*0.475*44/12</f>
        <v>0.58214026135726593</v>
      </c>
      <c r="EC151" s="21">
        <f>EXP(-LN(2)/2)*EC150+(1-EXP(-LN(2)/2))/(LN(2)/2)*DW151*DZ151*VLOOKUP('Données projet'!$B$14,Paramètres!$A$1:$I$89,3,0)*0.475*44/12</f>
        <v>3.843040434763225E-17</v>
      </c>
      <c r="ED151" s="22">
        <f t="shared" si="126"/>
        <v>0.81788115962519103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259.30247982593914</v>
      </c>
      <c r="T152" s="59">
        <f t="shared" si="142"/>
        <v>275.24740346220779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0.66552675169539288</v>
      </c>
      <c r="AB152" s="21">
        <f>EXP(-LN(2)/2)*AB151+(1-EXP(-LN(2)/2))/(LN(2)/2)*V152*Y152*VLOOKUP('Données projet'!$B$9,Paramètres!$A$1:$I$89,3,0)*0.475*44/12</f>
        <v>3.5180460893789978E-17</v>
      </c>
      <c r="AC152" s="22">
        <f t="shared" si="111"/>
        <v>0.66552675169539288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7.9580786405131221E-13</v>
      </c>
      <c r="AJ152" s="13">
        <f>AI152*VLOOKUP('Données projet'!$B$10,Paramètres!$A$1:$I$89,3,0)*VLOOKUP('Données projet'!$B$10,Paramètres!$A$1:$I$89,5,0)</f>
        <v>3.8278358260868117E-13</v>
      </c>
      <c r="AK152" s="13">
        <f t="shared" si="143"/>
        <v>4.9186917125089072E-12</v>
      </c>
      <c r="AL152" s="20">
        <f t="shared" si="112"/>
        <v>9.2334028056631319E-12</v>
      </c>
      <c r="AM152" s="59">
        <f t="shared" si="113"/>
        <v>293.33333333334252</v>
      </c>
      <c r="AN152" s="59">
        <f ca="1">AVERAGE(OFFSET($AM$3,0,0,'Données projet'!$E$10+1,1))-AVERAGE(OFFSET($H$3,0,0,'Données projet'!$E$10+1,1))</f>
        <v>297.21955661193238</v>
      </c>
      <c r="AO152" s="59">
        <f t="shared" si="144"/>
        <v>273.69206144662144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0.63831546379613513</v>
      </c>
      <c r="AV152" s="21">
        <f>EXP(-LN(2)/25)*AV151+(1-EXP(-LN(2)/25))/(LN(2)/25)*Calculateur!AQ152*Calculateur!AS152*VLOOKUP('Données projet'!$B$10,Paramètres!$A$1:$I$89,3,0)*0.475*44/12</f>
        <v>0.4953945325594854</v>
      </c>
      <c r="AW152" s="21">
        <f>EXP(-LN(2)/2)*AW151+(1-EXP(-LN(2)/2))/(LN(2)/2)*AQ152*AT152*VLOOKUP('Données projet'!$B$10,Paramètres!$A$1:$I$89,3,0)*0.475*44/12</f>
        <v>2.5652346524027655E-17</v>
      </c>
      <c r="AX152" s="21">
        <f t="shared" si="114"/>
        <v>1.1337099963556205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3.6357050703372803E-14</v>
      </c>
      <c r="BF152" s="13">
        <f t="shared" si="145"/>
        <v>6.1445232567661395E-13</v>
      </c>
      <c r="BG152" s="20">
        <f t="shared" si="115"/>
        <v>1.1334929971951436E-12</v>
      </c>
      <c r="BH152" s="59">
        <f t="shared" si="116"/>
        <v>293.33333333333445</v>
      </c>
      <c r="BI152" s="59">
        <f ca="1">AVERAGE(OFFSET($BH$3,0,0,'Données projet'!$E$11+1,1))-AVERAGE(OFFSET($H$3,0,0,'Données projet'!$E$11+1,1))</f>
        <v>176.90404027101607</v>
      </c>
      <c r="BJ152" s="59">
        <f t="shared" si="146"/>
        <v>295.34177980841878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0.1680446452218213</v>
      </c>
      <c r="BQ152" s="21">
        <f>EXP(-LN(2)/25)*BQ151+(1-EXP(-LN(2)/25))/(LN(2)/25)*Calculateur!BL152*Calculateur!BN152*VLOOKUP('Données projet'!$B$11,Paramètres!$A$1:$I$89,3,0)*0.475*44/12</f>
        <v>0.30412449832768512</v>
      </c>
      <c r="BR152" s="21">
        <f>EXP(-LN(2)/2)*BR151+(1-EXP(-LN(2)/2))/(LN(2)/2)*BL152*BO152*VLOOKUP('Données projet'!$B$11,Paramètres!$A$1:$I$89,3,0)*0.475*44/12</f>
        <v>4.1340654251492276E-20</v>
      </c>
      <c r="BS152" s="22">
        <f t="shared" si="117"/>
        <v>0.47216914354950645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-5.6843418860808015E-13</v>
      </c>
      <c r="BZ152" s="13">
        <f>BY152*VLOOKUP('Données projet'!$B$12,Paramètres!$A$1:$I$89,3,0)*VLOOKUP('Données projet'!$B$12,Paramètres!$A$1:$I$89,5,0)</f>
        <v>-3.177547114319168E-13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326.31232746914907</v>
      </c>
      <c r="CE152" s="59">
        <f t="shared" si="148"/>
        <v>330.17137761430297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0.43273187973566829</v>
      </c>
      <c r="CL152" s="21">
        <f>EXP(-LN(2)/25)*CL151+(1-EXP(-LN(2)/25))/(LN(2)/25)*Calculateur!CG152*Calculateur!CI152*VLOOKUP('Données projet'!$B$12,Paramètres!$A$1:$I$89,3,0)*0.475*44/12</f>
        <v>1.113563452463548</v>
      </c>
      <c r="CM152" s="21">
        <f>EXP(-LN(2)/2)*CM151+(1-EXP(-LN(2)/2))/(LN(2)/2)*CG152*CJ152*VLOOKUP('Données projet'!$B$12,Paramètres!$A$1:$I$89,3,0)*0.475*44/12</f>
        <v>3.9892723196146622E-17</v>
      </c>
      <c r="CN152" s="22">
        <f t="shared" si="120"/>
        <v>1.5462953321992163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210.04871822652808</v>
      </c>
      <c r="CZ152" s="59">
        <f t="shared" si="150"/>
        <v>250.17540614049324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0.69163911433438663</v>
      </c>
      <c r="DG152" s="21">
        <f>EXP(-LN(2)/25)*DG151+(1-EXP(-LN(2)/25))/(LN(2)/25)*Calculateur!DB152*Calculateur!DD152*VLOOKUP('Données projet'!$B$13,Paramètres!$A$1:$I$89,3,0)*0.475*44/12</f>
        <v>1.027120890788658</v>
      </c>
      <c r="DH152" s="21">
        <f>EXP(-LN(2)/2)*DH151+(1-EXP(-LN(2)/2))/(LN(2)/2)*DB152*DE152*VLOOKUP('Données projet'!$B$13,Paramètres!$A$1:$I$89,3,0)*0.475*44/12</f>
        <v>2.643874856392583E-17</v>
      </c>
      <c r="DI152" s="22">
        <f t="shared" si="123"/>
        <v>1.7187600051230447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-5.1159076974727213E-13</v>
      </c>
      <c r="DP152" s="17">
        <f>DO152*VLOOKUP('Données projet'!$B$14,Paramètres!$A$1:$I$89,3,0)*VLOOKUP('Données projet'!$B$14,Paramètres!$A$1:$I$89,5,0)</f>
        <v>-3.7509835237869992E-13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234.09142087023463</v>
      </c>
      <c r="DU152" s="59">
        <f t="shared" si="152"/>
        <v>278.990685815294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0.23111816304064114</v>
      </c>
      <c r="EB152" s="21">
        <f>EXP(-LN(2)/25)*EB151+(1-EXP(-LN(2)/25))/(LN(2)/25)*Calculateur!DW152*Calculateur!DY152*VLOOKUP('Données projet'!$B$14,Paramètres!$A$1:$I$89,3,0)*0.475*44/12</f>
        <v>0.5662216052970257</v>
      </c>
      <c r="EC152" s="21">
        <f>EXP(-LN(2)/2)*EC151+(1-EXP(-LN(2)/2))/(LN(2)/2)*DW152*DZ152*VLOOKUP('Données projet'!$B$14,Paramètres!$A$1:$I$89,3,0)*0.475*44/12</f>
        <v>2.7174399517951743E-17</v>
      </c>
      <c r="ED152" s="22">
        <f t="shared" si="126"/>
        <v>0.79733976833766684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259.30247982593914</v>
      </c>
      <c r="T153" s="59">
        <f t="shared" si="142"/>
        <v>275.24740346220779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0.64732788767175153</v>
      </c>
      <c r="AB153" s="21">
        <f>EXP(-LN(2)/2)*AB152+(1-EXP(-LN(2)/2))/(LN(2)/2)*V153*Y153*VLOOKUP('Données projet'!$B$9,Paramètres!$A$1:$I$89,3,0)*0.475*44/12</f>
        <v>2.4876342463267042E-17</v>
      </c>
      <c r="AC153" s="22">
        <f t="shared" si="111"/>
        <v>0.64732788767175153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7.9580786405131221E-13</v>
      </c>
      <c r="AJ153" s="13">
        <f>AI153*VLOOKUP('Données projet'!$B$10,Paramètres!$A$1:$I$89,3,0)*VLOOKUP('Données projet'!$B$10,Paramètres!$A$1:$I$89,5,0)</f>
        <v>3.8278358260868117E-13</v>
      </c>
      <c r="AK153" s="13">
        <f t="shared" si="143"/>
        <v>4.9186917125089072E-12</v>
      </c>
      <c r="AL153" s="20">
        <f t="shared" si="112"/>
        <v>9.2334028056631319E-12</v>
      </c>
      <c r="AM153" s="59">
        <f t="shared" si="113"/>
        <v>293.33333333334252</v>
      </c>
      <c r="AN153" s="59">
        <f ca="1">AVERAGE(OFFSET($AM$3,0,0,'Données projet'!$E$10+1,1))-AVERAGE(OFFSET($H$3,0,0,'Données projet'!$E$10+1,1))</f>
        <v>297.21955661193238</v>
      </c>
      <c r="AO153" s="59">
        <f t="shared" si="144"/>
        <v>273.69206144662144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0.62579848688508233</v>
      </c>
      <c r="AV153" s="21">
        <f>EXP(-LN(2)/25)*AV152+(1-EXP(-LN(2)/25))/(LN(2)/25)*Calculateur!AQ153*Calculateur!AS153*VLOOKUP('Données projet'!$B$10,Paramètres!$A$1:$I$89,3,0)*0.475*44/12</f>
        <v>0.48184794301498002</v>
      </c>
      <c r="AW153" s="21">
        <f>EXP(-LN(2)/2)*AW152+(1-EXP(-LN(2)/2))/(LN(2)/2)*AQ153*AT153*VLOOKUP('Données projet'!$B$10,Paramètres!$A$1:$I$89,3,0)*0.475*44/12</f>
        <v>1.8138948180487116E-17</v>
      </c>
      <c r="AX153" s="21">
        <f t="shared" si="114"/>
        <v>1.1076464299000623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3.6357050703372803E-14</v>
      </c>
      <c r="BF153" s="13">
        <f t="shared" si="145"/>
        <v>6.1445232567661395E-13</v>
      </c>
      <c r="BG153" s="20">
        <f t="shared" si="115"/>
        <v>1.1334929971951436E-12</v>
      </c>
      <c r="BH153" s="59">
        <f t="shared" si="116"/>
        <v>293.33333333333445</v>
      </c>
      <c r="BI153" s="59">
        <f ca="1">AVERAGE(OFFSET($BH$3,0,0,'Données projet'!$E$11+1,1))-AVERAGE(OFFSET($H$3,0,0,'Données projet'!$E$11+1,1))</f>
        <v>176.90404027101607</v>
      </c>
      <c r="BJ153" s="59">
        <f t="shared" si="146"/>
        <v>295.34177980841878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0.16474939222613422</v>
      </c>
      <c r="BQ153" s="21">
        <f>EXP(-LN(2)/25)*BQ152+(1-EXP(-LN(2)/25))/(LN(2)/25)*Calculateur!BL153*Calculateur!BN153*VLOOKUP('Données projet'!$B$11,Paramètres!$A$1:$I$89,3,0)*0.475*44/12</f>
        <v>0.2958081979277023</v>
      </c>
      <c r="BR153" s="21">
        <f>EXP(-LN(2)/2)*BR152+(1-EXP(-LN(2)/2))/(LN(2)/2)*BL153*BO153*VLOOKUP('Données projet'!$B$11,Paramètres!$A$1:$I$89,3,0)*0.475*44/12</f>
        <v>2.9232256959918664E-20</v>
      </c>
      <c r="BS153" s="22">
        <f t="shared" si="117"/>
        <v>0.46055759015383652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-5.6843418860808015E-13</v>
      </c>
      <c r="BZ153" s="13">
        <f>BY153*VLOOKUP('Données projet'!$B$12,Paramètres!$A$1:$I$89,3,0)*VLOOKUP('Données projet'!$B$12,Paramètres!$A$1:$I$89,5,0)</f>
        <v>-3.177547114319168E-13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326.31232746914907</v>
      </c>
      <c r="CE153" s="59">
        <f t="shared" si="148"/>
        <v>330.17137761430297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0.4242462715144365</v>
      </c>
      <c r="CL153" s="21">
        <f>EXP(-LN(2)/25)*CL152+(1-EXP(-LN(2)/25))/(LN(2)/25)*Calculateur!CG153*Calculateur!CI153*VLOOKUP('Données projet'!$B$12,Paramètres!$A$1:$I$89,3,0)*0.475*44/12</f>
        <v>1.0831130012961754</v>
      </c>
      <c r="CM153" s="21">
        <f>EXP(-LN(2)/2)*CM152+(1-EXP(-LN(2)/2))/(LN(2)/2)*CG153*CJ153*VLOOKUP('Données projet'!$B$12,Paramètres!$A$1:$I$89,3,0)*0.475*44/12</f>
        <v>2.8208415091993158E-17</v>
      </c>
      <c r="CN153" s="22">
        <f t="shared" si="120"/>
        <v>1.507359272810612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210.04871822652808</v>
      </c>
      <c r="CZ153" s="59">
        <f t="shared" si="150"/>
        <v>250.17540614049324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0.67807649316049401</v>
      </c>
      <c r="DG153" s="21">
        <f>EXP(-LN(2)/25)*DG152+(1-EXP(-LN(2)/25))/(LN(2)/25)*Calculateur!DB153*Calculateur!DD153*VLOOKUP('Données projet'!$B$13,Paramètres!$A$1:$I$89,3,0)*0.475*44/12</f>
        <v>0.99903421601610198</v>
      </c>
      <c r="DH153" s="21">
        <f>EXP(-LN(2)/2)*DH152+(1-EXP(-LN(2)/2))/(LN(2)/2)*DB153*DE153*VLOOKUP('Données projet'!$B$13,Paramètres!$A$1:$I$89,3,0)*0.475*44/12</f>
        <v>1.8695018395638049E-17</v>
      </c>
      <c r="DI153" s="22">
        <f t="shared" si="123"/>
        <v>1.677110709176596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-5.1159076974727213E-13</v>
      </c>
      <c r="DP153" s="17">
        <f>DO153*VLOOKUP('Données projet'!$B$14,Paramètres!$A$1:$I$89,3,0)*VLOOKUP('Données projet'!$B$14,Paramètres!$A$1:$I$89,5,0)</f>
        <v>-3.7509835237869992E-13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234.09142087023463</v>
      </c>
      <c r="DU153" s="59">
        <f t="shared" si="152"/>
        <v>278.990685815294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0.22658607683157417</v>
      </c>
      <c r="EB153" s="21">
        <f>EXP(-LN(2)/25)*EB152+(1-EXP(-LN(2)/25))/(LN(2)/25)*Calculateur!DW153*Calculateur!DY153*VLOOKUP('Données projet'!$B$14,Paramètres!$A$1:$I$89,3,0)*0.475*44/12</f>
        <v>0.55073824572387842</v>
      </c>
      <c r="EC153" s="21">
        <f>EXP(-LN(2)/2)*EC152+(1-EXP(-LN(2)/2))/(LN(2)/2)*DW153*DZ153*VLOOKUP('Données projet'!$B$14,Paramètres!$A$1:$I$89,3,0)*0.475*44/12</f>
        <v>1.9215202173816128E-17</v>
      </c>
      <c r="ED153" s="22">
        <f t="shared" si="126"/>
        <v>0.77732432255545258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259.30247982593914</v>
      </c>
      <c r="T154" s="59">
        <f t="shared" si="142"/>
        <v>275.24740346220779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0.62962667254187332</v>
      </c>
      <c r="AB154" s="21">
        <f>EXP(-LN(2)/2)*AB153+(1-EXP(-LN(2)/2))/(LN(2)/2)*V154*Y154*VLOOKUP('Données projet'!$B$9,Paramètres!$A$1:$I$89,3,0)*0.475*44/12</f>
        <v>1.7590230446894989E-17</v>
      </c>
      <c r="AC154" s="22">
        <f t="shared" ref="AC154:AC203" si="163">SUM(Z154:AB154)</f>
        <v>0.62962667254187332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7.9580786405131221E-13</v>
      </c>
      <c r="AJ154" s="13">
        <f>AI154*VLOOKUP('Données projet'!$B$10,Paramètres!$A$1:$I$89,3,0)*VLOOKUP('Données projet'!$B$10,Paramètres!$A$1:$I$89,5,0)</f>
        <v>3.8278358260868117E-13</v>
      </c>
      <c r="AK154" s="13">
        <f t="shared" ref="AK154:AK203" si="164">EXP(-1.0587+0.8836*LN(AJ154)+0.284)</f>
        <v>4.9186917125089072E-12</v>
      </c>
      <c r="AL154" s="20">
        <f t="shared" ref="AL154:AL203" si="165">(AJ154+AK154)*0.475*44/12</f>
        <v>9.2334028056631319E-12</v>
      </c>
      <c r="AM154" s="59">
        <f t="shared" si="113"/>
        <v>293.33333333334252</v>
      </c>
      <c r="AN154" s="59">
        <f ca="1">AVERAGE(OFFSET($AM$3,0,0,'Données projet'!$E$10+1,1))-AVERAGE(OFFSET($H$3,0,0,'Données projet'!$E$10+1,1))</f>
        <v>297.21955661193238</v>
      </c>
      <c r="AO154" s="59">
        <f t="shared" si="144"/>
        <v>273.69206144662144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0.61352696025665321</v>
      </c>
      <c r="AV154" s="21">
        <f>EXP(-LN(2)/25)*AV153+(1-EXP(-LN(2)/25))/(LN(2)/25)*Calculateur!AQ154*Calculateur!AS154*VLOOKUP('Données projet'!$B$10,Paramètres!$A$1:$I$89,3,0)*0.475*44/12</f>
        <v>0.46867178567395334</v>
      </c>
      <c r="AW154" s="21">
        <f>EXP(-LN(2)/2)*AW153+(1-EXP(-LN(2)/2))/(LN(2)/2)*AQ154*AT154*VLOOKUP('Données projet'!$B$10,Paramètres!$A$1:$I$89,3,0)*0.475*44/12</f>
        <v>1.2826173262013828E-17</v>
      </c>
      <c r="AX154" s="21">
        <f t="shared" ref="AX154:AX203" si="166">SUM(AU154:AW154)</f>
        <v>1.0821987459306066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3.6357050703372803E-14</v>
      </c>
      <c r="BF154" s="13">
        <f t="shared" ref="BF154:BF203" si="167">EXP(-1.0587+0.8836*LN(BE154)+0.284)</f>
        <v>6.1445232567661395E-13</v>
      </c>
      <c r="BG154" s="20">
        <f t="shared" ref="BG154:BG203" si="168">(BE154+BF154)*0.475*44/12</f>
        <v>1.1334929971951436E-12</v>
      </c>
      <c r="BH154" s="59">
        <f t="shared" si="116"/>
        <v>293.33333333333445</v>
      </c>
      <c r="BI154" s="59">
        <f ca="1">AVERAGE(OFFSET($BH$3,0,0,'Données projet'!$E$11+1,1))-AVERAGE(OFFSET($H$3,0,0,'Données projet'!$E$11+1,1))</f>
        <v>176.90404027101607</v>
      </c>
      <c r="BJ154" s="59">
        <f t="shared" si="146"/>
        <v>295.34177980841878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0.16151875713178671</v>
      </c>
      <c r="BQ154" s="21">
        <f>EXP(-LN(2)/25)*BQ153+(1-EXP(-LN(2)/25))/(LN(2)/25)*Calculateur!BL154*Calculateur!BN154*VLOOKUP('Données projet'!$B$11,Paramètres!$A$1:$I$89,3,0)*0.475*44/12</f>
        <v>0.28771930719949224</v>
      </c>
      <c r="BR154" s="21">
        <f>EXP(-LN(2)/2)*BR153+(1-EXP(-LN(2)/2))/(LN(2)/2)*BL154*BO154*VLOOKUP('Données projet'!$B$11,Paramètres!$A$1:$I$89,3,0)*0.475*44/12</f>
        <v>2.0670327125746138E-20</v>
      </c>
      <c r="BS154" s="22">
        <f t="shared" ref="BS154:BS203" si="169">SUM(BP154:BR154)</f>
        <v>0.44923806433127894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-5.6843418860808015E-13</v>
      </c>
      <c r="BZ154" s="13">
        <f>BY154*VLOOKUP('Données projet'!$B$12,Paramètres!$A$1:$I$89,3,0)*VLOOKUP('Données projet'!$B$12,Paramètres!$A$1:$I$89,5,0)</f>
        <v>-3.177547114319168E-13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326.31232746914907</v>
      </c>
      <c r="CE154" s="59">
        <f t="shared" si="148"/>
        <v>330.17137761430297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0.41592706089471315</v>
      </c>
      <c r="CL154" s="21">
        <f>EXP(-LN(2)/25)*CL153+(1-EXP(-LN(2)/25))/(LN(2)/25)*Calculateur!CG154*Calculateur!CI154*VLOOKUP('Données projet'!$B$12,Paramètres!$A$1:$I$89,3,0)*0.475*44/12</f>
        <v>1.0534952193172942</v>
      </c>
      <c r="CM154" s="21">
        <f>EXP(-LN(2)/2)*CM153+(1-EXP(-LN(2)/2))/(LN(2)/2)*CG154*CJ154*VLOOKUP('Données projet'!$B$12,Paramètres!$A$1:$I$89,3,0)*0.475*44/12</f>
        <v>1.9946361598073311E-17</v>
      </c>
      <c r="CN154" s="22">
        <f t="shared" ref="CN154:CN203" si="172">SUM(CK154:CM154)</f>
        <v>1.4694222802120074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210.04871822652808</v>
      </c>
      <c r="CZ154" s="59">
        <f t="shared" si="150"/>
        <v>250.17540614049324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0.66477982671543934</v>
      </c>
      <c r="DG154" s="21">
        <f>EXP(-LN(2)/25)*DG153+(1-EXP(-LN(2)/25))/(LN(2)/25)*Calculateur!DB154*Calculateur!DD154*VLOOKUP('Données projet'!$B$13,Paramètres!$A$1:$I$89,3,0)*0.475*44/12</f>
        <v>0.97171557284221555</v>
      </c>
      <c r="DH154" s="21">
        <f>EXP(-LN(2)/2)*DH153+(1-EXP(-LN(2)/2))/(LN(2)/2)*DB154*DE154*VLOOKUP('Données projet'!$B$13,Paramètres!$A$1:$I$89,3,0)*0.475*44/12</f>
        <v>1.3219374281962915E-17</v>
      </c>
      <c r="DI154" s="22">
        <f t="shared" ref="DI154:DI203" si="175">SUM(DF154:DH154)</f>
        <v>1.636495399557655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-5.1159076974727213E-13</v>
      </c>
      <c r="DP154" s="17">
        <f>DO154*VLOOKUP('Données projet'!$B$14,Paramètres!$A$1:$I$89,3,0)*VLOOKUP('Données projet'!$B$14,Paramètres!$A$1:$I$89,5,0)</f>
        <v>-3.7509835237869992E-13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234.09142087023463</v>
      </c>
      <c r="DU154" s="59">
        <f t="shared" si="152"/>
        <v>278.990685815294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0.22214286206876738</v>
      </c>
      <c r="EB154" s="21">
        <f>EXP(-LN(2)/25)*EB153+(1-EXP(-LN(2)/25))/(LN(2)/25)*Calculateur!DW154*Calculateur!DY154*VLOOKUP('Données projet'!$B$14,Paramètres!$A$1:$I$89,3,0)*0.475*44/12</f>
        <v>0.53567827943249335</v>
      </c>
      <c r="EC154" s="21">
        <f>EXP(-LN(2)/2)*EC153+(1-EXP(-LN(2)/2))/(LN(2)/2)*DW154*DZ154*VLOOKUP('Données projet'!$B$14,Paramètres!$A$1:$I$89,3,0)*0.475*44/12</f>
        <v>1.3587199758975874E-17</v>
      </c>
      <c r="ED154" s="22">
        <f t="shared" ref="ED154:ED203" si="178">SUM(EA154:EC154)</f>
        <v>0.75782114150126079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259.30247982593914</v>
      </c>
      <c r="T155" s="59">
        <f t="shared" si="142"/>
        <v>275.24740346220779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0.61240949807058809</v>
      </c>
      <c r="AB155" s="21">
        <f>EXP(-LN(2)/2)*AB154+(1-EXP(-LN(2)/2))/(LN(2)/2)*V155*Y155*VLOOKUP('Données projet'!$B$9,Paramètres!$A$1:$I$89,3,0)*0.475*44/12</f>
        <v>1.2438171231633521E-17</v>
      </c>
      <c r="AC155" s="22">
        <f t="shared" si="163"/>
        <v>0.61240949807058809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7.9580786405131221E-13</v>
      </c>
      <c r="AJ155" s="13">
        <f>AI155*VLOOKUP('Données projet'!$B$10,Paramètres!$A$1:$I$89,3,0)*VLOOKUP('Données projet'!$B$10,Paramètres!$A$1:$I$89,5,0)</f>
        <v>3.8278358260868117E-13</v>
      </c>
      <c r="AK155" s="13">
        <f t="shared" si="164"/>
        <v>4.9186917125089072E-12</v>
      </c>
      <c r="AL155" s="20">
        <f t="shared" si="165"/>
        <v>9.2334028056631319E-12</v>
      </c>
      <c r="AM155" s="59">
        <f t="shared" si="113"/>
        <v>293.33333333334252</v>
      </c>
      <c r="AN155" s="59">
        <f ca="1">AVERAGE(OFFSET($AM$3,0,0,'Données projet'!$E$10+1,1))-AVERAGE(OFFSET($H$3,0,0,'Données projet'!$E$10+1,1))</f>
        <v>297.21955661193238</v>
      </c>
      <c r="AO155" s="59">
        <f t="shared" si="144"/>
        <v>273.69206144662144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0.60149607078051537</v>
      </c>
      <c r="AV155" s="21">
        <f>EXP(-LN(2)/25)*AV154+(1-EXP(-LN(2)/25))/(LN(2)/25)*Calculateur!AQ155*Calculateur!AS155*VLOOKUP('Données projet'!$B$10,Paramètres!$A$1:$I$89,3,0)*0.475*44/12</f>
        <v>0.45585593104832106</v>
      </c>
      <c r="AW155" s="21">
        <f>EXP(-LN(2)/2)*AW154+(1-EXP(-LN(2)/2))/(LN(2)/2)*AQ155*AT155*VLOOKUP('Données projet'!$B$10,Paramètres!$A$1:$I$89,3,0)*0.475*44/12</f>
        <v>9.069474090243558E-18</v>
      </c>
      <c r="AX155" s="21">
        <f t="shared" si="166"/>
        <v>1.0573520018288365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3.6357050703372803E-14</v>
      </c>
      <c r="BF155" s="13">
        <f t="shared" si="167"/>
        <v>6.1445232567661395E-13</v>
      </c>
      <c r="BG155" s="20">
        <f t="shared" si="168"/>
        <v>1.1334929971951436E-12</v>
      </c>
      <c r="BH155" s="59">
        <f t="shared" si="116"/>
        <v>293.33333333333445</v>
      </c>
      <c r="BI155" s="59">
        <f ca="1">AVERAGE(OFFSET($BH$3,0,0,'Données projet'!$E$11+1,1))-AVERAGE(OFFSET($H$3,0,0,'Données projet'!$E$11+1,1))</f>
        <v>176.90404027101607</v>
      </c>
      <c r="BJ155" s="59">
        <f t="shared" si="146"/>
        <v>295.34177980841878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0.15835147282114651</v>
      </c>
      <c r="BQ155" s="21">
        <f>EXP(-LN(2)/25)*BQ154+(1-EXP(-LN(2)/25))/(LN(2)/25)*Calculateur!BL155*Calculateur!BN155*VLOOKUP('Données projet'!$B$11,Paramètres!$A$1:$I$89,3,0)*0.475*44/12</f>
        <v>0.27985160761362132</v>
      </c>
      <c r="BR155" s="21">
        <f>EXP(-LN(2)/2)*BR154+(1-EXP(-LN(2)/2))/(LN(2)/2)*BL155*BO155*VLOOKUP('Données projet'!$B$11,Paramètres!$A$1:$I$89,3,0)*0.475*44/12</f>
        <v>1.4616128479959332E-20</v>
      </c>
      <c r="BS155" s="22">
        <f t="shared" si="169"/>
        <v>0.43820308043476786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-5.6843418860808015E-13</v>
      </c>
      <c r="BZ155" s="13">
        <f>BY155*VLOOKUP('Données projet'!$B$12,Paramètres!$A$1:$I$89,3,0)*VLOOKUP('Données projet'!$B$12,Paramètres!$A$1:$I$89,5,0)</f>
        <v>-3.177547114319168E-13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326.31232746914907</v>
      </c>
      <c r="CE155" s="59">
        <f t="shared" si="148"/>
        <v>330.17137761430297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0.40777098492102515</v>
      </c>
      <c r="CL155" s="21">
        <f>EXP(-LN(2)/25)*CL154+(1-EXP(-LN(2)/25))/(LN(2)/25)*Calculateur!CG155*Calculateur!CI155*VLOOKUP('Données projet'!$B$12,Paramètres!$A$1:$I$89,3,0)*0.475*44/12</f>
        <v>1.0246873371441569</v>
      </c>
      <c r="CM155" s="21">
        <f>EXP(-LN(2)/2)*CM154+(1-EXP(-LN(2)/2))/(LN(2)/2)*CG155*CJ155*VLOOKUP('Données projet'!$B$12,Paramètres!$A$1:$I$89,3,0)*0.475*44/12</f>
        <v>1.4104207545996579E-17</v>
      </c>
      <c r="CN155" s="22">
        <f t="shared" si="172"/>
        <v>1.4324583220651821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210.04871822652808</v>
      </c>
      <c r="CZ155" s="59">
        <f t="shared" si="150"/>
        <v>250.17540614049324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0.65174389978920644</v>
      </c>
      <c r="DG155" s="21">
        <f>EXP(-LN(2)/25)*DG154+(1-EXP(-LN(2)/25))/(LN(2)/25)*Calculateur!DB155*Calculateur!DD155*VLOOKUP('Données projet'!$B$13,Paramètres!$A$1:$I$89,3,0)*0.475*44/12</f>
        <v>0.94514395940254403</v>
      </c>
      <c r="DH155" s="21">
        <f>EXP(-LN(2)/2)*DH154+(1-EXP(-LN(2)/2))/(LN(2)/2)*DB155*DE155*VLOOKUP('Données projet'!$B$13,Paramètres!$A$1:$I$89,3,0)*0.475*44/12</f>
        <v>9.3475091978190246E-18</v>
      </c>
      <c r="DI155" s="22">
        <f t="shared" si="175"/>
        <v>1.5968878591917504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-5.1159076974727213E-13</v>
      </c>
      <c r="DP155" s="17">
        <f>DO155*VLOOKUP('Données projet'!$B$14,Paramètres!$A$1:$I$89,3,0)*VLOOKUP('Données projet'!$B$14,Paramètres!$A$1:$I$89,5,0)</f>
        <v>-3.7509835237869992E-13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234.09142087023463</v>
      </c>
      <c r="DU155" s="59">
        <f t="shared" si="152"/>
        <v>278.990685815294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0.21778677603736582</v>
      </c>
      <c r="EB155" s="21">
        <f>EXP(-LN(2)/25)*EB154+(1-EXP(-LN(2)/25))/(LN(2)/25)*Calculateur!DW155*Calculateur!DY155*VLOOKUP('Données projet'!$B$14,Paramètres!$A$1:$I$89,3,0)*0.475*44/12</f>
        <v>0.52103012871131538</v>
      </c>
      <c r="EC155" s="21">
        <f>EXP(-LN(2)/2)*EC154+(1-EXP(-LN(2)/2))/(LN(2)/2)*DW155*DZ155*VLOOKUP('Données projet'!$B$14,Paramètres!$A$1:$I$89,3,0)*0.475*44/12</f>
        <v>9.6076010869080655E-18</v>
      </c>
      <c r="ED155" s="22">
        <f t="shared" si="178"/>
        <v>0.73881690474868122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259.30247982593914</v>
      </c>
      <c r="T156" s="59">
        <f t="shared" si="142"/>
        <v>275.24740346220779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0.59566312814063205</v>
      </c>
      <c r="AB156" s="21">
        <f>EXP(-LN(2)/2)*AB155+(1-EXP(-LN(2)/2))/(LN(2)/2)*V156*Y156*VLOOKUP('Données projet'!$B$9,Paramètres!$A$1:$I$89,3,0)*0.475*44/12</f>
        <v>8.7951152234474945E-18</v>
      </c>
      <c r="AC156" s="22">
        <f t="shared" si="163"/>
        <v>0.59566312814063205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7.9580786405131221E-13</v>
      </c>
      <c r="AJ156" s="13">
        <f>AI156*VLOOKUP('Données projet'!$B$10,Paramètres!$A$1:$I$89,3,0)*VLOOKUP('Données projet'!$B$10,Paramètres!$A$1:$I$89,5,0)</f>
        <v>3.8278358260868117E-13</v>
      </c>
      <c r="AK156" s="13">
        <f t="shared" si="164"/>
        <v>4.9186917125089072E-12</v>
      </c>
      <c r="AL156" s="20">
        <f t="shared" si="165"/>
        <v>9.2334028056631319E-12</v>
      </c>
      <c r="AM156" s="59">
        <f t="shared" si="113"/>
        <v>293.33333333334252</v>
      </c>
      <c r="AN156" s="59">
        <f ca="1">AVERAGE(OFFSET($AM$3,0,0,'Données projet'!$E$10+1,1))-AVERAGE(OFFSET($H$3,0,0,'Données projet'!$E$10+1,1))</f>
        <v>297.21955661193238</v>
      </c>
      <c r="AO156" s="59">
        <f t="shared" si="144"/>
        <v>273.69206144662144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0.58970109970888662</v>
      </c>
      <c r="AV156" s="21">
        <f>EXP(-LN(2)/25)*AV155+(1-EXP(-LN(2)/25))/(LN(2)/25)*Calculateur!AQ156*Calculateur!AS156*VLOOKUP('Données projet'!$B$10,Paramètres!$A$1:$I$89,3,0)*0.475*44/12</f>
        <v>0.44339052664138318</v>
      </c>
      <c r="AW156" s="21">
        <f>EXP(-LN(2)/2)*AW155+(1-EXP(-LN(2)/2))/(LN(2)/2)*AQ156*AT156*VLOOKUP('Données projet'!$B$10,Paramètres!$A$1:$I$89,3,0)*0.475*44/12</f>
        <v>6.4130866310069138E-18</v>
      </c>
      <c r="AX156" s="21">
        <f t="shared" si="166"/>
        <v>1.0330916263502699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3.6357050703372803E-14</v>
      </c>
      <c r="BF156" s="13">
        <f t="shared" si="167"/>
        <v>6.1445232567661395E-13</v>
      </c>
      <c r="BG156" s="20">
        <f t="shared" si="168"/>
        <v>1.1334929971951436E-12</v>
      </c>
      <c r="BH156" s="59">
        <f t="shared" si="116"/>
        <v>293.33333333333445</v>
      </c>
      <c r="BI156" s="59">
        <f ca="1">AVERAGE(OFFSET($BH$3,0,0,'Données projet'!$E$11+1,1))-AVERAGE(OFFSET($H$3,0,0,'Données projet'!$E$11+1,1))</f>
        <v>176.90404027101607</v>
      </c>
      <c r="BJ156" s="59">
        <f t="shared" si="146"/>
        <v>295.34177980841878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0.15524629702398529</v>
      </c>
      <c r="BQ156" s="21">
        <f>EXP(-LN(2)/25)*BQ155+(1-EXP(-LN(2)/25))/(LN(2)/25)*Calculateur!BL156*Calculateur!BN156*VLOOKUP('Données projet'!$B$11,Paramètres!$A$1:$I$89,3,0)*0.475*44/12</f>
        <v>0.27219905068667039</v>
      </c>
      <c r="BR156" s="21">
        <f>EXP(-LN(2)/2)*BR155+(1-EXP(-LN(2)/2))/(LN(2)/2)*BL156*BO156*VLOOKUP('Données projet'!$B$11,Paramètres!$A$1:$I$89,3,0)*0.475*44/12</f>
        <v>1.0335163562873069E-20</v>
      </c>
      <c r="BS156" s="22">
        <f t="shared" si="169"/>
        <v>0.42744534771065568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-5.6843418860808015E-13</v>
      </c>
      <c r="BZ156" s="13">
        <f>BY156*VLOOKUP('Données projet'!$B$12,Paramètres!$A$1:$I$89,3,0)*VLOOKUP('Données projet'!$B$12,Paramètres!$A$1:$I$89,5,0)</f>
        <v>-3.177547114319168E-13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326.31232746914907</v>
      </c>
      <c r="CE156" s="59">
        <f t="shared" si="148"/>
        <v>330.17137761430297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0.39977484462246599</v>
      </c>
      <c r="CL156" s="21">
        <f>EXP(-LN(2)/25)*CL155+(1-EXP(-LN(2)/25))/(LN(2)/25)*Calculateur!CG156*Calculateur!CI156*VLOOKUP('Données projet'!$B$12,Paramètres!$A$1:$I$89,3,0)*0.475*44/12</f>
        <v>0.9966672080239849</v>
      </c>
      <c r="CM156" s="21">
        <f>EXP(-LN(2)/2)*CM155+(1-EXP(-LN(2)/2))/(LN(2)/2)*CG156*CJ156*VLOOKUP('Données projet'!$B$12,Paramètres!$A$1:$I$89,3,0)*0.475*44/12</f>
        <v>9.9731807990366554E-18</v>
      </c>
      <c r="CN156" s="22">
        <f t="shared" si="172"/>
        <v>1.3964420526464509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210.04871822652808</v>
      </c>
      <c r="CZ156" s="59">
        <f t="shared" si="150"/>
        <v>250.17540614049324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0.63896359943886671</v>
      </c>
      <c r="DG156" s="21">
        <f>EXP(-LN(2)/25)*DG155+(1-EXP(-LN(2)/25))/(LN(2)/25)*Calculateur!DB156*Calculateur!DD156*VLOOKUP('Données projet'!$B$13,Paramètres!$A$1:$I$89,3,0)*0.475*44/12</f>
        <v>0.91929894812972079</v>
      </c>
      <c r="DH156" s="21">
        <f>EXP(-LN(2)/2)*DH155+(1-EXP(-LN(2)/2))/(LN(2)/2)*DB156*DE156*VLOOKUP('Données projet'!$B$13,Paramètres!$A$1:$I$89,3,0)*0.475*44/12</f>
        <v>6.6096871409814575E-18</v>
      </c>
      <c r="DI156" s="22">
        <f t="shared" si="175"/>
        <v>1.5582625475685874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-5.1159076974727213E-13</v>
      </c>
      <c r="DP156" s="17">
        <f>DO156*VLOOKUP('Données projet'!$B$14,Paramètres!$A$1:$I$89,3,0)*VLOOKUP('Données projet'!$B$14,Paramètres!$A$1:$I$89,5,0)</f>
        <v>-3.7509835237869992E-13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234.09142087023463</v>
      </c>
      <c r="DU156" s="59">
        <f t="shared" si="152"/>
        <v>278.990685815294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0.2135161101960899</v>
      </c>
      <c r="EB156" s="21">
        <f>EXP(-LN(2)/25)*EB155+(1-EXP(-LN(2)/25))/(LN(2)/25)*Calculateur!DW156*Calculateur!DY156*VLOOKUP('Données projet'!$B$14,Paramètres!$A$1:$I$89,3,0)*0.475*44/12</f>
        <v>0.50678253244192084</v>
      </c>
      <c r="EC156" s="21">
        <f>EXP(-LN(2)/2)*EC155+(1-EXP(-LN(2)/2))/(LN(2)/2)*DW156*DZ156*VLOOKUP('Données projet'!$B$14,Paramètres!$A$1:$I$89,3,0)*0.475*44/12</f>
        <v>6.793599879487938E-18</v>
      </c>
      <c r="ED156" s="22">
        <f t="shared" si="178"/>
        <v>0.72029864263801069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259.30247982593914</v>
      </c>
      <c r="T157" s="59">
        <f t="shared" si="142"/>
        <v>275.24740346220779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0.57937468857706398</v>
      </c>
      <c r="AB157" s="21">
        <f>EXP(-LN(2)/2)*AB156+(1-EXP(-LN(2)/2))/(LN(2)/2)*V157*Y157*VLOOKUP('Données projet'!$B$9,Paramètres!$A$1:$I$89,3,0)*0.475*44/12</f>
        <v>6.2190856158167606E-18</v>
      </c>
      <c r="AC157" s="22">
        <f t="shared" si="163"/>
        <v>0.57937468857706398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7.9580786405131221E-13</v>
      </c>
      <c r="AJ157" s="13">
        <f>AI157*VLOOKUP('Données projet'!$B$10,Paramètres!$A$1:$I$89,3,0)*VLOOKUP('Données projet'!$B$10,Paramètres!$A$1:$I$89,5,0)</f>
        <v>3.8278358260868117E-13</v>
      </c>
      <c r="AK157" s="13">
        <f t="shared" si="164"/>
        <v>4.9186917125089072E-12</v>
      </c>
      <c r="AL157" s="20">
        <f t="shared" si="165"/>
        <v>9.2334028056631319E-12</v>
      </c>
      <c r="AM157" s="59">
        <f t="shared" si="113"/>
        <v>293.33333333334252</v>
      </c>
      <c r="AN157" s="59">
        <f ca="1">AVERAGE(OFFSET($AM$3,0,0,'Données projet'!$E$10+1,1))-AVERAGE(OFFSET($H$3,0,0,'Données projet'!$E$10+1,1))</f>
        <v>297.21955661193238</v>
      </c>
      <c r="AO157" s="59">
        <f t="shared" si="144"/>
        <v>273.69206144662144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0.57813742082575048</v>
      </c>
      <c r="AV157" s="21">
        <f>EXP(-LN(2)/25)*AV156+(1-EXP(-LN(2)/25))/(LN(2)/25)*Calculateur!AQ157*Calculateur!AS157*VLOOKUP('Données projet'!$B$10,Paramètres!$A$1:$I$89,3,0)*0.475*44/12</f>
        <v>0.43126598937348015</v>
      </c>
      <c r="AW157" s="21">
        <f>EXP(-LN(2)/2)*AW156+(1-EXP(-LN(2)/2))/(LN(2)/2)*AQ157*AT157*VLOOKUP('Données projet'!$B$10,Paramètres!$A$1:$I$89,3,0)*0.475*44/12</f>
        <v>4.534737045121779E-18</v>
      </c>
      <c r="AX157" s="21">
        <f t="shared" si="166"/>
        <v>1.0094034101992306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3.6357050703372803E-14</v>
      </c>
      <c r="BF157" s="13">
        <f t="shared" si="167"/>
        <v>6.1445232567661395E-13</v>
      </c>
      <c r="BG157" s="20">
        <f t="shared" si="168"/>
        <v>1.1334929971951436E-12</v>
      </c>
      <c r="BH157" s="59">
        <f t="shared" si="116"/>
        <v>293.33333333333445</v>
      </c>
      <c r="BI157" s="59">
        <f ca="1">AVERAGE(OFFSET($BH$3,0,0,'Données projet'!$E$11+1,1))-AVERAGE(OFFSET($H$3,0,0,'Données projet'!$E$11+1,1))</f>
        <v>176.90404027101607</v>
      </c>
      <c r="BJ157" s="59">
        <f t="shared" si="146"/>
        <v>295.34177980841878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0.15220201183023618</v>
      </c>
      <c r="BQ157" s="21">
        <f>EXP(-LN(2)/25)*BQ156+(1-EXP(-LN(2)/25))/(LN(2)/25)*Calculateur!BL157*Calculateur!BN157*VLOOKUP('Données projet'!$B$11,Paramètres!$A$1:$I$89,3,0)*0.475*44/12</f>
        <v>0.2647557533313174</v>
      </c>
      <c r="BR157" s="21">
        <f>EXP(-LN(2)/2)*BR156+(1-EXP(-LN(2)/2))/(LN(2)/2)*BL157*BO157*VLOOKUP('Données projet'!$B$11,Paramètres!$A$1:$I$89,3,0)*0.475*44/12</f>
        <v>7.3080642399796661E-21</v>
      </c>
      <c r="BS157" s="22">
        <f t="shared" si="169"/>
        <v>0.41695776516155358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-5.6843418860808015E-13</v>
      </c>
      <c r="BZ157" s="13">
        <f>BY157*VLOOKUP('Données projet'!$B$12,Paramètres!$A$1:$I$89,3,0)*VLOOKUP('Données projet'!$B$12,Paramètres!$A$1:$I$89,5,0)</f>
        <v>-3.177547114319168E-13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326.31232746914907</v>
      </c>
      <c r="CE157" s="59">
        <f t="shared" si="148"/>
        <v>330.17137761430297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0.39193550375799757</v>
      </c>
      <c r="CL157" s="21">
        <f>EXP(-LN(2)/25)*CL156+(1-EXP(-LN(2)/25))/(LN(2)/25)*Calculateur!CG157*Calculateur!CI157*VLOOKUP('Données projet'!$B$12,Paramètres!$A$1:$I$89,3,0)*0.475*44/12</f>
        <v>0.96941329080811844</v>
      </c>
      <c r="CM157" s="21">
        <f>EXP(-LN(2)/2)*CM156+(1-EXP(-LN(2)/2))/(LN(2)/2)*CG157*CJ157*VLOOKUP('Données projet'!$B$12,Paramètres!$A$1:$I$89,3,0)*0.475*44/12</f>
        <v>7.0521037729982895E-18</v>
      </c>
      <c r="CN157" s="22">
        <f t="shared" si="172"/>
        <v>1.361348794566116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210.04871822652808</v>
      </c>
      <c r="CZ157" s="59">
        <f t="shared" si="150"/>
        <v>250.17540614049324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0.62643391298318363</v>
      </c>
      <c r="DG157" s="21">
        <f>EXP(-LN(2)/25)*DG156+(1-EXP(-LN(2)/25))/(LN(2)/25)*Calculateur!DB157*Calculateur!DD157*VLOOKUP('Données projet'!$B$13,Paramètres!$A$1:$I$89,3,0)*0.475*44/12</f>
        <v>0.89416067004928301</v>
      </c>
      <c r="DH157" s="21">
        <f>EXP(-LN(2)/2)*DH156+(1-EXP(-LN(2)/2))/(LN(2)/2)*DB157*DE157*VLOOKUP('Données projet'!$B$13,Paramètres!$A$1:$I$89,3,0)*0.475*44/12</f>
        <v>4.6737545989095123E-18</v>
      </c>
      <c r="DI157" s="22">
        <f t="shared" si="175"/>
        <v>1.5205945830324668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-5.1159076974727213E-13</v>
      </c>
      <c r="DP157" s="17">
        <f>DO157*VLOOKUP('Données projet'!$B$14,Paramètres!$A$1:$I$89,3,0)*VLOOKUP('Données projet'!$B$14,Paramètres!$A$1:$I$89,5,0)</f>
        <v>-3.7509835237869992E-13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234.09142087023463</v>
      </c>
      <c r="DU157" s="59">
        <f t="shared" si="152"/>
        <v>278.990685815294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0.20932918950711246</v>
      </c>
      <c r="EB157" s="21">
        <f>EXP(-LN(2)/25)*EB156+(1-EXP(-LN(2)/25))/(LN(2)/25)*Calculateur!DW157*Calculateur!DY157*VLOOKUP('Données projet'!$B$14,Paramètres!$A$1:$I$89,3,0)*0.475*44/12</f>
        <v>0.4929245374417614</v>
      </c>
      <c r="EC157" s="21">
        <f>EXP(-LN(2)/2)*EC156+(1-EXP(-LN(2)/2))/(LN(2)/2)*DW157*DZ157*VLOOKUP('Données projet'!$B$14,Paramètres!$A$1:$I$89,3,0)*0.475*44/12</f>
        <v>4.8038005434540335E-18</v>
      </c>
      <c r="ED157" s="22">
        <f t="shared" si="178"/>
        <v>0.70225372694887389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259.30247982593914</v>
      </c>
      <c r="T158" s="59">
        <f t="shared" si="142"/>
        <v>275.24740346220779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0.56353165724993348</v>
      </c>
      <c r="AB158" s="21">
        <f>EXP(-LN(2)/2)*AB157+(1-EXP(-LN(2)/2))/(LN(2)/2)*V158*Y158*VLOOKUP('Données projet'!$B$9,Paramètres!$A$1:$I$89,3,0)*0.475*44/12</f>
        <v>4.3975576117237472E-18</v>
      </c>
      <c r="AC158" s="22">
        <f t="shared" si="163"/>
        <v>0.56353165724993348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7.9580786405131221E-13</v>
      </c>
      <c r="AJ158" s="13">
        <f>AI158*VLOOKUP('Données projet'!$B$10,Paramètres!$A$1:$I$89,3,0)*VLOOKUP('Données projet'!$B$10,Paramètres!$A$1:$I$89,5,0)</f>
        <v>3.8278358260868117E-13</v>
      </c>
      <c r="AK158" s="13">
        <f t="shared" si="164"/>
        <v>4.9186917125089072E-12</v>
      </c>
      <c r="AL158" s="20">
        <f t="shared" si="165"/>
        <v>9.2334028056631319E-12</v>
      </c>
      <c r="AM158" s="59">
        <f t="shared" si="113"/>
        <v>293.33333333334252</v>
      </c>
      <c r="AN158" s="59">
        <f ca="1">AVERAGE(OFFSET($AM$3,0,0,'Données projet'!$E$10+1,1))-AVERAGE(OFFSET($H$3,0,0,'Données projet'!$E$10+1,1))</f>
        <v>297.21955661193238</v>
      </c>
      <c r="AO158" s="59">
        <f t="shared" si="144"/>
        <v>273.69206144662144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0.56680049863236504</v>
      </c>
      <c r="AV158" s="21">
        <f>EXP(-LN(2)/25)*AV157+(1-EXP(-LN(2)/25))/(LN(2)/25)*Calculateur!AQ158*Calculateur!AS158*VLOOKUP('Données projet'!$B$10,Paramètres!$A$1:$I$89,3,0)*0.475*44/12</f>
        <v>0.41947299821476963</v>
      </c>
      <c r="AW158" s="21">
        <f>EXP(-LN(2)/2)*AW157+(1-EXP(-LN(2)/2))/(LN(2)/2)*AQ158*AT158*VLOOKUP('Données projet'!$B$10,Paramètres!$A$1:$I$89,3,0)*0.475*44/12</f>
        <v>3.2065433155034569E-18</v>
      </c>
      <c r="AX158" s="21">
        <f t="shared" si="166"/>
        <v>0.98627349684713472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3.6357050703372803E-14</v>
      </c>
      <c r="BF158" s="13">
        <f t="shared" si="167"/>
        <v>6.1445232567661395E-13</v>
      </c>
      <c r="BG158" s="20">
        <f t="shared" si="168"/>
        <v>1.1334929971951436E-12</v>
      </c>
      <c r="BH158" s="59">
        <f t="shared" si="116"/>
        <v>293.33333333333445</v>
      </c>
      <c r="BI158" s="59">
        <f ca="1">AVERAGE(OFFSET($BH$3,0,0,'Données projet'!$E$11+1,1))-AVERAGE(OFFSET($H$3,0,0,'Données projet'!$E$11+1,1))</f>
        <v>176.90404027101607</v>
      </c>
      <c r="BJ158" s="59">
        <f t="shared" si="146"/>
        <v>295.34177980841878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0.14921742321230586</v>
      </c>
      <c r="BQ158" s="21">
        <f>EXP(-LN(2)/25)*BQ157+(1-EXP(-LN(2)/25))/(LN(2)/25)*Calculateur!BL158*Calculateur!BN158*VLOOKUP('Données projet'!$B$11,Paramètres!$A$1:$I$89,3,0)*0.475*44/12</f>
        <v>0.25751599333357256</v>
      </c>
      <c r="BR158" s="21">
        <f>EXP(-LN(2)/2)*BR157+(1-EXP(-LN(2)/2))/(LN(2)/2)*BL158*BO158*VLOOKUP('Données projet'!$B$11,Paramètres!$A$1:$I$89,3,0)*0.475*44/12</f>
        <v>5.1675817814365345E-21</v>
      </c>
      <c r="BS158" s="22">
        <f t="shared" si="169"/>
        <v>0.40673341654587841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-5.6843418860808015E-13</v>
      </c>
      <c r="BZ158" s="13">
        <f>BY158*VLOOKUP('Données projet'!$B$12,Paramètres!$A$1:$I$89,3,0)*VLOOKUP('Données projet'!$B$12,Paramètres!$A$1:$I$89,5,0)</f>
        <v>-3.177547114319168E-13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326.31232746914907</v>
      </c>
      <c r="CE158" s="59">
        <f t="shared" si="148"/>
        <v>330.17137761430297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0.38424988758635559</v>
      </c>
      <c r="CL158" s="21">
        <f>EXP(-LN(2)/25)*CL157+(1-EXP(-LN(2)/25))/(LN(2)/25)*Calculateur!CG158*Calculateur!CI158*VLOOKUP('Données projet'!$B$12,Paramètres!$A$1:$I$89,3,0)*0.475*44/12</f>
        <v>0.94290463339174113</v>
      </c>
      <c r="CM158" s="21">
        <f>EXP(-LN(2)/2)*CM157+(1-EXP(-LN(2)/2))/(LN(2)/2)*CG158*CJ158*VLOOKUP('Données projet'!$B$12,Paramètres!$A$1:$I$89,3,0)*0.475*44/12</f>
        <v>4.9865903995183277E-18</v>
      </c>
      <c r="CN158" s="22">
        <f t="shared" si="172"/>
        <v>1.3271545209780968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210.04871822652808</v>
      </c>
      <c r="CZ158" s="59">
        <f t="shared" si="150"/>
        <v>250.17540614049324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0.61414992603654239</v>
      </c>
      <c r="DG158" s="21">
        <f>EXP(-LN(2)/25)*DG157+(1-EXP(-LN(2)/25))/(LN(2)/25)*Calculateur!DB158*Calculateur!DD158*VLOOKUP('Données projet'!$B$13,Paramètres!$A$1:$I$89,3,0)*0.475*44/12</f>
        <v>0.86970979950491933</v>
      </c>
      <c r="DH158" s="21">
        <f>EXP(-LN(2)/2)*DH157+(1-EXP(-LN(2)/2))/(LN(2)/2)*DB158*DE158*VLOOKUP('Données projet'!$B$13,Paramètres!$A$1:$I$89,3,0)*0.475*44/12</f>
        <v>3.3048435704907287E-18</v>
      </c>
      <c r="DI158" s="22">
        <f t="shared" si="175"/>
        <v>1.4838597255414618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-5.1159076974727213E-13</v>
      </c>
      <c r="DP158" s="17">
        <f>DO158*VLOOKUP('Données projet'!$B$14,Paramètres!$A$1:$I$89,3,0)*VLOOKUP('Données projet'!$B$14,Paramètres!$A$1:$I$89,5,0)</f>
        <v>-3.7509835237869992E-13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234.09142087023463</v>
      </c>
      <c r="DU158" s="59">
        <f t="shared" si="152"/>
        <v>278.990685815294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0.2052243717790764</v>
      </c>
      <c r="EB158" s="21">
        <f>EXP(-LN(2)/25)*EB157+(1-EXP(-LN(2)/25))/(LN(2)/25)*Calculateur!DW158*Calculateur!DY158*VLOOKUP('Données projet'!$B$14,Paramètres!$A$1:$I$89,3,0)*0.475*44/12</f>
        <v>0.47944549004364162</v>
      </c>
      <c r="EC158" s="21">
        <f>EXP(-LN(2)/2)*EC157+(1-EXP(-LN(2)/2))/(LN(2)/2)*DW158*DZ158*VLOOKUP('Données projet'!$B$14,Paramètres!$A$1:$I$89,3,0)*0.475*44/12</f>
        <v>3.3967999397439698E-18</v>
      </c>
      <c r="ED158" s="22">
        <f t="shared" si="178"/>
        <v>0.68466986182271805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259.30247982593914</v>
      </c>
      <c r="T159" s="59">
        <f t="shared" si="142"/>
        <v>275.24740346220779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0.5481218544475922</v>
      </c>
      <c r="AB159" s="21">
        <f>EXP(-LN(2)/2)*AB158+(1-EXP(-LN(2)/2))/(LN(2)/2)*V159*Y159*VLOOKUP('Données projet'!$B$9,Paramètres!$A$1:$I$89,3,0)*0.475*44/12</f>
        <v>3.1095428079083803E-18</v>
      </c>
      <c r="AC159" s="22">
        <f t="shared" si="163"/>
        <v>0.5481218544475922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7.9580786405131221E-13</v>
      </c>
      <c r="AJ159" s="13">
        <f>AI159*VLOOKUP('Données projet'!$B$10,Paramètres!$A$1:$I$89,3,0)*VLOOKUP('Données projet'!$B$10,Paramètres!$A$1:$I$89,5,0)</f>
        <v>3.8278358260868117E-13</v>
      </c>
      <c r="AK159" s="13">
        <f t="shared" si="164"/>
        <v>4.9186917125089072E-12</v>
      </c>
      <c r="AL159" s="20">
        <f t="shared" si="165"/>
        <v>9.2334028056631319E-12</v>
      </c>
      <c r="AM159" s="59">
        <f t="shared" si="113"/>
        <v>293.33333333334252</v>
      </c>
      <c r="AN159" s="59">
        <f ca="1">AVERAGE(OFFSET($AM$3,0,0,'Données projet'!$E$10+1,1))-AVERAGE(OFFSET($H$3,0,0,'Données projet'!$E$10+1,1))</f>
        <v>297.21955661193238</v>
      </c>
      <c r="AO159" s="59">
        <f t="shared" si="144"/>
        <v>273.69206144662144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0.55568588656835205</v>
      </c>
      <c r="AV159" s="21">
        <f>EXP(-LN(2)/25)*AV158+(1-EXP(-LN(2)/25))/(LN(2)/25)*Calculateur!AQ159*Calculateur!AS159*VLOOKUP('Données projet'!$B$10,Paramètres!$A$1:$I$89,3,0)*0.475*44/12</f>
        <v>0.40800248701946051</v>
      </c>
      <c r="AW159" s="21">
        <f>EXP(-LN(2)/2)*AW158+(1-EXP(-LN(2)/2))/(LN(2)/2)*AQ159*AT159*VLOOKUP('Données projet'!$B$10,Paramètres!$A$1:$I$89,3,0)*0.475*44/12</f>
        <v>2.2673685225608895E-18</v>
      </c>
      <c r="AX159" s="21">
        <f t="shared" si="166"/>
        <v>0.96368837358781256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3.6357050703372803E-14</v>
      </c>
      <c r="BF159" s="13">
        <f t="shared" si="167"/>
        <v>6.1445232567661395E-13</v>
      </c>
      <c r="BG159" s="20">
        <f t="shared" si="168"/>
        <v>1.1334929971951436E-12</v>
      </c>
      <c r="BH159" s="59">
        <f t="shared" si="116"/>
        <v>293.33333333333445</v>
      </c>
      <c r="BI159" s="59">
        <f ca="1">AVERAGE(OFFSET($BH$3,0,0,'Données projet'!$E$11+1,1))-AVERAGE(OFFSET($H$3,0,0,'Données projet'!$E$11+1,1))</f>
        <v>176.90404027101607</v>
      </c>
      <c r="BJ159" s="59">
        <f t="shared" si="146"/>
        <v>295.34177980841878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0.14629136055675385</v>
      </c>
      <c r="BQ159" s="21">
        <f>EXP(-LN(2)/25)*BQ158+(1-EXP(-LN(2)/25))/(LN(2)/25)*Calculateur!BL159*Calculateur!BN159*VLOOKUP('Données projet'!$B$11,Paramètres!$A$1:$I$89,3,0)*0.475*44/12</f>
        <v>0.2504742049536885</v>
      </c>
      <c r="BR159" s="21">
        <f>EXP(-LN(2)/2)*BR158+(1-EXP(-LN(2)/2))/(LN(2)/2)*BL159*BO159*VLOOKUP('Données projet'!$B$11,Paramètres!$A$1:$I$89,3,0)*0.475*44/12</f>
        <v>3.654032119989833E-21</v>
      </c>
      <c r="BS159" s="22">
        <f t="shared" si="169"/>
        <v>0.39676556551044234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-5.6843418860808015E-13</v>
      </c>
      <c r="BZ159" s="13">
        <f>BY159*VLOOKUP('Données projet'!$B$12,Paramètres!$A$1:$I$89,3,0)*VLOOKUP('Données projet'!$B$12,Paramètres!$A$1:$I$89,5,0)</f>
        <v>-3.177547114319168E-13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326.31232746914907</v>
      </c>
      <c r="CE159" s="59">
        <f t="shared" si="148"/>
        <v>330.17137761430297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0.37671498166007655</v>
      </c>
      <c r="CL159" s="21">
        <f>EXP(-LN(2)/25)*CL158+(1-EXP(-LN(2)/25))/(LN(2)/25)*Calculateur!CG159*Calculateur!CI159*VLOOKUP('Données projet'!$B$12,Paramètres!$A$1:$I$89,3,0)*0.475*44/12</f>
        <v>0.91712085660644438</v>
      </c>
      <c r="CM159" s="21">
        <f>EXP(-LN(2)/2)*CM158+(1-EXP(-LN(2)/2))/(LN(2)/2)*CG159*CJ159*VLOOKUP('Données projet'!$B$12,Paramètres!$A$1:$I$89,3,0)*0.475*44/12</f>
        <v>3.5260518864991448E-18</v>
      </c>
      <c r="CN159" s="22">
        <f t="shared" si="172"/>
        <v>1.2938358382665209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210.04871822652808</v>
      </c>
      <c r="CZ159" s="59">
        <f t="shared" si="150"/>
        <v>250.17540614049324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0.6021068205814325</v>
      </c>
      <c r="DG159" s="21">
        <f>EXP(-LN(2)/25)*DG158+(1-EXP(-LN(2)/25))/(LN(2)/25)*Calculateur!DB159*Calculateur!DD159*VLOOKUP('Données projet'!$B$13,Paramètres!$A$1:$I$89,3,0)*0.475*44/12</f>
        <v>0.84592753930140674</v>
      </c>
      <c r="DH159" s="21">
        <f>EXP(-LN(2)/2)*DH158+(1-EXP(-LN(2)/2))/(LN(2)/2)*DB159*DE159*VLOOKUP('Données projet'!$B$13,Paramètres!$A$1:$I$89,3,0)*0.475*44/12</f>
        <v>2.3368772994547561E-18</v>
      </c>
      <c r="DI159" s="22">
        <f t="shared" si="175"/>
        <v>1.4480343598828394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-5.1159076974727213E-13</v>
      </c>
      <c r="DP159" s="17">
        <f>DO159*VLOOKUP('Données projet'!$B$14,Paramètres!$A$1:$I$89,3,0)*VLOOKUP('Données projet'!$B$14,Paramètres!$A$1:$I$89,5,0)</f>
        <v>-3.7509835237869992E-13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234.09142087023463</v>
      </c>
      <c r="DU159" s="59">
        <f t="shared" si="152"/>
        <v>278.990685815294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0.20120004702299554</v>
      </c>
      <c r="EB159" s="21">
        <f>EXP(-LN(2)/25)*EB158+(1-EXP(-LN(2)/25))/(LN(2)/25)*Calculateur!DW159*Calculateur!DY159*VLOOKUP('Données projet'!$B$14,Paramètres!$A$1:$I$89,3,0)*0.475*44/12</f>
        <v>0.46633502790545572</v>
      </c>
      <c r="EC159" s="21">
        <f>EXP(-LN(2)/2)*EC158+(1-EXP(-LN(2)/2))/(LN(2)/2)*DW159*DZ159*VLOOKUP('Données projet'!$B$14,Paramètres!$A$1:$I$89,3,0)*0.475*44/12</f>
        <v>2.4019002717270171E-18</v>
      </c>
      <c r="ED159" s="22">
        <f t="shared" si="178"/>
        <v>0.66753507492845121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259.30247982593914</v>
      </c>
      <c r="T160" s="59">
        <f t="shared" si="142"/>
        <v>275.24740346220779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0.53313343351324727</v>
      </c>
      <c r="AB160" s="21">
        <f>EXP(-LN(2)/2)*AB159+(1-EXP(-LN(2)/2))/(LN(2)/2)*V160*Y160*VLOOKUP('Données projet'!$B$9,Paramètres!$A$1:$I$89,3,0)*0.475*44/12</f>
        <v>2.1987788058618736E-18</v>
      </c>
      <c r="AC160" s="22">
        <f t="shared" si="163"/>
        <v>0.53313343351324727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7.9580786405131221E-13</v>
      </c>
      <c r="AJ160" s="13">
        <f>AI160*VLOOKUP('Données projet'!$B$10,Paramètres!$A$1:$I$89,3,0)*VLOOKUP('Données projet'!$B$10,Paramètres!$A$1:$I$89,5,0)</f>
        <v>3.8278358260868117E-13</v>
      </c>
      <c r="AK160" s="13">
        <f t="shared" si="164"/>
        <v>4.9186917125089072E-12</v>
      </c>
      <c r="AL160" s="20">
        <f t="shared" si="165"/>
        <v>9.2334028056631319E-12</v>
      </c>
      <c r="AM160" s="59">
        <f t="shared" si="113"/>
        <v>293.33333333334252</v>
      </c>
      <c r="AN160" s="59">
        <f ca="1">AVERAGE(OFFSET($AM$3,0,0,'Données projet'!$E$10+1,1))-AVERAGE(OFFSET($H$3,0,0,'Données projet'!$E$10+1,1))</f>
        <v>297.21955661193238</v>
      </c>
      <c r="AO160" s="59">
        <f t="shared" si="144"/>
        <v>273.69206144662144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0.54478922526767037</v>
      </c>
      <c r="AV160" s="21">
        <f>EXP(-LN(2)/25)*AV159+(1-EXP(-LN(2)/25))/(LN(2)/25)*Calculateur!AQ160*Calculateur!AS160*VLOOKUP('Données projet'!$B$10,Paramètres!$A$1:$I$89,3,0)*0.475*44/12</f>
        <v>0.39684563755599506</v>
      </c>
      <c r="AW160" s="21">
        <f>EXP(-LN(2)/2)*AW159+(1-EXP(-LN(2)/2))/(LN(2)/2)*AQ160*AT160*VLOOKUP('Données projet'!$B$10,Paramètres!$A$1:$I$89,3,0)*0.475*44/12</f>
        <v>1.6032716577517285E-18</v>
      </c>
      <c r="AX160" s="21">
        <f t="shared" si="166"/>
        <v>0.94163486282366549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3.6357050703372803E-14</v>
      </c>
      <c r="BF160" s="13">
        <f t="shared" si="167"/>
        <v>6.1445232567661395E-13</v>
      </c>
      <c r="BG160" s="20">
        <f t="shared" si="168"/>
        <v>1.1334929971951436E-12</v>
      </c>
      <c r="BH160" s="59">
        <f t="shared" si="116"/>
        <v>293.33333333333445</v>
      </c>
      <c r="BI160" s="59">
        <f ca="1">AVERAGE(OFFSET($BH$3,0,0,'Données projet'!$E$11+1,1))-AVERAGE(OFFSET($H$3,0,0,'Données projet'!$E$11+1,1))</f>
        <v>176.90404027101607</v>
      </c>
      <c r="BJ160" s="59">
        <f t="shared" si="146"/>
        <v>295.34177980841878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0.14342267620515523</v>
      </c>
      <c r="BQ160" s="21">
        <f>EXP(-LN(2)/25)*BQ159+(1-EXP(-LN(2)/25))/(LN(2)/25)*Calculateur!BL160*Calculateur!BN160*VLOOKUP('Données projet'!$B$11,Paramètres!$A$1:$I$89,3,0)*0.475*44/12</f>
        <v>0.24362497464736391</v>
      </c>
      <c r="BR160" s="21">
        <f>EXP(-LN(2)/2)*BR159+(1-EXP(-LN(2)/2))/(LN(2)/2)*BL160*BO160*VLOOKUP('Données projet'!$B$11,Paramètres!$A$1:$I$89,3,0)*0.475*44/12</f>
        <v>2.5837908907182673E-21</v>
      </c>
      <c r="BS160" s="22">
        <f t="shared" si="169"/>
        <v>0.38704765085251913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-5.6843418860808015E-13</v>
      </c>
      <c r="BZ160" s="13">
        <f>BY160*VLOOKUP('Données projet'!$B$12,Paramètres!$A$1:$I$89,3,0)*VLOOKUP('Données projet'!$B$12,Paramètres!$A$1:$I$89,5,0)</f>
        <v>-3.177547114319168E-13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326.31232746914907</v>
      </c>
      <c r="CE160" s="59">
        <f t="shared" si="148"/>
        <v>330.17137761430297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0.36932783064317304</v>
      </c>
      <c r="CL160" s="21">
        <f>EXP(-LN(2)/25)*CL159+(1-EXP(-LN(2)/25))/(LN(2)/25)*Calculateur!CG160*Calculateur!CI160*VLOOKUP('Données projet'!$B$12,Paramètres!$A$1:$I$89,3,0)*0.475*44/12</f>
        <v>0.89204213855325143</v>
      </c>
      <c r="CM160" s="21">
        <f>EXP(-LN(2)/2)*CM159+(1-EXP(-LN(2)/2))/(LN(2)/2)*CG160*CJ160*VLOOKUP('Données projet'!$B$12,Paramètres!$A$1:$I$89,3,0)*0.475*44/12</f>
        <v>2.4932951997591639E-18</v>
      </c>
      <c r="CN160" s="22">
        <f t="shared" si="172"/>
        <v>1.2613699691964244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210.04871822652808</v>
      </c>
      <c r="CZ160" s="59">
        <f t="shared" si="150"/>
        <v>250.17540614049324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0.59029987307872833</v>
      </c>
      <c r="DG160" s="21">
        <f>EXP(-LN(2)/25)*DG159+(1-EXP(-LN(2)/25))/(LN(2)/25)*Calculateur!DB160*Calculateur!DD160*VLOOKUP('Données projet'!$B$13,Paramètres!$A$1:$I$89,3,0)*0.475*44/12</f>
        <v>0.82279560625381387</v>
      </c>
      <c r="DH160" s="21">
        <f>EXP(-LN(2)/2)*DH159+(1-EXP(-LN(2)/2))/(LN(2)/2)*DB160*DE160*VLOOKUP('Données projet'!$B$13,Paramètres!$A$1:$I$89,3,0)*0.475*44/12</f>
        <v>1.6524217852453644E-18</v>
      </c>
      <c r="DI160" s="22">
        <f t="shared" si="175"/>
        <v>1.4130954793325423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-5.1159076974727213E-13</v>
      </c>
      <c r="DP160" s="17">
        <f>DO160*VLOOKUP('Données projet'!$B$14,Paramètres!$A$1:$I$89,3,0)*VLOOKUP('Données projet'!$B$14,Paramètres!$A$1:$I$89,5,0)</f>
        <v>-3.7509835237869992E-13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234.09142087023463</v>
      </c>
      <c r="DU160" s="59">
        <f t="shared" si="152"/>
        <v>278.990685815294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0.1972546368207857</v>
      </c>
      <c r="EB160" s="21">
        <f>EXP(-LN(2)/25)*EB159+(1-EXP(-LN(2)/25))/(LN(2)/25)*Calculateur!DW160*Calculateur!DY160*VLOOKUP('Données projet'!$B$14,Paramètres!$A$1:$I$89,3,0)*0.475*44/12</f>
        <v>0.45358307204388776</v>
      </c>
      <c r="EC160" s="21">
        <f>EXP(-LN(2)/2)*EC159+(1-EXP(-LN(2)/2))/(LN(2)/2)*DW160*DZ160*VLOOKUP('Données projet'!$B$14,Paramètres!$A$1:$I$89,3,0)*0.475*44/12</f>
        <v>1.6983999698719851E-18</v>
      </c>
      <c r="ED160" s="22">
        <f t="shared" si="178"/>
        <v>0.65083770886467351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259.30247982593914</v>
      </c>
      <c r="T161" s="59">
        <f t="shared" si="142"/>
        <v>275.24740346220779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0.51855487173755876</v>
      </c>
      <c r="AB161" s="21">
        <f>EXP(-LN(2)/2)*AB160+(1-EXP(-LN(2)/2))/(LN(2)/2)*V161*Y161*VLOOKUP('Données projet'!$B$9,Paramètres!$A$1:$I$89,3,0)*0.475*44/12</f>
        <v>1.5547714039541902E-18</v>
      </c>
      <c r="AC161" s="22">
        <f t="shared" si="163"/>
        <v>0.51855487173755876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7.9580786405131221E-13</v>
      </c>
      <c r="AJ161" s="13">
        <f>AI161*VLOOKUP('Données projet'!$B$10,Paramètres!$A$1:$I$89,3,0)*VLOOKUP('Données projet'!$B$10,Paramètres!$A$1:$I$89,5,0)</f>
        <v>3.8278358260868117E-13</v>
      </c>
      <c r="AK161" s="13">
        <f t="shared" si="164"/>
        <v>4.9186917125089072E-12</v>
      </c>
      <c r="AL161" s="20">
        <f t="shared" si="165"/>
        <v>9.2334028056631319E-12</v>
      </c>
      <c r="AM161" s="59">
        <f t="shared" si="113"/>
        <v>293.33333333334252</v>
      </c>
      <c r="AN161" s="59">
        <f ca="1">AVERAGE(OFFSET($AM$3,0,0,'Données projet'!$E$10+1,1))-AVERAGE(OFFSET($H$3,0,0,'Données projet'!$E$10+1,1))</f>
        <v>297.21955661193238</v>
      </c>
      <c r="AO161" s="59">
        <f t="shared" si="144"/>
        <v>273.69206144662144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0.53410624084878799</v>
      </c>
      <c r="AV161" s="21">
        <f>EXP(-LN(2)/25)*AV160+(1-EXP(-LN(2)/25))/(LN(2)/25)*Calculateur!AQ161*Calculateur!AS161*VLOOKUP('Données projet'!$B$10,Paramètres!$A$1:$I$89,3,0)*0.475*44/12</f>
        <v>0.38599387272782132</v>
      </c>
      <c r="AW161" s="21">
        <f>EXP(-LN(2)/2)*AW160+(1-EXP(-LN(2)/2))/(LN(2)/2)*AQ161*AT161*VLOOKUP('Données projet'!$B$10,Paramètres!$A$1:$I$89,3,0)*0.475*44/12</f>
        <v>1.1336842612804448E-18</v>
      </c>
      <c r="AX161" s="21">
        <f t="shared" si="166"/>
        <v>0.92010011357660937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3.6357050703372803E-14</v>
      </c>
      <c r="BF161" s="13">
        <f t="shared" si="167"/>
        <v>6.1445232567661395E-13</v>
      </c>
      <c r="BG161" s="20">
        <f t="shared" si="168"/>
        <v>1.1334929971951436E-12</v>
      </c>
      <c r="BH161" s="59">
        <f t="shared" si="116"/>
        <v>293.33333333333445</v>
      </c>
      <c r="BI161" s="59">
        <f ca="1">AVERAGE(OFFSET($BH$3,0,0,'Données projet'!$E$11+1,1))-AVERAGE(OFFSET($H$3,0,0,'Données projet'!$E$11+1,1))</f>
        <v>176.90404027101607</v>
      </c>
      <c r="BJ161" s="59">
        <f t="shared" si="146"/>
        <v>295.34177980841878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0.14061024500396677</v>
      </c>
      <c r="BQ161" s="21">
        <f>EXP(-LN(2)/25)*BQ160+(1-EXP(-LN(2)/25))/(LN(2)/25)*Calculateur!BL161*Calculateur!BN161*VLOOKUP('Données projet'!$B$11,Paramètres!$A$1:$I$89,3,0)*0.475*44/12</f>
        <v>0.23696303690395112</v>
      </c>
      <c r="BR161" s="21">
        <f>EXP(-LN(2)/2)*BR160+(1-EXP(-LN(2)/2))/(LN(2)/2)*BL161*BO161*VLOOKUP('Données projet'!$B$11,Paramètres!$A$1:$I$89,3,0)*0.475*44/12</f>
        <v>1.8270160599949165E-21</v>
      </c>
      <c r="BS161" s="22">
        <f t="shared" si="169"/>
        <v>0.37757328190791789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-5.6843418860808015E-13</v>
      </c>
      <c r="BZ161" s="13">
        <f>BY161*VLOOKUP('Données projet'!$B$12,Paramètres!$A$1:$I$89,3,0)*VLOOKUP('Données projet'!$B$12,Paramètres!$A$1:$I$89,5,0)</f>
        <v>-3.177547114319168E-13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326.31232746914907</v>
      </c>
      <c r="CE161" s="59">
        <f t="shared" si="148"/>
        <v>330.17137761430297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0.36208553715199376</v>
      </c>
      <c r="CL161" s="21">
        <f>EXP(-LN(2)/25)*CL160+(1-EXP(-LN(2)/25))/(LN(2)/25)*Calculateur!CG161*Calculateur!CI161*VLOOKUP('Données projet'!$B$12,Paramètres!$A$1:$I$89,3,0)*0.475*44/12</f>
        <v>0.86764919936405549</v>
      </c>
      <c r="CM161" s="21">
        <f>EXP(-LN(2)/2)*CM160+(1-EXP(-LN(2)/2))/(LN(2)/2)*CG161*CJ161*VLOOKUP('Données projet'!$B$12,Paramètres!$A$1:$I$89,3,0)*0.475*44/12</f>
        <v>1.7630259432495724E-18</v>
      </c>
      <c r="CN161" s="22">
        <f t="shared" si="172"/>
        <v>1.2297347365160491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210.04871822652808</v>
      </c>
      <c r="CZ161" s="59">
        <f t="shared" si="150"/>
        <v>250.17540614049324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0.57872445261502536</v>
      </c>
      <c r="DG161" s="21">
        <f>EXP(-LN(2)/25)*DG160+(1-EXP(-LN(2)/25))/(LN(2)/25)*Calculateur!DB161*Calculateur!DD161*VLOOKUP('Données projet'!$B$13,Paramètres!$A$1:$I$89,3,0)*0.475*44/12</f>
        <v>0.80029621713186294</v>
      </c>
      <c r="DH161" s="21">
        <f>EXP(-LN(2)/2)*DH160+(1-EXP(-LN(2)/2))/(LN(2)/2)*DB161*DE161*VLOOKUP('Données projet'!$B$13,Paramètres!$A$1:$I$89,3,0)*0.475*44/12</f>
        <v>1.1684386497273781E-18</v>
      </c>
      <c r="DI161" s="22">
        <f t="shared" si="175"/>
        <v>1.3790206697468883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-5.1159076974727213E-13</v>
      </c>
      <c r="DP161" s="17">
        <f>DO161*VLOOKUP('Données projet'!$B$14,Paramètres!$A$1:$I$89,3,0)*VLOOKUP('Données projet'!$B$14,Paramètres!$A$1:$I$89,5,0)</f>
        <v>-3.7509835237869992E-13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234.09142087023463</v>
      </c>
      <c r="DU161" s="59">
        <f t="shared" si="152"/>
        <v>278.990685815294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0.19338659370617858</v>
      </c>
      <c r="EB161" s="21">
        <f>EXP(-LN(2)/25)*EB160+(1-EXP(-LN(2)/25))/(LN(2)/25)*Calculateur!DW161*Calculateur!DY161*VLOOKUP('Données projet'!$B$14,Paramètres!$A$1:$I$89,3,0)*0.475*44/12</f>
        <v>0.44117981908595055</v>
      </c>
      <c r="EC161" s="21">
        <f>EXP(-LN(2)/2)*EC160+(1-EXP(-LN(2)/2))/(LN(2)/2)*DW161*DZ161*VLOOKUP('Données projet'!$B$14,Paramètres!$A$1:$I$89,3,0)*0.475*44/12</f>
        <v>1.2009501358635088E-18</v>
      </c>
      <c r="ED161" s="22">
        <f t="shared" si="178"/>
        <v>0.63456641279212911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259.30247982593914</v>
      </c>
      <c r="T162" s="59">
        <f t="shared" si="142"/>
        <v>275.24740346220779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0.50437496150027972</v>
      </c>
      <c r="AB162" s="21">
        <f>EXP(-LN(2)/2)*AB161+(1-EXP(-LN(2)/2))/(LN(2)/2)*V162*Y162*VLOOKUP('Données projet'!$B$9,Paramètres!$A$1:$I$89,3,0)*0.475*44/12</f>
        <v>1.0993894029309368E-18</v>
      </c>
      <c r="AC162" s="22">
        <f t="shared" si="163"/>
        <v>0.50437496150027972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7.9580786405131221E-13</v>
      </c>
      <c r="AJ162" s="13">
        <f>AI162*VLOOKUP('Données projet'!$B$10,Paramètres!$A$1:$I$89,3,0)*VLOOKUP('Données projet'!$B$10,Paramètres!$A$1:$I$89,5,0)</f>
        <v>3.8278358260868117E-13</v>
      </c>
      <c r="AK162" s="13">
        <f t="shared" si="164"/>
        <v>4.9186917125089072E-12</v>
      </c>
      <c r="AL162" s="20">
        <f t="shared" si="165"/>
        <v>9.2334028056631319E-12</v>
      </c>
      <c r="AM162" s="59">
        <f t="shared" si="113"/>
        <v>293.33333333334252</v>
      </c>
      <c r="AN162" s="59">
        <f ca="1">AVERAGE(OFFSET($AM$3,0,0,'Données projet'!$E$10+1,1))-AVERAGE(OFFSET($H$3,0,0,'Données projet'!$E$10+1,1))</f>
        <v>297.21955661193238</v>
      </c>
      <c r="AO162" s="59">
        <f t="shared" si="144"/>
        <v>273.69206144662144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0.52363274323838283</v>
      </c>
      <c r="AV162" s="21">
        <f>EXP(-LN(2)/25)*AV161+(1-EXP(-LN(2)/25))/(LN(2)/25)*Calculateur!AQ162*Calculateur!AS162*VLOOKUP('Données projet'!$B$10,Paramètres!$A$1:$I$89,3,0)*0.475*44/12</f>
        <v>0.37543884997954347</v>
      </c>
      <c r="AW162" s="21">
        <f>EXP(-LN(2)/2)*AW161+(1-EXP(-LN(2)/2))/(LN(2)/2)*AQ162*AT162*VLOOKUP('Données projet'!$B$10,Paramètres!$A$1:$I$89,3,0)*0.475*44/12</f>
        <v>8.0163582887586423E-19</v>
      </c>
      <c r="AX162" s="21">
        <f t="shared" si="166"/>
        <v>0.89907159321792629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3.6357050703372803E-14</v>
      </c>
      <c r="BF162" s="13">
        <f t="shared" si="167"/>
        <v>6.1445232567661395E-13</v>
      </c>
      <c r="BG162" s="20">
        <f t="shared" si="168"/>
        <v>1.1334929971951436E-12</v>
      </c>
      <c r="BH162" s="59">
        <f t="shared" si="116"/>
        <v>293.33333333333445</v>
      </c>
      <c r="BI162" s="59">
        <f ca="1">AVERAGE(OFFSET($BH$3,0,0,'Données projet'!$E$11+1,1))-AVERAGE(OFFSET($H$3,0,0,'Données projet'!$E$11+1,1))</f>
        <v>176.90404027101607</v>
      </c>
      <c r="BJ162" s="59">
        <f t="shared" si="146"/>
        <v>295.34177980841878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0.13785296386321996</v>
      </c>
      <c r="BQ162" s="21">
        <f>EXP(-LN(2)/25)*BQ161+(1-EXP(-LN(2)/25))/(LN(2)/25)*Calculateur!BL162*Calculateur!BN162*VLOOKUP('Données projet'!$B$11,Paramètres!$A$1:$I$89,3,0)*0.475*44/12</f>
        <v>0.23048327019846807</v>
      </c>
      <c r="BR162" s="21">
        <f>EXP(-LN(2)/2)*BR161+(1-EXP(-LN(2)/2))/(LN(2)/2)*BL162*BO162*VLOOKUP('Données projet'!$B$11,Paramètres!$A$1:$I$89,3,0)*0.475*44/12</f>
        <v>1.2918954453591336E-21</v>
      </c>
      <c r="BS162" s="22">
        <f t="shared" si="169"/>
        <v>0.36833623406168803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-5.6843418860808015E-13</v>
      </c>
      <c r="BZ162" s="13">
        <f>BY162*VLOOKUP('Données projet'!$B$12,Paramètres!$A$1:$I$89,3,0)*VLOOKUP('Données projet'!$B$12,Paramètres!$A$1:$I$89,5,0)</f>
        <v>-3.177547114319168E-13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326.31232746914907</v>
      </c>
      <c r="CE162" s="59">
        <f t="shared" si="148"/>
        <v>330.17137761430297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0.35498526061881369</v>
      </c>
      <c r="CL162" s="21">
        <f>EXP(-LN(2)/25)*CL161+(1-EXP(-LN(2)/25))/(LN(2)/25)*Calculateur!CG162*Calculateur!CI162*VLOOKUP('Données projet'!$B$12,Paramètres!$A$1:$I$89,3,0)*0.475*44/12</f>
        <v>0.843923286379757</v>
      </c>
      <c r="CM162" s="21">
        <f>EXP(-LN(2)/2)*CM161+(1-EXP(-LN(2)/2))/(LN(2)/2)*CG162*CJ162*VLOOKUP('Données projet'!$B$12,Paramètres!$A$1:$I$89,3,0)*0.475*44/12</f>
        <v>1.2466475998795819E-18</v>
      </c>
      <c r="CN162" s="22">
        <f t="shared" si="172"/>
        <v>1.1989085469985707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210.04871822652808</v>
      </c>
      <c r="CZ162" s="59">
        <f t="shared" si="150"/>
        <v>250.17540614049324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0.56737601908630619</v>
      </c>
      <c r="DG162" s="21">
        <f>EXP(-LN(2)/25)*DG161+(1-EXP(-LN(2)/25))/(LN(2)/25)*Calculateur!DB162*Calculateur!DD162*VLOOKUP('Données projet'!$B$13,Paramètres!$A$1:$I$89,3,0)*0.475*44/12</f>
        <v>0.77841207498864318</v>
      </c>
      <c r="DH162" s="21">
        <f>EXP(-LN(2)/2)*DH161+(1-EXP(-LN(2)/2))/(LN(2)/2)*DB162*DE162*VLOOKUP('Données projet'!$B$13,Paramètres!$A$1:$I$89,3,0)*0.475*44/12</f>
        <v>8.2621089262268218E-19</v>
      </c>
      <c r="DI162" s="22">
        <f t="shared" si="175"/>
        <v>1.3457880940749494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-5.1159076974727213E-13</v>
      </c>
      <c r="DP162" s="17">
        <f>DO162*VLOOKUP('Données projet'!$B$14,Paramètres!$A$1:$I$89,3,0)*VLOOKUP('Données projet'!$B$14,Paramètres!$A$1:$I$89,5,0)</f>
        <v>-3.7509835237869992E-13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234.09142087023463</v>
      </c>
      <c r="DU162" s="59">
        <f t="shared" si="152"/>
        <v>278.990685815294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0.18959440055777557</v>
      </c>
      <c r="EB162" s="21">
        <f>EXP(-LN(2)/25)*EB161+(1-EXP(-LN(2)/25))/(LN(2)/25)*Calculateur!DW162*Calculateur!DY162*VLOOKUP('Données projet'!$B$14,Paramètres!$A$1:$I$89,3,0)*0.475*44/12</f>
        <v>0.42911573373240686</v>
      </c>
      <c r="EC162" s="21">
        <f>EXP(-LN(2)/2)*EC161+(1-EXP(-LN(2)/2))/(LN(2)/2)*DW162*DZ162*VLOOKUP('Données projet'!$B$14,Paramètres!$A$1:$I$89,3,0)*0.475*44/12</f>
        <v>8.4919998493599263E-19</v>
      </c>
      <c r="ED162" s="22">
        <f t="shared" si="178"/>
        <v>0.6187101342901824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259.30247982593914</v>
      </c>
      <c r="T163" s="59">
        <f t="shared" si="142"/>
        <v>275.24740346220779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0.4905828016541281</v>
      </c>
      <c r="AB163" s="21">
        <f>EXP(-LN(2)/2)*AB162+(1-EXP(-LN(2)/2))/(LN(2)/2)*V163*Y163*VLOOKUP('Données projet'!$B$9,Paramètres!$A$1:$I$89,3,0)*0.475*44/12</f>
        <v>7.7738570197709508E-19</v>
      </c>
      <c r="AC163" s="22">
        <f t="shared" si="163"/>
        <v>0.4905828016541281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7.9580786405131221E-13</v>
      </c>
      <c r="AJ163" s="13">
        <f>AI163*VLOOKUP('Données projet'!$B$10,Paramètres!$A$1:$I$89,3,0)*VLOOKUP('Données projet'!$B$10,Paramètres!$A$1:$I$89,5,0)</f>
        <v>3.8278358260868117E-13</v>
      </c>
      <c r="AK163" s="13">
        <f t="shared" si="164"/>
        <v>4.9186917125089072E-12</v>
      </c>
      <c r="AL163" s="20">
        <f t="shared" si="165"/>
        <v>9.2334028056631319E-12</v>
      </c>
      <c r="AM163" s="59">
        <f t="shared" si="113"/>
        <v>293.33333333334252</v>
      </c>
      <c r="AN163" s="59">
        <f ca="1">AVERAGE(OFFSET($AM$3,0,0,'Données projet'!$E$10+1,1))-AVERAGE(OFFSET($H$3,0,0,'Données projet'!$E$10+1,1))</f>
        <v>297.21955661193238</v>
      </c>
      <c r="AO163" s="59">
        <f t="shared" si="144"/>
        <v>273.69206144662144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0.51336462452791487</v>
      </c>
      <c r="AV163" s="21">
        <f>EXP(-LN(2)/25)*AV162+(1-EXP(-LN(2)/25))/(LN(2)/25)*Calculateur!AQ163*Calculateur!AS163*VLOOKUP('Données projet'!$B$10,Paramètres!$A$1:$I$89,3,0)*0.475*44/12</f>
        <v>0.36517245488338179</v>
      </c>
      <c r="AW163" s="21">
        <f>EXP(-LN(2)/2)*AW162+(1-EXP(-LN(2)/2))/(LN(2)/2)*AQ163*AT163*VLOOKUP('Données projet'!$B$10,Paramètres!$A$1:$I$89,3,0)*0.475*44/12</f>
        <v>5.6684213064022238E-19</v>
      </c>
      <c r="AX163" s="21">
        <f t="shared" si="166"/>
        <v>0.87853707941129666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3.6357050703372803E-14</v>
      </c>
      <c r="BF163" s="13">
        <f t="shared" si="167"/>
        <v>6.1445232567661395E-13</v>
      </c>
      <c r="BG163" s="20">
        <f t="shared" si="168"/>
        <v>1.1334929971951436E-12</v>
      </c>
      <c r="BH163" s="59">
        <f t="shared" si="116"/>
        <v>293.33333333333445</v>
      </c>
      <c r="BI163" s="59">
        <f ca="1">AVERAGE(OFFSET($BH$3,0,0,'Données projet'!$E$11+1,1))-AVERAGE(OFFSET($H$3,0,0,'Données projet'!$E$11+1,1))</f>
        <v>176.90404027101607</v>
      </c>
      <c r="BJ163" s="59">
        <f t="shared" si="146"/>
        <v>295.34177980841878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0.13514975132386778</v>
      </c>
      <c r="BQ163" s="21">
        <f>EXP(-LN(2)/25)*BQ162+(1-EXP(-LN(2)/25))/(LN(2)/25)*Calculateur!BL163*Calculateur!BN163*VLOOKUP('Données projet'!$B$11,Paramètres!$A$1:$I$89,3,0)*0.475*44/12</f>
        <v>0.22418069305430255</v>
      </c>
      <c r="BR163" s="21">
        <f>EXP(-LN(2)/2)*BR162+(1-EXP(-LN(2)/2))/(LN(2)/2)*BL163*BO163*VLOOKUP('Données projet'!$B$11,Paramètres!$A$1:$I$89,3,0)*0.475*44/12</f>
        <v>9.1350802999745826E-22</v>
      </c>
      <c r="BS163" s="22">
        <f t="shared" si="169"/>
        <v>0.3593304443781703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-5.6843418860808015E-13</v>
      </c>
      <c r="BZ163" s="13">
        <f>BY163*VLOOKUP('Données projet'!$B$12,Paramètres!$A$1:$I$89,3,0)*VLOOKUP('Données projet'!$B$12,Paramètres!$A$1:$I$89,5,0)</f>
        <v>-3.177547114319168E-13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326.31232746914907</v>
      </c>
      <c r="CE163" s="59">
        <f t="shared" si="148"/>
        <v>330.17137761430297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0.34802421617770818</v>
      </c>
      <c r="CL163" s="21">
        <f>EXP(-LN(2)/25)*CL162+(1-EXP(-LN(2)/25))/(LN(2)/25)*Calculateur!CG163*Calculateur!CI163*VLOOKUP('Données projet'!$B$12,Paramètres!$A$1:$I$89,3,0)*0.475*44/12</f>
        <v>0.82084615973370567</v>
      </c>
      <c r="CM163" s="21">
        <f>EXP(-LN(2)/2)*CM162+(1-EXP(-LN(2)/2))/(LN(2)/2)*CG163*CJ163*VLOOKUP('Données projet'!$B$12,Paramètres!$A$1:$I$89,3,0)*0.475*44/12</f>
        <v>8.8151297162478619E-19</v>
      </c>
      <c r="CN163" s="22">
        <f t="shared" si="172"/>
        <v>1.1688703759114139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210.04871822652808</v>
      </c>
      <c r="CZ163" s="59">
        <f t="shared" si="150"/>
        <v>250.17540614049324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0.5562501214172243</v>
      </c>
      <c r="DG163" s="21">
        <f>EXP(-LN(2)/25)*DG162+(1-EXP(-LN(2)/25))/(LN(2)/25)*Calculateur!DB163*Calculateur!DD163*VLOOKUP('Données projet'!$B$13,Paramètres!$A$1:$I$89,3,0)*0.475*44/12</f>
        <v>0.75712635586316679</v>
      </c>
      <c r="DH163" s="21">
        <f>EXP(-LN(2)/2)*DH162+(1-EXP(-LN(2)/2))/(LN(2)/2)*DB163*DE163*VLOOKUP('Données projet'!$B$13,Paramètres!$A$1:$I$89,3,0)*0.475*44/12</f>
        <v>5.8421932486368904E-19</v>
      </c>
      <c r="DI163" s="22">
        <f t="shared" si="175"/>
        <v>1.3133764772803911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-5.1159076974727213E-13</v>
      </c>
      <c r="DP163" s="17">
        <f>DO163*VLOOKUP('Données projet'!$B$14,Paramètres!$A$1:$I$89,3,0)*VLOOKUP('Données projet'!$B$14,Paramètres!$A$1:$I$89,5,0)</f>
        <v>-3.7509835237869992E-13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234.09142087023463</v>
      </c>
      <c r="DU163" s="59">
        <f t="shared" si="152"/>
        <v>278.990685815294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0.18587657000400332</v>
      </c>
      <c r="EB163" s="21">
        <f>EXP(-LN(2)/25)*EB162+(1-EXP(-LN(2)/25))/(LN(2)/25)*Calculateur!DW163*Calculateur!DY163*VLOOKUP('Données projet'!$B$14,Paramètres!$A$1:$I$89,3,0)*0.475*44/12</f>
        <v>0.41738154142727851</v>
      </c>
      <c r="EC163" s="21">
        <f>EXP(-LN(2)/2)*EC162+(1-EXP(-LN(2)/2))/(LN(2)/2)*DW163*DZ163*VLOOKUP('Données projet'!$B$14,Paramètres!$A$1:$I$89,3,0)*0.475*44/12</f>
        <v>6.0047506793175448E-19</v>
      </c>
      <c r="ED163" s="22">
        <f t="shared" si="178"/>
        <v>0.60325811143128183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259.30247982593914</v>
      </c>
      <c r="T164" s="59">
        <f t="shared" si="142"/>
        <v>275.24740346220779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0.47716778914426766</v>
      </c>
      <c r="AB164" s="21">
        <f>EXP(-LN(2)/2)*AB163+(1-EXP(-LN(2)/2))/(LN(2)/2)*V164*Y164*VLOOKUP('Données projet'!$B$9,Paramètres!$A$1:$I$89,3,0)*0.475*44/12</f>
        <v>5.496947014654684E-19</v>
      </c>
      <c r="AC164" s="22">
        <f t="shared" si="163"/>
        <v>0.47716778914426766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7.9580786405131221E-13</v>
      </c>
      <c r="AJ164" s="13">
        <f>AI164*VLOOKUP('Données projet'!$B$10,Paramètres!$A$1:$I$89,3,0)*VLOOKUP('Données projet'!$B$10,Paramètres!$A$1:$I$89,5,0)</f>
        <v>3.8278358260868117E-13</v>
      </c>
      <c r="AK164" s="13">
        <f t="shared" si="164"/>
        <v>4.9186917125089072E-12</v>
      </c>
      <c r="AL164" s="20">
        <f t="shared" si="165"/>
        <v>9.2334028056631319E-12</v>
      </c>
      <c r="AM164" s="59">
        <f t="shared" si="113"/>
        <v>293.33333333334252</v>
      </c>
      <c r="AN164" s="59">
        <f ca="1">AVERAGE(OFFSET($AM$3,0,0,'Données projet'!$E$10+1,1))-AVERAGE(OFFSET($H$3,0,0,'Données projet'!$E$10+1,1))</f>
        <v>297.21955661193238</v>
      </c>
      <c r="AO164" s="59">
        <f t="shared" si="144"/>
        <v>273.69206144662144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0.50329785736242527</v>
      </c>
      <c r="AV164" s="21">
        <f>EXP(-LN(2)/25)*AV163+(1-EXP(-LN(2)/25))/(LN(2)/25)*Calculateur!AQ164*Calculateur!AS164*VLOOKUP('Données projet'!$B$10,Paramètres!$A$1:$I$89,3,0)*0.475*44/12</f>
        <v>0.3551867949010109</v>
      </c>
      <c r="AW164" s="21">
        <f>EXP(-LN(2)/2)*AW163+(1-EXP(-LN(2)/2))/(LN(2)/2)*AQ164*AT164*VLOOKUP('Données projet'!$B$10,Paramètres!$A$1:$I$89,3,0)*0.475*44/12</f>
        <v>4.0081791443793211E-19</v>
      </c>
      <c r="AX164" s="21">
        <f t="shared" si="166"/>
        <v>0.85848465226343618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3.6357050703372803E-14</v>
      </c>
      <c r="BF164" s="13">
        <f t="shared" si="167"/>
        <v>6.1445232567661395E-13</v>
      </c>
      <c r="BG164" s="20">
        <f t="shared" si="168"/>
        <v>1.1334929971951436E-12</v>
      </c>
      <c r="BH164" s="59">
        <f t="shared" si="116"/>
        <v>293.33333333333445</v>
      </c>
      <c r="BI164" s="59">
        <f ca="1">AVERAGE(OFFSET($BH$3,0,0,'Données projet'!$E$11+1,1))-AVERAGE(OFFSET($H$3,0,0,'Données projet'!$E$11+1,1))</f>
        <v>176.90404027101607</v>
      </c>
      <c r="BJ164" s="59">
        <f t="shared" si="146"/>
        <v>295.34177980841878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0.13249954713361545</v>
      </c>
      <c r="BQ164" s="21">
        <f>EXP(-LN(2)/25)*BQ163+(1-EXP(-LN(2)/25))/(LN(2)/25)*Calculateur!BL164*Calculateur!BN164*VLOOKUP('Données projet'!$B$11,Paramètres!$A$1:$I$89,3,0)*0.475*44/12</f>
        <v>0.21805046021358238</v>
      </c>
      <c r="BR164" s="21">
        <f>EXP(-LN(2)/2)*BR163+(1-EXP(-LN(2)/2))/(LN(2)/2)*BL164*BO164*VLOOKUP('Données projet'!$B$11,Paramètres!$A$1:$I$89,3,0)*0.475*44/12</f>
        <v>6.4594772267956682E-22</v>
      </c>
      <c r="BS164" s="22">
        <f t="shared" si="169"/>
        <v>0.35055000734719782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-5.6843418860808015E-13</v>
      </c>
      <c r="BZ164" s="13">
        <f>BY164*VLOOKUP('Données projet'!$B$12,Paramètres!$A$1:$I$89,3,0)*VLOOKUP('Données projet'!$B$12,Paramètres!$A$1:$I$89,5,0)</f>
        <v>-3.177547114319168E-13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326.31232746914907</v>
      </c>
      <c r="CE164" s="59">
        <f t="shared" si="148"/>
        <v>330.17137761430297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0.34119967357227488</v>
      </c>
      <c r="CL164" s="21">
        <f>EXP(-LN(2)/25)*CL163+(1-EXP(-LN(2)/25))/(LN(2)/25)*Calculateur!CG164*Calculateur!CI164*VLOOKUP('Données projet'!$B$12,Paramètres!$A$1:$I$89,3,0)*0.475*44/12</f>
        <v>0.79840007832936399</v>
      </c>
      <c r="CM164" s="21">
        <f>EXP(-LN(2)/2)*CM163+(1-EXP(-LN(2)/2))/(LN(2)/2)*CG164*CJ164*VLOOKUP('Données projet'!$B$12,Paramètres!$A$1:$I$89,3,0)*0.475*44/12</f>
        <v>6.2332379993979096E-19</v>
      </c>
      <c r="CN164" s="22">
        <f t="shared" si="172"/>
        <v>1.1395997519016388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210.04871822652808</v>
      </c>
      <c r="CZ164" s="59">
        <f t="shared" si="150"/>
        <v>250.17540614049324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0.54534239581530553</v>
      </c>
      <c r="DG164" s="21">
        <f>EXP(-LN(2)/25)*DG163+(1-EXP(-LN(2)/25))/(LN(2)/25)*Calculateur!DB164*Calculateur!DD164*VLOOKUP('Données projet'!$B$13,Paramètres!$A$1:$I$89,3,0)*0.475*44/12</f>
        <v>0.73642269584654385</v>
      </c>
      <c r="DH164" s="21">
        <f>EXP(-LN(2)/2)*DH163+(1-EXP(-LN(2)/2))/(LN(2)/2)*DB164*DE164*VLOOKUP('Données projet'!$B$13,Paramètres!$A$1:$I$89,3,0)*0.475*44/12</f>
        <v>4.1310544631134109E-19</v>
      </c>
      <c r="DI164" s="22">
        <f t="shared" si="175"/>
        <v>1.2817650916618493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-5.1159076974727213E-13</v>
      </c>
      <c r="DP164" s="17">
        <f>DO164*VLOOKUP('Données projet'!$B$14,Paramètres!$A$1:$I$89,3,0)*VLOOKUP('Données projet'!$B$14,Paramètres!$A$1:$I$89,5,0)</f>
        <v>-3.7509835237869992E-13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234.09142087023463</v>
      </c>
      <c r="DU164" s="59">
        <f t="shared" si="152"/>
        <v>278.990685815294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0.18223164383973781</v>
      </c>
      <c r="EB164" s="21">
        <f>EXP(-LN(2)/25)*EB163+(1-EXP(-LN(2)/25))/(LN(2)/25)*Calculateur!DW164*Calculateur!DY164*VLOOKUP('Données projet'!$B$14,Paramètres!$A$1:$I$89,3,0)*0.475*44/12</f>
        <v>0.40596822122780823</v>
      </c>
      <c r="EC164" s="21">
        <f>EXP(-LN(2)/2)*EC163+(1-EXP(-LN(2)/2))/(LN(2)/2)*DW164*DZ164*VLOOKUP('Données projet'!$B$14,Paramètres!$A$1:$I$89,3,0)*0.475*44/12</f>
        <v>4.2459999246799641E-19</v>
      </c>
      <c r="ED164" s="22">
        <f t="shared" si="178"/>
        <v>0.58819986506754607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259.30247982593914</v>
      </c>
      <c r="T165" s="59">
        <f t="shared" si="142"/>
        <v>275.24740346220779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0.46411961085695419</v>
      </c>
      <c r="AB165" s="21">
        <f>EXP(-LN(2)/2)*AB164+(1-EXP(-LN(2)/2))/(LN(2)/2)*V165*Y165*VLOOKUP('Données projet'!$B$9,Paramètres!$A$1:$I$89,3,0)*0.475*44/12</f>
        <v>3.8869285098854754E-19</v>
      </c>
      <c r="AC165" s="22">
        <f t="shared" si="163"/>
        <v>0.46411961085695419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7.9580786405131221E-13</v>
      </c>
      <c r="AJ165" s="13">
        <f>AI165*VLOOKUP('Données projet'!$B$10,Paramètres!$A$1:$I$89,3,0)*VLOOKUP('Données projet'!$B$10,Paramètres!$A$1:$I$89,5,0)</f>
        <v>3.8278358260868117E-13</v>
      </c>
      <c r="AK165" s="13">
        <f t="shared" si="164"/>
        <v>4.9186917125089072E-12</v>
      </c>
      <c r="AL165" s="20">
        <f t="shared" si="165"/>
        <v>9.2334028056631319E-12</v>
      </c>
      <c r="AM165" s="59">
        <f t="shared" si="113"/>
        <v>293.33333333334252</v>
      </c>
      <c r="AN165" s="59">
        <f ca="1">AVERAGE(OFFSET($AM$3,0,0,'Données projet'!$E$10+1,1))-AVERAGE(OFFSET($H$3,0,0,'Données projet'!$E$10+1,1))</f>
        <v>297.21955661193238</v>
      </c>
      <c r="AO165" s="59">
        <f t="shared" si="144"/>
        <v>273.69206144662144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0.4934284933609292</v>
      </c>
      <c r="AV165" s="21">
        <f>EXP(-LN(2)/25)*AV164+(1-EXP(-LN(2)/25))/(LN(2)/25)*Calculateur!AQ165*Calculateur!AS165*VLOOKUP('Données projet'!$B$10,Paramètres!$A$1:$I$89,3,0)*0.475*44/12</f>
        <v>0.345474193315981</v>
      </c>
      <c r="AW165" s="21">
        <f>EXP(-LN(2)/2)*AW164+(1-EXP(-LN(2)/2))/(LN(2)/2)*AQ165*AT165*VLOOKUP('Données projet'!$B$10,Paramètres!$A$1:$I$89,3,0)*0.475*44/12</f>
        <v>2.8342106532011119E-19</v>
      </c>
      <c r="AX165" s="21">
        <f t="shared" si="166"/>
        <v>0.83890268667691026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3.6357050703372803E-14</v>
      </c>
      <c r="BF165" s="13">
        <f t="shared" si="167"/>
        <v>6.1445232567661395E-13</v>
      </c>
      <c r="BG165" s="20">
        <f t="shared" si="168"/>
        <v>1.1334929971951436E-12</v>
      </c>
      <c r="BH165" s="59">
        <f t="shared" si="116"/>
        <v>293.33333333333445</v>
      </c>
      <c r="BI165" s="59">
        <f ca="1">AVERAGE(OFFSET($BH$3,0,0,'Données projet'!$E$11+1,1))-AVERAGE(OFFSET($H$3,0,0,'Données projet'!$E$11+1,1))</f>
        <v>176.90404027101607</v>
      </c>
      <c r="BJ165" s="59">
        <f t="shared" si="146"/>
        <v>295.34177980841878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0.12990131183106901</v>
      </c>
      <c r="BQ165" s="21">
        <f>EXP(-LN(2)/25)*BQ164+(1-EXP(-LN(2)/25))/(LN(2)/25)*Calculateur!BL165*Calculateur!BN165*VLOOKUP('Données projet'!$B$11,Paramètres!$A$1:$I$89,3,0)*0.475*44/12</f>
        <v>0.21208785891226661</v>
      </c>
      <c r="BR165" s="21">
        <f>EXP(-LN(2)/2)*BR164+(1-EXP(-LN(2)/2))/(LN(2)/2)*BL165*BO165*VLOOKUP('Données projet'!$B$11,Paramètres!$A$1:$I$89,3,0)*0.475*44/12</f>
        <v>4.5675401499872913E-22</v>
      </c>
      <c r="BS165" s="22">
        <f t="shared" si="169"/>
        <v>0.34198917074333562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-5.6843418860808015E-13</v>
      </c>
      <c r="BZ165" s="13">
        <f>BY165*VLOOKUP('Données projet'!$B$12,Paramètres!$A$1:$I$89,3,0)*VLOOKUP('Données projet'!$B$12,Paramètres!$A$1:$I$89,5,0)</f>
        <v>-3.177547114319168E-13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326.31232746914907</v>
      </c>
      <c r="CE165" s="59">
        <f t="shared" si="148"/>
        <v>330.17137761430297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0.33450895608477416</v>
      </c>
      <c r="CL165" s="21">
        <f>EXP(-LN(2)/25)*CL164+(1-EXP(-LN(2)/25))/(LN(2)/25)*Calculateur!CG165*Calculateur!CI165*VLOOKUP('Données projet'!$B$12,Paramètres!$A$1:$I$89,3,0)*0.475*44/12</f>
        <v>0.7765677862014122</v>
      </c>
      <c r="CM165" s="21">
        <f>EXP(-LN(2)/2)*CM164+(1-EXP(-LN(2)/2))/(LN(2)/2)*CG165*CJ165*VLOOKUP('Données projet'!$B$12,Paramètres!$A$1:$I$89,3,0)*0.475*44/12</f>
        <v>4.407564858123931E-19</v>
      </c>
      <c r="CN165" s="22">
        <f t="shared" si="172"/>
        <v>1.1110767422861865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210.04871822652808</v>
      </c>
      <c r="CZ165" s="59">
        <f t="shared" si="150"/>
        <v>250.17540614049324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0.53464856405938477</v>
      </c>
      <c r="DG165" s="21">
        <f>EXP(-LN(2)/25)*DG164+(1-EXP(-LN(2)/25))/(LN(2)/25)*Calculateur!DB165*Calculateur!DD165*VLOOKUP('Données projet'!$B$13,Paramètres!$A$1:$I$89,3,0)*0.475*44/12</f>
        <v>0.7162851785018336</v>
      </c>
      <c r="DH165" s="21">
        <f>EXP(-LN(2)/2)*DH164+(1-EXP(-LN(2)/2))/(LN(2)/2)*DB165*DE165*VLOOKUP('Données projet'!$B$13,Paramètres!$A$1:$I$89,3,0)*0.475*44/12</f>
        <v>2.9210966243184452E-19</v>
      </c>
      <c r="DI165" s="22">
        <f t="shared" si="175"/>
        <v>1.2509337425612184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-5.1159076974727213E-13</v>
      </c>
      <c r="DP165" s="17">
        <f>DO165*VLOOKUP('Données projet'!$B$14,Paramètres!$A$1:$I$89,3,0)*VLOOKUP('Données projet'!$B$14,Paramètres!$A$1:$I$89,5,0)</f>
        <v>-3.7509835237869992E-13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234.09142087023463</v>
      </c>
      <c r="DU165" s="59">
        <f t="shared" si="152"/>
        <v>278.990685815294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0.17865819245436812</v>
      </c>
      <c r="EB165" s="21">
        <f>EXP(-LN(2)/25)*EB164+(1-EXP(-LN(2)/25))/(LN(2)/25)*Calculateur!DW165*Calculateur!DY165*VLOOKUP('Données projet'!$B$14,Paramètres!$A$1:$I$89,3,0)*0.475*44/12</f>
        <v>0.39486699886939292</v>
      </c>
      <c r="EC165" s="21">
        <f>EXP(-LN(2)/2)*EC164+(1-EXP(-LN(2)/2))/(LN(2)/2)*DW165*DZ165*VLOOKUP('Données projet'!$B$14,Paramètres!$A$1:$I$89,3,0)*0.475*44/12</f>
        <v>3.0023753396587729E-19</v>
      </c>
      <c r="ED165" s="22">
        <f t="shared" si="178"/>
        <v>0.57352519132376101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259.30247982593914</v>
      </c>
      <c r="T166" s="59">
        <f t="shared" si="142"/>
        <v>275.24740346220779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0.4514282356910812</v>
      </c>
      <c r="AB166" s="21">
        <f>EXP(-LN(2)/2)*AB165+(1-EXP(-LN(2)/2))/(LN(2)/2)*V166*Y166*VLOOKUP('Données projet'!$B$9,Paramètres!$A$1:$I$89,3,0)*0.475*44/12</f>
        <v>2.748473507327342E-19</v>
      </c>
      <c r="AC166" s="22">
        <f t="shared" si="163"/>
        <v>0.4514282356910812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7.9580786405131221E-13</v>
      </c>
      <c r="AJ166" s="13">
        <f>AI166*VLOOKUP('Données projet'!$B$10,Paramètres!$A$1:$I$89,3,0)*VLOOKUP('Données projet'!$B$10,Paramètres!$A$1:$I$89,5,0)</f>
        <v>3.8278358260868117E-13</v>
      </c>
      <c r="AK166" s="13">
        <f t="shared" si="164"/>
        <v>4.9186917125089072E-12</v>
      </c>
      <c r="AL166" s="20">
        <f t="shared" si="165"/>
        <v>9.2334028056631319E-12</v>
      </c>
      <c r="AM166" s="59">
        <f t="shared" si="113"/>
        <v>293.33333333334252</v>
      </c>
      <c r="AN166" s="59">
        <f ca="1">AVERAGE(OFFSET($AM$3,0,0,'Données projet'!$E$10+1,1))-AVERAGE(OFFSET($H$3,0,0,'Données projet'!$E$10+1,1))</f>
        <v>297.21955661193238</v>
      </c>
      <c r="AO166" s="59">
        <f t="shared" si="144"/>
        <v>273.69206144662144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0.48375266156778485</v>
      </c>
      <c r="AV166" s="21">
        <f>EXP(-LN(2)/25)*AV165+(1-EXP(-LN(2)/25))/(LN(2)/25)*Calculateur!AQ166*Calculateur!AS166*VLOOKUP('Données projet'!$B$10,Paramètres!$A$1:$I$89,3,0)*0.475*44/12</f>
        <v>0.33602718333205728</v>
      </c>
      <c r="AW166" s="21">
        <f>EXP(-LN(2)/2)*AW165+(1-EXP(-LN(2)/2))/(LN(2)/2)*AQ166*AT166*VLOOKUP('Données projet'!$B$10,Paramètres!$A$1:$I$89,3,0)*0.475*44/12</f>
        <v>2.0040895721896606E-19</v>
      </c>
      <c r="AX166" s="21">
        <f t="shared" si="166"/>
        <v>0.81977984489984213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3.6357050703372803E-14</v>
      </c>
      <c r="BF166" s="13">
        <f t="shared" si="167"/>
        <v>6.1445232567661395E-13</v>
      </c>
      <c r="BG166" s="20">
        <f t="shared" si="168"/>
        <v>1.1334929971951436E-12</v>
      </c>
      <c r="BH166" s="59">
        <f t="shared" si="116"/>
        <v>293.33333333333445</v>
      </c>
      <c r="BI166" s="59">
        <f ca="1">AVERAGE(OFFSET($BH$3,0,0,'Données projet'!$E$11+1,1))-AVERAGE(OFFSET($H$3,0,0,'Données projet'!$E$11+1,1))</f>
        <v>176.90404027101607</v>
      </c>
      <c r="BJ166" s="59">
        <f t="shared" si="146"/>
        <v>295.34177980841878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0.12735402633803847</v>
      </c>
      <c r="BQ166" s="21">
        <f>EXP(-LN(2)/25)*BQ165+(1-EXP(-LN(2)/25))/(LN(2)/25)*Calculateur!BL166*Calculateur!BN166*VLOOKUP('Données projet'!$B$11,Paramètres!$A$1:$I$89,3,0)*0.475*44/12</f>
        <v>0.20628830525709491</v>
      </c>
      <c r="BR166" s="21">
        <f>EXP(-LN(2)/2)*BR165+(1-EXP(-LN(2)/2))/(LN(2)/2)*BL166*BO166*VLOOKUP('Données projet'!$B$11,Paramètres!$A$1:$I$89,3,0)*0.475*44/12</f>
        <v>3.2297386133978341E-22</v>
      </c>
      <c r="BS166" s="22">
        <f t="shared" si="169"/>
        <v>0.33364233159513335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-5.6843418860808015E-13</v>
      </c>
      <c r="BZ166" s="13">
        <f>BY166*VLOOKUP('Données projet'!$B$12,Paramètres!$A$1:$I$89,3,0)*VLOOKUP('Données projet'!$B$12,Paramètres!$A$1:$I$89,5,0)</f>
        <v>-3.177547114319168E-13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326.31232746914907</v>
      </c>
      <c r="CE166" s="59">
        <f t="shared" si="148"/>
        <v>330.17137761430297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0.32794943948626865</v>
      </c>
      <c r="CL166" s="21">
        <f>EXP(-LN(2)/25)*CL165+(1-EXP(-LN(2)/25))/(LN(2)/25)*Calculateur!CG166*Calculateur!CI166*VLOOKUP('Données projet'!$B$12,Paramètres!$A$1:$I$89,3,0)*0.475*44/12</f>
        <v>0.75533249924980961</v>
      </c>
      <c r="CM166" s="21">
        <f>EXP(-LN(2)/2)*CM165+(1-EXP(-LN(2)/2))/(LN(2)/2)*CG166*CJ166*VLOOKUP('Données projet'!$B$12,Paramètres!$A$1:$I$89,3,0)*0.475*44/12</f>
        <v>3.1166189996989548E-19</v>
      </c>
      <c r="CN166" s="22">
        <f t="shared" si="172"/>
        <v>1.0832819387360781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210.04871822652808</v>
      </c>
      <c r="CZ166" s="59">
        <f t="shared" si="150"/>
        <v>250.17540614049324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0.52416443182160422</v>
      </c>
      <c r="DG166" s="21">
        <f>EXP(-LN(2)/25)*DG165+(1-EXP(-LN(2)/25))/(LN(2)/25)*Calculateur!DB166*Calculateur!DD166*VLOOKUP('Données projet'!$B$13,Paramètres!$A$1:$I$89,3,0)*0.475*44/12</f>
        <v>0.69669832262790055</v>
      </c>
      <c r="DH166" s="21">
        <f>EXP(-LN(2)/2)*DH165+(1-EXP(-LN(2)/2))/(LN(2)/2)*DB166*DE166*VLOOKUP('Données projet'!$B$13,Paramètres!$A$1:$I$89,3,0)*0.475*44/12</f>
        <v>2.0655272315567055E-19</v>
      </c>
      <c r="DI166" s="22">
        <f t="shared" si="175"/>
        <v>1.2208627544495048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-5.1159076974727213E-13</v>
      </c>
      <c r="DP166" s="17">
        <f>DO166*VLOOKUP('Données projet'!$B$14,Paramètres!$A$1:$I$89,3,0)*VLOOKUP('Données projet'!$B$14,Paramètres!$A$1:$I$89,5,0)</f>
        <v>-3.7509835237869992E-13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234.09142087023463</v>
      </c>
      <c r="DU166" s="59">
        <f t="shared" si="152"/>
        <v>278.990685815294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0.1751548142710754</v>
      </c>
      <c r="EB166" s="21">
        <f>EXP(-LN(2)/25)*EB165+(1-EXP(-LN(2)/25))/(LN(2)/25)*Calculateur!DW166*Calculateur!DY166*VLOOKUP('Données projet'!$B$14,Paramètres!$A$1:$I$89,3,0)*0.475*44/12</f>
        <v>0.38406934002015636</v>
      </c>
      <c r="EC166" s="21">
        <f>EXP(-LN(2)/2)*EC165+(1-EXP(-LN(2)/2))/(LN(2)/2)*DW166*DZ166*VLOOKUP('Données projet'!$B$14,Paramètres!$A$1:$I$89,3,0)*0.475*44/12</f>
        <v>2.1229999623399823E-19</v>
      </c>
      <c r="ED166" s="22">
        <f t="shared" si="178"/>
        <v>0.55922415429123173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259.30247982593914</v>
      </c>
      <c r="T167" s="59">
        <f t="shared" si="142"/>
        <v>275.24740346220779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0.43908390684652943</v>
      </c>
      <c r="AB167" s="21">
        <f>EXP(-LN(2)/2)*AB166+(1-EXP(-LN(2)/2))/(LN(2)/2)*V167*Y167*VLOOKUP('Données projet'!$B$9,Paramètres!$A$1:$I$89,3,0)*0.475*44/12</f>
        <v>1.9434642549427377E-19</v>
      </c>
      <c r="AC167" s="22">
        <f t="shared" si="163"/>
        <v>0.43908390684652943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7.9580786405131221E-13</v>
      </c>
      <c r="AJ167" s="13">
        <f>AI167*VLOOKUP('Données projet'!$B$10,Paramètres!$A$1:$I$89,3,0)*VLOOKUP('Données projet'!$B$10,Paramètres!$A$1:$I$89,5,0)</f>
        <v>3.8278358260868117E-13</v>
      </c>
      <c r="AK167" s="13">
        <f t="shared" si="164"/>
        <v>4.9186917125089072E-12</v>
      </c>
      <c r="AL167" s="20">
        <f t="shared" si="165"/>
        <v>9.2334028056631319E-12</v>
      </c>
      <c r="AM167" s="59">
        <f t="shared" si="113"/>
        <v>293.33333333334252</v>
      </c>
      <c r="AN167" s="59">
        <f ca="1">AVERAGE(OFFSET($AM$3,0,0,'Données projet'!$E$10+1,1))-AVERAGE(OFFSET($H$3,0,0,'Données projet'!$E$10+1,1))</f>
        <v>297.21955661193238</v>
      </c>
      <c r="AO167" s="59">
        <f t="shared" si="144"/>
        <v>273.69206144662144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0.47426656693442937</v>
      </c>
      <c r="AV167" s="21">
        <f>EXP(-LN(2)/25)*AV166+(1-EXP(-LN(2)/25))/(LN(2)/25)*Calculateur!AQ167*Calculateur!AS167*VLOOKUP('Données projet'!$B$10,Paramètres!$A$1:$I$89,3,0)*0.475*44/12</f>
        <v>0.32683850233294059</v>
      </c>
      <c r="AW167" s="21">
        <f>EXP(-LN(2)/2)*AW166+(1-EXP(-LN(2)/2))/(LN(2)/2)*AQ167*AT167*VLOOKUP('Données projet'!$B$10,Paramètres!$A$1:$I$89,3,0)*0.475*44/12</f>
        <v>1.4171053266005559E-19</v>
      </c>
      <c r="AX167" s="21">
        <f t="shared" si="166"/>
        <v>0.80110506926737002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3.6357050703372803E-14</v>
      </c>
      <c r="BF167" s="13">
        <f t="shared" si="167"/>
        <v>6.1445232567661395E-13</v>
      </c>
      <c r="BG167" s="20">
        <f t="shared" si="168"/>
        <v>1.1334929971951436E-12</v>
      </c>
      <c r="BH167" s="59">
        <f t="shared" si="116"/>
        <v>293.33333333333445</v>
      </c>
      <c r="BI167" s="59">
        <f ca="1">AVERAGE(OFFSET($BH$3,0,0,'Données projet'!$E$11+1,1))-AVERAGE(OFFSET($H$3,0,0,'Données projet'!$E$11+1,1))</f>
        <v>176.90404027101607</v>
      </c>
      <c r="BJ167" s="59">
        <f t="shared" si="146"/>
        <v>295.34177980841878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0.1248566915598355</v>
      </c>
      <c r="BQ167" s="21">
        <f>EXP(-LN(2)/25)*BQ166+(1-EXP(-LN(2)/25))/(LN(2)/25)*Calculateur!BL167*Calculateur!BN167*VLOOKUP('Données projet'!$B$11,Paramètres!$A$1:$I$89,3,0)*0.475*44/12</f>
        <v>0.20064734070160914</v>
      </c>
      <c r="BR167" s="21">
        <f>EXP(-LN(2)/2)*BR166+(1-EXP(-LN(2)/2))/(LN(2)/2)*BL167*BO167*VLOOKUP('Données projet'!$B$11,Paramètres!$A$1:$I$89,3,0)*0.475*44/12</f>
        <v>2.2837700749936456E-22</v>
      </c>
      <c r="BS167" s="22">
        <f t="shared" si="169"/>
        <v>0.32550403226144464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-5.6843418860808015E-13</v>
      </c>
      <c r="BZ167" s="13">
        <f>BY167*VLOOKUP('Données projet'!$B$12,Paramètres!$A$1:$I$89,3,0)*VLOOKUP('Données projet'!$B$12,Paramètres!$A$1:$I$89,5,0)</f>
        <v>-3.177547114319168E-13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326.31232746914907</v>
      </c>
      <c r="CE167" s="59">
        <f t="shared" si="148"/>
        <v>330.17137761430297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0.32151855100734972</v>
      </c>
      <c r="CL167" s="21">
        <f>EXP(-LN(2)/25)*CL166+(1-EXP(-LN(2)/25))/(LN(2)/25)*Calculateur!CG167*Calculateur!CI167*VLOOKUP('Données projet'!$B$12,Paramètres!$A$1:$I$89,3,0)*0.475*44/12</f>
        <v>0.73467789233661374</v>
      </c>
      <c r="CM167" s="21">
        <f>EXP(-LN(2)/2)*CM166+(1-EXP(-LN(2)/2))/(LN(2)/2)*CG167*CJ167*VLOOKUP('Données projet'!$B$12,Paramètres!$A$1:$I$89,3,0)*0.475*44/12</f>
        <v>2.2037824290619655E-19</v>
      </c>
      <c r="CN167" s="22">
        <f t="shared" si="172"/>
        <v>1.0561964433439635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210.04871822652808</v>
      </c>
      <c r="CZ167" s="59">
        <f t="shared" si="150"/>
        <v>250.17540614049324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0.5138858870223173</v>
      </c>
      <c r="DG167" s="21">
        <f>EXP(-LN(2)/25)*DG166+(1-EXP(-LN(2)/25))/(LN(2)/25)*Calculateur!DB167*Calculateur!DD167*VLOOKUP('Données projet'!$B$13,Paramètres!$A$1:$I$89,3,0)*0.475*44/12</f>
        <v>0.6776470703578682</v>
      </c>
      <c r="DH167" s="21">
        <f>EXP(-LN(2)/2)*DH166+(1-EXP(-LN(2)/2))/(LN(2)/2)*DB167*DE167*VLOOKUP('Données projet'!$B$13,Paramètres!$A$1:$I$89,3,0)*0.475*44/12</f>
        <v>1.4605483121592226E-19</v>
      </c>
      <c r="DI167" s="22">
        <f t="shared" si="175"/>
        <v>1.1915329573801854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-5.1159076974727213E-13</v>
      </c>
      <c r="DP167" s="17">
        <f>DO167*VLOOKUP('Données projet'!$B$14,Paramètres!$A$1:$I$89,3,0)*VLOOKUP('Données projet'!$B$14,Paramètres!$A$1:$I$89,5,0)</f>
        <v>-3.7509835237869992E-13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234.09142087023463</v>
      </c>
      <c r="DU167" s="59">
        <f t="shared" si="152"/>
        <v>278.990685815294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0.17172013519710735</v>
      </c>
      <c r="EB167" s="21">
        <f>EXP(-LN(2)/25)*EB166+(1-EXP(-LN(2)/25))/(LN(2)/25)*Calculateur!DW167*Calculateur!DY167*VLOOKUP('Données projet'!$B$14,Paramètres!$A$1:$I$89,3,0)*0.475*44/12</f>
        <v>0.3735669437199764</v>
      </c>
      <c r="EC167" s="21">
        <f>EXP(-LN(2)/2)*EC166+(1-EXP(-LN(2)/2))/(LN(2)/2)*DW167*DZ167*VLOOKUP('Données projet'!$B$14,Paramètres!$A$1:$I$89,3,0)*0.475*44/12</f>
        <v>1.5011876698293867E-19</v>
      </c>
      <c r="ED167" s="22">
        <f t="shared" si="178"/>
        <v>0.54528707891708372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259.30247982593914</v>
      </c>
      <c r="T168" s="59">
        <f t="shared" si="142"/>
        <v>275.24740346220779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0.42707713432339195</v>
      </c>
      <c r="AB168" s="21">
        <f>EXP(-LN(2)/2)*AB167+(1-EXP(-LN(2)/2))/(LN(2)/2)*V168*Y168*VLOOKUP('Données projet'!$B$9,Paramètres!$A$1:$I$89,3,0)*0.475*44/12</f>
        <v>1.374236753663671E-19</v>
      </c>
      <c r="AC168" s="22">
        <f t="shared" si="163"/>
        <v>0.42707713432339195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7.9580786405131221E-13</v>
      </c>
      <c r="AJ168" s="13">
        <f>AI168*VLOOKUP('Données projet'!$B$10,Paramètres!$A$1:$I$89,3,0)*VLOOKUP('Données projet'!$B$10,Paramètres!$A$1:$I$89,5,0)</f>
        <v>3.8278358260868117E-13</v>
      </c>
      <c r="AK168" s="13">
        <f t="shared" si="164"/>
        <v>4.9186917125089072E-12</v>
      </c>
      <c r="AL168" s="20">
        <f t="shared" si="165"/>
        <v>9.2334028056631319E-12</v>
      </c>
      <c r="AM168" s="59">
        <f t="shared" si="113"/>
        <v>293.33333333334252</v>
      </c>
      <c r="AN168" s="59">
        <f ca="1">AVERAGE(OFFSET($AM$3,0,0,'Données projet'!$E$10+1,1))-AVERAGE(OFFSET($H$3,0,0,'Données projet'!$E$10+1,1))</f>
        <v>297.21955661193238</v>
      </c>
      <c r="AO168" s="59">
        <f t="shared" si="144"/>
        <v>273.69206144662144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0.46496648883088759</v>
      </c>
      <c r="AV168" s="21">
        <f>EXP(-LN(2)/25)*AV167+(1-EXP(-LN(2)/25))/(LN(2)/25)*Calculateur!AQ168*Calculateur!AS168*VLOOKUP('Données projet'!$B$10,Paramètres!$A$1:$I$89,3,0)*0.475*44/12</f>
        <v>0.31790108629895647</v>
      </c>
      <c r="AW168" s="21">
        <f>EXP(-LN(2)/2)*AW167+(1-EXP(-LN(2)/2))/(LN(2)/2)*AQ168*AT168*VLOOKUP('Données projet'!$B$10,Paramètres!$A$1:$I$89,3,0)*0.475*44/12</f>
        <v>1.0020447860948303E-19</v>
      </c>
      <c r="AX168" s="21">
        <f t="shared" si="166"/>
        <v>0.78286757512984406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3.6357050703372803E-14</v>
      </c>
      <c r="BF168" s="13">
        <f t="shared" si="167"/>
        <v>6.1445232567661395E-13</v>
      </c>
      <c r="BG168" s="20">
        <f t="shared" si="168"/>
        <v>1.1334929971951436E-12</v>
      </c>
      <c r="BH168" s="59">
        <f t="shared" si="116"/>
        <v>293.33333333333445</v>
      </c>
      <c r="BI168" s="59">
        <f ca="1">AVERAGE(OFFSET($BH$3,0,0,'Données projet'!$E$11+1,1))-AVERAGE(OFFSET($H$3,0,0,'Données projet'!$E$11+1,1))</f>
        <v>176.90404027101607</v>
      </c>
      <c r="BJ168" s="59">
        <f t="shared" si="146"/>
        <v>295.34177980841878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0.1224083279934093</v>
      </c>
      <c r="BQ168" s="21">
        <f>EXP(-LN(2)/25)*BQ167+(1-EXP(-LN(2)/25))/(LN(2)/25)*Calculateur!BL168*Calculateur!BN168*VLOOKUP('Données projet'!$B$11,Paramètres!$A$1:$I$89,3,0)*0.475*44/12</f>
        <v>0.19516062861853858</v>
      </c>
      <c r="BR168" s="21">
        <f>EXP(-LN(2)/2)*BR167+(1-EXP(-LN(2)/2))/(LN(2)/2)*BL168*BO168*VLOOKUP('Données projet'!$B$11,Paramètres!$A$1:$I$89,3,0)*0.475*44/12</f>
        <v>1.614869306698917E-22</v>
      </c>
      <c r="BS168" s="22">
        <f t="shared" si="169"/>
        <v>0.31756895661194789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-5.6843418860808015E-13</v>
      </c>
      <c r="BZ168" s="13">
        <f>BY168*VLOOKUP('Données projet'!$B$12,Paramètres!$A$1:$I$89,3,0)*VLOOKUP('Données projet'!$B$12,Paramètres!$A$1:$I$89,5,0)</f>
        <v>-3.177547114319168E-13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326.31232746914907</v>
      </c>
      <c r="CE168" s="59">
        <f t="shared" si="148"/>
        <v>330.17137761430297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0.31521376832904774</v>
      </c>
      <c r="CL168" s="21">
        <f>EXP(-LN(2)/25)*CL167+(1-EXP(-LN(2)/25))/(LN(2)/25)*Calculateur!CG168*Calculateur!CI168*VLOOKUP('Données projet'!$B$12,Paramètres!$A$1:$I$89,3,0)*0.475*44/12</f>
        <v>0.71458808673563778</v>
      </c>
      <c r="CM168" s="21">
        <f>EXP(-LN(2)/2)*CM167+(1-EXP(-LN(2)/2))/(LN(2)/2)*CG168*CJ168*VLOOKUP('Données projet'!$B$12,Paramètres!$A$1:$I$89,3,0)*0.475*44/12</f>
        <v>1.5583094998494774E-19</v>
      </c>
      <c r="CN168" s="22">
        <f t="shared" si="172"/>
        <v>1.0298018550646855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210.04871822652808</v>
      </c>
      <c r="CZ168" s="59">
        <f t="shared" si="150"/>
        <v>250.17540614049324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0.50380889821725117</v>
      </c>
      <c r="DG168" s="21">
        <f>EXP(-LN(2)/25)*DG167+(1-EXP(-LN(2)/25))/(LN(2)/25)*Calculateur!DB168*Calculateur!DD168*VLOOKUP('Données projet'!$B$13,Paramètres!$A$1:$I$89,3,0)*0.475*44/12</f>
        <v>0.65911677558302162</v>
      </c>
      <c r="DH168" s="21">
        <f>EXP(-LN(2)/2)*DH167+(1-EXP(-LN(2)/2))/(LN(2)/2)*DB168*DE168*VLOOKUP('Données projet'!$B$13,Paramètres!$A$1:$I$89,3,0)*0.475*44/12</f>
        <v>1.0327636157783527E-19</v>
      </c>
      <c r="DI168" s="22">
        <f t="shared" si="175"/>
        <v>1.1629256738002729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-5.1159076974727213E-13</v>
      </c>
      <c r="DP168" s="17">
        <f>DO168*VLOOKUP('Données projet'!$B$14,Paramètres!$A$1:$I$89,3,0)*VLOOKUP('Données projet'!$B$14,Paramètres!$A$1:$I$89,5,0)</f>
        <v>-3.7509835237869992E-13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234.09142087023463</v>
      </c>
      <c r="DU168" s="59">
        <f t="shared" si="152"/>
        <v>278.990685815294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0.16835280808483244</v>
      </c>
      <c r="EB168" s="21">
        <f>EXP(-LN(2)/25)*EB167+(1-EXP(-LN(2)/25))/(LN(2)/25)*Calculateur!DW168*Calculateur!DY168*VLOOKUP('Données projet'!$B$14,Paramètres!$A$1:$I$89,3,0)*0.475*44/12</f>
        <v>0.36335173599892184</v>
      </c>
      <c r="EC168" s="21">
        <f>EXP(-LN(2)/2)*EC167+(1-EXP(-LN(2)/2))/(LN(2)/2)*DW168*DZ168*VLOOKUP('Données projet'!$B$14,Paramètres!$A$1:$I$89,3,0)*0.475*44/12</f>
        <v>1.0614999811699914E-19</v>
      </c>
      <c r="ED168" s="22">
        <f t="shared" si="178"/>
        <v>0.53170454408375423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259.30247982593914</v>
      </c>
      <c r="T169" s="59">
        <f t="shared" si="142"/>
        <v>275.24740346220779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0.41539868762630838</v>
      </c>
      <c r="AB169" s="21">
        <f>EXP(-LN(2)/2)*AB168+(1-EXP(-LN(2)/2))/(LN(2)/2)*V169*Y169*VLOOKUP('Données projet'!$B$9,Paramètres!$A$1:$I$89,3,0)*0.475*44/12</f>
        <v>9.7173212747136884E-20</v>
      </c>
      <c r="AC169" s="22">
        <f t="shared" si="163"/>
        <v>0.41539868762630838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7.9580786405131221E-13</v>
      </c>
      <c r="AJ169" s="13">
        <f>AI169*VLOOKUP('Données projet'!$B$10,Paramètres!$A$1:$I$89,3,0)*VLOOKUP('Données projet'!$B$10,Paramètres!$A$1:$I$89,5,0)</f>
        <v>3.8278358260868117E-13</v>
      </c>
      <c r="AK169" s="13">
        <f t="shared" si="164"/>
        <v>4.9186917125089072E-12</v>
      </c>
      <c r="AL169" s="20">
        <f t="shared" si="165"/>
        <v>9.2334028056631319E-12</v>
      </c>
      <c r="AM169" s="59">
        <f t="shared" si="113"/>
        <v>293.33333333334252</v>
      </c>
      <c r="AN169" s="59">
        <f ca="1">AVERAGE(OFFSET($AM$3,0,0,'Données projet'!$E$10+1,1))-AVERAGE(OFFSET($H$3,0,0,'Données projet'!$E$10+1,1))</f>
        <v>297.21955661193238</v>
      </c>
      <c r="AO169" s="59">
        <f t="shared" si="144"/>
        <v>273.69206144662144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0.45584877958646874</v>
      </c>
      <c r="AV169" s="21">
        <f>EXP(-LN(2)/25)*AV168+(1-EXP(-LN(2)/25))/(LN(2)/25)*Calculateur!AQ169*Calculateur!AS169*VLOOKUP('Données projet'!$B$10,Paramètres!$A$1:$I$89,3,0)*0.475*44/12</f>
        <v>0.30920806437641996</v>
      </c>
      <c r="AW169" s="21">
        <f>EXP(-LN(2)/2)*AW168+(1-EXP(-LN(2)/2))/(LN(2)/2)*AQ169*AT169*VLOOKUP('Données projet'!$B$10,Paramètres!$A$1:$I$89,3,0)*0.475*44/12</f>
        <v>7.0855266330027797E-20</v>
      </c>
      <c r="AX169" s="21">
        <f t="shared" si="166"/>
        <v>0.76505684396288864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3.6357050703372803E-14</v>
      </c>
      <c r="BF169" s="13">
        <f t="shared" si="167"/>
        <v>6.1445232567661395E-13</v>
      </c>
      <c r="BG169" s="20">
        <f t="shared" si="168"/>
        <v>1.1334929971951436E-12</v>
      </c>
      <c r="BH169" s="59">
        <f t="shared" si="116"/>
        <v>293.33333333333445</v>
      </c>
      <c r="BI169" s="59">
        <f ca="1">AVERAGE(OFFSET($BH$3,0,0,'Données projet'!$E$11+1,1))-AVERAGE(OFFSET($H$3,0,0,'Données projet'!$E$11+1,1))</f>
        <v>176.90404027101607</v>
      </c>
      <c r="BJ169" s="59">
        <f t="shared" si="146"/>
        <v>295.34177980841878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0.12000797534316639</v>
      </c>
      <c r="BQ169" s="21">
        <f>EXP(-LN(2)/25)*BQ168+(1-EXP(-LN(2)/25))/(LN(2)/25)*Calculateur!BL169*Calculateur!BN169*VLOOKUP('Données projet'!$B$11,Paramètres!$A$1:$I$89,3,0)*0.475*44/12</f>
        <v>0.18982395096591323</v>
      </c>
      <c r="BR169" s="21">
        <f>EXP(-LN(2)/2)*BR168+(1-EXP(-LN(2)/2))/(LN(2)/2)*BL169*BO169*VLOOKUP('Données projet'!$B$11,Paramètres!$A$1:$I$89,3,0)*0.475*44/12</f>
        <v>1.1418850374968228E-22</v>
      </c>
      <c r="BS169" s="22">
        <f t="shared" si="169"/>
        <v>0.30983192630907963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-5.6843418860808015E-13</v>
      </c>
      <c r="BZ169" s="13">
        <f>BY169*VLOOKUP('Données projet'!$B$12,Paramètres!$A$1:$I$89,3,0)*VLOOKUP('Données projet'!$B$12,Paramètres!$A$1:$I$89,5,0)</f>
        <v>-3.177547114319168E-13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326.31232746914907</v>
      </c>
      <c r="CE169" s="59">
        <f t="shared" si="148"/>
        <v>330.17137761430297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0.30903261859352954</v>
      </c>
      <c r="CL169" s="21">
        <f>EXP(-LN(2)/25)*CL168+(1-EXP(-LN(2)/25))/(LN(2)/25)*Calculateur!CG169*Calculateur!CI169*VLOOKUP('Données projet'!$B$12,Paramètres!$A$1:$I$89,3,0)*0.475*44/12</f>
        <v>0.69504763792529745</v>
      </c>
      <c r="CM169" s="21">
        <f>EXP(-LN(2)/2)*CM168+(1-EXP(-LN(2)/2))/(LN(2)/2)*CG169*CJ169*VLOOKUP('Données projet'!$B$12,Paramètres!$A$1:$I$89,3,0)*0.475*44/12</f>
        <v>1.1018912145309827E-19</v>
      </c>
      <c r="CN169" s="22">
        <f t="shared" si="172"/>
        <v>1.0040802565188269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210.04871822652808</v>
      </c>
      <c r="CZ169" s="59">
        <f t="shared" si="150"/>
        <v>250.17540614049324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0.49392951301629612</v>
      </c>
      <c r="DG169" s="21">
        <f>EXP(-LN(2)/25)*DG168+(1-EXP(-LN(2)/25))/(LN(2)/25)*Calculateur!DB169*Calculateur!DD169*VLOOKUP('Données projet'!$B$13,Paramètres!$A$1:$I$89,3,0)*0.475*44/12</f>
        <v>0.64109319269325915</v>
      </c>
      <c r="DH169" s="21">
        <f>EXP(-LN(2)/2)*DH168+(1-EXP(-LN(2)/2))/(LN(2)/2)*DB169*DE169*VLOOKUP('Données projet'!$B$13,Paramètres!$A$1:$I$89,3,0)*0.475*44/12</f>
        <v>7.302741560796113E-20</v>
      </c>
      <c r="DI169" s="22">
        <f t="shared" si="175"/>
        <v>1.1350227057095552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-5.1159076974727213E-13</v>
      </c>
      <c r="DP169" s="17">
        <f>DO169*VLOOKUP('Données projet'!$B$14,Paramètres!$A$1:$I$89,3,0)*VLOOKUP('Données projet'!$B$14,Paramètres!$A$1:$I$89,5,0)</f>
        <v>-3.7509835237869992E-13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234.09142087023463</v>
      </c>
      <c r="DU169" s="59">
        <f t="shared" si="152"/>
        <v>278.990685815294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0.1650515122033625</v>
      </c>
      <c r="EB169" s="21">
        <f>EXP(-LN(2)/25)*EB168+(1-EXP(-LN(2)/25))/(LN(2)/25)*Calculateur!DW169*Calculateur!DY169*VLOOKUP('Données projet'!$B$14,Paramètres!$A$1:$I$89,3,0)*0.475*44/12</f>
        <v>0.35341586367019401</v>
      </c>
      <c r="EC169" s="21">
        <f>EXP(-LN(2)/2)*EC168+(1-EXP(-LN(2)/2))/(LN(2)/2)*DW169*DZ169*VLOOKUP('Données projet'!$B$14,Paramètres!$A$1:$I$89,3,0)*0.475*44/12</f>
        <v>7.5059383491469346E-20</v>
      </c>
      <c r="ED169" s="22">
        <f t="shared" si="178"/>
        <v>0.51846737587355651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259.30247982593914</v>
      </c>
      <c r="T170" s="59">
        <f t="shared" si="142"/>
        <v>275.24740346220779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0.40403958866829942</v>
      </c>
      <c r="AB170" s="21">
        <f>EXP(-LN(2)/2)*AB169+(1-EXP(-LN(2)/2))/(LN(2)/2)*V170*Y170*VLOOKUP('Données projet'!$B$9,Paramètres!$A$1:$I$89,3,0)*0.475*44/12</f>
        <v>6.871183768318355E-20</v>
      </c>
      <c r="AC170" s="22">
        <f t="shared" si="163"/>
        <v>0.40403958866829942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7.9580786405131221E-13</v>
      </c>
      <c r="AJ170" s="13">
        <f>AI170*VLOOKUP('Données projet'!$B$10,Paramètres!$A$1:$I$89,3,0)*VLOOKUP('Données projet'!$B$10,Paramètres!$A$1:$I$89,5,0)</f>
        <v>3.8278358260868117E-13</v>
      </c>
      <c r="AK170" s="13">
        <f t="shared" si="164"/>
        <v>4.9186917125089072E-12</v>
      </c>
      <c r="AL170" s="20">
        <f t="shared" si="165"/>
        <v>9.2334028056631319E-12</v>
      </c>
      <c r="AM170" s="59">
        <f t="shared" si="113"/>
        <v>293.33333333334252</v>
      </c>
      <c r="AN170" s="59">
        <f ca="1">AVERAGE(OFFSET($AM$3,0,0,'Données projet'!$E$10+1,1))-AVERAGE(OFFSET($H$3,0,0,'Données projet'!$E$10+1,1))</f>
        <v>297.21955661193238</v>
      </c>
      <c r="AO170" s="59">
        <f t="shared" si="144"/>
        <v>273.69206144662144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0.44690986305907943</v>
      </c>
      <c r="AV170" s="21">
        <f>EXP(-LN(2)/25)*AV169+(1-EXP(-LN(2)/25))/(LN(2)/25)*Calculateur!AQ170*Calculateur!AS170*VLOOKUP('Données projet'!$B$10,Paramètres!$A$1:$I$89,3,0)*0.475*44/12</f>
        <v>0.30075275359550135</v>
      </c>
      <c r="AW170" s="21">
        <f>EXP(-LN(2)/2)*AW169+(1-EXP(-LN(2)/2))/(LN(2)/2)*AQ170*AT170*VLOOKUP('Données projet'!$B$10,Paramètres!$A$1:$I$89,3,0)*0.475*44/12</f>
        <v>5.0102239304741514E-20</v>
      </c>
      <c r="AX170" s="21">
        <f t="shared" si="166"/>
        <v>0.74766261665458078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3.6357050703372803E-14</v>
      </c>
      <c r="BF170" s="13">
        <f t="shared" si="167"/>
        <v>6.1445232567661395E-13</v>
      </c>
      <c r="BG170" s="20">
        <f t="shared" si="168"/>
        <v>1.1334929971951436E-12</v>
      </c>
      <c r="BH170" s="59">
        <f t="shared" si="116"/>
        <v>293.33333333333445</v>
      </c>
      <c r="BI170" s="59">
        <f ca="1">AVERAGE(OFFSET($BH$3,0,0,'Données projet'!$E$11+1,1))-AVERAGE(OFFSET($H$3,0,0,'Données projet'!$E$11+1,1))</f>
        <v>176.90404027101607</v>
      </c>
      <c r="BJ170" s="59">
        <f t="shared" si="146"/>
        <v>295.34177980841878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0.11765469214432418</v>
      </c>
      <c r="BQ170" s="21">
        <f>EXP(-LN(2)/25)*BQ169+(1-EXP(-LN(2)/25))/(LN(2)/25)*Calculateur!BL170*Calculateur!BN170*VLOOKUP('Données projet'!$B$11,Paramètres!$A$1:$I$89,3,0)*0.475*44/12</f>
        <v>0.18463320504434261</v>
      </c>
      <c r="BR170" s="21">
        <f>EXP(-LN(2)/2)*BR169+(1-EXP(-LN(2)/2))/(LN(2)/2)*BL170*BO170*VLOOKUP('Données projet'!$B$11,Paramètres!$A$1:$I$89,3,0)*0.475*44/12</f>
        <v>8.0743465334945852E-23</v>
      </c>
      <c r="BS170" s="22">
        <f t="shared" si="169"/>
        <v>0.30228789718866678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-5.6843418860808015E-13</v>
      </c>
      <c r="BZ170" s="13">
        <f>BY170*VLOOKUP('Données projet'!$B$12,Paramètres!$A$1:$I$89,3,0)*VLOOKUP('Données projet'!$B$12,Paramètres!$A$1:$I$89,5,0)</f>
        <v>-3.177547114319168E-13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326.31232746914907</v>
      </c>
      <c r="CE170" s="59">
        <f t="shared" si="148"/>
        <v>330.17137761430297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0.30297267743419581</v>
      </c>
      <c r="CL170" s="21">
        <f>EXP(-LN(2)/25)*CL169+(1-EXP(-LN(2)/25))/(LN(2)/25)*Calculateur!CG170*Calculateur!CI170*VLOOKUP('Données projet'!$B$12,Paramètres!$A$1:$I$89,3,0)*0.475*44/12</f>
        <v>0.67604152371526349</v>
      </c>
      <c r="CM170" s="21">
        <f>EXP(-LN(2)/2)*CM169+(1-EXP(-LN(2)/2))/(LN(2)/2)*CG170*CJ170*VLOOKUP('Données projet'!$B$12,Paramètres!$A$1:$I$89,3,0)*0.475*44/12</f>
        <v>7.791547499247387E-20</v>
      </c>
      <c r="CN170" s="22">
        <f t="shared" si="172"/>
        <v>0.97901420114945936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210.04871822652808</v>
      </c>
      <c r="CZ170" s="59">
        <f t="shared" si="150"/>
        <v>250.17540614049324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0.48424385653330182</v>
      </c>
      <c r="DG170" s="21">
        <f>EXP(-LN(2)/25)*DG169+(1-EXP(-LN(2)/25))/(LN(2)/25)*Calculateur!DB170*Calculateur!DD170*VLOOKUP('Données projet'!$B$13,Paramètres!$A$1:$I$89,3,0)*0.475*44/12</f>
        <v>0.62356246562543627</v>
      </c>
      <c r="DH170" s="21">
        <f>EXP(-LN(2)/2)*DH169+(1-EXP(-LN(2)/2))/(LN(2)/2)*DB170*DE170*VLOOKUP('Données projet'!$B$13,Paramètres!$A$1:$I$89,3,0)*0.475*44/12</f>
        <v>5.1638180788917637E-20</v>
      </c>
      <c r="DI170" s="22">
        <f t="shared" si="175"/>
        <v>1.107806322158738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-5.1159076974727213E-13</v>
      </c>
      <c r="DP170" s="17">
        <f>DO170*VLOOKUP('Données projet'!$B$14,Paramètres!$A$1:$I$89,3,0)*VLOOKUP('Données projet'!$B$14,Paramètres!$A$1:$I$89,5,0)</f>
        <v>-3.7509835237869992E-13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234.09142087023463</v>
      </c>
      <c r="DU170" s="59">
        <f t="shared" si="152"/>
        <v>278.990685815294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0.16181495272053653</v>
      </c>
      <c r="EB170" s="21">
        <f>EXP(-LN(2)/25)*EB169+(1-EXP(-LN(2)/25))/(LN(2)/25)*Calculateur!DW170*Calculateur!DY170*VLOOKUP('Données projet'!$B$14,Paramètres!$A$1:$I$89,3,0)*0.475*44/12</f>
        <v>0.34375168829280001</v>
      </c>
      <c r="EC170" s="21">
        <f>EXP(-LN(2)/2)*EC169+(1-EXP(-LN(2)/2))/(LN(2)/2)*DW170*DZ170*VLOOKUP('Données projet'!$B$14,Paramètres!$A$1:$I$89,3,0)*0.475*44/12</f>
        <v>5.3074999058499576E-20</v>
      </c>
      <c r="ED170" s="22">
        <f t="shared" si="178"/>
        <v>0.50556664101333659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259.30247982593914</v>
      </c>
      <c r="T171" s="59">
        <f t="shared" si="142"/>
        <v>275.24740346220779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0.39299110486864625</v>
      </c>
      <c r="AB171" s="21">
        <f>EXP(-LN(2)/2)*AB170+(1-EXP(-LN(2)/2))/(LN(2)/2)*V171*Y171*VLOOKUP('Données projet'!$B$9,Paramètres!$A$1:$I$89,3,0)*0.475*44/12</f>
        <v>4.8586606373568442E-20</v>
      </c>
      <c r="AC171" s="22">
        <f t="shared" si="163"/>
        <v>0.39299110486864625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7.9580786405131221E-13</v>
      </c>
      <c r="AJ171" s="13">
        <f>AI171*VLOOKUP('Données projet'!$B$10,Paramètres!$A$1:$I$89,3,0)*VLOOKUP('Données projet'!$B$10,Paramètres!$A$1:$I$89,5,0)</f>
        <v>3.8278358260868117E-13</v>
      </c>
      <c r="AK171" s="13">
        <f t="shared" si="164"/>
        <v>4.9186917125089072E-12</v>
      </c>
      <c r="AL171" s="20">
        <f t="shared" si="165"/>
        <v>9.2334028056631319E-12</v>
      </c>
      <c r="AM171" s="59">
        <f t="shared" si="113"/>
        <v>293.33333333334252</v>
      </c>
      <c r="AN171" s="59">
        <f ca="1">AVERAGE(OFFSET($AM$3,0,0,'Données projet'!$E$10+1,1))-AVERAGE(OFFSET($H$3,0,0,'Données projet'!$E$10+1,1))</f>
        <v>297.21955661193238</v>
      </c>
      <c r="AO171" s="59">
        <f t="shared" si="144"/>
        <v>273.69206144662144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0.4381462332325915</v>
      </c>
      <c r="AV171" s="21">
        <f>EXP(-LN(2)/25)*AV170+(1-EXP(-LN(2)/25))/(LN(2)/25)*Calculateur!AQ171*Calculateur!AS171*VLOOKUP('Données projet'!$B$10,Paramètres!$A$1:$I$89,3,0)*0.475*44/12</f>
        <v>0.29252865373253245</v>
      </c>
      <c r="AW171" s="21">
        <f>EXP(-LN(2)/2)*AW170+(1-EXP(-LN(2)/2))/(LN(2)/2)*AQ171*AT171*VLOOKUP('Données projet'!$B$10,Paramètres!$A$1:$I$89,3,0)*0.475*44/12</f>
        <v>3.5427633165013898E-20</v>
      </c>
      <c r="AX171" s="21">
        <f t="shared" si="166"/>
        <v>0.73067488696512395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3.6357050703372803E-14</v>
      </c>
      <c r="BF171" s="13">
        <f t="shared" si="167"/>
        <v>6.1445232567661395E-13</v>
      </c>
      <c r="BG171" s="20">
        <f t="shared" si="168"/>
        <v>1.1334929971951436E-12</v>
      </c>
      <c r="BH171" s="59">
        <f t="shared" si="116"/>
        <v>293.33333333333445</v>
      </c>
      <c r="BI171" s="59">
        <f ca="1">AVERAGE(OFFSET($BH$3,0,0,'Données projet'!$E$11+1,1))-AVERAGE(OFFSET($H$3,0,0,'Données projet'!$E$11+1,1))</f>
        <v>176.90404027101607</v>
      </c>
      <c r="BJ171" s="59">
        <f t="shared" si="146"/>
        <v>295.34177980841878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0.11534755539365026</v>
      </c>
      <c r="BQ171" s="21">
        <f>EXP(-LN(2)/25)*BQ170+(1-EXP(-LN(2)/25))/(LN(2)/25)*Calculateur!BL171*Calculateur!BN171*VLOOKUP('Données projet'!$B$11,Paramètres!$A$1:$I$89,3,0)*0.475*44/12</f>
        <v>0.1795844003429668</v>
      </c>
      <c r="BR171" s="21">
        <f>EXP(-LN(2)/2)*BR170+(1-EXP(-LN(2)/2))/(LN(2)/2)*BL171*BO171*VLOOKUP('Données projet'!$B$11,Paramètres!$A$1:$I$89,3,0)*0.475*44/12</f>
        <v>5.7094251874841141E-23</v>
      </c>
      <c r="BS171" s="22">
        <f t="shared" si="169"/>
        <v>0.29493195573661707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-5.6843418860808015E-13</v>
      </c>
      <c r="BZ171" s="13">
        <f>BY171*VLOOKUP('Données projet'!$B$12,Paramètres!$A$1:$I$89,3,0)*VLOOKUP('Données projet'!$B$12,Paramètres!$A$1:$I$89,5,0)</f>
        <v>-3.177547114319168E-13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326.31232746914907</v>
      </c>
      <c r="CE171" s="59">
        <f t="shared" si="148"/>
        <v>330.17137761430297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0.29703156802479747</v>
      </c>
      <c r="CL171" s="21">
        <f>EXP(-LN(2)/25)*CL170+(1-EXP(-LN(2)/25))/(LN(2)/25)*Calculateur!CG171*Calculateur!CI171*VLOOKUP('Données projet'!$B$12,Paramètres!$A$1:$I$89,3,0)*0.475*44/12</f>
        <v>0.65755513269779098</v>
      </c>
      <c r="CM171" s="21">
        <f>EXP(-LN(2)/2)*CM170+(1-EXP(-LN(2)/2))/(LN(2)/2)*CG171*CJ171*VLOOKUP('Données projet'!$B$12,Paramètres!$A$1:$I$89,3,0)*0.475*44/12</f>
        <v>5.5094560726549137E-20</v>
      </c>
      <c r="CN171" s="22">
        <f t="shared" si="172"/>
        <v>0.95458670072258844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210.04871822652808</v>
      </c>
      <c r="CZ171" s="59">
        <f t="shared" si="150"/>
        <v>250.17540614049324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0.47474812986627191</v>
      </c>
      <c r="DG171" s="21">
        <f>EXP(-LN(2)/25)*DG170+(1-EXP(-LN(2)/25))/(LN(2)/25)*Calculateur!DB171*Calculateur!DD171*VLOOKUP('Données projet'!$B$13,Paramètres!$A$1:$I$89,3,0)*0.475*44/12</f>
        <v>0.60651111721118378</v>
      </c>
      <c r="DH171" s="21">
        <f>EXP(-LN(2)/2)*DH170+(1-EXP(-LN(2)/2))/(LN(2)/2)*DB171*DE171*VLOOKUP('Données projet'!$B$13,Paramètres!$A$1:$I$89,3,0)*0.475*44/12</f>
        <v>3.6513707803980565E-20</v>
      </c>
      <c r="DI171" s="22">
        <f t="shared" si="175"/>
        <v>1.0812592470774556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-5.1159076974727213E-13</v>
      </c>
      <c r="DP171" s="17">
        <f>DO171*VLOOKUP('Données projet'!$B$14,Paramètres!$A$1:$I$89,3,0)*VLOOKUP('Données projet'!$B$14,Paramètres!$A$1:$I$89,5,0)</f>
        <v>-3.7509835237869992E-13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234.09142087023463</v>
      </c>
      <c r="DU171" s="59">
        <f t="shared" si="152"/>
        <v>278.990685815294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0.15864186019506241</v>
      </c>
      <c r="EB171" s="21">
        <f>EXP(-LN(2)/25)*EB170+(1-EXP(-LN(2)/25))/(LN(2)/25)*Calculateur!DW171*Calculateur!DY171*VLOOKUP('Données projet'!$B$14,Paramètres!$A$1:$I$89,3,0)*0.475*44/12</f>
        <v>0.33435178029931778</v>
      </c>
      <c r="EC171" s="21">
        <f>EXP(-LN(2)/2)*EC170+(1-EXP(-LN(2)/2))/(LN(2)/2)*DW171*DZ171*VLOOKUP('Données projet'!$B$14,Paramètres!$A$1:$I$89,3,0)*0.475*44/12</f>
        <v>3.7529691745734679E-20</v>
      </c>
      <c r="ED171" s="22">
        <f t="shared" si="178"/>
        <v>0.49299364049438021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259.30247982593914</v>
      </c>
      <c r="T172" s="59">
        <f t="shared" si="142"/>
        <v>275.24740346220779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0.38224474243950912</v>
      </c>
      <c r="AB172" s="21">
        <f>EXP(-LN(2)/2)*AB171+(1-EXP(-LN(2)/2))/(LN(2)/2)*V172*Y172*VLOOKUP('Données projet'!$B$9,Paramètres!$A$1:$I$89,3,0)*0.475*44/12</f>
        <v>3.4355918841591775E-20</v>
      </c>
      <c r="AC172" s="22">
        <f t="shared" si="163"/>
        <v>0.38224474243950912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7.9580786405131221E-13</v>
      </c>
      <c r="AJ172" s="13">
        <f>AI172*VLOOKUP('Données projet'!$B$10,Paramètres!$A$1:$I$89,3,0)*VLOOKUP('Données projet'!$B$10,Paramètres!$A$1:$I$89,5,0)</f>
        <v>3.8278358260868117E-13</v>
      </c>
      <c r="AK172" s="13">
        <f t="shared" si="164"/>
        <v>4.9186917125089072E-12</v>
      </c>
      <c r="AL172" s="20">
        <f t="shared" si="165"/>
        <v>9.2334028056631319E-12</v>
      </c>
      <c r="AM172" s="59">
        <f t="shared" si="113"/>
        <v>293.33333333334252</v>
      </c>
      <c r="AN172" s="59">
        <f ca="1">AVERAGE(OFFSET($AM$3,0,0,'Données projet'!$E$10+1,1))-AVERAGE(OFFSET($H$3,0,0,'Données projet'!$E$10+1,1))</f>
        <v>297.21955661193238</v>
      </c>
      <c r="AO172" s="59">
        <f t="shared" si="144"/>
        <v>273.69206144662144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0.42955445284171462</v>
      </c>
      <c r="AV172" s="21">
        <f>EXP(-LN(2)/25)*AV171+(1-EXP(-LN(2)/25))/(LN(2)/25)*Calculateur!AQ172*Calculateur!AS172*VLOOKUP('Données projet'!$B$10,Paramètres!$A$1:$I$89,3,0)*0.475*44/12</f>
        <v>0.28452944231280303</v>
      </c>
      <c r="AW172" s="21">
        <f>EXP(-LN(2)/2)*AW171+(1-EXP(-LN(2)/2))/(LN(2)/2)*AQ172*AT172*VLOOKUP('Données projet'!$B$10,Paramètres!$A$1:$I$89,3,0)*0.475*44/12</f>
        <v>2.5051119652370757E-20</v>
      </c>
      <c r="AX172" s="21">
        <f t="shared" si="166"/>
        <v>0.71408389515451764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3.6357050703372803E-14</v>
      </c>
      <c r="BF172" s="13">
        <f t="shared" si="167"/>
        <v>6.1445232567661395E-13</v>
      </c>
      <c r="BG172" s="20">
        <f t="shared" si="168"/>
        <v>1.1334929971951436E-12</v>
      </c>
      <c r="BH172" s="59">
        <f t="shared" si="116"/>
        <v>293.33333333333445</v>
      </c>
      <c r="BI172" s="59">
        <f ca="1">AVERAGE(OFFSET($BH$3,0,0,'Données projet'!$E$11+1,1))-AVERAGE(OFFSET($H$3,0,0,'Données projet'!$E$11+1,1))</f>
        <v>176.90404027101607</v>
      </c>
      <c r="BJ172" s="59">
        <f t="shared" si="146"/>
        <v>295.34177980841878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0.11308566018744258</v>
      </c>
      <c r="BQ172" s="21">
        <f>EXP(-LN(2)/25)*BQ171+(1-EXP(-LN(2)/25))/(LN(2)/25)*Calculateur!BL172*Calculateur!BN172*VLOOKUP('Données projet'!$B$11,Paramètres!$A$1:$I$89,3,0)*0.475*44/12</f>
        <v>0.1746736554716552</v>
      </c>
      <c r="BR172" s="21">
        <f>EXP(-LN(2)/2)*BR171+(1-EXP(-LN(2)/2))/(LN(2)/2)*BL172*BO172*VLOOKUP('Données projet'!$B$11,Paramètres!$A$1:$I$89,3,0)*0.475*44/12</f>
        <v>4.0371732667472926E-23</v>
      </c>
      <c r="BS172" s="22">
        <f t="shared" si="169"/>
        <v>0.28775931565909779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-5.6843418860808015E-13</v>
      </c>
      <c r="BZ172" s="13">
        <f>BY172*VLOOKUP('Données projet'!$B$12,Paramètres!$A$1:$I$89,3,0)*VLOOKUP('Données projet'!$B$12,Paramètres!$A$1:$I$89,5,0)</f>
        <v>-3.177547114319168E-13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326.31232746914907</v>
      </c>
      <c r="CE172" s="59">
        <f t="shared" si="148"/>
        <v>330.17137761430297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0.29120696014719849</v>
      </c>
      <c r="CL172" s="21">
        <f>EXP(-LN(2)/25)*CL171+(1-EXP(-LN(2)/25))/(LN(2)/25)*Calculateur!CG172*Calculateur!CI172*VLOOKUP('Données projet'!$B$12,Paramètres!$A$1:$I$89,3,0)*0.475*44/12</f>
        <v>0.63957425301484827</v>
      </c>
      <c r="CM172" s="21">
        <f>EXP(-LN(2)/2)*CM171+(1-EXP(-LN(2)/2))/(LN(2)/2)*CG172*CJ172*VLOOKUP('Données projet'!$B$12,Paramètres!$A$1:$I$89,3,0)*0.475*44/12</f>
        <v>3.8957737496236935E-20</v>
      </c>
      <c r="CN172" s="22">
        <f t="shared" si="172"/>
        <v>0.93078121316204676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210.04871822652808</v>
      </c>
      <c r="CZ172" s="59">
        <f t="shared" si="150"/>
        <v>250.17540614049324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0.46543860860736108</v>
      </c>
      <c r="DG172" s="21">
        <f>EXP(-LN(2)/25)*DG171+(1-EXP(-LN(2)/25))/(LN(2)/25)*Calculateur!DB172*Calculateur!DD172*VLOOKUP('Données projet'!$B$13,Paramètres!$A$1:$I$89,3,0)*0.475*44/12</f>
        <v>0.58992603881601047</v>
      </c>
      <c r="DH172" s="21">
        <f>EXP(-LN(2)/2)*DH171+(1-EXP(-LN(2)/2))/(LN(2)/2)*DB172*DE172*VLOOKUP('Données projet'!$B$13,Paramètres!$A$1:$I$89,3,0)*0.475*44/12</f>
        <v>2.5819090394458818E-20</v>
      </c>
      <c r="DI172" s="22">
        <f t="shared" si="175"/>
        <v>1.0553646474233715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-5.1159076974727213E-13</v>
      </c>
      <c r="DP172" s="17">
        <f>DO172*VLOOKUP('Données projet'!$B$14,Paramètres!$A$1:$I$89,3,0)*VLOOKUP('Données projet'!$B$14,Paramètres!$A$1:$I$89,5,0)</f>
        <v>-3.7509835237869992E-13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234.09142087023463</v>
      </c>
      <c r="DU172" s="59">
        <f t="shared" si="152"/>
        <v>278.990685815294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0.15553099007861751</v>
      </c>
      <c r="EB172" s="21">
        <f>EXP(-LN(2)/25)*EB171+(1-EXP(-LN(2)/25))/(LN(2)/25)*Calculateur!DW172*Calculateur!DY172*VLOOKUP('Données projet'!$B$14,Paramètres!$A$1:$I$89,3,0)*0.475*44/12</f>
        <v>0.32520891328423696</v>
      </c>
      <c r="EC172" s="21">
        <f>EXP(-LN(2)/2)*EC171+(1-EXP(-LN(2)/2))/(LN(2)/2)*DW172*DZ172*VLOOKUP('Données projet'!$B$14,Paramètres!$A$1:$I$89,3,0)*0.475*44/12</f>
        <v>2.6537499529249791E-20</v>
      </c>
      <c r="ED172" s="22">
        <f t="shared" si="178"/>
        <v>0.48073990336285444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259.30247982593914</v>
      </c>
      <c r="T173" s="59">
        <f t="shared" si="142"/>
        <v>275.24740346220779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0.37179223985612336</v>
      </c>
      <c r="AB173" s="21">
        <f>EXP(-LN(2)/2)*AB172+(1-EXP(-LN(2)/2))/(LN(2)/2)*V173*Y173*VLOOKUP('Données projet'!$B$9,Paramètres!$A$1:$I$89,3,0)*0.475*44/12</f>
        <v>2.4293303186784221E-20</v>
      </c>
      <c r="AC173" s="22">
        <f t="shared" si="163"/>
        <v>0.37179223985612336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7.9580786405131221E-13</v>
      </c>
      <c r="AJ173" s="13">
        <f>AI173*VLOOKUP('Données projet'!$B$10,Paramètres!$A$1:$I$89,3,0)*VLOOKUP('Données projet'!$B$10,Paramètres!$A$1:$I$89,5,0)</f>
        <v>3.8278358260868117E-13</v>
      </c>
      <c r="AK173" s="13">
        <f t="shared" si="164"/>
        <v>4.9186917125089072E-12</v>
      </c>
      <c r="AL173" s="20">
        <f t="shared" si="165"/>
        <v>9.2334028056631319E-12</v>
      </c>
      <c r="AM173" s="59">
        <f t="shared" si="113"/>
        <v>293.33333333334252</v>
      </c>
      <c r="AN173" s="59">
        <f ca="1">AVERAGE(OFFSET($AM$3,0,0,'Données projet'!$E$10+1,1))-AVERAGE(OFFSET($H$3,0,0,'Données projet'!$E$10+1,1))</f>
        <v>297.21955661193238</v>
      </c>
      <c r="AO173" s="59">
        <f t="shared" si="144"/>
        <v>273.69206144662144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0.42113115202383422</v>
      </c>
      <c r="AV173" s="21">
        <f>EXP(-LN(2)/25)*AV172+(1-EXP(-LN(2)/25))/(LN(2)/25)*Calculateur!AQ173*Calculateur!AS173*VLOOKUP('Données projet'!$B$10,Paramètres!$A$1:$I$89,3,0)*0.475*44/12</f>
        <v>0.27674896975000635</v>
      </c>
      <c r="AW173" s="21">
        <f>EXP(-LN(2)/2)*AW172+(1-EXP(-LN(2)/2))/(LN(2)/2)*AQ173*AT173*VLOOKUP('Données projet'!$B$10,Paramètres!$A$1:$I$89,3,0)*0.475*44/12</f>
        <v>1.7713816582506949E-20</v>
      </c>
      <c r="AX173" s="21">
        <f t="shared" si="166"/>
        <v>0.69788012177384062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3.6357050703372803E-14</v>
      </c>
      <c r="BF173" s="13">
        <f t="shared" si="167"/>
        <v>6.1445232567661395E-13</v>
      </c>
      <c r="BG173" s="20">
        <f t="shared" si="168"/>
        <v>1.1334929971951436E-12</v>
      </c>
      <c r="BH173" s="59">
        <f t="shared" si="116"/>
        <v>293.33333333333445</v>
      </c>
      <c r="BI173" s="59">
        <f ca="1">AVERAGE(OFFSET($BH$3,0,0,'Données projet'!$E$11+1,1))-AVERAGE(OFFSET($H$3,0,0,'Données projet'!$E$11+1,1))</f>
        <v>176.90404027101607</v>
      </c>
      <c r="BJ173" s="59">
        <f t="shared" si="146"/>
        <v>295.34177980841878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0.11086811936660879</v>
      </c>
      <c r="BQ173" s="21">
        <f>EXP(-LN(2)/25)*BQ172+(1-EXP(-LN(2)/25))/(LN(2)/25)*Calculateur!BL173*Calculateur!BN173*VLOOKUP('Données projet'!$B$11,Paramètres!$A$1:$I$89,3,0)*0.475*44/12</f>
        <v>0.16989719517709448</v>
      </c>
      <c r="BR173" s="21">
        <f>EXP(-LN(2)/2)*BR172+(1-EXP(-LN(2)/2))/(LN(2)/2)*BL173*BO173*VLOOKUP('Données projet'!$B$11,Paramètres!$A$1:$I$89,3,0)*0.475*44/12</f>
        <v>2.8547125937420571E-23</v>
      </c>
      <c r="BS173" s="22">
        <f t="shared" si="169"/>
        <v>0.28076531454370324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-5.6843418860808015E-13</v>
      </c>
      <c r="BZ173" s="13">
        <f>BY173*VLOOKUP('Données projet'!$B$12,Paramètres!$A$1:$I$89,3,0)*VLOOKUP('Données projet'!$B$12,Paramètres!$A$1:$I$89,5,0)</f>
        <v>-3.177547114319168E-13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326.31232746914907</v>
      </c>
      <c r="CE173" s="59">
        <f t="shared" si="148"/>
        <v>330.17137761430297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0.28549656927741923</v>
      </c>
      <c r="CL173" s="21">
        <f>EXP(-LN(2)/25)*CL172+(1-EXP(-LN(2)/25))/(LN(2)/25)*Calculateur!CG173*Calculateur!CI173*VLOOKUP('Données projet'!$B$12,Paramètres!$A$1:$I$89,3,0)*0.475*44/12</f>
        <v>0.62208506143240905</v>
      </c>
      <c r="CM173" s="21">
        <f>EXP(-LN(2)/2)*CM172+(1-EXP(-LN(2)/2))/(LN(2)/2)*CG173*CJ173*VLOOKUP('Données projet'!$B$12,Paramètres!$A$1:$I$89,3,0)*0.475*44/12</f>
        <v>2.7547280363274569E-20</v>
      </c>
      <c r="CN173" s="22">
        <f t="shared" si="172"/>
        <v>0.90758163070982834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210.04871822652808</v>
      </c>
      <c r="CZ173" s="59">
        <f t="shared" si="150"/>
        <v>250.17540614049324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0.45631164138209024</v>
      </c>
      <c r="DG173" s="21">
        <f>EXP(-LN(2)/25)*DG172+(1-EXP(-LN(2)/25))/(LN(2)/25)*Calculateur!DB173*Calculateur!DD173*VLOOKUP('Données projet'!$B$13,Paramètres!$A$1:$I$89,3,0)*0.475*44/12</f>
        <v>0.57379448026172453</v>
      </c>
      <c r="DH173" s="21">
        <f>EXP(-LN(2)/2)*DH172+(1-EXP(-LN(2)/2))/(LN(2)/2)*DB173*DE173*VLOOKUP('Données projet'!$B$13,Paramètres!$A$1:$I$89,3,0)*0.475*44/12</f>
        <v>1.8256853901990282E-20</v>
      </c>
      <c r="DI173" s="22">
        <f t="shared" si="175"/>
        <v>1.0301061216438148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-5.1159076974727213E-13</v>
      </c>
      <c r="DP173" s="17">
        <f>DO173*VLOOKUP('Données projet'!$B$14,Paramètres!$A$1:$I$89,3,0)*VLOOKUP('Données projet'!$B$14,Paramètres!$A$1:$I$89,5,0)</f>
        <v>-3.7509835237869992E-13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234.09142087023463</v>
      </c>
      <c r="DU173" s="59">
        <f t="shared" si="152"/>
        <v>278.990685815294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0.15248112222771268</v>
      </c>
      <c r="EB173" s="21">
        <f>EXP(-LN(2)/25)*EB172+(1-EXP(-LN(2)/25))/(LN(2)/25)*Calculateur!DW173*Calculateur!DY173*VLOOKUP('Données projet'!$B$14,Paramètres!$A$1:$I$89,3,0)*0.475*44/12</f>
        <v>0.31631605844848604</v>
      </c>
      <c r="EC173" s="21">
        <f>EXP(-LN(2)/2)*EC172+(1-EXP(-LN(2)/2))/(LN(2)/2)*DW173*DZ173*VLOOKUP('Données projet'!$B$14,Paramètres!$A$1:$I$89,3,0)*0.475*44/12</f>
        <v>1.8764845872867343E-20</v>
      </c>
      <c r="ED173" s="22">
        <f t="shared" si="178"/>
        <v>0.46879718067619869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259.30247982593914</v>
      </c>
      <c r="T174" s="59">
        <f t="shared" si="142"/>
        <v>275.24740346220779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0.36162556150555353</v>
      </c>
      <c r="AB174" s="21">
        <f>EXP(-LN(2)/2)*AB173+(1-EXP(-LN(2)/2))/(LN(2)/2)*V174*Y174*VLOOKUP('Données projet'!$B$9,Paramètres!$A$1:$I$89,3,0)*0.475*44/12</f>
        <v>1.7177959420795888E-20</v>
      </c>
      <c r="AC174" s="22">
        <f t="shared" si="163"/>
        <v>0.36162556150555353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7.9580786405131221E-13</v>
      </c>
      <c r="AJ174" s="13">
        <f>AI174*VLOOKUP('Données projet'!$B$10,Paramètres!$A$1:$I$89,3,0)*VLOOKUP('Données projet'!$B$10,Paramètres!$A$1:$I$89,5,0)</f>
        <v>3.8278358260868117E-13</v>
      </c>
      <c r="AK174" s="13">
        <f t="shared" si="164"/>
        <v>4.9186917125089072E-12</v>
      </c>
      <c r="AL174" s="20">
        <f t="shared" si="165"/>
        <v>9.2334028056631319E-12</v>
      </c>
      <c r="AM174" s="59">
        <f t="shared" si="113"/>
        <v>293.33333333334252</v>
      </c>
      <c r="AN174" s="59">
        <f ca="1">AVERAGE(OFFSET($AM$3,0,0,'Données projet'!$E$10+1,1))-AVERAGE(OFFSET($H$3,0,0,'Données projet'!$E$10+1,1))</f>
        <v>297.21955661193238</v>
      </c>
      <c r="AO174" s="59">
        <f t="shared" si="144"/>
        <v>273.69206144662144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0.41287302699728629</v>
      </c>
      <c r="AV174" s="21">
        <f>EXP(-LN(2)/25)*AV173+(1-EXP(-LN(2)/25))/(LN(2)/25)*Calculateur!AQ174*Calculateur!AS174*VLOOKUP('Données projet'!$B$10,Paramètres!$A$1:$I$89,3,0)*0.475*44/12</f>
        <v>0.2691812546185966</v>
      </c>
      <c r="AW174" s="21">
        <f>EXP(-LN(2)/2)*AW173+(1-EXP(-LN(2)/2))/(LN(2)/2)*AQ174*AT174*VLOOKUP('Données projet'!$B$10,Paramètres!$A$1:$I$89,3,0)*0.475*44/12</f>
        <v>1.2525559826185379E-20</v>
      </c>
      <c r="AX174" s="21">
        <f t="shared" si="166"/>
        <v>0.68205428161588288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3.6357050703372803E-14</v>
      </c>
      <c r="BF174" s="13">
        <f t="shared" si="167"/>
        <v>6.1445232567661395E-13</v>
      </c>
      <c r="BG174" s="20">
        <f t="shared" si="168"/>
        <v>1.1334929971951436E-12</v>
      </c>
      <c r="BH174" s="59">
        <f t="shared" si="116"/>
        <v>293.33333333333445</v>
      </c>
      <c r="BI174" s="59">
        <f ca="1">AVERAGE(OFFSET($BH$3,0,0,'Données projet'!$E$11+1,1))-AVERAGE(OFFSET($H$3,0,0,'Données projet'!$E$11+1,1))</f>
        <v>176.90404027101607</v>
      </c>
      <c r="BJ174" s="59">
        <f t="shared" si="146"/>
        <v>295.34177980841878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0.1086940631687052</v>
      </c>
      <c r="BQ174" s="21">
        <f>EXP(-LN(2)/25)*BQ173+(1-EXP(-LN(2)/25))/(LN(2)/25)*Calculateur!BL174*Calculateur!BN174*VLOOKUP('Données projet'!$B$11,Paramètres!$A$1:$I$89,3,0)*0.475*44/12</f>
        <v>0.16525134744047165</v>
      </c>
      <c r="BR174" s="21">
        <f>EXP(-LN(2)/2)*BR173+(1-EXP(-LN(2)/2))/(LN(2)/2)*BL174*BO174*VLOOKUP('Données projet'!$B$11,Paramètres!$A$1:$I$89,3,0)*0.475*44/12</f>
        <v>2.0185866333736463E-23</v>
      </c>
      <c r="BS174" s="22">
        <f t="shared" si="169"/>
        <v>0.27394541060917688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-5.6843418860808015E-13</v>
      </c>
      <c r="BZ174" s="13">
        <f>BY174*VLOOKUP('Données projet'!$B$12,Paramètres!$A$1:$I$89,3,0)*VLOOKUP('Données projet'!$B$12,Paramètres!$A$1:$I$89,5,0)</f>
        <v>-3.177547114319168E-13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326.31232746914907</v>
      </c>
      <c r="CE174" s="59">
        <f t="shared" si="148"/>
        <v>330.17137761430297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0.2798981556896018</v>
      </c>
      <c r="CL174" s="21">
        <f>EXP(-LN(2)/25)*CL173+(1-EXP(-LN(2)/25))/(LN(2)/25)*Calculateur!CG174*Calculateur!CI174*VLOOKUP('Données projet'!$B$12,Paramètres!$A$1:$I$89,3,0)*0.475*44/12</f>
        <v>0.60507411271350819</v>
      </c>
      <c r="CM174" s="21">
        <f>EXP(-LN(2)/2)*CM173+(1-EXP(-LN(2)/2))/(LN(2)/2)*CG174*CJ174*VLOOKUP('Données projet'!$B$12,Paramètres!$A$1:$I$89,3,0)*0.475*44/12</f>
        <v>1.9478868748118468E-20</v>
      </c>
      <c r="CN174" s="22">
        <f t="shared" si="172"/>
        <v>0.88497226840311005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210.04871822652808</v>
      </c>
      <c r="CZ174" s="59">
        <f t="shared" si="150"/>
        <v>250.17540614049324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0.44736364841720661</v>
      </c>
      <c r="DG174" s="21">
        <f>EXP(-LN(2)/25)*DG173+(1-EXP(-LN(2)/25))/(LN(2)/25)*Calculateur!DB174*Calculateur!DD174*VLOOKUP('Données projet'!$B$13,Paramètres!$A$1:$I$89,3,0)*0.475*44/12</f>
        <v>0.55810404002442737</v>
      </c>
      <c r="DH174" s="21">
        <f>EXP(-LN(2)/2)*DH173+(1-EXP(-LN(2)/2))/(LN(2)/2)*DB174*DE174*VLOOKUP('Données projet'!$B$13,Paramètres!$A$1:$I$89,3,0)*0.475*44/12</f>
        <v>1.2909545197229409E-20</v>
      </c>
      <c r="DI174" s="22">
        <f t="shared" si="175"/>
        <v>1.005467688441634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-5.1159076974727213E-13</v>
      </c>
      <c r="DP174" s="17">
        <f>DO174*VLOOKUP('Données projet'!$B$14,Paramètres!$A$1:$I$89,3,0)*VLOOKUP('Données projet'!$B$14,Paramètres!$A$1:$I$89,5,0)</f>
        <v>-3.7509835237869992E-13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234.09142087023463</v>
      </c>
      <c r="DU174" s="59">
        <f t="shared" si="152"/>
        <v>278.990685815294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0.14949106042512839</v>
      </c>
      <c r="EB174" s="21">
        <f>EXP(-LN(2)/25)*EB173+(1-EXP(-LN(2)/25))/(LN(2)/25)*Calculateur!DW174*Calculateur!DY174*VLOOKUP('Données projet'!$B$14,Paramètres!$A$1:$I$89,3,0)*0.475*44/12</f>
        <v>0.30766637919587364</v>
      </c>
      <c r="EC174" s="21">
        <f>EXP(-LN(2)/2)*EC173+(1-EXP(-LN(2)/2))/(LN(2)/2)*DW174*DZ174*VLOOKUP('Données projet'!$B$14,Paramètres!$A$1:$I$89,3,0)*0.475*44/12</f>
        <v>1.3268749764624898E-20</v>
      </c>
      <c r="ED174" s="22">
        <f t="shared" si="178"/>
        <v>0.45715743962100203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259.30247982593914</v>
      </c>
      <c r="T175" s="59">
        <f t="shared" si="142"/>
        <v>275.24740346220779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0.35173689150912241</v>
      </c>
      <c r="AB175" s="21">
        <f>EXP(-LN(2)/2)*AB174+(1-EXP(-LN(2)/2))/(LN(2)/2)*V175*Y175*VLOOKUP('Données projet'!$B$9,Paramètres!$A$1:$I$89,3,0)*0.475*44/12</f>
        <v>1.2146651593392111E-20</v>
      </c>
      <c r="AC175" s="22">
        <f t="shared" si="163"/>
        <v>0.35173689150912241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7.9580786405131221E-13</v>
      </c>
      <c r="AJ175" s="13">
        <f>AI175*VLOOKUP('Données projet'!$B$10,Paramètres!$A$1:$I$89,3,0)*VLOOKUP('Données projet'!$B$10,Paramètres!$A$1:$I$89,5,0)</f>
        <v>3.8278358260868117E-13</v>
      </c>
      <c r="AK175" s="13">
        <f t="shared" si="164"/>
        <v>4.9186917125089072E-12</v>
      </c>
      <c r="AL175" s="20">
        <f t="shared" si="165"/>
        <v>9.2334028056631319E-12</v>
      </c>
      <c r="AM175" s="59">
        <f t="shared" si="113"/>
        <v>293.33333333334252</v>
      </c>
      <c r="AN175" s="59">
        <f ca="1">AVERAGE(OFFSET($AM$3,0,0,'Données projet'!$E$10+1,1))-AVERAGE(OFFSET($H$3,0,0,'Données projet'!$E$10+1,1))</f>
        <v>297.21955661193238</v>
      </c>
      <c r="AO175" s="59">
        <f t="shared" si="144"/>
        <v>273.69206144662144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0.40477683876555004</v>
      </c>
      <c r="AV175" s="21">
        <f>EXP(-LN(2)/25)*AV174+(1-EXP(-LN(2)/25))/(LN(2)/25)*Calculateur!AQ175*Calculateur!AS175*VLOOKUP('Données projet'!$B$10,Paramètres!$A$1:$I$89,3,0)*0.475*44/12</f>
        <v>0.2618204790554241</v>
      </c>
      <c r="AW175" s="21">
        <f>EXP(-LN(2)/2)*AW174+(1-EXP(-LN(2)/2))/(LN(2)/2)*AQ175*AT175*VLOOKUP('Données projet'!$B$10,Paramètres!$A$1:$I$89,3,0)*0.475*44/12</f>
        <v>8.8569082912534746E-21</v>
      </c>
      <c r="AX175" s="21">
        <f t="shared" si="166"/>
        <v>0.66659731782097409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3.6357050703372803E-14</v>
      </c>
      <c r="BF175" s="13">
        <f t="shared" si="167"/>
        <v>6.1445232567661395E-13</v>
      </c>
      <c r="BG175" s="20">
        <f t="shared" si="168"/>
        <v>1.1334929971951436E-12</v>
      </c>
      <c r="BH175" s="59">
        <f t="shared" si="116"/>
        <v>293.33333333333445</v>
      </c>
      <c r="BI175" s="59">
        <f ca="1">AVERAGE(OFFSET($BH$3,0,0,'Données projet'!$E$11+1,1))-AVERAGE(OFFSET($H$3,0,0,'Données projet'!$E$11+1,1))</f>
        <v>176.90404027101607</v>
      </c>
      <c r="BJ175" s="59">
        <f t="shared" si="146"/>
        <v>295.34177980841878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0.10656263888679915</v>
      </c>
      <c r="BQ175" s="21">
        <f>EXP(-LN(2)/25)*BQ174+(1-EXP(-LN(2)/25))/(LN(2)/25)*Calculateur!BL175*Calculateur!BN175*VLOOKUP('Données projet'!$B$11,Paramètres!$A$1:$I$89,3,0)*0.475*44/12</f>
        <v>0.16073254065452128</v>
      </c>
      <c r="BR175" s="21">
        <f>EXP(-LN(2)/2)*BR174+(1-EXP(-LN(2)/2))/(LN(2)/2)*BL175*BO175*VLOOKUP('Données projet'!$B$11,Paramètres!$A$1:$I$89,3,0)*0.475*44/12</f>
        <v>1.4273562968710285E-23</v>
      </c>
      <c r="BS175" s="22">
        <f t="shared" si="169"/>
        <v>0.26729517954132043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-5.6843418860808015E-13</v>
      </c>
      <c r="BZ175" s="13">
        <f>BY175*VLOOKUP('Données projet'!$B$12,Paramètres!$A$1:$I$89,3,0)*VLOOKUP('Données projet'!$B$12,Paramètres!$A$1:$I$89,5,0)</f>
        <v>-3.177547114319168E-13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326.31232746914907</v>
      </c>
      <c r="CE175" s="59">
        <f t="shared" si="148"/>
        <v>330.17137761430297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0.27440952357754639</v>
      </c>
      <c r="CL175" s="21">
        <f>EXP(-LN(2)/25)*CL174+(1-EXP(-LN(2)/25))/(LN(2)/25)*Calculateur!CG175*Calculateur!CI175*VLOOKUP('Données projet'!$B$12,Paramètres!$A$1:$I$89,3,0)*0.475*44/12</f>
        <v>0.58852832928189269</v>
      </c>
      <c r="CM175" s="21">
        <f>EXP(-LN(2)/2)*CM174+(1-EXP(-LN(2)/2))/(LN(2)/2)*CG175*CJ175*VLOOKUP('Données projet'!$B$12,Paramètres!$A$1:$I$89,3,0)*0.475*44/12</f>
        <v>1.3773640181637284E-20</v>
      </c>
      <c r="CN175" s="22">
        <f t="shared" si="172"/>
        <v>0.86293785285943914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210.04871822652808</v>
      </c>
      <c r="CZ175" s="59">
        <f t="shared" si="150"/>
        <v>250.17540614049324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0.43859112013662754</v>
      </c>
      <c r="DG175" s="21">
        <f>EXP(-LN(2)/25)*DG174+(1-EXP(-LN(2)/25))/(LN(2)/25)*Calculateur!DB175*Calculateur!DD175*VLOOKUP('Données projet'!$B$13,Paramètres!$A$1:$I$89,3,0)*0.475*44/12</f>
        <v>0.54284265570054346</v>
      </c>
      <c r="DH175" s="21">
        <f>EXP(-LN(2)/2)*DH174+(1-EXP(-LN(2)/2))/(LN(2)/2)*DB175*DE175*VLOOKUP('Données projet'!$B$13,Paramètres!$A$1:$I$89,3,0)*0.475*44/12</f>
        <v>9.1284269509951412E-21</v>
      </c>
      <c r="DI175" s="22">
        <f t="shared" si="175"/>
        <v>0.98143377583717095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-5.1159076974727213E-13</v>
      </c>
      <c r="DP175" s="17">
        <f>DO175*VLOOKUP('Données projet'!$B$14,Paramètres!$A$1:$I$89,3,0)*VLOOKUP('Données projet'!$B$14,Paramètres!$A$1:$I$89,5,0)</f>
        <v>-3.7509835237869992E-13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234.09142087023463</v>
      </c>
      <c r="DU175" s="59">
        <f t="shared" si="152"/>
        <v>278.990685815294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0.14655963191073515</v>
      </c>
      <c r="EB175" s="21">
        <f>EXP(-LN(2)/25)*EB174+(1-EXP(-LN(2)/25))/(LN(2)/25)*Calculateur!DW175*Calculateur!DY175*VLOOKUP('Données projet'!$B$14,Paramètres!$A$1:$I$89,3,0)*0.475*44/12</f>
        <v>0.29925322587729075</v>
      </c>
      <c r="EC175" s="21">
        <f>EXP(-LN(2)/2)*EC174+(1-EXP(-LN(2)/2))/(LN(2)/2)*DW175*DZ175*VLOOKUP('Données projet'!$B$14,Paramètres!$A$1:$I$89,3,0)*0.475*44/12</f>
        <v>9.3824229364336728E-21</v>
      </c>
      <c r="ED175" s="22">
        <f t="shared" si="178"/>
        <v>0.44581285778802593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259.30247982593914</v>
      </c>
      <c r="T176" s="59">
        <f t="shared" si="142"/>
        <v>275.24740346220779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0.34211862771376622</v>
      </c>
      <c r="AB176" s="21">
        <f>EXP(-LN(2)/2)*AB175+(1-EXP(-LN(2)/2))/(LN(2)/2)*V176*Y176*VLOOKUP('Données projet'!$B$9,Paramètres!$A$1:$I$89,3,0)*0.475*44/12</f>
        <v>8.5889797103979438E-21</v>
      </c>
      <c r="AC176" s="22">
        <f t="shared" si="163"/>
        <v>0.34211862771376622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7.9580786405131221E-13</v>
      </c>
      <c r="AJ176" s="13">
        <f>AI176*VLOOKUP('Données projet'!$B$10,Paramètres!$A$1:$I$89,3,0)*VLOOKUP('Données projet'!$B$10,Paramètres!$A$1:$I$89,5,0)</f>
        <v>3.8278358260868117E-13</v>
      </c>
      <c r="AK176" s="13">
        <f t="shared" si="164"/>
        <v>4.9186917125089072E-12</v>
      </c>
      <c r="AL176" s="20">
        <f t="shared" si="165"/>
        <v>9.2334028056631319E-12</v>
      </c>
      <c r="AM176" s="59">
        <f t="shared" si="113"/>
        <v>293.33333333334252</v>
      </c>
      <c r="AN176" s="59">
        <f ca="1">AVERAGE(OFFSET($AM$3,0,0,'Données projet'!$E$10+1,1))-AVERAGE(OFFSET($H$3,0,0,'Données projet'!$E$10+1,1))</f>
        <v>297.21955661193238</v>
      </c>
      <c r="AO176" s="59">
        <f t="shared" si="144"/>
        <v>273.69206144662144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0.39683941184685095</v>
      </c>
      <c r="AV176" s="21">
        <f>EXP(-LN(2)/25)*AV175+(1-EXP(-LN(2)/25))/(LN(2)/25)*Calculateur!AQ176*Calculateur!AS176*VLOOKUP('Données projet'!$B$10,Paramètres!$A$1:$I$89,3,0)*0.475*44/12</f>
        <v>0.25466098428711292</v>
      </c>
      <c r="AW176" s="21">
        <f>EXP(-LN(2)/2)*AW175+(1-EXP(-LN(2)/2))/(LN(2)/2)*AQ176*AT176*VLOOKUP('Données projet'!$B$10,Paramètres!$A$1:$I$89,3,0)*0.475*44/12</f>
        <v>6.2627799130926893E-21</v>
      </c>
      <c r="AX176" s="21">
        <f t="shared" si="166"/>
        <v>0.65150039613396382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3.6357050703372803E-14</v>
      </c>
      <c r="BF176" s="13">
        <f t="shared" si="167"/>
        <v>6.1445232567661395E-13</v>
      </c>
      <c r="BG176" s="20">
        <f t="shared" si="168"/>
        <v>1.1334929971951436E-12</v>
      </c>
      <c r="BH176" s="59">
        <f t="shared" si="116"/>
        <v>293.33333333333445</v>
      </c>
      <c r="BI176" s="59">
        <f ca="1">AVERAGE(OFFSET($BH$3,0,0,'Données projet'!$E$11+1,1))-AVERAGE(OFFSET($H$3,0,0,'Données projet'!$E$11+1,1))</f>
        <v>176.90404027101607</v>
      </c>
      <c r="BJ176" s="59">
        <f t="shared" si="146"/>
        <v>295.34177980841878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0.10447301053502084</v>
      </c>
      <c r="BQ176" s="21">
        <f>EXP(-LN(2)/25)*BQ175+(1-EXP(-LN(2)/25))/(LN(2)/25)*Calculateur!BL176*Calculateur!BN176*VLOOKUP('Données projet'!$B$11,Paramètres!$A$1:$I$89,3,0)*0.475*44/12</f>
        <v>0.15633730087776643</v>
      </c>
      <c r="BR176" s="21">
        <f>EXP(-LN(2)/2)*BR175+(1-EXP(-LN(2)/2))/(LN(2)/2)*BL176*BO176*VLOOKUP('Données projet'!$B$11,Paramètres!$A$1:$I$89,3,0)*0.475*44/12</f>
        <v>1.0092933166868232E-23</v>
      </c>
      <c r="BS176" s="22">
        <f t="shared" si="169"/>
        <v>0.26081031141278727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-5.6843418860808015E-13</v>
      </c>
      <c r="BZ176" s="13">
        <f>BY176*VLOOKUP('Données projet'!$B$12,Paramètres!$A$1:$I$89,3,0)*VLOOKUP('Données projet'!$B$12,Paramètres!$A$1:$I$89,5,0)</f>
        <v>-3.177547114319168E-13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326.31232746914907</v>
      </c>
      <c r="CE176" s="59">
        <f t="shared" si="148"/>
        <v>330.17137761430297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0.26902852019347334</v>
      </c>
      <c r="CL176" s="21">
        <f>EXP(-LN(2)/25)*CL175+(1-EXP(-LN(2)/25))/(LN(2)/25)*Calculateur!CG176*Calculateur!CI176*VLOOKUP('Données projet'!$B$12,Paramètres!$A$1:$I$89,3,0)*0.475*44/12</f>
        <v>0.57243499116831964</v>
      </c>
      <c r="CM176" s="21">
        <f>EXP(-LN(2)/2)*CM175+(1-EXP(-LN(2)/2))/(LN(2)/2)*CG176*CJ176*VLOOKUP('Données projet'!$B$12,Paramètres!$A$1:$I$89,3,0)*0.475*44/12</f>
        <v>9.7394343740592338E-21</v>
      </c>
      <c r="CN176" s="22">
        <f t="shared" si="172"/>
        <v>0.84146351136179298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210.04871822652808</v>
      </c>
      <c r="CZ176" s="59">
        <f t="shared" si="150"/>
        <v>250.17540614049324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0.42999061578491671</v>
      </c>
      <c r="DG176" s="21">
        <f>EXP(-LN(2)/25)*DG175+(1-EXP(-LN(2)/25))/(LN(2)/25)*Calculateur!DB176*Calculateur!DD176*VLOOKUP('Données projet'!$B$13,Paramètres!$A$1:$I$89,3,0)*0.475*44/12</f>
        <v>0.52799859473355748</v>
      </c>
      <c r="DH176" s="21">
        <f>EXP(-LN(2)/2)*DH175+(1-EXP(-LN(2)/2))/(LN(2)/2)*DB176*DE176*VLOOKUP('Données projet'!$B$13,Paramètres!$A$1:$I$89,3,0)*0.475*44/12</f>
        <v>6.4547725986147046E-21</v>
      </c>
      <c r="DI176" s="22">
        <f t="shared" si="175"/>
        <v>0.95798921051847419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-5.1159076974727213E-13</v>
      </c>
      <c r="DP176" s="17">
        <f>DO176*VLOOKUP('Données projet'!$B$14,Paramètres!$A$1:$I$89,3,0)*VLOOKUP('Données projet'!$B$14,Paramètres!$A$1:$I$89,5,0)</f>
        <v>-3.7509835237869992E-13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234.09142087023463</v>
      </c>
      <c r="DU176" s="59">
        <f t="shared" si="152"/>
        <v>278.990685815294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0.14368568692151432</v>
      </c>
      <c r="EB176" s="21">
        <f>EXP(-LN(2)/25)*EB175+(1-EXP(-LN(2)/25))/(LN(2)/25)*Calculateur!DW176*Calculateur!DY176*VLOOKUP('Données projet'!$B$14,Paramètres!$A$1:$I$89,3,0)*0.475*44/12</f>
        <v>0.29107013067863302</v>
      </c>
      <c r="EC176" s="21">
        <f>EXP(-LN(2)/2)*EC175+(1-EXP(-LN(2)/2))/(LN(2)/2)*DW176*DZ176*VLOOKUP('Données projet'!$B$14,Paramètres!$A$1:$I$89,3,0)*0.475*44/12</f>
        <v>6.63437488231245E-21</v>
      </c>
      <c r="ED176" s="22">
        <f t="shared" si="178"/>
        <v>0.43475581760014737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259.30247982593914</v>
      </c>
      <c r="T177" s="59">
        <f t="shared" si="142"/>
        <v>275.24740346220779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0.33276337584769655</v>
      </c>
      <c r="AB177" s="21">
        <f>EXP(-LN(2)/2)*AB176+(1-EXP(-LN(2)/2))/(LN(2)/2)*V177*Y177*VLOOKUP('Données projet'!$B$9,Paramètres!$A$1:$I$89,3,0)*0.475*44/12</f>
        <v>6.0733257966960553E-21</v>
      </c>
      <c r="AC177" s="22">
        <f t="shared" si="163"/>
        <v>0.33276337584769655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7.9580786405131221E-13</v>
      </c>
      <c r="AJ177" s="13">
        <f>AI177*VLOOKUP('Données projet'!$B$10,Paramètres!$A$1:$I$89,3,0)*VLOOKUP('Données projet'!$B$10,Paramètres!$A$1:$I$89,5,0)</f>
        <v>3.8278358260868117E-13</v>
      </c>
      <c r="AK177" s="13">
        <f t="shared" si="164"/>
        <v>4.9186917125089072E-12</v>
      </c>
      <c r="AL177" s="20">
        <f t="shared" si="165"/>
        <v>9.2334028056631319E-12</v>
      </c>
      <c r="AM177" s="59">
        <f t="shared" si="113"/>
        <v>293.33333333334252</v>
      </c>
      <c r="AN177" s="59">
        <f ca="1">AVERAGE(OFFSET($AM$3,0,0,'Données projet'!$E$10+1,1))-AVERAGE(OFFSET($H$3,0,0,'Données projet'!$E$10+1,1))</f>
        <v>297.21955661193238</v>
      </c>
      <c r="AO177" s="59">
        <f t="shared" si="144"/>
        <v>273.69206144662144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0.38905763302867519</v>
      </c>
      <c r="AV177" s="21">
        <f>EXP(-LN(2)/25)*AV176+(1-EXP(-LN(2)/25))/(LN(2)/25)*Calculateur!AQ177*Calculateur!AS177*VLOOKUP('Données projet'!$B$10,Paramètres!$A$1:$I$89,3,0)*0.475*44/12</f>
        <v>0.2476972662797427</v>
      </c>
      <c r="AW177" s="21">
        <f>EXP(-LN(2)/2)*AW176+(1-EXP(-LN(2)/2))/(LN(2)/2)*AQ177*AT177*VLOOKUP('Données projet'!$B$10,Paramètres!$A$1:$I$89,3,0)*0.475*44/12</f>
        <v>4.4284541456267373E-21</v>
      </c>
      <c r="AX177" s="21">
        <f t="shared" si="166"/>
        <v>0.63675489930841789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3.6357050703372803E-14</v>
      </c>
      <c r="BF177" s="13">
        <f t="shared" si="167"/>
        <v>6.1445232567661395E-13</v>
      </c>
      <c r="BG177" s="20">
        <f t="shared" si="168"/>
        <v>1.1334929971951436E-12</v>
      </c>
      <c r="BH177" s="59">
        <f t="shared" si="116"/>
        <v>293.33333333333445</v>
      </c>
      <c r="BI177" s="59">
        <f ca="1">AVERAGE(OFFSET($BH$3,0,0,'Données projet'!$E$11+1,1))-AVERAGE(OFFSET($H$3,0,0,'Données projet'!$E$11+1,1))</f>
        <v>176.90404027101607</v>
      </c>
      <c r="BJ177" s="59">
        <f t="shared" si="146"/>
        <v>295.34177980841878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0.10242435852067346</v>
      </c>
      <c r="BQ177" s="21">
        <f>EXP(-LN(2)/25)*BQ176+(1-EXP(-LN(2)/25))/(LN(2)/25)*Calculateur!BL177*Calculateur!BN177*VLOOKUP('Données projet'!$B$11,Paramètres!$A$1:$I$89,3,0)*0.475*44/12</f>
        <v>0.15206224916384256</v>
      </c>
      <c r="BR177" s="21">
        <f>EXP(-LN(2)/2)*BR176+(1-EXP(-LN(2)/2))/(LN(2)/2)*BL177*BO177*VLOOKUP('Données projet'!$B$11,Paramètres!$A$1:$I$89,3,0)*0.475*44/12</f>
        <v>7.1367814843551427E-24</v>
      </c>
      <c r="BS177" s="22">
        <f t="shared" si="169"/>
        <v>0.25448660768451603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-5.6843418860808015E-13</v>
      </c>
      <c r="BZ177" s="13">
        <f>BY177*VLOOKUP('Données projet'!$B$12,Paramètres!$A$1:$I$89,3,0)*VLOOKUP('Données projet'!$B$12,Paramètres!$A$1:$I$89,5,0)</f>
        <v>-3.177547114319168E-13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326.31232746914907</v>
      </c>
      <c r="CE177" s="59">
        <f t="shared" si="148"/>
        <v>330.17137761430297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0.26375303500367397</v>
      </c>
      <c r="CL177" s="21">
        <f>EXP(-LN(2)/25)*CL176+(1-EXP(-LN(2)/25))/(LN(2)/25)*Calculateur!CG177*Calculateur!CI177*VLOOKUP('Données projet'!$B$12,Paramètres!$A$1:$I$89,3,0)*0.475*44/12</f>
        <v>0.55678172623177402</v>
      </c>
      <c r="CM177" s="21">
        <f>EXP(-LN(2)/2)*CM176+(1-EXP(-LN(2)/2))/(LN(2)/2)*CG177*CJ177*VLOOKUP('Données projet'!$B$12,Paramètres!$A$1:$I$89,3,0)*0.475*44/12</f>
        <v>6.8868200908186421E-21</v>
      </c>
      <c r="CN177" s="22">
        <f t="shared" si="172"/>
        <v>0.820534761235448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210.04871822652808</v>
      </c>
      <c r="CZ177" s="59">
        <f t="shared" si="150"/>
        <v>250.17540614049324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0.42155876207775328</v>
      </c>
      <c r="DG177" s="21">
        <f>EXP(-LN(2)/25)*DG176+(1-EXP(-LN(2)/25))/(LN(2)/25)*Calculateur!DB177*Calculateur!DD177*VLOOKUP('Données projet'!$B$13,Paramètres!$A$1:$I$89,3,0)*0.475*44/12</f>
        <v>0.51356044539432899</v>
      </c>
      <c r="DH177" s="21">
        <f>EXP(-LN(2)/2)*DH176+(1-EXP(-LN(2)/2))/(LN(2)/2)*DB177*DE177*VLOOKUP('Données projet'!$B$13,Paramètres!$A$1:$I$89,3,0)*0.475*44/12</f>
        <v>4.5642134754975706E-21</v>
      </c>
      <c r="DI177" s="22">
        <f t="shared" si="175"/>
        <v>0.93511920747208221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-5.1159076974727213E-13</v>
      </c>
      <c r="DP177" s="17">
        <f>DO177*VLOOKUP('Données projet'!$B$14,Paramètres!$A$1:$I$89,3,0)*VLOOKUP('Données projet'!$B$14,Paramètres!$A$1:$I$89,5,0)</f>
        <v>-3.7509835237869992E-13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234.09142087023463</v>
      </c>
      <c r="DU177" s="59">
        <f t="shared" si="152"/>
        <v>278.990685815294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0.14086809824059876</v>
      </c>
      <c r="EB177" s="21">
        <f>EXP(-LN(2)/25)*EB176+(1-EXP(-LN(2)/25))/(LN(2)/25)*Calculateur!DW177*Calculateur!DY177*VLOOKUP('Données projet'!$B$14,Paramètres!$A$1:$I$89,3,0)*0.475*44/12</f>
        <v>0.2831108026485129</v>
      </c>
      <c r="EC177" s="21">
        <f>EXP(-LN(2)/2)*EC176+(1-EXP(-LN(2)/2))/(LN(2)/2)*DW177*DZ177*VLOOKUP('Données projet'!$B$14,Paramètres!$A$1:$I$89,3,0)*0.475*44/12</f>
        <v>4.6912114682168371E-21</v>
      </c>
      <c r="ED177" s="22">
        <f t="shared" si="178"/>
        <v>0.42397890088911167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259.30247982593914</v>
      </c>
      <c r="T178" s="59">
        <f t="shared" si="142"/>
        <v>275.24740346220779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0.32366394383587588</v>
      </c>
      <c r="AB178" s="21">
        <f>EXP(-LN(2)/2)*AB177+(1-EXP(-LN(2)/2))/(LN(2)/2)*V178*Y178*VLOOKUP('Données projet'!$B$9,Paramètres!$A$1:$I$89,3,0)*0.475*44/12</f>
        <v>4.2944898551989719E-21</v>
      </c>
      <c r="AC178" s="22">
        <f t="shared" si="163"/>
        <v>0.32366394383587588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7.9580786405131221E-13</v>
      </c>
      <c r="AJ178" s="13">
        <f>AI178*VLOOKUP('Données projet'!$B$10,Paramètres!$A$1:$I$89,3,0)*VLOOKUP('Données projet'!$B$10,Paramètres!$A$1:$I$89,5,0)</f>
        <v>3.8278358260868117E-13</v>
      </c>
      <c r="AK178" s="13">
        <f t="shared" si="164"/>
        <v>4.9186917125089072E-12</v>
      </c>
      <c r="AL178" s="20">
        <f t="shared" si="165"/>
        <v>9.2334028056631319E-12</v>
      </c>
      <c r="AM178" s="59">
        <f t="shared" si="113"/>
        <v>293.33333333334252</v>
      </c>
      <c r="AN178" s="59">
        <f ca="1">AVERAGE(OFFSET($AM$3,0,0,'Données projet'!$E$10+1,1))-AVERAGE(OFFSET($H$3,0,0,'Données projet'!$E$10+1,1))</f>
        <v>297.21955661193238</v>
      </c>
      <c r="AO178" s="59">
        <f t="shared" si="144"/>
        <v>273.69206144662144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0.3814284501467074</v>
      </c>
      <c r="AV178" s="21">
        <f>EXP(-LN(2)/25)*AV177+(1-EXP(-LN(2)/25))/(LN(2)/25)*Calculateur!AQ178*Calculateur!AS178*VLOOKUP('Données projet'!$B$10,Paramètres!$A$1:$I$89,3,0)*0.475*44/12</f>
        <v>0.24092397150749001</v>
      </c>
      <c r="AW178" s="21">
        <f>EXP(-LN(2)/2)*AW177+(1-EXP(-LN(2)/2))/(LN(2)/2)*AQ178*AT178*VLOOKUP('Données projet'!$B$10,Paramètres!$A$1:$I$89,3,0)*0.475*44/12</f>
        <v>3.1313899565463446E-21</v>
      </c>
      <c r="AX178" s="21">
        <f t="shared" si="166"/>
        <v>0.62235242165419735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3.6357050703372803E-14</v>
      </c>
      <c r="BF178" s="13">
        <f t="shared" si="167"/>
        <v>6.1445232567661395E-13</v>
      </c>
      <c r="BG178" s="20">
        <f t="shared" si="168"/>
        <v>1.1334929971951436E-12</v>
      </c>
      <c r="BH178" s="59">
        <f t="shared" si="116"/>
        <v>293.33333333333445</v>
      </c>
      <c r="BI178" s="59">
        <f ca="1">AVERAGE(OFFSET($BH$3,0,0,'Données projet'!$E$11+1,1))-AVERAGE(OFFSET($H$3,0,0,'Données projet'!$E$11+1,1))</f>
        <v>176.90404027101607</v>
      </c>
      <c r="BJ178" s="59">
        <f t="shared" si="146"/>
        <v>295.34177980841878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0.10041587932277309</v>
      </c>
      <c r="BQ178" s="21">
        <f>EXP(-LN(2)/25)*BQ177+(1-EXP(-LN(2)/25))/(LN(2)/25)*Calculateur!BL178*Calculateur!BN178*VLOOKUP('Données projet'!$B$11,Paramètres!$A$1:$I$89,3,0)*0.475*44/12</f>
        <v>0.14790409896385115</v>
      </c>
      <c r="BR178" s="21">
        <f>EXP(-LN(2)/2)*BR177+(1-EXP(-LN(2)/2))/(LN(2)/2)*BL178*BO178*VLOOKUP('Données projet'!$B$11,Paramètres!$A$1:$I$89,3,0)*0.475*44/12</f>
        <v>5.0464665834341158E-24</v>
      </c>
      <c r="BS178" s="22">
        <f t="shared" si="169"/>
        <v>0.24831997828662422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-5.6843418860808015E-13</v>
      </c>
      <c r="BZ178" s="13">
        <f>BY178*VLOOKUP('Données projet'!$B$12,Paramètres!$A$1:$I$89,3,0)*VLOOKUP('Données projet'!$B$12,Paramètres!$A$1:$I$89,5,0)</f>
        <v>-3.177547114319168E-13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326.31232746914907</v>
      </c>
      <c r="CE178" s="59">
        <f t="shared" si="148"/>
        <v>330.17137761430297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0.25858099886071834</v>
      </c>
      <c r="CL178" s="21">
        <f>EXP(-LN(2)/25)*CL177+(1-EXP(-LN(2)/25))/(LN(2)/25)*Calculateur!CG178*Calculateur!CI178*VLOOKUP('Données projet'!$B$12,Paramètres!$A$1:$I$89,3,0)*0.475*44/12</f>
        <v>0.54155650064808769</v>
      </c>
      <c r="CM178" s="21">
        <f>EXP(-LN(2)/2)*CM177+(1-EXP(-LN(2)/2))/(LN(2)/2)*CG178*CJ178*VLOOKUP('Données projet'!$B$12,Paramètres!$A$1:$I$89,3,0)*0.475*44/12</f>
        <v>4.8697171870296169E-21</v>
      </c>
      <c r="CN178" s="22">
        <f t="shared" si="172"/>
        <v>0.80013749950880597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210.04871822652808</v>
      </c>
      <c r="CZ178" s="59">
        <f t="shared" si="150"/>
        <v>250.17540614049324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0.41329225187886437</v>
      </c>
      <c r="DG178" s="21">
        <f>EXP(-LN(2)/25)*DG177+(1-EXP(-LN(2)/25))/(LN(2)/25)*Calculateur!DB178*Calculateur!DD178*VLOOKUP('Données projet'!$B$13,Paramètres!$A$1:$I$89,3,0)*0.475*44/12</f>
        <v>0.49951710800805099</v>
      </c>
      <c r="DH178" s="21">
        <f>EXP(-LN(2)/2)*DH177+(1-EXP(-LN(2)/2))/(LN(2)/2)*DB178*DE178*VLOOKUP('Données projet'!$B$13,Paramètres!$A$1:$I$89,3,0)*0.475*44/12</f>
        <v>3.2273862993073523E-21</v>
      </c>
      <c r="DI178" s="22">
        <f t="shared" si="175"/>
        <v>0.91280935988691536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-5.1159076974727213E-13</v>
      </c>
      <c r="DP178" s="17">
        <f>DO178*VLOOKUP('Données projet'!$B$14,Paramètres!$A$1:$I$89,3,0)*VLOOKUP('Données projet'!$B$14,Paramètres!$A$1:$I$89,5,0)</f>
        <v>-3.7509835237869992E-13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234.09142087023463</v>
      </c>
      <c r="DU178" s="59">
        <f t="shared" si="152"/>
        <v>278.990685815294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0.13810576075515654</v>
      </c>
      <c r="EB178" s="21">
        <f>EXP(-LN(2)/25)*EB177+(1-EXP(-LN(2)/25))/(LN(2)/25)*Calculateur!DW178*Calculateur!DY178*VLOOKUP('Données projet'!$B$14,Paramètres!$A$1:$I$89,3,0)*0.475*44/12</f>
        <v>0.27536912286193926</v>
      </c>
      <c r="EC178" s="21">
        <f>EXP(-LN(2)/2)*EC177+(1-EXP(-LN(2)/2))/(LN(2)/2)*DW178*DZ178*VLOOKUP('Données projet'!$B$14,Paramètres!$A$1:$I$89,3,0)*0.475*44/12</f>
        <v>3.3171874411562257E-21</v>
      </c>
      <c r="ED178" s="22">
        <f t="shared" si="178"/>
        <v>0.41347488361709583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259.30247982593914</v>
      </c>
      <c r="T179" s="59">
        <f t="shared" si="142"/>
        <v>275.24740346220779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0.31481333627093677</v>
      </c>
      <c r="AB179" s="21">
        <f>EXP(-LN(2)/2)*AB178+(1-EXP(-LN(2)/2))/(LN(2)/2)*V179*Y179*VLOOKUP('Données projet'!$B$9,Paramètres!$A$1:$I$89,3,0)*0.475*44/12</f>
        <v>3.0366628983480276E-21</v>
      </c>
      <c r="AC179" s="22">
        <f t="shared" si="163"/>
        <v>0.31481333627093677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7.9580786405131221E-13</v>
      </c>
      <c r="AJ179" s="13">
        <f>AI179*VLOOKUP('Données projet'!$B$10,Paramètres!$A$1:$I$89,3,0)*VLOOKUP('Données projet'!$B$10,Paramètres!$A$1:$I$89,5,0)</f>
        <v>3.8278358260868117E-13</v>
      </c>
      <c r="AK179" s="13">
        <f t="shared" si="164"/>
        <v>4.9186917125089072E-12</v>
      </c>
      <c r="AL179" s="20">
        <f t="shared" si="165"/>
        <v>9.2334028056631319E-12</v>
      </c>
      <c r="AM179" s="59">
        <f t="shared" si="113"/>
        <v>293.33333333334252</v>
      </c>
      <c r="AN179" s="59">
        <f ca="1">AVERAGE(OFFSET($AM$3,0,0,'Données projet'!$E$10+1,1))-AVERAGE(OFFSET($H$3,0,0,'Données projet'!$E$10+1,1))</f>
        <v>297.21955661193238</v>
      </c>
      <c r="AO179" s="59">
        <f t="shared" si="144"/>
        <v>273.69206144662144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0.37394887088771295</v>
      </c>
      <c r="AV179" s="21">
        <f>EXP(-LN(2)/25)*AV178+(1-EXP(-LN(2)/25))/(LN(2)/25)*Calculateur!AQ179*Calculateur!AS179*VLOOKUP('Données projet'!$B$10,Paramètres!$A$1:$I$89,3,0)*0.475*44/12</f>
        <v>0.23433589283697667</v>
      </c>
      <c r="AW179" s="21">
        <f>EXP(-LN(2)/2)*AW178+(1-EXP(-LN(2)/2))/(LN(2)/2)*AQ179*AT179*VLOOKUP('Données projet'!$B$10,Paramètres!$A$1:$I$89,3,0)*0.475*44/12</f>
        <v>2.2142270728133687E-21</v>
      </c>
      <c r="AX179" s="21">
        <f t="shared" si="166"/>
        <v>0.60828476372468965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3.6357050703372803E-14</v>
      </c>
      <c r="BF179" s="13">
        <f t="shared" si="167"/>
        <v>6.1445232567661395E-13</v>
      </c>
      <c r="BG179" s="20">
        <f t="shared" si="168"/>
        <v>1.1334929971951436E-12</v>
      </c>
      <c r="BH179" s="59">
        <f t="shared" si="116"/>
        <v>293.33333333333445</v>
      </c>
      <c r="BI179" s="59">
        <f ca="1">AVERAGE(OFFSET($BH$3,0,0,'Données projet'!$E$11+1,1))-AVERAGE(OFFSET($H$3,0,0,'Données projet'!$E$11+1,1))</f>
        <v>176.90404027101607</v>
      </c>
      <c r="BJ179" s="59">
        <f t="shared" si="146"/>
        <v>295.34177980841878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9.844678517689219E-2</v>
      </c>
      <c r="BQ179" s="21">
        <f>EXP(-LN(2)/25)*BQ178+(1-EXP(-LN(2)/25))/(LN(2)/25)*Calculateur!BL179*Calculateur!BN179*VLOOKUP('Données projet'!$B$11,Paramètres!$A$1:$I$89,3,0)*0.475*44/12</f>
        <v>0.14385965359974612</v>
      </c>
      <c r="BR179" s="21">
        <f>EXP(-LN(2)/2)*BR178+(1-EXP(-LN(2)/2))/(LN(2)/2)*BL179*BO179*VLOOKUP('Données projet'!$B$11,Paramètres!$A$1:$I$89,3,0)*0.475*44/12</f>
        <v>3.5683907421775713E-24</v>
      </c>
      <c r="BS179" s="22">
        <f t="shared" si="169"/>
        <v>0.24230643877663832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-5.6843418860808015E-13</v>
      </c>
      <c r="BZ179" s="13">
        <f>BY179*VLOOKUP('Données projet'!$B$12,Paramètres!$A$1:$I$89,3,0)*VLOOKUP('Données projet'!$B$12,Paramètres!$A$1:$I$89,5,0)</f>
        <v>-3.177547114319168E-13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326.31232746914907</v>
      </c>
      <c r="CE179" s="59">
        <f t="shared" si="148"/>
        <v>330.17137761430297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0.25351038319189551</v>
      </c>
      <c r="CL179" s="21">
        <f>EXP(-LN(2)/25)*CL178+(1-EXP(-LN(2)/25))/(LN(2)/25)*Calculateur!CG179*Calculateur!CI179*VLOOKUP('Données projet'!$B$12,Paramètres!$A$1:$I$89,3,0)*0.475*44/12</f>
        <v>0.52674760965864709</v>
      </c>
      <c r="CM179" s="21">
        <f>EXP(-LN(2)/2)*CM178+(1-EXP(-LN(2)/2))/(LN(2)/2)*CG179*CJ179*VLOOKUP('Données projet'!$B$12,Paramètres!$A$1:$I$89,3,0)*0.475*44/12</f>
        <v>3.4434100454093211E-21</v>
      </c>
      <c r="CN179" s="22">
        <f t="shared" si="172"/>
        <v>0.78025799285054265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210.04871822652808</v>
      </c>
      <c r="CZ179" s="59">
        <f t="shared" si="150"/>
        <v>250.17540614049324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0.40518784290290233</v>
      </c>
      <c r="DG179" s="21">
        <f>EXP(-LN(2)/25)*DG178+(1-EXP(-LN(2)/25))/(LN(2)/25)*Calculateur!DB179*Calculateur!DD179*VLOOKUP('Données projet'!$B$13,Paramètres!$A$1:$I$89,3,0)*0.475*44/12</f>
        <v>0.48585778642110777</v>
      </c>
      <c r="DH179" s="21">
        <f>EXP(-LN(2)/2)*DH178+(1-EXP(-LN(2)/2))/(LN(2)/2)*DB179*DE179*VLOOKUP('Données projet'!$B$13,Paramètres!$A$1:$I$89,3,0)*0.475*44/12</f>
        <v>2.2821067377487853E-21</v>
      </c>
      <c r="DI179" s="22">
        <f t="shared" si="175"/>
        <v>0.8910456293240101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-5.1159076974727213E-13</v>
      </c>
      <c r="DP179" s="17">
        <f>DO179*VLOOKUP('Données projet'!$B$14,Paramètres!$A$1:$I$89,3,0)*VLOOKUP('Données projet'!$B$14,Paramètres!$A$1:$I$89,5,0)</f>
        <v>-3.7509835237869992E-13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234.09142087023463</v>
      </c>
      <c r="DU179" s="59">
        <f t="shared" si="152"/>
        <v>278.990685815294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0.13539759102294435</v>
      </c>
      <c r="EB179" s="21">
        <f>EXP(-LN(2)/25)*EB178+(1-EXP(-LN(2)/25))/(LN(2)/25)*Calculateur!DW179*Calculateur!DY179*VLOOKUP('Données projet'!$B$14,Paramètres!$A$1:$I$89,3,0)*0.475*44/12</f>
        <v>0.26783913971624673</v>
      </c>
      <c r="EC179" s="21">
        <f>EXP(-LN(2)/2)*EC178+(1-EXP(-LN(2)/2))/(LN(2)/2)*DW179*DZ179*VLOOKUP('Données projet'!$B$14,Paramètres!$A$1:$I$89,3,0)*0.475*44/12</f>
        <v>2.3456057341084189E-21</v>
      </c>
      <c r="ED179" s="22">
        <f t="shared" si="178"/>
        <v>0.40323673073919108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259.30247982593914</v>
      </c>
      <c r="T180" s="59">
        <f t="shared" si="142"/>
        <v>275.24740346220779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0.30620474903529415</v>
      </c>
      <c r="AB180" s="21">
        <f>EXP(-LN(2)/2)*AB179+(1-EXP(-LN(2)/2))/(LN(2)/2)*V180*Y180*VLOOKUP('Données projet'!$B$9,Paramètres!$A$1:$I$89,3,0)*0.475*44/12</f>
        <v>2.147244927599486E-21</v>
      </c>
      <c r="AC180" s="22">
        <f t="shared" si="163"/>
        <v>0.30620474903529415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7.9580786405131221E-13</v>
      </c>
      <c r="AJ180" s="13">
        <f>AI180*VLOOKUP('Données projet'!$B$10,Paramètres!$A$1:$I$89,3,0)*VLOOKUP('Données projet'!$B$10,Paramètres!$A$1:$I$89,5,0)</f>
        <v>3.8278358260868117E-13</v>
      </c>
      <c r="AK180" s="13">
        <f t="shared" si="164"/>
        <v>4.9186917125089072E-12</v>
      </c>
      <c r="AL180" s="20">
        <f t="shared" si="165"/>
        <v>9.2334028056631319E-12</v>
      </c>
      <c r="AM180" s="59">
        <f t="shared" si="113"/>
        <v>293.33333333334252</v>
      </c>
      <c r="AN180" s="59">
        <f ca="1">AVERAGE(OFFSET($AM$3,0,0,'Données projet'!$E$10+1,1))-AVERAGE(OFFSET($H$3,0,0,'Données projet'!$E$10+1,1))</f>
        <v>297.21955661193238</v>
      </c>
      <c r="AO180" s="59">
        <f t="shared" si="144"/>
        <v>273.69206144662144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0.36661596161589449</v>
      </c>
      <c r="AV180" s="21">
        <f>EXP(-LN(2)/25)*AV179+(1-EXP(-LN(2)/25))/(LN(2)/25)*Calculateur!AQ180*Calculateur!AS180*VLOOKUP('Données projet'!$B$10,Paramètres!$A$1:$I$89,3,0)*0.475*44/12</f>
        <v>0.22792796552416053</v>
      </c>
      <c r="AW180" s="21">
        <f>EXP(-LN(2)/2)*AW179+(1-EXP(-LN(2)/2))/(LN(2)/2)*AQ180*AT180*VLOOKUP('Données projet'!$B$10,Paramètres!$A$1:$I$89,3,0)*0.475*44/12</f>
        <v>1.5656949782731723E-21</v>
      </c>
      <c r="AX180" s="21">
        <f t="shared" si="166"/>
        <v>0.594543927140055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3.6357050703372803E-14</v>
      </c>
      <c r="BF180" s="13">
        <f t="shared" si="167"/>
        <v>6.1445232567661395E-13</v>
      </c>
      <c r="BG180" s="20">
        <f t="shared" si="168"/>
        <v>1.1334929971951436E-12</v>
      </c>
      <c r="BH180" s="59">
        <f t="shared" si="116"/>
        <v>293.33333333333445</v>
      </c>
      <c r="BI180" s="59">
        <f ca="1">AVERAGE(OFFSET($BH$3,0,0,'Données projet'!$E$11+1,1))-AVERAGE(OFFSET($H$3,0,0,'Données projet'!$E$11+1,1))</f>
        <v>176.90404027101607</v>
      </c>
      <c r="BJ180" s="59">
        <f t="shared" si="146"/>
        <v>295.34177980841878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9.6516303766183184E-2</v>
      </c>
      <c r="BQ180" s="21">
        <f>EXP(-LN(2)/25)*BQ179+(1-EXP(-LN(2)/25))/(LN(2)/25)*Calculateur!BL180*Calculateur!BN180*VLOOKUP('Données projet'!$B$11,Paramètres!$A$1:$I$89,3,0)*0.475*44/12</f>
        <v>0.13992580380681066</v>
      </c>
      <c r="BR180" s="21">
        <f>EXP(-LN(2)/2)*BR179+(1-EXP(-LN(2)/2))/(LN(2)/2)*BL180*BO180*VLOOKUP('Données projet'!$B$11,Paramètres!$A$1:$I$89,3,0)*0.475*44/12</f>
        <v>2.5232332917170579E-24</v>
      </c>
      <c r="BS180" s="22">
        <f t="shared" si="169"/>
        <v>0.23644210757299383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-5.6843418860808015E-13</v>
      </c>
      <c r="BZ180" s="13">
        <f>BY180*VLOOKUP('Données projet'!$B$12,Paramètres!$A$1:$I$89,3,0)*VLOOKUP('Données projet'!$B$12,Paramètres!$A$1:$I$89,5,0)</f>
        <v>-3.177547114319168E-13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326.31232746914907</v>
      </c>
      <c r="CE180" s="59">
        <f t="shared" si="148"/>
        <v>330.17137761430297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0.24853919920356812</v>
      </c>
      <c r="CL180" s="21">
        <f>EXP(-LN(2)/25)*CL179+(1-EXP(-LN(2)/25))/(LN(2)/25)*Calculateur!CG180*Calculateur!CI180*VLOOKUP('Données projet'!$B$12,Paramètres!$A$1:$I$89,3,0)*0.475*44/12</f>
        <v>0.51234366857207847</v>
      </c>
      <c r="CM180" s="21">
        <f>EXP(-LN(2)/2)*CM179+(1-EXP(-LN(2)/2))/(LN(2)/2)*CG180*CJ180*VLOOKUP('Données projet'!$B$12,Paramètres!$A$1:$I$89,3,0)*0.475*44/12</f>
        <v>2.4348585935148085E-21</v>
      </c>
      <c r="CN180" s="22">
        <f t="shared" si="172"/>
        <v>0.76088286777564662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210.04871822652808</v>
      </c>
      <c r="CZ180" s="59">
        <f t="shared" si="150"/>
        <v>250.17540614049324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0.39724235644375749</v>
      </c>
      <c r="DG180" s="21">
        <f>EXP(-LN(2)/25)*DG179+(1-EXP(-LN(2)/25))/(LN(2)/25)*Calculateur!DB180*Calculateur!DD180*VLOOKUP('Données projet'!$B$13,Paramètres!$A$1:$I$89,3,0)*0.475*44/12</f>
        <v>0.47257197970127202</v>
      </c>
      <c r="DH180" s="21">
        <f>EXP(-LN(2)/2)*DH179+(1-EXP(-LN(2)/2))/(LN(2)/2)*DB180*DE180*VLOOKUP('Données projet'!$B$13,Paramètres!$A$1:$I$89,3,0)*0.475*44/12</f>
        <v>1.6136931496536761E-21</v>
      </c>
      <c r="DI180" s="22">
        <f t="shared" si="175"/>
        <v>0.86981433614502945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-5.1159076974727213E-13</v>
      </c>
      <c r="DP180" s="17">
        <f>DO180*VLOOKUP('Données projet'!$B$14,Paramètres!$A$1:$I$89,3,0)*VLOOKUP('Données projet'!$B$14,Paramètres!$A$1:$I$89,5,0)</f>
        <v>-3.7509835237869992E-13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234.09142087023463</v>
      </c>
      <c r="DU180" s="59">
        <f t="shared" si="152"/>
        <v>278.990685815294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0.1327425268473604</v>
      </c>
      <c r="EB180" s="21">
        <f>EXP(-LN(2)/25)*EB179+(1-EXP(-LN(2)/25))/(LN(2)/25)*Calculateur!DW180*Calculateur!DY180*VLOOKUP('Données projet'!$B$14,Paramètres!$A$1:$I$89,3,0)*0.475*44/12</f>
        <v>0.26051506435565774</v>
      </c>
      <c r="EC180" s="21">
        <f>EXP(-LN(2)/2)*EC179+(1-EXP(-LN(2)/2))/(LN(2)/2)*DW180*DZ180*VLOOKUP('Données projet'!$B$14,Paramètres!$A$1:$I$89,3,0)*0.475*44/12</f>
        <v>1.6585937205781131E-21</v>
      </c>
      <c r="ED180" s="22">
        <f t="shared" si="178"/>
        <v>0.39325759120301818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259.30247982593914</v>
      </c>
      <c r="T181" s="59">
        <f t="shared" si="142"/>
        <v>275.24740346220779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0.29783156407031613</v>
      </c>
      <c r="AB181" s="21">
        <f>EXP(-LN(2)/2)*AB180+(1-EXP(-LN(2)/2))/(LN(2)/2)*V181*Y181*VLOOKUP('Données projet'!$B$9,Paramètres!$A$1:$I$89,3,0)*0.475*44/12</f>
        <v>1.5183314491740138E-21</v>
      </c>
      <c r="AC181" s="22">
        <f t="shared" si="163"/>
        <v>0.29783156407031613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7.9580786405131221E-13</v>
      </c>
      <c r="AJ181" s="13">
        <f>AI181*VLOOKUP('Données projet'!$B$10,Paramètres!$A$1:$I$89,3,0)*VLOOKUP('Données projet'!$B$10,Paramètres!$A$1:$I$89,5,0)</f>
        <v>3.8278358260868117E-13</v>
      </c>
      <c r="AK181" s="13">
        <f t="shared" si="164"/>
        <v>4.9186917125089072E-12</v>
      </c>
      <c r="AL181" s="20">
        <f t="shared" si="165"/>
        <v>9.2334028056631319E-12</v>
      </c>
      <c r="AM181" s="59">
        <f t="shared" si="113"/>
        <v>293.33333333334252</v>
      </c>
      <c r="AN181" s="59">
        <f ca="1">AVERAGE(OFFSET($AM$3,0,0,'Données projet'!$E$10+1,1))-AVERAGE(OFFSET($H$3,0,0,'Données projet'!$E$10+1,1))</f>
        <v>297.21955661193238</v>
      </c>
      <c r="AO181" s="59">
        <f t="shared" si="144"/>
        <v>273.69206144662144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0.3594268462222634</v>
      </c>
      <c r="AV181" s="21">
        <f>EXP(-LN(2)/25)*AV180+(1-EXP(-LN(2)/25))/(LN(2)/25)*Calculateur!AQ181*Calculateur!AS181*VLOOKUP('Données projet'!$B$10,Paramètres!$A$1:$I$89,3,0)*0.475*44/12</f>
        <v>0.22169526332069159</v>
      </c>
      <c r="AW181" s="21">
        <f>EXP(-LN(2)/2)*AW180+(1-EXP(-LN(2)/2))/(LN(2)/2)*AQ181*AT181*VLOOKUP('Données projet'!$B$10,Paramètres!$A$1:$I$89,3,0)*0.475*44/12</f>
        <v>1.1071135364066843E-21</v>
      </c>
      <c r="AX181" s="21">
        <f t="shared" si="166"/>
        <v>0.58112210954295496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3.6357050703372803E-14</v>
      </c>
      <c r="BF181" s="13">
        <f t="shared" si="167"/>
        <v>6.1445232567661395E-13</v>
      </c>
      <c r="BG181" s="20">
        <f t="shared" si="168"/>
        <v>1.1334929971951436E-12</v>
      </c>
      <c r="BH181" s="59">
        <f t="shared" si="116"/>
        <v>293.33333333333445</v>
      </c>
      <c r="BI181" s="59">
        <f ca="1">AVERAGE(OFFSET($BH$3,0,0,'Données projet'!$E$11+1,1))-AVERAGE(OFFSET($H$3,0,0,'Données projet'!$E$11+1,1))</f>
        <v>176.90404027101607</v>
      </c>
      <c r="BJ181" s="59">
        <f t="shared" si="146"/>
        <v>295.34177980841878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9.4623677918460783E-2</v>
      </c>
      <c r="BQ181" s="21">
        <f>EXP(-LN(2)/25)*BQ180+(1-EXP(-LN(2)/25))/(LN(2)/25)*Calculateur!BL181*Calculateur!BN181*VLOOKUP('Données projet'!$B$11,Paramètres!$A$1:$I$89,3,0)*0.475*44/12</f>
        <v>0.13609952534333519</v>
      </c>
      <c r="BR181" s="21">
        <f>EXP(-LN(2)/2)*BR180+(1-EXP(-LN(2)/2))/(LN(2)/2)*BL181*BO181*VLOOKUP('Données projet'!$B$11,Paramètres!$A$1:$I$89,3,0)*0.475*44/12</f>
        <v>1.7841953710887857E-24</v>
      </c>
      <c r="BS181" s="22">
        <f t="shared" si="169"/>
        <v>0.23072320326179596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-5.6843418860808015E-13</v>
      </c>
      <c r="BZ181" s="13">
        <f>BY181*VLOOKUP('Données projet'!$B$12,Paramètres!$A$1:$I$89,3,0)*VLOOKUP('Données projet'!$B$12,Paramètres!$A$1:$I$89,5,0)</f>
        <v>-3.177547114319168E-13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326.31232746914907</v>
      </c>
      <c r="CE181" s="59">
        <f t="shared" si="148"/>
        <v>330.17137761430297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0.243665497101129</v>
      </c>
      <c r="CL181" s="21">
        <f>EXP(-LN(2)/25)*CL180+(1-EXP(-LN(2)/25))/(LN(2)/25)*Calculateur!CG181*Calculateur!CI181*VLOOKUP('Données projet'!$B$12,Paramètres!$A$1:$I$89,3,0)*0.475*44/12</f>
        <v>0.49833360401199245</v>
      </c>
      <c r="CM181" s="21">
        <f>EXP(-LN(2)/2)*CM180+(1-EXP(-LN(2)/2))/(LN(2)/2)*CG181*CJ181*VLOOKUP('Données projet'!$B$12,Paramètres!$A$1:$I$89,3,0)*0.475*44/12</f>
        <v>1.7217050227046605E-21</v>
      </c>
      <c r="CN181" s="22">
        <f t="shared" si="172"/>
        <v>0.74199910111312151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210.04871822652808</v>
      </c>
      <c r="CZ181" s="59">
        <f t="shared" si="150"/>
        <v>250.17540614049324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0.38945267612780832</v>
      </c>
      <c r="DG181" s="21">
        <f>EXP(-LN(2)/25)*DG180+(1-EXP(-LN(2)/25))/(LN(2)/25)*Calculateur!DB181*Calculateur!DD181*VLOOKUP('Données projet'!$B$13,Paramètres!$A$1:$I$89,3,0)*0.475*44/12</f>
        <v>0.4596494740648604</v>
      </c>
      <c r="DH181" s="21">
        <f>EXP(-LN(2)/2)*DH180+(1-EXP(-LN(2)/2))/(LN(2)/2)*DB181*DE181*VLOOKUP('Données projet'!$B$13,Paramètres!$A$1:$I$89,3,0)*0.475*44/12</f>
        <v>1.1410533688743926E-21</v>
      </c>
      <c r="DI181" s="22">
        <f t="shared" si="175"/>
        <v>0.84910215019266877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-5.1159076974727213E-13</v>
      </c>
      <c r="DP181" s="17">
        <f>DO181*VLOOKUP('Données projet'!$B$14,Paramètres!$A$1:$I$89,3,0)*VLOOKUP('Données projet'!$B$14,Paramètres!$A$1:$I$89,5,0)</f>
        <v>-3.7509835237869992E-13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234.09142087023463</v>
      </c>
      <c r="DU181" s="59">
        <f t="shared" si="152"/>
        <v>278.990685815294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0.13013952686083041</v>
      </c>
      <c r="EB181" s="21">
        <f>EXP(-LN(2)/25)*EB180+(1-EXP(-LN(2)/25))/(LN(2)/25)*Calculateur!DW181*Calculateur!DY181*VLOOKUP('Données projet'!$B$14,Paramètres!$A$1:$I$89,3,0)*0.475*44/12</f>
        <v>0.25339126622096048</v>
      </c>
      <c r="EC181" s="21">
        <f>EXP(-LN(2)/2)*EC180+(1-EXP(-LN(2)/2))/(LN(2)/2)*DW181*DZ181*VLOOKUP('Données projet'!$B$14,Paramètres!$A$1:$I$89,3,0)*0.475*44/12</f>
        <v>1.1728028670542097E-21</v>
      </c>
      <c r="ED181" s="22">
        <f t="shared" si="178"/>
        <v>0.38353079308179089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259.30247982593914</v>
      </c>
      <c r="T182" s="59">
        <f t="shared" si="142"/>
        <v>275.24740346220779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0.2896873442885321</v>
      </c>
      <c r="AB182" s="21">
        <f>EXP(-LN(2)/2)*AB181+(1-EXP(-LN(2)/2))/(LN(2)/2)*V182*Y182*VLOOKUP('Données projet'!$B$9,Paramètres!$A$1:$I$89,3,0)*0.475*44/12</f>
        <v>1.073622463799743E-21</v>
      </c>
      <c r="AC182" s="22">
        <f t="shared" si="163"/>
        <v>0.2896873442885321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7.9580786405131221E-13</v>
      </c>
      <c r="AJ182" s="13">
        <f>AI182*VLOOKUP('Données projet'!$B$10,Paramètres!$A$1:$I$89,3,0)*VLOOKUP('Données projet'!$B$10,Paramètres!$A$1:$I$89,5,0)</f>
        <v>3.8278358260868117E-13</v>
      </c>
      <c r="AK182" s="13">
        <f t="shared" si="164"/>
        <v>4.9186917125089072E-12</v>
      </c>
      <c r="AL182" s="20">
        <f t="shared" si="165"/>
        <v>9.2334028056631319E-12</v>
      </c>
      <c r="AM182" s="59">
        <f t="shared" si="113"/>
        <v>293.33333333334252</v>
      </c>
      <c r="AN182" s="59">
        <f ca="1">AVERAGE(OFFSET($AM$3,0,0,'Données projet'!$E$10+1,1))-AVERAGE(OFFSET($H$3,0,0,'Données projet'!$E$10+1,1))</f>
        <v>297.21955661193238</v>
      </c>
      <c r="AO182" s="59">
        <f t="shared" si="144"/>
        <v>273.69206144662144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0.35237870499657398</v>
      </c>
      <c r="AV182" s="21">
        <f>EXP(-LN(2)/25)*AV181+(1-EXP(-LN(2)/25))/(LN(2)/25)*Calculateur!AQ182*Calculateur!AS182*VLOOKUP('Données projet'!$B$10,Paramètres!$A$1:$I$89,3,0)*0.475*44/12</f>
        <v>0.21563299468674008</v>
      </c>
      <c r="AW182" s="21">
        <f>EXP(-LN(2)/2)*AW181+(1-EXP(-LN(2)/2))/(LN(2)/2)*AQ182*AT182*VLOOKUP('Données projet'!$B$10,Paramètres!$A$1:$I$89,3,0)*0.475*44/12</f>
        <v>7.8284748913658616E-22</v>
      </c>
      <c r="AX182" s="21">
        <f t="shared" si="166"/>
        <v>0.568011699683314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3.6357050703372803E-14</v>
      </c>
      <c r="BF182" s="13">
        <f t="shared" si="167"/>
        <v>6.1445232567661395E-13</v>
      </c>
      <c r="BG182" s="20">
        <f t="shared" si="168"/>
        <v>1.1334929971951436E-12</v>
      </c>
      <c r="BH182" s="59">
        <f t="shared" si="116"/>
        <v>293.33333333333445</v>
      </c>
      <c r="BI182" s="59">
        <f ca="1">AVERAGE(OFFSET($BH$3,0,0,'Données projet'!$E$11+1,1))-AVERAGE(OFFSET($H$3,0,0,'Données projet'!$E$11+1,1))</f>
        <v>176.90404027101607</v>
      </c>
      <c r="BJ182" s="59">
        <f t="shared" si="146"/>
        <v>295.34177980841878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9.2768165309224437E-2</v>
      </c>
      <c r="BQ182" s="21">
        <f>EXP(-LN(2)/25)*BQ181+(1-EXP(-LN(2)/25))/(LN(2)/25)*Calculateur!BL182*Calculateur!BN182*VLOOKUP('Données projet'!$B$11,Paramètres!$A$1:$I$89,3,0)*0.475*44/12</f>
        <v>0.1323778766656587</v>
      </c>
      <c r="BR182" s="21">
        <f>EXP(-LN(2)/2)*BR181+(1-EXP(-LN(2)/2))/(LN(2)/2)*BL182*BO182*VLOOKUP('Données projet'!$B$11,Paramètres!$A$1:$I$89,3,0)*0.475*44/12</f>
        <v>1.2616166458585289E-24</v>
      </c>
      <c r="BS182" s="22">
        <f t="shared" si="169"/>
        <v>0.22514604197488314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-5.6843418860808015E-13</v>
      </c>
      <c r="BZ182" s="13">
        <f>BY182*VLOOKUP('Données projet'!$B$12,Paramètres!$A$1:$I$89,3,0)*VLOOKUP('Données projet'!$B$12,Paramètres!$A$1:$I$89,5,0)</f>
        <v>-3.177547114319168E-13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326.31232746914907</v>
      </c>
      <c r="CE182" s="59">
        <f t="shared" si="148"/>
        <v>330.17137761430297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0.23888736532425398</v>
      </c>
      <c r="CL182" s="21">
        <f>EXP(-LN(2)/25)*CL181+(1-EXP(-LN(2)/25))/(LN(2)/25)*Calculateur!CG182*Calculateur!CI182*VLOOKUP('Données projet'!$B$12,Paramètres!$A$1:$I$89,3,0)*0.475*44/12</f>
        <v>0.48470664540405922</v>
      </c>
      <c r="CM182" s="21">
        <f>EXP(-LN(2)/2)*CM181+(1-EXP(-LN(2)/2))/(LN(2)/2)*CG182*CJ182*VLOOKUP('Données projet'!$B$12,Paramètres!$A$1:$I$89,3,0)*0.475*44/12</f>
        <v>1.2174292967574042E-21</v>
      </c>
      <c r="CN182" s="22">
        <f t="shared" si="172"/>
        <v>0.7235940107283132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210.04871822652808</v>
      </c>
      <c r="CZ182" s="59">
        <f t="shared" si="150"/>
        <v>250.17540614049324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0.38181574669161905</v>
      </c>
      <c r="DG182" s="21">
        <f>EXP(-LN(2)/25)*DG181+(1-EXP(-LN(2)/25))/(LN(2)/25)*Calculateur!DB182*Calculateur!DD182*VLOOKUP('Données projet'!$B$13,Paramètres!$A$1:$I$89,3,0)*0.475*44/12</f>
        <v>0.44708033502464151</v>
      </c>
      <c r="DH182" s="21">
        <f>EXP(-LN(2)/2)*DH181+(1-EXP(-LN(2)/2))/(LN(2)/2)*DB182*DE182*VLOOKUP('Données projet'!$B$13,Paramètres!$A$1:$I$89,3,0)*0.475*44/12</f>
        <v>8.0684657482683807E-22</v>
      </c>
      <c r="DI182" s="22">
        <f t="shared" si="175"/>
        <v>0.8288960817162605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-5.1159076974727213E-13</v>
      </c>
      <c r="DP182" s="17">
        <f>DO182*VLOOKUP('Données projet'!$B$14,Paramètres!$A$1:$I$89,3,0)*VLOOKUP('Données projet'!$B$14,Paramètres!$A$1:$I$89,5,0)</f>
        <v>-3.7509835237869992E-13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234.09142087023463</v>
      </c>
      <c r="DU182" s="59">
        <f t="shared" si="152"/>
        <v>278.990685815294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0.12758757011636307</v>
      </c>
      <c r="EB182" s="21">
        <f>EXP(-LN(2)/25)*EB181+(1-EXP(-LN(2)/25))/(LN(2)/25)*Calculateur!DW182*Calculateur!DY182*VLOOKUP('Données projet'!$B$14,Paramètres!$A$1:$I$89,3,0)*0.475*44/12</f>
        <v>0.24646226872088076</v>
      </c>
      <c r="EC182" s="21">
        <f>EXP(-LN(2)/2)*EC181+(1-EXP(-LN(2)/2))/(LN(2)/2)*DW182*DZ182*VLOOKUP('Données projet'!$B$14,Paramètres!$A$1:$I$89,3,0)*0.475*44/12</f>
        <v>8.2929686028905672E-22</v>
      </c>
      <c r="ED182" s="22">
        <f t="shared" si="178"/>
        <v>0.37404983883724385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259.30247982593914</v>
      </c>
      <c r="T183" s="59">
        <f t="shared" si="142"/>
        <v>275.24740346220779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0.28176582862496685</v>
      </c>
      <c r="AB183" s="21">
        <f>EXP(-LN(2)/2)*AB182+(1-EXP(-LN(2)/2))/(LN(2)/2)*V183*Y183*VLOOKUP('Données projet'!$B$9,Paramètres!$A$1:$I$89,3,0)*0.475*44/12</f>
        <v>7.5916572458700691E-22</v>
      </c>
      <c r="AC183" s="22">
        <f t="shared" si="163"/>
        <v>0.28176582862496685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7.9580786405131221E-13</v>
      </c>
      <c r="AJ183" s="13">
        <f>AI183*VLOOKUP('Données projet'!$B$10,Paramètres!$A$1:$I$89,3,0)*VLOOKUP('Données projet'!$B$10,Paramètres!$A$1:$I$89,5,0)</f>
        <v>3.8278358260868117E-13</v>
      </c>
      <c r="AK183" s="13">
        <f t="shared" si="164"/>
        <v>4.9186917125089072E-12</v>
      </c>
      <c r="AL183" s="20">
        <f t="shared" si="165"/>
        <v>9.2334028056631319E-12</v>
      </c>
      <c r="AM183" s="59">
        <f t="shared" si="113"/>
        <v>293.33333333334252</v>
      </c>
      <c r="AN183" s="59">
        <f ca="1">AVERAGE(OFFSET($AM$3,0,0,'Données projet'!$E$10+1,1))-AVERAGE(OFFSET($H$3,0,0,'Données projet'!$E$10+1,1))</f>
        <v>297.21955661193238</v>
      </c>
      <c r="AO183" s="59">
        <f t="shared" si="144"/>
        <v>273.69206144662144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0.34546877352137867</v>
      </c>
      <c r="AV183" s="21">
        <f>EXP(-LN(2)/25)*AV182+(1-EXP(-LN(2)/25))/(LN(2)/25)*Calculateur!AQ183*Calculateur!AS183*VLOOKUP('Données projet'!$B$10,Paramètres!$A$1:$I$89,3,0)*0.475*44/12</f>
        <v>0.20973649910738482</v>
      </c>
      <c r="AW183" s="21">
        <f>EXP(-LN(2)/2)*AW182+(1-EXP(-LN(2)/2))/(LN(2)/2)*AQ183*AT183*VLOOKUP('Données projet'!$B$10,Paramètres!$A$1:$I$89,3,0)*0.475*44/12</f>
        <v>5.5355676820334216E-22</v>
      </c>
      <c r="AX183" s="21">
        <f t="shared" si="166"/>
        <v>0.55520527262876351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3.6357050703372803E-14</v>
      </c>
      <c r="BF183" s="13">
        <f t="shared" si="167"/>
        <v>6.1445232567661395E-13</v>
      </c>
      <c r="BG183" s="20">
        <f t="shared" si="168"/>
        <v>1.1334929971951436E-12</v>
      </c>
      <c r="BH183" s="59">
        <f t="shared" si="116"/>
        <v>293.33333333333445</v>
      </c>
      <c r="BI183" s="59">
        <f ca="1">AVERAGE(OFFSET($BH$3,0,0,'Données projet'!$E$11+1,1))-AVERAGE(OFFSET($H$3,0,0,'Données projet'!$E$11+1,1))</f>
        <v>176.90404027101607</v>
      </c>
      <c r="BJ183" s="59">
        <f t="shared" si="146"/>
        <v>295.34177980841878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9.0949038170504273E-2</v>
      </c>
      <c r="BQ183" s="21">
        <f>EXP(-LN(2)/25)*BQ182+(1-EXP(-LN(2)/25))/(LN(2)/25)*Calculateur!BL183*Calculateur!BN183*VLOOKUP('Données projet'!$B$11,Paramètres!$A$1:$I$89,3,0)*0.475*44/12</f>
        <v>0.12875799666678628</v>
      </c>
      <c r="BR183" s="21">
        <f>EXP(-LN(2)/2)*BR182+(1-EXP(-LN(2)/2))/(LN(2)/2)*BL183*BO183*VLOOKUP('Données projet'!$B$11,Paramètres!$A$1:$I$89,3,0)*0.475*44/12</f>
        <v>8.9209768554439283E-25</v>
      </c>
      <c r="BS183" s="22">
        <f t="shared" si="169"/>
        <v>0.21970703483729054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-5.6843418860808015E-13</v>
      </c>
      <c r="BZ183" s="13">
        <f>BY183*VLOOKUP('Données projet'!$B$12,Paramètres!$A$1:$I$89,3,0)*VLOOKUP('Données projet'!$B$12,Paramètres!$A$1:$I$89,5,0)</f>
        <v>-3.177547114319168E-13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326.31232746914907</v>
      </c>
      <c r="CE183" s="59">
        <f t="shared" si="148"/>
        <v>330.17137761430297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0.23420292979715085</v>
      </c>
      <c r="CL183" s="21">
        <f>EXP(-LN(2)/25)*CL182+(1-EXP(-LN(2)/25))/(LN(2)/25)*Calculateur!CG183*Calculateur!CI183*VLOOKUP('Données projet'!$B$12,Paramètres!$A$1:$I$89,3,0)*0.475*44/12</f>
        <v>0.47145231669587057</v>
      </c>
      <c r="CM183" s="21">
        <f>EXP(-LN(2)/2)*CM182+(1-EXP(-LN(2)/2))/(LN(2)/2)*CG183*CJ183*VLOOKUP('Données projet'!$B$12,Paramètres!$A$1:$I$89,3,0)*0.475*44/12</f>
        <v>8.6085251135233027E-22</v>
      </c>
      <c r="CN183" s="22">
        <f t="shared" si="172"/>
        <v>0.70565524649302147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210.04871822652808</v>
      </c>
      <c r="CZ183" s="59">
        <f t="shared" si="150"/>
        <v>250.17540614049324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0.37432857278360643</v>
      </c>
      <c r="DG183" s="21">
        <f>EXP(-LN(2)/25)*DG182+(1-EXP(-LN(2)/25))/(LN(2)/25)*Calculateur!DB183*Calculateur!DD183*VLOOKUP('Données projet'!$B$13,Paramètres!$A$1:$I$89,3,0)*0.475*44/12</f>
        <v>0.43485489975245967</v>
      </c>
      <c r="DH183" s="21">
        <f>EXP(-LN(2)/2)*DH182+(1-EXP(-LN(2)/2))/(LN(2)/2)*DB183*DE183*VLOOKUP('Données projet'!$B$13,Paramètres!$A$1:$I$89,3,0)*0.475*44/12</f>
        <v>5.7052668443719632E-22</v>
      </c>
      <c r="DI183" s="22">
        <f t="shared" si="175"/>
        <v>0.80918347253606604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-5.1159076974727213E-13</v>
      </c>
      <c r="DP183" s="17">
        <f>DO183*VLOOKUP('Données projet'!$B$14,Paramètres!$A$1:$I$89,3,0)*VLOOKUP('Données projet'!$B$14,Paramètres!$A$1:$I$89,5,0)</f>
        <v>-3.7509835237869992E-13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234.09142087023463</v>
      </c>
      <c r="DU183" s="59">
        <f t="shared" si="152"/>
        <v>278.990685815294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0.1250856556871148</v>
      </c>
      <c r="EB183" s="21">
        <f>EXP(-LN(2)/25)*EB182+(1-EXP(-LN(2)/25))/(LN(2)/25)*Calculateur!DW183*Calculateur!DY183*VLOOKUP('Données projet'!$B$14,Paramètres!$A$1:$I$89,3,0)*0.475*44/12</f>
        <v>0.23972274502182087</v>
      </c>
      <c r="EC183" s="21">
        <f>EXP(-LN(2)/2)*EC182+(1-EXP(-LN(2)/2))/(LN(2)/2)*DW183*DZ183*VLOOKUP('Données projet'!$B$14,Paramètres!$A$1:$I$89,3,0)*0.475*44/12</f>
        <v>5.8640143352710492E-22</v>
      </c>
      <c r="ED183" s="22">
        <f t="shared" si="178"/>
        <v>0.36480840070893567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259.30247982593914</v>
      </c>
      <c r="T184" s="59">
        <f t="shared" si="142"/>
        <v>275.24740346220779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0.27406092722379621</v>
      </c>
      <c r="AB184" s="21">
        <f>EXP(-LN(2)/2)*AB183+(1-EXP(-LN(2)/2))/(LN(2)/2)*V184*Y184*VLOOKUP('Données projet'!$B$9,Paramètres!$A$1:$I$89,3,0)*0.475*44/12</f>
        <v>5.3681123189987149E-22</v>
      </c>
      <c r="AC184" s="22">
        <f t="shared" si="163"/>
        <v>0.27406092722379621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7.9580786405131221E-13</v>
      </c>
      <c r="AJ184" s="13">
        <f>AI184*VLOOKUP('Données projet'!$B$10,Paramètres!$A$1:$I$89,3,0)*VLOOKUP('Données projet'!$B$10,Paramètres!$A$1:$I$89,5,0)</f>
        <v>3.8278358260868117E-13</v>
      </c>
      <c r="AK184" s="13">
        <f t="shared" si="164"/>
        <v>4.9186917125089072E-12</v>
      </c>
      <c r="AL184" s="20">
        <f t="shared" si="165"/>
        <v>9.2334028056631319E-12</v>
      </c>
      <c r="AM184" s="59">
        <f t="shared" si="113"/>
        <v>293.33333333334252</v>
      </c>
      <c r="AN184" s="59">
        <f ca="1">AVERAGE(OFFSET($AM$3,0,0,'Données projet'!$E$10+1,1))-AVERAGE(OFFSET($H$3,0,0,'Données projet'!$E$10+1,1))</f>
        <v>297.21955661193238</v>
      </c>
      <c r="AO184" s="59">
        <f t="shared" si="144"/>
        <v>273.69206144662144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0.3386943415877699</v>
      </c>
      <c r="AV184" s="21">
        <f>EXP(-LN(2)/25)*AV183+(1-EXP(-LN(2)/25))/(LN(2)/25)*Calculateur!AQ184*Calculateur!AS184*VLOOKUP('Données projet'!$B$10,Paramètres!$A$1:$I$89,3,0)*0.475*44/12</f>
        <v>0.20400124350973026</v>
      </c>
      <c r="AW184" s="21">
        <f>EXP(-LN(2)/2)*AW183+(1-EXP(-LN(2)/2))/(LN(2)/2)*AQ184*AT184*VLOOKUP('Données projet'!$B$10,Paramètres!$A$1:$I$89,3,0)*0.475*44/12</f>
        <v>3.9142374456829308E-22</v>
      </c>
      <c r="AX184" s="21">
        <f t="shared" si="166"/>
        <v>0.54269558509750015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3.6357050703372803E-14</v>
      </c>
      <c r="BF184" s="13">
        <f t="shared" si="167"/>
        <v>6.1445232567661395E-13</v>
      </c>
      <c r="BG184" s="20">
        <f t="shared" si="168"/>
        <v>1.1334929971951436E-12</v>
      </c>
      <c r="BH184" s="59">
        <f t="shared" si="116"/>
        <v>293.33333333333445</v>
      </c>
      <c r="BI184" s="59">
        <f ca="1">AVERAGE(OFFSET($BH$3,0,0,'Données projet'!$E$11+1,1))-AVERAGE(OFFSET($H$3,0,0,'Données projet'!$E$11+1,1))</f>
        <v>176.90404027101607</v>
      </c>
      <c r="BJ184" s="59">
        <f t="shared" si="146"/>
        <v>295.34177980841878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8.9165583005416424E-2</v>
      </c>
      <c r="BQ184" s="21">
        <f>EXP(-LN(2)/25)*BQ183+(1-EXP(-LN(2)/25))/(LN(2)/25)*Calculateur!BL184*Calculateur!BN184*VLOOKUP('Données projet'!$B$11,Paramètres!$A$1:$I$89,3,0)*0.475*44/12</f>
        <v>0.12523710247684425</v>
      </c>
      <c r="BR184" s="21">
        <f>EXP(-LN(2)/2)*BR183+(1-EXP(-LN(2)/2))/(LN(2)/2)*BL184*BO184*VLOOKUP('Données projet'!$B$11,Paramètres!$A$1:$I$89,3,0)*0.475*44/12</f>
        <v>6.3080832292926447E-25</v>
      </c>
      <c r="BS184" s="22">
        <f t="shared" si="169"/>
        <v>0.21440268548226066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-5.6843418860808015E-13</v>
      </c>
      <c r="BZ184" s="13">
        <f>BY184*VLOOKUP('Données projet'!$B$12,Paramètres!$A$1:$I$89,3,0)*VLOOKUP('Données projet'!$B$12,Paramètres!$A$1:$I$89,5,0)</f>
        <v>-3.177547114319168E-13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326.31232746914907</v>
      </c>
      <c r="CE184" s="59">
        <f t="shared" si="148"/>
        <v>330.17137761430297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0.22961035319351067</v>
      </c>
      <c r="CL184" s="21">
        <f>EXP(-LN(2)/25)*CL183+(1-EXP(-LN(2)/25))/(LN(2)/25)*Calculateur!CG184*Calculateur!CI184*VLOOKUP('Données projet'!$B$12,Paramètres!$A$1:$I$89,3,0)*0.475*44/12</f>
        <v>0.45856042830322219</v>
      </c>
      <c r="CM184" s="21">
        <f>EXP(-LN(2)/2)*CM183+(1-EXP(-LN(2)/2))/(LN(2)/2)*CG184*CJ184*VLOOKUP('Données projet'!$B$12,Paramètres!$A$1:$I$89,3,0)*0.475*44/12</f>
        <v>6.0871464837870211E-22</v>
      </c>
      <c r="CN184" s="22">
        <f t="shared" si="172"/>
        <v>0.68817078149673283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210.04871822652808</v>
      </c>
      <c r="CZ184" s="59">
        <f t="shared" si="150"/>
        <v>250.17540614049324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0.36698821778920476</v>
      </c>
      <c r="DG184" s="21">
        <f>EXP(-LN(2)/25)*DG183+(1-EXP(-LN(2)/25))/(LN(2)/25)*Calculateur!DB184*Calculateur!DD184*VLOOKUP('Données projet'!$B$13,Paramètres!$A$1:$I$89,3,0)*0.475*44/12</f>
        <v>0.42296376965070337</v>
      </c>
      <c r="DH184" s="21">
        <f>EXP(-LN(2)/2)*DH183+(1-EXP(-LN(2)/2))/(LN(2)/2)*DB184*DE184*VLOOKUP('Données projet'!$B$13,Paramètres!$A$1:$I$89,3,0)*0.475*44/12</f>
        <v>4.0342328741341904E-22</v>
      </c>
      <c r="DI184" s="22">
        <f t="shared" si="175"/>
        <v>0.78995198743990813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-5.1159076974727213E-13</v>
      </c>
      <c r="DP184" s="17">
        <f>DO184*VLOOKUP('Données projet'!$B$14,Paramètres!$A$1:$I$89,3,0)*VLOOKUP('Données projet'!$B$14,Paramètres!$A$1:$I$89,5,0)</f>
        <v>-3.7509835237869992E-13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234.09142087023463</v>
      </c>
      <c r="DU184" s="59">
        <f t="shared" si="152"/>
        <v>278.990685815294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0.12263280227380698</v>
      </c>
      <c r="EB184" s="21">
        <f>EXP(-LN(2)/25)*EB183+(1-EXP(-LN(2)/25))/(LN(2)/25)*Calculateur!DW184*Calculateur!DY184*VLOOKUP('Données projet'!$B$14,Paramètres!$A$1:$I$89,3,0)*0.475*44/12</f>
        <v>0.23316751395272792</v>
      </c>
      <c r="EC184" s="21">
        <f>EXP(-LN(2)/2)*EC183+(1-EXP(-LN(2)/2))/(LN(2)/2)*DW184*DZ184*VLOOKUP('Données projet'!$B$14,Paramètres!$A$1:$I$89,3,0)*0.475*44/12</f>
        <v>4.1464843014452841E-22</v>
      </c>
      <c r="ED184" s="22">
        <f t="shared" si="178"/>
        <v>0.35580031622653491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259.30247982593914</v>
      </c>
      <c r="T185" s="59">
        <f t="shared" si="142"/>
        <v>275.24740346220779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0.26656671675662374</v>
      </c>
      <c r="AB185" s="21">
        <f>EXP(-LN(2)/2)*AB184+(1-EXP(-LN(2)/2))/(LN(2)/2)*V185*Y185*VLOOKUP('Données projet'!$B$9,Paramètres!$A$1:$I$89,3,0)*0.475*44/12</f>
        <v>3.7958286229350345E-22</v>
      </c>
      <c r="AC185" s="22">
        <f t="shared" si="163"/>
        <v>0.26656671675662374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7.9580786405131221E-13</v>
      </c>
      <c r="AJ185" s="13">
        <f>AI185*VLOOKUP('Données projet'!$B$10,Paramètres!$A$1:$I$89,3,0)*VLOOKUP('Données projet'!$B$10,Paramètres!$A$1:$I$89,5,0)</f>
        <v>3.8278358260868117E-13</v>
      </c>
      <c r="AK185" s="13">
        <f t="shared" si="164"/>
        <v>4.9186917125089072E-12</v>
      </c>
      <c r="AL185" s="20">
        <f t="shared" si="165"/>
        <v>9.2334028056631319E-12</v>
      </c>
      <c r="AM185" s="59">
        <f t="shared" si="113"/>
        <v>293.33333333334252</v>
      </c>
      <c r="AN185" s="59">
        <f ca="1">AVERAGE(OFFSET($AM$3,0,0,'Données projet'!$E$10+1,1))-AVERAGE(OFFSET($H$3,0,0,'Données projet'!$E$10+1,1))</f>
        <v>297.21955661193238</v>
      </c>
      <c r="AO185" s="59">
        <f t="shared" si="144"/>
        <v>273.69206144662144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0.33205275213238372</v>
      </c>
      <c r="AV185" s="21">
        <f>EXP(-LN(2)/25)*AV184+(1-EXP(-LN(2)/25))/(LN(2)/25)*Calculateur!AQ185*Calculateur!AS185*VLOOKUP('Données projet'!$B$10,Paramètres!$A$1:$I$89,3,0)*0.475*44/12</f>
        <v>0.19842281877799753</v>
      </c>
      <c r="AW185" s="21">
        <f>EXP(-LN(2)/2)*AW184+(1-EXP(-LN(2)/2))/(LN(2)/2)*AQ185*AT185*VLOOKUP('Données projet'!$B$10,Paramètres!$A$1:$I$89,3,0)*0.475*44/12</f>
        <v>2.7677838410167108E-22</v>
      </c>
      <c r="AX185" s="21">
        <f t="shared" si="166"/>
        <v>0.53047557091038122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3.6357050703372803E-14</v>
      </c>
      <c r="BF185" s="13">
        <f t="shared" si="167"/>
        <v>6.1445232567661395E-13</v>
      </c>
      <c r="BG185" s="20">
        <f t="shared" si="168"/>
        <v>1.1334929971951436E-12</v>
      </c>
      <c r="BH185" s="59">
        <f t="shared" si="116"/>
        <v>293.33333333333445</v>
      </c>
      <c r="BI185" s="59">
        <f ca="1">AVERAGE(OFFSET($BH$3,0,0,'Données projet'!$E$11+1,1))-AVERAGE(OFFSET($H$3,0,0,'Données projet'!$E$11+1,1))</f>
        <v>176.90404027101607</v>
      </c>
      <c r="BJ185" s="59">
        <f t="shared" si="146"/>
        <v>295.34177980841878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8.7417100308315704E-2</v>
      </c>
      <c r="BQ185" s="21">
        <f>EXP(-LN(2)/25)*BQ184+(1-EXP(-LN(2)/25))/(LN(2)/25)*Calculateur!BL185*Calculateur!BN185*VLOOKUP('Données projet'!$B$11,Paramètres!$A$1:$I$89,3,0)*0.475*44/12</f>
        <v>0.12181248732368195</v>
      </c>
      <c r="BR185" s="21">
        <f>EXP(-LN(2)/2)*BR184+(1-EXP(-LN(2)/2))/(LN(2)/2)*BL185*BO185*VLOOKUP('Données projet'!$B$11,Paramètres!$A$1:$I$89,3,0)*0.475*44/12</f>
        <v>4.4604884277219642E-25</v>
      </c>
      <c r="BS185" s="22">
        <f t="shared" si="169"/>
        <v>0.20922958763199767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-5.6843418860808015E-13</v>
      </c>
      <c r="BZ185" s="13">
        <f>BY185*VLOOKUP('Données projet'!$B$12,Paramètres!$A$1:$I$89,3,0)*VLOOKUP('Données projet'!$B$12,Paramètres!$A$1:$I$89,5,0)</f>
        <v>-3.177547114319168E-13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326.31232746914907</v>
      </c>
      <c r="CE185" s="59">
        <f t="shared" si="148"/>
        <v>330.17137761430297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0.22510783421587274</v>
      </c>
      <c r="CL185" s="21">
        <f>EXP(-LN(2)/25)*CL184+(1-EXP(-LN(2)/25))/(LN(2)/25)*Calculateur!CG185*Calculateur!CI185*VLOOKUP('Données projet'!$B$12,Paramètres!$A$1:$I$89,3,0)*0.475*44/12</f>
        <v>0.44602106927662571</v>
      </c>
      <c r="CM185" s="21">
        <f>EXP(-LN(2)/2)*CM184+(1-EXP(-LN(2)/2))/(LN(2)/2)*CG185*CJ185*VLOOKUP('Données projet'!$B$12,Paramètres!$A$1:$I$89,3,0)*0.475*44/12</f>
        <v>4.3042625567616513E-22</v>
      </c>
      <c r="CN185" s="22">
        <f t="shared" si="172"/>
        <v>0.67112890349249843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210.04871822652808</v>
      </c>
      <c r="CZ185" s="59">
        <f t="shared" si="150"/>
        <v>250.17540614049324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0.35979180267906885</v>
      </c>
      <c r="DG185" s="21">
        <f>EXP(-LN(2)/25)*DG184+(1-EXP(-LN(2)/25))/(LN(2)/25)*Calculateur!DB185*Calculateur!DD185*VLOOKUP('Données projet'!$B$13,Paramètres!$A$1:$I$89,3,0)*0.475*44/12</f>
        <v>0.41139780312690694</v>
      </c>
      <c r="DH185" s="21">
        <f>EXP(-LN(2)/2)*DH184+(1-EXP(-LN(2)/2))/(LN(2)/2)*DB185*DE185*VLOOKUP('Données projet'!$B$13,Paramètres!$A$1:$I$89,3,0)*0.475*44/12</f>
        <v>2.8526334221859816E-22</v>
      </c>
      <c r="DI185" s="22">
        <f t="shared" si="175"/>
        <v>0.77118960580597573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-5.1159076974727213E-13</v>
      </c>
      <c r="DP185" s="17">
        <f>DO185*VLOOKUP('Données projet'!$B$14,Paramètres!$A$1:$I$89,3,0)*VLOOKUP('Données projet'!$B$14,Paramètres!$A$1:$I$89,5,0)</f>
        <v>-3.7509835237869992E-13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234.09142087023463</v>
      </c>
      <c r="DU185" s="59">
        <f t="shared" si="152"/>
        <v>278.990685815294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0.12022804781984125</v>
      </c>
      <c r="EB185" s="21">
        <f>EXP(-LN(2)/25)*EB184+(1-EXP(-LN(2)/25))/(LN(2)/25)*Calculateur!DW185*Calculateur!DY185*VLOOKUP('Données projet'!$B$14,Paramètres!$A$1:$I$89,3,0)*0.475*44/12</f>
        <v>0.22679153602194393</v>
      </c>
      <c r="EC185" s="21">
        <f>EXP(-LN(2)/2)*EC184+(1-EXP(-LN(2)/2))/(LN(2)/2)*DW185*DZ185*VLOOKUP('Données projet'!$B$14,Paramètres!$A$1:$I$89,3,0)*0.475*44/12</f>
        <v>2.9320071676355251E-22</v>
      </c>
      <c r="ED185" s="22">
        <f t="shared" si="178"/>
        <v>0.34701958384178522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259.30247982593914</v>
      </c>
      <c r="T186" s="59">
        <f t="shared" si="142"/>
        <v>275.24740346220779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0.25927743586877949</v>
      </c>
      <c r="AB186" s="21">
        <f>EXP(-LN(2)/2)*AB185+(1-EXP(-LN(2)/2))/(LN(2)/2)*V186*Y186*VLOOKUP('Données projet'!$B$9,Paramètres!$A$1:$I$89,3,0)*0.475*44/12</f>
        <v>2.6840561594993574E-22</v>
      </c>
      <c r="AC186" s="22">
        <f t="shared" si="163"/>
        <v>0.25927743586877949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7.9580786405131221E-13</v>
      </c>
      <c r="AJ186" s="13">
        <f>AI186*VLOOKUP('Données projet'!$B$10,Paramètres!$A$1:$I$89,3,0)*VLOOKUP('Données projet'!$B$10,Paramètres!$A$1:$I$89,5,0)</f>
        <v>3.8278358260868117E-13</v>
      </c>
      <c r="AK186" s="13">
        <f t="shared" si="164"/>
        <v>4.9186917125089072E-12</v>
      </c>
      <c r="AL186" s="20">
        <f t="shared" si="165"/>
        <v>9.2334028056631319E-12</v>
      </c>
      <c r="AM186" s="59">
        <f t="shared" si="113"/>
        <v>293.33333333334252</v>
      </c>
      <c r="AN186" s="59">
        <f ca="1">AVERAGE(OFFSET($AM$3,0,0,'Données projet'!$E$10+1,1))-AVERAGE(OFFSET($H$3,0,0,'Données projet'!$E$10+1,1))</f>
        <v>297.21955661193238</v>
      </c>
      <c r="AO186" s="59">
        <f t="shared" si="144"/>
        <v>273.69206144662144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0.32554140019524808</v>
      </c>
      <c r="AV186" s="21">
        <f>EXP(-LN(2)/25)*AV185+(1-EXP(-LN(2)/25))/(LN(2)/25)*Calculateur!AQ186*Calculateur!AS186*VLOOKUP('Données projet'!$B$10,Paramètres!$A$1:$I$89,3,0)*0.475*44/12</f>
        <v>0.19299693636391066</v>
      </c>
      <c r="AW186" s="21">
        <f>EXP(-LN(2)/2)*AW185+(1-EXP(-LN(2)/2))/(LN(2)/2)*AQ186*AT186*VLOOKUP('Données projet'!$B$10,Paramètres!$A$1:$I$89,3,0)*0.475*44/12</f>
        <v>1.9571187228414654E-22</v>
      </c>
      <c r="AX186" s="21">
        <f t="shared" si="166"/>
        <v>0.51853833655915871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3.6357050703372803E-14</v>
      </c>
      <c r="BF186" s="13">
        <f t="shared" si="167"/>
        <v>6.1445232567661395E-13</v>
      </c>
      <c r="BG186" s="20">
        <f t="shared" si="168"/>
        <v>1.1334929971951436E-12</v>
      </c>
      <c r="BH186" s="59">
        <f t="shared" si="116"/>
        <v>293.33333333333445</v>
      </c>
      <c r="BI186" s="59">
        <f ca="1">AVERAGE(OFFSET($BH$3,0,0,'Données projet'!$E$11+1,1))-AVERAGE(OFFSET($H$3,0,0,'Données projet'!$E$11+1,1))</f>
        <v>176.90404027101607</v>
      </c>
      <c r="BJ186" s="59">
        <f t="shared" si="146"/>
        <v>295.34177980841878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8.5702904290435991E-2</v>
      </c>
      <c r="BQ186" s="21">
        <f>EXP(-LN(2)/25)*BQ185+(1-EXP(-LN(2)/25))/(LN(2)/25)*Calculateur!BL186*Calculateur!BN186*VLOOKUP('Données projet'!$B$11,Paramètres!$A$1:$I$89,3,0)*0.475*44/12</f>
        <v>0.11848151845197556</v>
      </c>
      <c r="BR186" s="21">
        <f>EXP(-LN(2)/2)*BR185+(1-EXP(-LN(2)/2))/(LN(2)/2)*BL186*BO186*VLOOKUP('Données projet'!$B$11,Paramètres!$A$1:$I$89,3,0)*0.475*44/12</f>
        <v>3.1540416146463224E-25</v>
      </c>
      <c r="BS186" s="22">
        <f t="shared" si="169"/>
        <v>0.20418442274241155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-5.6843418860808015E-13</v>
      </c>
      <c r="BZ186" s="13">
        <f>BY186*VLOOKUP('Données projet'!$B$12,Paramètres!$A$1:$I$89,3,0)*VLOOKUP('Données projet'!$B$12,Paramètres!$A$1:$I$89,5,0)</f>
        <v>-3.177547114319168E-13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326.31232746914907</v>
      </c>
      <c r="CE186" s="59">
        <f t="shared" si="148"/>
        <v>330.17137761430297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0.22069360688912087</v>
      </c>
      <c r="CL186" s="21">
        <f>EXP(-LN(2)/25)*CL185+(1-EXP(-LN(2)/25))/(LN(2)/25)*Calculateur!CG186*Calculateur!CI186*VLOOKUP('Données projet'!$B$12,Paramètres!$A$1:$I$89,3,0)*0.475*44/12</f>
        <v>0.43382459968202775</v>
      </c>
      <c r="CM186" s="21">
        <f>EXP(-LN(2)/2)*CM185+(1-EXP(-LN(2)/2))/(LN(2)/2)*CG186*CJ186*VLOOKUP('Données projet'!$B$12,Paramètres!$A$1:$I$89,3,0)*0.475*44/12</f>
        <v>3.0435732418935106E-22</v>
      </c>
      <c r="CN186" s="22">
        <f t="shared" si="172"/>
        <v>0.65451820657114856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210.04871822652808</v>
      </c>
      <c r="CZ186" s="59">
        <f t="shared" si="150"/>
        <v>250.17540614049324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0.35273650487986291</v>
      </c>
      <c r="DG186" s="21">
        <f>EXP(-LN(2)/25)*DG185+(1-EXP(-LN(2)/25))/(LN(2)/25)*Calculateur!DB186*Calculateur!DD186*VLOOKUP('Données projet'!$B$13,Paramètres!$A$1:$I$89,3,0)*0.475*44/12</f>
        <v>0.40014810856593147</v>
      </c>
      <c r="DH186" s="21">
        <f>EXP(-LN(2)/2)*DH185+(1-EXP(-LN(2)/2))/(LN(2)/2)*DB186*DE186*VLOOKUP('Données projet'!$B$13,Paramètres!$A$1:$I$89,3,0)*0.475*44/12</f>
        <v>2.0171164370670952E-22</v>
      </c>
      <c r="DI186" s="22">
        <f t="shared" si="175"/>
        <v>0.75288461344579438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-5.1159076974727213E-13</v>
      </c>
      <c r="DP186" s="17">
        <f>DO186*VLOOKUP('Données projet'!$B$14,Paramètres!$A$1:$I$89,3,0)*VLOOKUP('Données projet'!$B$14,Paramètres!$A$1:$I$89,5,0)</f>
        <v>-3.7509835237869992E-13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234.09142087023463</v>
      </c>
      <c r="DU186" s="59">
        <f t="shared" si="152"/>
        <v>278.990685815294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0.11787044913396241</v>
      </c>
      <c r="EB186" s="21">
        <f>EXP(-LN(2)/25)*EB185+(1-EXP(-LN(2)/25))/(LN(2)/25)*Calculateur!DW186*Calculateur!DY186*VLOOKUP('Données projet'!$B$14,Paramètres!$A$1:$I$89,3,0)*0.475*44/12</f>
        <v>0.22058990954297533</v>
      </c>
      <c r="EC186" s="21">
        <f>EXP(-LN(2)/2)*EC185+(1-EXP(-LN(2)/2))/(LN(2)/2)*DW186*DZ186*VLOOKUP('Données projet'!$B$14,Paramètres!$A$1:$I$89,3,0)*0.475*44/12</f>
        <v>2.0732421507226423E-22</v>
      </c>
      <c r="ED186" s="22">
        <f t="shared" si="178"/>
        <v>0.33846035867693774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259.30247982593914</v>
      </c>
      <c r="T187" s="59">
        <f t="shared" si="142"/>
        <v>275.24740346220779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0.25218748075013997</v>
      </c>
      <c r="AB187" s="21">
        <f>EXP(-LN(2)/2)*AB186+(1-EXP(-LN(2)/2))/(LN(2)/2)*V187*Y187*VLOOKUP('Données projet'!$B$9,Paramètres!$A$1:$I$89,3,0)*0.475*44/12</f>
        <v>1.8979143114675173E-22</v>
      </c>
      <c r="AC187" s="22">
        <f t="shared" si="163"/>
        <v>0.25218748075013997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7.9580786405131221E-13</v>
      </c>
      <c r="AJ187" s="13">
        <f>AI187*VLOOKUP('Données projet'!$B$10,Paramètres!$A$1:$I$89,3,0)*VLOOKUP('Données projet'!$B$10,Paramètres!$A$1:$I$89,5,0)</f>
        <v>3.8278358260868117E-13</v>
      </c>
      <c r="AK187" s="13">
        <f t="shared" si="164"/>
        <v>4.9186917125089072E-12</v>
      </c>
      <c r="AL187" s="20">
        <f t="shared" si="165"/>
        <v>9.2334028056631319E-12</v>
      </c>
      <c r="AM187" s="59">
        <f t="shared" si="113"/>
        <v>293.33333333334252</v>
      </c>
      <c r="AN187" s="59">
        <f ca="1">AVERAGE(OFFSET($AM$3,0,0,'Données projet'!$E$10+1,1))-AVERAGE(OFFSET($H$3,0,0,'Données projet'!$E$10+1,1))</f>
        <v>297.21955661193238</v>
      </c>
      <c r="AO187" s="59">
        <f t="shared" si="144"/>
        <v>273.69206144662144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0.31915773189806712</v>
      </c>
      <c r="AV187" s="21">
        <f>EXP(-LN(2)/25)*AV186+(1-EXP(-LN(2)/25))/(LN(2)/25)*Calculateur!AQ187*Calculateur!AS187*VLOOKUP('Données projet'!$B$10,Paramètres!$A$1:$I$89,3,0)*0.475*44/12</f>
        <v>0.18771942498977173</v>
      </c>
      <c r="AW187" s="21">
        <f>EXP(-LN(2)/2)*AW186+(1-EXP(-LN(2)/2))/(LN(2)/2)*AQ187*AT187*VLOOKUP('Données projet'!$B$10,Paramètres!$A$1:$I$89,3,0)*0.475*44/12</f>
        <v>1.3838919205083554E-22</v>
      </c>
      <c r="AX187" s="21">
        <f t="shared" si="166"/>
        <v>0.50687715688783885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3.6357050703372803E-14</v>
      </c>
      <c r="BF187" s="13">
        <f t="shared" si="167"/>
        <v>6.1445232567661395E-13</v>
      </c>
      <c r="BG187" s="20">
        <f t="shared" si="168"/>
        <v>1.1334929971951436E-12</v>
      </c>
      <c r="BH187" s="59">
        <f t="shared" si="116"/>
        <v>293.33333333333445</v>
      </c>
      <c r="BI187" s="59">
        <f ca="1">AVERAGE(OFFSET($BH$3,0,0,'Données projet'!$E$11+1,1))-AVERAGE(OFFSET($H$3,0,0,'Données projet'!$E$11+1,1))</f>
        <v>176.90404027101607</v>
      </c>
      <c r="BJ187" s="59">
        <f t="shared" si="146"/>
        <v>295.34177980841878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8.4022322610910569E-2</v>
      </c>
      <c r="BQ187" s="21">
        <f>EXP(-LN(2)/25)*BQ186+(1-EXP(-LN(2)/25))/(LN(2)/25)*Calculateur!BL187*Calculateur!BN187*VLOOKUP('Données projet'!$B$11,Paramètres!$A$1:$I$89,3,0)*0.475*44/12</f>
        <v>0.11524163509923403</v>
      </c>
      <c r="BR187" s="21">
        <f>EXP(-LN(2)/2)*BR186+(1-EXP(-LN(2)/2))/(LN(2)/2)*BL187*BO187*VLOOKUP('Données projet'!$B$11,Paramètres!$A$1:$I$89,3,0)*0.475*44/12</f>
        <v>2.2302442138609821E-25</v>
      </c>
      <c r="BS187" s="22">
        <f t="shared" si="169"/>
        <v>0.1992639577101446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-5.6843418860808015E-13</v>
      </c>
      <c r="BZ187" s="13">
        <f>BY187*VLOOKUP('Données projet'!$B$12,Paramètres!$A$1:$I$89,3,0)*VLOOKUP('Données projet'!$B$12,Paramètres!$A$1:$I$89,5,0)</f>
        <v>-3.177547114319168E-13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326.31232746914907</v>
      </c>
      <c r="CE187" s="59">
        <f t="shared" si="148"/>
        <v>330.17137761430297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0.21636593986783381</v>
      </c>
      <c r="CL187" s="21">
        <f>EXP(-LN(2)/25)*CL186+(1-EXP(-LN(2)/25))/(LN(2)/25)*Calculateur!CG187*Calculateur!CI187*VLOOKUP('Données projet'!$B$12,Paramètres!$A$1:$I$89,3,0)*0.475*44/12</f>
        <v>0.4219616431898785</v>
      </c>
      <c r="CM187" s="21">
        <f>EXP(-LN(2)/2)*CM186+(1-EXP(-LN(2)/2))/(LN(2)/2)*CG187*CJ187*VLOOKUP('Données projet'!$B$12,Paramètres!$A$1:$I$89,3,0)*0.475*44/12</f>
        <v>2.1521312783808257E-22</v>
      </c>
      <c r="CN187" s="22">
        <f t="shared" si="172"/>
        <v>0.63832758305771231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210.04871822652808</v>
      </c>
      <c r="CZ187" s="59">
        <f t="shared" si="150"/>
        <v>250.17540614049324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0.34581955716719265</v>
      </c>
      <c r="DG187" s="21">
        <f>EXP(-LN(2)/25)*DG186+(1-EXP(-LN(2)/25))/(LN(2)/25)*Calculateur!DB187*Calculateur!DD187*VLOOKUP('Données projet'!$B$13,Paramètres!$A$1:$I$89,3,0)*0.475*44/12</f>
        <v>0.38920603749432159</v>
      </c>
      <c r="DH187" s="21">
        <f>EXP(-LN(2)/2)*DH186+(1-EXP(-LN(2)/2))/(LN(2)/2)*DB187*DE187*VLOOKUP('Données projet'!$B$13,Paramètres!$A$1:$I$89,3,0)*0.475*44/12</f>
        <v>1.4263167110929908E-22</v>
      </c>
      <c r="DI187" s="22">
        <f t="shared" si="175"/>
        <v>0.73502559466151429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-5.1159076974727213E-13</v>
      </c>
      <c r="DP187" s="17">
        <f>DO187*VLOOKUP('Données projet'!$B$14,Paramètres!$A$1:$I$89,3,0)*VLOOKUP('Données projet'!$B$14,Paramètres!$A$1:$I$89,5,0)</f>
        <v>-3.7509835237869992E-13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234.09142087023463</v>
      </c>
      <c r="DU187" s="59">
        <f t="shared" si="152"/>
        <v>278.990685815294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0.11555908152032045</v>
      </c>
      <c r="EB187" s="21">
        <f>EXP(-LN(2)/25)*EB186+(1-EXP(-LN(2)/25))/(LN(2)/25)*Calculateur!DW187*Calculateur!DY187*VLOOKUP('Données projet'!$B$14,Paramètres!$A$1:$I$89,3,0)*0.475*44/12</f>
        <v>0.21455786686620348</v>
      </c>
      <c r="EC187" s="21">
        <f>EXP(-LN(2)/2)*EC186+(1-EXP(-LN(2)/2))/(LN(2)/2)*DW187*DZ187*VLOOKUP('Données projet'!$B$14,Paramètres!$A$1:$I$89,3,0)*0.475*44/12</f>
        <v>1.4660035838177628E-22</v>
      </c>
      <c r="ED187" s="22">
        <f t="shared" si="178"/>
        <v>0.33011694838652395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259.30247982593914</v>
      </c>
      <c r="T188" s="59">
        <f t="shared" si="142"/>
        <v>275.24740346220779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0.24529140082706416</v>
      </c>
      <c r="AB188" s="21">
        <f>EXP(-LN(2)/2)*AB187+(1-EXP(-LN(2)/2))/(LN(2)/2)*V188*Y188*VLOOKUP('Données projet'!$B$9,Paramètres!$A$1:$I$89,3,0)*0.475*44/12</f>
        <v>1.3420280797496787E-22</v>
      </c>
      <c r="AC188" s="22">
        <f t="shared" si="163"/>
        <v>0.24529140082706416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7.9580786405131221E-13</v>
      </c>
      <c r="AJ188" s="13">
        <f>AI188*VLOOKUP('Données projet'!$B$10,Paramètres!$A$1:$I$89,3,0)*VLOOKUP('Données projet'!$B$10,Paramètres!$A$1:$I$89,5,0)</f>
        <v>3.8278358260868117E-13</v>
      </c>
      <c r="AK188" s="13">
        <f t="shared" si="164"/>
        <v>4.9186917125089072E-12</v>
      </c>
      <c r="AL188" s="20">
        <f t="shared" si="165"/>
        <v>9.2334028056631319E-12</v>
      </c>
      <c r="AM188" s="59">
        <f t="shared" si="113"/>
        <v>293.33333333334252</v>
      </c>
      <c r="AN188" s="59">
        <f ca="1">AVERAGE(OFFSET($AM$3,0,0,'Données projet'!$E$10+1,1))-AVERAGE(OFFSET($H$3,0,0,'Données projet'!$E$10+1,1))</f>
        <v>297.21955661193238</v>
      </c>
      <c r="AO188" s="59">
        <f t="shared" si="144"/>
        <v>273.69206144662144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0.31289924344254072</v>
      </c>
      <c r="AV188" s="21">
        <f>EXP(-LN(2)/25)*AV187+(1-EXP(-LN(2)/25))/(LN(2)/25)*Calculateur!AQ188*Calculateur!AS188*VLOOKUP('Données projet'!$B$10,Paramètres!$A$1:$I$89,3,0)*0.475*44/12</f>
        <v>0.1825862274416909</v>
      </c>
      <c r="AW188" s="21">
        <f>EXP(-LN(2)/2)*AW187+(1-EXP(-LN(2)/2))/(LN(2)/2)*AQ188*AT188*VLOOKUP('Données projet'!$B$10,Paramètres!$A$1:$I$89,3,0)*0.475*44/12</f>
        <v>9.785593614207327E-23</v>
      </c>
      <c r="AX188" s="21">
        <f t="shared" si="166"/>
        <v>0.49548547088423162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3.6357050703372803E-14</v>
      </c>
      <c r="BF188" s="13">
        <f t="shared" si="167"/>
        <v>6.1445232567661395E-13</v>
      </c>
      <c r="BG188" s="20">
        <f t="shared" si="168"/>
        <v>1.1334929971951436E-12</v>
      </c>
      <c r="BH188" s="59">
        <f t="shared" si="116"/>
        <v>293.33333333333445</v>
      </c>
      <c r="BI188" s="59">
        <f ca="1">AVERAGE(OFFSET($BH$3,0,0,'Données projet'!$E$11+1,1))-AVERAGE(OFFSET($H$3,0,0,'Données projet'!$E$11+1,1))</f>
        <v>176.90404027101607</v>
      </c>
      <c r="BJ188" s="59">
        <f t="shared" si="146"/>
        <v>295.34177980841878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8.2374696113067025E-2</v>
      </c>
      <c r="BQ188" s="21">
        <f>EXP(-LN(2)/25)*BQ187+(1-EXP(-LN(2)/25))/(LN(2)/25)*Calculateur!BL188*Calculateur!BN188*VLOOKUP('Données projet'!$B$11,Paramètres!$A$1:$I$89,3,0)*0.475*44/12</f>
        <v>0.11209034652715127</v>
      </c>
      <c r="BR188" s="21">
        <f>EXP(-LN(2)/2)*BR187+(1-EXP(-LN(2)/2))/(LN(2)/2)*BL188*BO188*VLOOKUP('Données projet'!$B$11,Paramètres!$A$1:$I$89,3,0)*0.475*44/12</f>
        <v>1.5770208073231612E-25</v>
      </c>
      <c r="BS188" s="22">
        <f t="shared" si="169"/>
        <v>0.1944650426402183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-5.6843418860808015E-13</v>
      </c>
      <c r="BZ188" s="13">
        <f>BY188*VLOOKUP('Données projet'!$B$12,Paramètres!$A$1:$I$89,3,0)*VLOOKUP('Données projet'!$B$12,Paramètres!$A$1:$I$89,5,0)</f>
        <v>-3.177547114319168E-13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326.31232746914907</v>
      </c>
      <c r="CE188" s="59">
        <f t="shared" si="148"/>
        <v>330.17137761430297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0.21212313575721795</v>
      </c>
      <c r="CL188" s="21">
        <f>EXP(-LN(2)/25)*CL187+(1-EXP(-LN(2)/25))/(LN(2)/25)*Calculateur!CG188*Calculateur!CI188*VLOOKUP('Données projet'!$B$12,Paramètres!$A$1:$I$89,3,0)*0.475*44/12</f>
        <v>0.41042307986685284</v>
      </c>
      <c r="CM188" s="21">
        <f>EXP(-LN(2)/2)*CM187+(1-EXP(-LN(2)/2))/(LN(2)/2)*CG188*CJ188*VLOOKUP('Données projet'!$B$12,Paramètres!$A$1:$I$89,3,0)*0.475*44/12</f>
        <v>1.5217866209467553E-22</v>
      </c>
      <c r="CN188" s="22">
        <f t="shared" si="172"/>
        <v>0.62254621562407075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210.04871822652808</v>
      </c>
      <c r="CZ188" s="59">
        <f t="shared" si="150"/>
        <v>250.17540614049324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0.33903824658024634</v>
      </c>
      <c r="DG188" s="21">
        <f>EXP(-LN(2)/25)*DG187+(1-EXP(-LN(2)/25))/(LN(2)/25)*Calculateur!DB188*Calculateur!DD188*VLOOKUP('Données projet'!$B$13,Paramètres!$A$1:$I$89,3,0)*0.475*44/12</f>
        <v>0.37856317793158339</v>
      </c>
      <c r="DH188" s="21">
        <f>EXP(-LN(2)/2)*DH187+(1-EXP(-LN(2)/2))/(LN(2)/2)*DB188*DE188*VLOOKUP('Données projet'!$B$13,Paramètres!$A$1:$I$89,3,0)*0.475*44/12</f>
        <v>1.0085582185335476E-22</v>
      </c>
      <c r="DI188" s="22">
        <f t="shared" si="175"/>
        <v>0.71760142451182973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-5.1159076974727213E-13</v>
      </c>
      <c r="DP188" s="17">
        <f>DO188*VLOOKUP('Données projet'!$B$14,Paramètres!$A$1:$I$89,3,0)*VLOOKUP('Données projet'!$B$14,Paramètres!$A$1:$I$89,5,0)</f>
        <v>-3.7509835237869992E-13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234.09142087023463</v>
      </c>
      <c r="DU188" s="59">
        <f t="shared" si="152"/>
        <v>278.990685815294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0.11329303841578696</v>
      </c>
      <c r="EB188" s="21">
        <f>EXP(-LN(2)/25)*EB187+(1-EXP(-LN(2)/25))/(LN(2)/25)*Calculateur!DW188*Calculateur!DY188*VLOOKUP('Données projet'!$B$14,Paramètres!$A$1:$I$89,3,0)*0.475*44/12</f>
        <v>0.20869077071363931</v>
      </c>
      <c r="EC188" s="21">
        <f>EXP(-LN(2)/2)*EC187+(1-EXP(-LN(2)/2))/(LN(2)/2)*DW188*DZ188*VLOOKUP('Données projet'!$B$14,Paramètres!$A$1:$I$89,3,0)*0.475*44/12</f>
        <v>1.0366210753613214E-22</v>
      </c>
      <c r="ED188" s="22">
        <f t="shared" si="178"/>
        <v>0.32198380912942626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259.30247982593914</v>
      </c>
      <c r="T189" s="59">
        <f t="shared" si="142"/>
        <v>275.24740346220779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0.23858389457213394</v>
      </c>
      <c r="AB189" s="21">
        <f>EXP(-LN(2)/2)*AB188+(1-EXP(-LN(2)/2))/(LN(2)/2)*V189*Y189*VLOOKUP('Données projet'!$B$9,Paramètres!$A$1:$I$89,3,0)*0.475*44/12</f>
        <v>9.4895715573375864E-23</v>
      </c>
      <c r="AC189" s="22">
        <f t="shared" si="163"/>
        <v>0.23858389457213394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7.9580786405131221E-13</v>
      </c>
      <c r="AJ189" s="13">
        <f>AI189*VLOOKUP('Données projet'!$B$10,Paramètres!$A$1:$I$89,3,0)*VLOOKUP('Données projet'!$B$10,Paramètres!$A$1:$I$89,5,0)</f>
        <v>3.8278358260868117E-13</v>
      </c>
      <c r="AK189" s="13">
        <f t="shared" si="164"/>
        <v>4.9186917125089072E-12</v>
      </c>
      <c r="AL189" s="20">
        <f t="shared" si="165"/>
        <v>9.2334028056631319E-12</v>
      </c>
      <c r="AM189" s="59">
        <f t="shared" si="113"/>
        <v>293.33333333334252</v>
      </c>
      <c r="AN189" s="59">
        <f ca="1">AVERAGE(OFFSET($AM$3,0,0,'Données projet'!$E$10+1,1))-AVERAGE(OFFSET($H$3,0,0,'Données projet'!$E$10+1,1))</f>
        <v>297.21955661193238</v>
      </c>
      <c r="AO189" s="59">
        <f t="shared" si="144"/>
        <v>273.69206144662144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0.30676348012832616</v>
      </c>
      <c r="AV189" s="21">
        <f>EXP(-LN(2)/25)*AV188+(1-EXP(-LN(2)/25))/(LN(2)/25)*Calculateur!AQ189*Calculateur!AS189*VLOOKUP('Données projet'!$B$10,Paramètres!$A$1:$I$89,3,0)*0.475*44/12</f>
        <v>0.17759339745050545</v>
      </c>
      <c r="AW189" s="21">
        <f>EXP(-LN(2)/2)*AW188+(1-EXP(-LN(2)/2))/(LN(2)/2)*AQ189*AT189*VLOOKUP('Données projet'!$B$10,Paramètres!$A$1:$I$89,3,0)*0.475*44/12</f>
        <v>6.919459602541777E-23</v>
      </c>
      <c r="AX189" s="21">
        <f t="shared" si="166"/>
        <v>0.48435687757883161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3.6357050703372803E-14</v>
      </c>
      <c r="BF189" s="13">
        <f t="shared" si="167"/>
        <v>6.1445232567661395E-13</v>
      </c>
      <c r="BG189" s="20">
        <f t="shared" si="168"/>
        <v>1.1334929971951436E-12</v>
      </c>
      <c r="BH189" s="59">
        <f t="shared" si="116"/>
        <v>293.33333333333445</v>
      </c>
      <c r="BI189" s="59">
        <f ca="1">AVERAGE(OFFSET($BH$3,0,0,'Données projet'!$E$11+1,1))-AVERAGE(OFFSET($H$3,0,0,'Données projet'!$E$11+1,1))</f>
        <v>176.90404027101607</v>
      </c>
      <c r="BJ189" s="59">
        <f t="shared" si="146"/>
        <v>295.34177980841878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8.0759378565893269E-2</v>
      </c>
      <c r="BQ189" s="21">
        <f>EXP(-LN(2)/25)*BQ188+(1-EXP(-LN(2)/25))/(LN(2)/25)*Calculateur!BL189*Calculateur!BN189*VLOOKUP('Données projet'!$B$11,Paramètres!$A$1:$I$89,3,0)*0.475*44/12</f>
        <v>0.10902523010679119</v>
      </c>
      <c r="BR189" s="21">
        <f>EXP(-LN(2)/2)*BR188+(1-EXP(-LN(2)/2))/(LN(2)/2)*BL189*BO189*VLOOKUP('Données projet'!$B$11,Paramètres!$A$1:$I$89,3,0)*0.475*44/12</f>
        <v>1.115122106930491E-25</v>
      </c>
      <c r="BS189" s="22">
        <f t="shared" si="169"/>
        <v>0.18978460867268446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-5.6843418860808015E-13</v>
      </c>
      <c r="BZ189" s="13">
        <f>BY189*VLOOKUP('Données projet'!$B$12,Paramètres!$A$1:$I$89,3,0)*VLOOKUP('Données projet'!$B$12,Paramètres!$A$1:$I$89,5,0)</f>
        <v>-3.177547114319168E-13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326.31232746914907</v>
      </c>
      <c r="CE189" s="59">
        <f t="shared" si="148"/>
        <v>330.17137761430297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0.20796353044735627</v>
      </c>
      <c r="CL189" s="21">
        <f>EXP(-LN(2)/25)*CL188+(1-EXP(-LN(2)/25))/(LN(2)/25)*Calculateur!CG189*Calculateur!CI189*VLOOKUP('Données projet'!$B$12,Paramètres!$A$1:$I$89,3,0)*0.475*44/12</f>
        <v>0.399200039164682</v>
      </c>
      <c r="CM189" s="21">
        <f>EXP(-LN(2)/2)*CM188+(1-EXP(-LN(2)/2))/(LN(2)/2)*CG189*CJ189*VLOOKUP('Données projet'!$B$12,Paramètres!$A$1:$I$89,3,0)*0.475*44/12</f>
        <v>1.0760656391904128E-22</v>
      </c>
      <c r="CN189" s="22">
        <f t="shared" si="172"/>
        <v>0.60716356961203832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210.04871822652808</v>
      </c>
      <c r="CZ189" s="59">
        <f t="shared" si="150"/>
        <v>250.17540614049324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0.332389913357719</v>
      </c>
      <c r="DG189" s="21">
        <f>EXP(-LN(2)/25)*DG188+(1-EXP(-LN(2)/25))/(LN(2)/25)*Calculateur!DB189*Calculateur!DD189*VLOOKUP('Données projet'!$B$13,Paramètres!$A$1:$I$89,3,0)*0.475*44/12</f>
        <v>0.36821134792327193</v>
      </c>
      <c r="DH189" s="21">
        <f>EXP(-LN(2)/2)*DH188+(1-EXP(-LN(2)/2))/(LN(2)/2)*DB189*DE189*VLOOKUP('Données projet'!$B$13,Paramètres!$A$1:$I$89,3,0)*0.475*44/12</f>
        <v>7.1315835554649541E-23</v>
      </c>
      <c r="DI189" s="22">
        <f t="shared" si="175"/>
        <v>0.70060126128099087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-5.1159076974727213E-13</v>
      </c>
      <c r="DP189" s="17">
        <f>DO189*VLOOKUP('Données projet'!$B$14,Paramètres!$A$1:$I$89,3,0)*VLOOKUP('Données projet'!$B$14,Paramètres!$A$1:$I$89,5,0)</f>
        <v>-3.7509835237869992E-13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234.09142087023463</v>
      </c>
      <c r="DU189" s="59">
        <f t="shared" si="152"/>
        <v>278.990685815294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0.11107143103438356</v>
      </c>
      <c r="EB189" s="21">
        <f>EXP(-LN(2)/25)*EB188+(1-EXP(-LN(2)/25))/(LN(2)/25)*Calculateur!DW189*Calculateur!DY189*VLOOKUP('Données projet'!$B$14,Paramètres!$A$1:$I$89,3,0)*0.475*44/12</f>
        <v>0.20298411061390417</v>
      </c>
      <c r="EC189" s="21">
        <f>EXP(-LN(2)/2)*EC188+(1-EXP(-LN(2)/2))/(LN(2)/2)*DW189*DZ189*VLOOKUP('Données projet'!$B$14,Paramètres!$A$1:$I$89,3,0)*0.475*44/12</f>
        <v>7.3300179190888151E-23</v>
      </c>
      <c r="ED189" s="22">
        <f t="shared" si="178"/>
        <v>0.31405554164828775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259.30247982593914</v>
      </c>
      <c r="T190" s="59">
        <f t="shared" si="142"/>
        <v>275.24740346220779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0.23205980542847721</v>
      </c>
      <c r="AB190" s="21">
        <f>EXP(-LN(2)/2)*AB189+(1-EXP(-LN(2)/2))/(LN(2)/2)*V190*Y190*VLOOKUP('Données projet'!$B$9,Paramètres!$A$1:$I$89,3,0)*0.475*44/12</f>
        <v>6.7101403987483936E-23</v>
      </c>
      <c r="AC190" s="22">
        <f t="shared" si="163"/>
        <v>0.23205980542847721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7.9580786405131221E-13</v>
      </c>
      <c r="AJ190" s="13">
        <f>AI190*VLOOKUP('Données projet'!$B$10,Paramètres!$A$1:$I$89,3,0)*VLOOKUP('Données projet'!$B$10,Paramètres!$A$1:$I$89,5,0)</f>
        <v>3.8278358260868117E-13</v>
      </c>
      <c r="AK190" s="13">
        <f t="shared" si="164"/>
        <v>4.9186917125089072E-12</v>
      </c>
      <c r="AL190" s="20">
        <f t="shared" si="165"/>
        <v>9.2334028056631319E-12</v>
      </c>
      <c r="AM190" s="59">
        <f t="shared" si="113"/>
        <v>293.33333333334252</v>
      </c>
      <c r="AN190" s="59">
        <f ca="1">AVERAGE(OFFSET($AM$3,0,0,'Données projet'!$E$10+1,1))-AVERAGE(OFFSET($H$3,0,0,'Données projet'!$E$10+1,1))</f>
        <v>297.21955661193238</v>
      </c>
      <c r="AO190" s="59">
        <f t="shared" si="144"/>
        <v>273.69206144662144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0.30074803539025724</v>
      </c>
      <c r="AV190" s="21">
        <f>EXP(-LN(2)/25)*AV189+(1-EXP(-LN(2)/25))/(LN(2)/25)*Calculateur!AQ190*Calculateur!AS190*VLOOKUP('Données projet'!$B$10,Paramètres!$A$1:$I$89,3,0)*0.475*44/12</f>
        <v>0.1727370966579905</v>
      </c>
      <c r="AW190" s="21">
        <f>EXP(-LN(2)/2)*AW189+(1-EXP(-LN(2)/2))/(LN(2)/2)*AQ190*AT190*VLOOKUP('Données projet'!$B$10,Paramètres!$A$1:$I$89,3,0)*0.475*44/12</f>
        <v>4.8927968071036635E-23</v>
      </c>
      <c r="AX190" s="21">
        <f t="shared" si="166"/>
        <v>0.47348513204824771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3.6357050703372803E-14</v>
      </c>
      <c r="BF190" s="13">
        <f t="shared" si="167"/>
        <v>6.1445232567661395E-13</v>
      </c>
      <c r="BG190" s="20">
        <f t="shared" si="168"/>
        <v>1.1334929971951436E-12</v>
      </c>
      <c r="BH190" s="59">
        <f t="shared" si="116"/>
        <v>293.33333333333445</v>
      </c>
      <c r="BI190" s="59">
        <f ca="1">AVERAGE(OFFSET($BH$3,0,0,'Données projet'!$E$11+1,1))-AVERAGE(OFFSET($H$3,0,0,'Données projet'!$E$11+1,1))</f>
        <v>176.90404027101607</v>
      </c>
      <c r="BJ190" s="59">
        <f t="shared" si="146"/>
        <v>295.34177980841878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7.9175736410573169E-2</v>
      </c>
      <c r="BQ190" s="21">
        <f>EXP(-LN(2)/25)*BQ189+(1-EXP(-LN(2)/25))/(LN(2)/25)*Calculateur!BL190*Calculateur!BN190*VLOOKUP('Données projet'!$B$11,Paramètres!$A$1:$I$89,3,0)*0.475*44/12</f>
        <v>0.10604392945613331</v>
      </c>
      <c r="BR190" s="21">
        <f>EXP(-LN(2)/2)*BR189+(1-EXP(-LN(2)/2))/(LN(2)/2)*BL190*BO190*VLOOKUP('Données projet'!$B$11,Paramètres!$A$1:$I$89,3,0)*0.475*44/12</f>
        <v>7.8851040366158059E-26</v>
      </c>
      <c r="BS190" s="22">
        <f t="shared" si="169"/>
        <v>0.18521966586670646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-5.6843418860808015E-13</v>
      </c>
      <c r="BZ190" s="13">
        <f>BY190*VLOOKUP('Données projet'!$B$12,Paramètres!$A$1:$I$89,3,0)*VLOOKUP('Données projet'!$B$12,Paramètres!$A$1:$I$89,5,0)</f>
        <v>-3.177547114319168E-13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326.31232746914907</v>
      </c>
      <c r="CE190" s="59">
        <f t="shared" si="148"/>
        <v>330.17137761430297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0.20388549246051227</v>
      </c>
      <c r="CL190" s="21">
        <f>EXP(-LN(2)/25)*CL189+(1-EXP(-LN(2)/25))/(LN(2)/25)*Calculateur!CG190*Calculateur!CI190*VLOOKUP('Données projet'!$B$12,Paramètres!$A$1:$I$89,3,0)*0.475*44/12</f>
        <v>0.3882838931007061</v>
      </c>
      <c r="CM190" s="21">
        <f>EXP(-LN(2)/2)*CM189+(1-EXP(-LN(2)/2))/(LN(2)/2)*CG190*CJ190*VLOOKUP('Données projet'!$B$12,Paramètres!$A$1:$I$89,3,0)*0.475*44/12</f>
        <v>7.6089331047337764E-23</v>
      </c>
      <c r="CN190" s="22">
        <f t="shared" si="172"/>
        <v>0.59216938556121834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210.04871822652808</v>
      </c>
      <c r="CZ190" s="59">
        <f t="shared" si="150"/>
        <v>250.17540614049324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0.32587194989460261</v>
      </c>
      <c r="DG190" s="21">
        <f>EXP(-LN(2)/25)*DG189+(1-EXP(-LN(2)/25))/(LN(2)/25)*Calculateur!DB190*Calculateur!DD190*VLOOKUP('Données projet'!$B$13,Paramètres!$A$1:$I$89,3,0)*0.475*44/12</f>
        <v>0.3581425892509168</v>
      </c>
      <c r="DH190" s="21">
        <f>EXP(-LN(2)/2)*DH189+(1-EXP(-LN(2)/2))/(LN(2)/2)*DB190*DE190*VLOOKUP('Données projet'!$B$13,Paramètres!$A$1:$I$89,3,0)*0.475*44/12</f>
        <v>5.0427910926677379E-23</v>
      </c>
      <c r="DI190" s="22">
        <f t="shared" si="175"/>
        <v>0.68401453914551946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-5.1159076974727213E-13</v>
      </c>
      <c r="DP190" s="17">
        <f>DO190*VLOOKUP('Données projet'!$B$14,Paramètres!$A$1:$I$89,3,0)*VLOOKUP('Données projet'!$B$14,Paramètres!$A$1:$I$89,5,0)</f>
        <v>-3.7509835237869992E-13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234.09142087023463</v>
      </c>
      <c r="DU190" s="59">
        <f t="shared" si="152"/>
        <v>278.990685815294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0.10889338801868279</v>
      </c>
      <c r="EB190" s="21">
        <f>EXP(-LN(2)/25)*EB189+(1-EXP(-LN(2)/25))/(LN(2)/25)*Calculateur!DW190*Calculateur!DY190*VLOOKUP('Données projet'!$B$14,Paramètres!$A$1:$I$89,3,0)*0.475*44/12</f>
        <v>0.19743349943469651</v>
      </c>
      <c r="EC190" s="21">
        <f>EXP(-LN(2)/2)*EC189+(1-EXP(-LN(2)/2))/(LN(2)/2)*DW190*DZ190*VLOOKUP('Données projet'!$B$14,Paramètres!$A$1:$I$89,3,0)*0.475*44/12</f>
        <v>5.1831053768066074E-23</v>
      </c>
      <c r="ED190" s="22">
        <f t="shared" si="178"/>
        <v>0.30632688745337933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259.30247982593914</v>
      </c>
      <c r="T191" s="59">
        <f t="shared" si="142"/>
        <v>275.24740346220779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0.22571411784554071</v>
      </c>
      <c r="AB191" s="21">
        <f>EXP(-LN(2)/2)*AB190+(1-EXP(-LN(2)/2))/(LN(2)/2)*V191*Y191*VLOOKUP('Données projet'!$B$9,Paramètres!$A$1:$I$89,3,0)*0.475*44/12</f>
        <v>4.7447857786687932E-23</v>
      </c>
      <c r="AC191" s="22">
        <f t="shared" si="163"/>
        <v>0.22571411784554071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7.9580786405131221E-13</v>
      </c>
      <c r="AJ191" s="13">
        <f>AI191*VLOOKUP('Données projet'!$B$10,Paramètres!$A$1:$I$89,3,0)*VLOOKUP('Données projet'!$B$10,Paramètres!$A$1:$I$89,5,0)</f>
        <v>3.8278358260868117E-13</v>
      </c>
      <c r="AK191" s="13">
        <f t="shared" si="164"/>
        <v>4.9186917125089072E-12</v>
      </c>
      <c r="AL191" s="20">
        <f t="shared" si="165"/>
        <v>9.2334028056631319E-12</v>
      </c>
      <c r="AM191" s="59">
        <f t="shared" si="113"/>
        <v>293.33333333334252</v>
      </c>
      <c r="AN191" s="59">
        <f ca="1">AVERAGE(OFFSET($AM$3,0,0,'Données projet'!$E$10+1,1))-AVERAGE(OFFSET($H$3,0,0,'Données projet'!$E$10+1,1))</f>
        <v>297.21955661193238</v>
      </c>
      <c r="AO191" s="59">
        <f t="shared" si="144"/>
        <v>273.69206144662144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0.29485054985444287</v>
      </c>
      <c r="AV191" s="21">
        <f>EXP(-LN(2)/25)*AV190+(1-EXP(-LN(2)/25))/(LN(2)/25)*Calculateur!AQ191*Calculateur!AS191*VLOOKUP('Données projet'!$B$10,Paramètres!$A$1:$I$89,3,0)*0.475*44/12</f>
        <v>0.16801359166602864</v>
      </c>
      <c r="AW191" s="21">
        <f>EXP(-LN(2)/2)*AW190+(1-EXP(-LN(2)/2))/(LN(2)/2)*AQ191*AT191*VLOOKUP('Données projet'!$B$10,Paramètres!$A$1:$I$89,3,0)*0.475*44/12</f>
        <v>3.4597298012708885E-23</v>
      </c>
      <c r="AX191" s="21">
        <f t="shared" si="166"/>
        <v>0.46286414152047151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3.6357050703372803E-14</v>
      </c>
      <c r="BF191" s="13">
        <f t="shared" si="167"/>
        <v>6.1445232567661395E-13</v>
      </c>
      <c r="BG191" s="20">
        <f t="shared" si="168"/>
        <v>1.1334929971951436E-12</v>
      </c>
      <c r="BH191" s="59">
        <f t="shared" si="116"/>
        <v>293.33333333333445</v>
      </c>
      <c r="BI191" s="59">
        <f ca="1">AVERAGE(OFFSET($BH$3,0,0,'Données projet'!$E$11+1,1))-AVERAGE(OFFSET($H$3,0,0,'Données projet'!$E$11+1,1))</f>
        <v>176.90404027101607</v>
      </c>
      <c r="BJ191" s="59">
        <f t="shared" si="146"/>
        <v>295.34177980841878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7.7623148511992562E-2</v>
      </c>
      <c r="BQ191" s="21">
        <f>EXP(-LN(2)/25)*BQ190+(1-EXP(-LN(2)/25))/(LN(2)/25)*Calculateur!BL191*Calculateur!BN191*VLOOKUP('Données projet'!$B$11,Paramètres!$A$1:$I$89,3,0)*0.475*44/12</f>
        <v>0.10314415262854745</v>
      </c>
      <c r="BR191" s="21">
        <f>EXP(-LN(2)/2)*BR190+(1-EXP(-LN(2)/2))/(LN(2)/2)*BL191*BO191*VLOOKUP('Données projet'!$B$11,Paramètres!$A$1:$I$89,3,0)*0.475*44/12</f>
        <v>5.5756105346524552E-26</v>
      </c>
      <c r="BS191" s="22">
        <f t="shared" si="169"/>
        <v>0.18076730114054002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-5.6843418860808015E-13</v>
      </c>
      <c r="BZ191" s="13">
        <f>BY191*VLOOKUP('Données projet'!$B$12,Paramètres!$A$1:$I$89,3,0)*VLOOKUP('Données projet'!$B$12,Paramètres!$A$1:$I$89,5,0)</f>
        <v>-3.177547114319168E-13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326.31232746914907</v>
      </c>
      <c r="CE191" s="59">
        <f t="shared" si="148"/>
        <v>330.17137761430297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0.19988742231123272</v>
      </c>
      <c r="CL191" s="21">
        <f>EXP(-LN(2)/25)*CL190+(1-EXP(-LN(2)/25))/(LN(2)/25)*Calculateur!CG191*Calculateur!CI191*VLOOKUP('Données projet'!$B$12,Paramètres!$A$1:$I$89,3,0)*0.475*44/12</f>
        <v>0.3776662496249048</v>
      </c>
      <c r="CM191" s="21">
        <f>EXP(-LN(2)/2)*CM190+(1-EXP(-LN(2)/2))/(LN(2)/2)*CG191*CJ191*VLOOKUP('Données projet'!$B$12,Paramètres!$A$1:$I$89,3,0)*0.475*44/12</f>
        <v>5.3803281959520642E-23</v>
      </c>
      <c r="CN191" s="22">
        <f t="shared" si="172"/>
        <v>0.57755367193613749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210.04871822652808</v>
      </c>
      <c r="CZ191" s="59">
        <f t="shared" si="150"/>
        <v>250.17540614049324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0.31948179971943275</v>
      </c>
      <c r="DG191" s="21">
        <f>EXP(-LN(2)/25)*DG190+(1-EXP(-LN(2)/25))/(LN(2)/25)*Calculateur!DB191*Calculateur!DD191*VLOOKUP('Données projet'!$B$13,Paramètres!$A$1:$I$89,3,0)*0.475*44/12</f>
        <v>0.34834916131395027</v>
      </c>
      <c r="DH191" s="21">
        <f>EXP(-LN(2)/2)*DH190+(1-EXP(-LN(2)/2))/(LN(2)/2)*DB191*DE191*VLOOKUP('Données projet'!$B$13,Paramètres!$A$1:$I$89,3,0)*0.475*44/12</f>
        <v>3.565791777732477E-23</v>
      </c>
      <c r="DI191" s="22">
        <f t="shared" si="175"/>
        <v>0.66783096103338302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-5.1159076974727213E-13</v>
      </c>
      <c r="DP191" s="17">
        <f>DO191*VLOOKUP('Données projet'!$B$14,Paramètres!$A$1:$I$89,3,0)*VLOOKUP('Données projet'!$B$14,Paramètres!$A$1:$I$89,5,0)</f>
        <v>-3.7509835237869992E-13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234.09142087023463</v>
      </c>
      <c r="DU191" s="59">
        <f t="shared" si="152"/>
        <v>278.990685815294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0.10675805509804484</v>
      </c>
      <c r="EB191" s="21">
        <f>EXP(-LN(2)/25)*EB190+(1-EXP(-LN(2)/25))/(LN(2)/25)*Calculateur!DW191*Calculateur!DY191*VLOOKUP('Données projet'!$B$14,Paramètres!$A$1:$I$89,3,0)*0.475*44/12</f>
        <v>0.19203467001007823</v>
      </c>
      <c r="EC191" s="21">
        <f>EXP(-LN(2)/2)*EC190+(1-EXP(-LN(2)/2))/(LN(2)/2)*DW191*DZ191*VLOOKUP('Données projet'!$B$14,Paramètres!$A$1:$I$89,3,0)*0.475*44/12</f>
        <v>3.6650089595444081E-23</v>
      </c>
      <c r="ED191" s="22">
        <f t="shared" si="178"/>
        <v>0.29879272510812305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259.30247982593914</v>
      </c>
      <c r="T192" s="59">
        <f t="shared" si="142"/>
        <v>275.24740346220779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0.21954195342326482</v>
      </c>
      <c r="AB192" s="21">
        <f>EXP(-LN(2)/2)*AB191+(1-EXP(-LN(2)/2))/(LN(2)/2)*V192*Y192*VLOOKUP('Données projet'!$B$9,Paramètres!$A$1:$I$89,3,0)*0.475*44/12</f>
        <v>3.3550701993741968E-23</v>
      </c>
      <c r="AC192" s="22">
        <f t="shared" si="163"/>
        <v>0.21954195342326482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7.9580786405131221E-13</v>
      </c>
      <c r="AJ192" s="13">
        <f>AI192*VLOOKUP('Données projet'!$B$10,Paramètres!$A$1:$I$89,3,0)*VLOOKUP('Données projet'!$B$10,Paramètres!$A$1:$I$89,5,0)</f>
        <v>3.8278358260868117E-13</v>
      </c>
      <c r="AK192" s="13">
        <f t="shared" si="164"/>
        <v>4.9186917125089072E-12</v>
      </c>
      <c r="AL192" s="20">
        <f t="shared" si="165"/>
        <v>9.2334028056631319E-12</v>
      </c>
      <c r="AM192" s="59">
        <f t="shared" si="113"/>
        <v>293.33333333334252</v>
      </c>
      <c r="AN192" s="59">
        <f ca="1">AVERAGE(OFFSET($AM$3,0,0,'Données projet'!$E$10+1,1))-AVERAGE(OFFSET($H$3,0,0,'Données projet'!$E$10+1,1))</f>
        <v>297.21955661193238</v>
      </c>
      <c r="AO192" s="59">
        <f t="shared" si="144"/>
        <v>273.69206144662144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0.2890687104128748</v>
      </c>
      <c r="AV192" s="21">
        <f>EXP(-LN(2)/25)*AV191+(1-EXP(-LN(2)/25))/(LN(2)/25)*Calculateur!AQ192*Calculateur!AS192*VLOOKUP('Données projet'!$B$10,Paramètres!$A$1:$I$89,3,0)*0.475*44/12</f>
        <v>0.1634192511664703</v>
      </c>
      <c r="AW192" s="21">
        <f>EXP(-LN(2)/2)*AW191+(1-EXP(-LN(2)/2))/(LN(2)/2)*AQ192*AT192*VLOOKUP('Données projet'!$B$10,Paramètres!$A$1:$I$89,3,0)*0.475*44/12</f>
        <v>2.4463984035518318E-23</v>
      </c>
      <c r="AX192" s="21">
        <f t="shared" si="166"/>
        <v>0.45248796157934512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3.6357050703372803E-14</v>
      </c>
      <c r="BF192" s="13">
        <f t="shared" si="167"/>
        <v>6.1445232567661395E-13</v>
      </c>
      <c r="BG192" s="20">
        <f t="shared" si="168"/>
        <v>1.1334929971951436E-12</v>
      </c>
      <c r="BH192" s="59">
        <f t="shared" si="116"/>
        <v>293.33333333333445</v>
      </c>
      <c r="BI192" s="59">
        <f ca="1">AVERAGE(OFFSET($BH$3,0,0,'Données projet'!$E$11+1,1))-AVERAGE(OFFSET($H$3,0,0,'Données projet'!$E$11+1,1))</f>
        <v>176.90404027101607</v>
      </c>
      <c r="BJ192" s="59">
        <f t="shared" si="146"/>
        <v>295.34177980841878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7.6101005915118008E-2</v>
      </c>
      <c r="BQ192" s="21">
        <f>EXP(-LN(2)/25)*BQ191+(1-EXP(-LN(2)/25))/(LN(2)/25)*Calculateur!BL192*Calculateur!BN192*VLOOKUP('Données projet'!$B$11,Paramètres!$A$1:$I$89,3,0)*0.475*44/12</f>
        <v>0.10032367035080457</v>
      </c>
      <c r="BR192" s="21">
        <f>EXP(-LN(2)/2)*BR191+(1-EXP(-LN(2)/2))/(LN(2)/2)*BL192*BO192*VLOOKUP('Données projet'!$B$11,Paramètres!$A$1:$I$89,3,0)*0.475*44/12</f>
        <v>3.9425520183079029E-26</v>
      </c>
      <c r="BS192" s="22">
        <f t="shared" si="169"/>
        <v>0.17642467626592256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-5.6843418860808015E-13</v>
      </c>
      <c r="BZ192" s="13">
        <f>BY192*VLOOKUP('Données projet'!$B$12,Paramètres!$A$1:$I$89,3,0)*VLOOKUP('Données projet'!$B$12,Paramètres!$A$1:$I$89,5,0)</f>
        <v>-3.177547114319168E-13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326.31232746914907</v>
      </c>
      <c r="CE192" s="59">
        <f t="shared" si="148"/>
        <v>330.17137761430297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0.19596775187899851</v>
      </c>
      <c r="CL192" s="21">
        <f>EXP(-LN(2)/25)*CL191+(1-EXP(-LN(2)/25))/(LN(2)/25)*Calculateur!CG192*Calculateur!CI192*VLOOKUP('Données projet'!$B$12,Paramètres!$A$1:$I$89,3,0)*0.475*44/12</f>
        <v>0.36733894616830687</v>
      </c>
      <c r="CM192" s="21">
        <f>EXP(-LN(2)/2)*CM191+(1-EXP(-LN(2)/2))/(LN(2)/2)*CG192*CJ192*VLOOKUP('Données projet'!$B$12,Paramètres!$A$1:$I$89,3,0)*0.475*44/12</f>
        <v>3.8044665523668882E-23</v>
      </c>
      <c r="CN192" s="22">
        <f t="shared" si="172"/>
        <v>0.56330669804730538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210.04871822652808</v>
      </c>
      <c r="CZ192" s="59">
        <f t="shared" si="150"/>
        <v>250.17540614049324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0.3132169564915912</v>
      </c>
      <c r="DG192" s="21">
        <f>EXP(-LN(2)/25)*DG191+(1-EXP(-LN(2)/25))/(LN(2)/25)*Calculateur!DB192*Calculateur!DD192*VLOOKUP('Données projet'!$B$13,Paramètres!$A$1:$I$89,3,0)*0.475*44/12</f>
        <v>0.3388235351789341</v>
      </c>
      <c r="DH192" s="21">
        <f>EXP(-LN(2)/2)*DH191+(1-EXP(-LN(2)/2))/(LN(2)/2)*DB192*DE192*VLOOKUP('Données projet'!$B$13,Paramètres!$A$1:$I$89,3,0)*0.475*44/12</f>
        <v>2.521395546333869E-23</v>
      </c>
      <c r="DI192" s="22">
        <f t="shared" si="175"/>
        <v>0.65204049167052536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-5.1159076974727213E-13</v>
      </c>
      <c r="DP192" s="17">
        <f>DO192*VLOOKUP('Données projet'!$B$14,Paramètres!$A$1:$I$89,3,0)*VLOOKUP('Données projet'!$B$14,Paramètres!$A$1:$I$89,5,0)</f>
        <v>-3.7509835237869992E-13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234.09142087023463</v>
      </c>
      <c r="DU192" s="59">
        <f t="shared" si="152"/>
        <v>278.990685815294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0.10466459475355612</v>
      </c>
      <c r="EB192" s="21">
        <f>EXP(-LN(2)/25)*EB191+(1-EXP(-LN(2)/25))/(LN(2)/25)*Calculateur!DW192*Calculateur!DY192*VLOOKUP('Données projet'!$B$14,Paramètres!$A$1:$I$89,3,0)*0.475*44/12</f>
        <v>0.18678347185998825</v>
      </c>
      <c r="EC192" s="21">
        <f>EXP(-LN(2)/2)*EC191+(1-EXP(-LN(2)/2))/(LN(2)/2)*DW192*DZ192*VLOOKUP('Données projet'!$B$14,Paramètres!$A$1:$I$89,3,0)*0.475*44/12</f>
        <v>2.5915526884033043E-23</v>
      </c>
      <c r="ED192" s="22">
        <f t="shared" si="178"/>
        <v>0.29144806661354439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259.30247982593914</v>
      </c>
      <c r="T193" s="59">
        <f t="shared" si="142"/>
        <v>275.24740346220779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0.21353856716169609</v>
      </c>
      <c r="AB193" s="21">
        <f>EXP(-LN(2)/2)*AB192+(1-EXP(-LN(2)/2))/(LN(2)/2)*V193*Y193*VLOOKUP('Données projet'!$B$9,Paramètres!$A$1:$I$89,3,0)*0.475*44/12</f>
        <v>2.3723928893343966E-23</v>
      </c>
      <c r="AC193" s="22">
        <f t="shared" si="163"/>
        <v>0.21353856716169609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7.9580786405131221E-13</v>
      </c>
      <c r="AJ193" s="13">
        <f>AI193*VLOOKUP('Données projet'!$B$10,Paramètres!$A$1:$I$89,3,0)*VLOOKUP('Données projet'!$B$10,Paramètres!$A$1:$I$89,5,0)</f>
        <v>3.8278358260868117E-13</v>
      </c>
      <c r="AK193" s="13">
        <f t="shared" si="164"/>
        <v>4.9186917125089072E-12</v>
      </c>
      <c r="AL193" s="20">
        <f t="shared" si="165"/>
        <v>9.2334028056631319E-12</v>
      </c>
      <c r="AM193" s="59">
        <f t="shared" si="113"/>
        <v>293.33333333334252</v>
      </c>
      <c r="AN193" s="59">
        <f ca="1">AVERAGE(OFFSET($AM$3,0,0,'Données projet'!$E$10+1,1))-AVERAGE(OFFSET($H$3,0,0,'Données projet'!$E$10+1,1))</f>
        <v>297.21955661193238</v>
      </c>
      <c r="AO193" s="59">
        <f t="shared" si="144"/>
        <v>273.69206144662144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0.28340024931618207</v>
      </c>
      <c r="AV193" s="21">
        <f>EXP(-LN(2)/25)*AV192+(1-EXP(-LN(2)/25))/(LN(2)/25)*Calculateur!AQ193*Calculateur!AS193*VLOOKUP('Données projet'!$B$10,Paramètres!$A$1:$I$89,3,0)*0.475*44/12</f>
        <v>0.15895054314947824</v>
      </c>
      <c r="AW193" s="21">
        <f>EXP(-LN(2)/2)*AW192+(1-EXP(-LN(2)/2))/(LN(2)/2)*AQ193*AT193*VLOOKUP('Données projet'!$B$10,Paramètres!$A$1:$I$89,3,0)*0.475*44/12</f>
        <v>1.7298649006354443E-23</v>
      </c>
      <c r="AX193" s="21">
        <f t="shared" si="166"/>
        <v>0.44235079246566034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3.6357050703372803E-14</v>
      </c>
      <c r="BF193" s="13">
        <f t="shared" si="167"/>
        <v>6.1445232567661395E-13</v>
      </c>
      <c r="BG193" s="20">
        <f t="shared" si="168"/>
        <v>1.1334929971951436E-12</v>
      </c>
      <c r="BH193" s="59">
        <f t="shared" si="116"/>
        <v>293.33333333333445</v>
      </c>
      <c r="BI193" s="59">
        <f ca="1">AVERAGE(OFFSET($BH$3,0,0,'Données projet'!$E$11+1,1))-AVERAGE(OFFSET($H$3,0,0,'Données projet'!$E$11+1,1))</f>
        <v>176.90404027101607</v>
      </c>
      <c r="BJ193" s="59">
        <f t="shared" si="146"/>
        <v>295.34177980841878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7.4608711606152858E-2</v>
      </c>
      <c r="BQ193" s="21">
        <f>EXP(-LN(2)/25)*BQ192+(1-EXP(-LN(2)/25))/(LN(2)/25)*Calculateur!BL193*Calculateur!BN193*VLOOKUP('Données projet'!$B$11,Paramètres!$A$1:$I$89,3,0)*0.475*44/12</f>
        <v>9.7580314309269292E-2</v>
      </c>
      <c r="BR193" s="21">
        <f>EXP(-LN(2)/2)*BR192+(1-EXP(-LN(2)/2))/(LN(2)/2)*BL193*BO193*VLOOKUP('Données projet'!$B$11,Paramètres!$A$1:$I$89,3,0)*0.475*44/12</f>
        <v>2.7878052673262276E-26</v>
      </c>
      <c r="BS193" s="22">
        <f t="shared" si="169"/>
        <v>0.17218902591542215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-5.6843418860808015E-13</v>
      </c>
      <c r="BZ193" s="13">
        <f>BY193*VLOOKUP('Données projet'!$B$12,Paramètres!$A$1:$I$89,3,0)*VLOOKUP('Données projet'!$B$12,Paramètres!$A$1:$I$89,5,0)</f>
        <v>-3.177547114319168E-13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326.31232746914907</v>
      </c>
      <c r="CE193" s="59">
        <f t="shared" si="148"/>
        <v>330.17137761430297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0.19212494379317754</v>
      </c>
      <c r="CL193" s="21">
        <f>EXP(-LN(2)/25)*CL192+(1-EXP(-LN(2)/25))/(LN(2)/25)*Calculateur!CG193*Calculateur!CI193*VLOOKUP('Données projet'!$B$12,Paramètres!$A$1:$I$89,3,0)*0.475*44/12</f>
        <v>0.35729404336781889</v>
      </c>
      <c r="CM193" s="21">
        <f>EXP(-LN(2)/2)*CM192+(1-EXP(-LN(2)/2))/(LN(2)/2)*CG193*CJ193*VLOOKUP('Données projet'!$B$12,Paramètres!$A$1:$I$89,3,0)*0.475*44/12</f>
        <v>2.6901640979760321E-23</v>
      </c>
      <c r="CN193" s="22">
        <f t="shared" si="172"/>
        <v>0.54941898716099646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210.04871822652808</v>
      </c>
      <c r="CZ193" s="59">
        <f t="shared" si="150"/>
        <v>250.17540614049324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0.30707496301827059</v>
      </c>
      <c r="DG193" s="21">
        <f>EXP(-LN(2)/25)*DG192+(1-EXP(-LN(2)/25))/(LN(2)/25)*Calculateur!DB193*Calculateur!DD193*VLOOKUP('Données projet'!$B$13,Paramètres!$A$1:$I$89,3,0)*0.475*44/12</f>
        <v>0.32955838779151081</v>
      </c>
      <c r="DH193" s="21">
        <f>EXP(-LN(2)/2)*DH192+(1-EXP(-LN(2)/2))/(LN(2)/2)*DB193*DE193*VLOOKUP('Données projet'!$B$13,Paramètres!$A$1:$I$89,3,0)*0.475*44/12</f>
        <v>1.7828958888662385E-23</v>
      </c>
      <c r="DI193" s="22">
        <f t="shared" si="175"/>
        <v>0.63663335080978145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-5.1159076974727213E-13</v>
      </c>
      <c r="DP193" s="17">
        <f>DO193*VLOOKUP('Données projet'!$B$14,Paramètres!$A$1:$I$89,3,0)*VLOOKUP('Données projet'!$B$14,Paramètres!$A$1:$I$89,5,0)</f>
        <v>-3.7509835237869992E-13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234.09142087023463</v>
      </c>
      <c r="DU193" s="59">
        <f t="shared" si="152"/>
        <v>278.990685815294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0.10261218588953809</v>
      </c>
      <c r="EB193" s="21">
        <f>EXP(-LN(2)/25)*EB192+(1-EXP(-LN(2)/25))/(LN(2)/25)*Calculateur!DW193*Calculateur!DY193*VLOOKUP('Données projet'!$B$14,Paramètres!$A$1:$I$89,3,0)*0.475*44/12</f>
        <v>0.18167586799946098</v>
      </c>
      <c r="EC193" s="21">
        <f>EXP(-LN(2)/2)*EC192+(1-EXP(-LN(2)/2))/(LN(2)/2)*DW193*DZ193*VLOOKUP('Données projet'!$B$14,Paramètres!$A$1:$I$89,3,0)*0.475*44/12</f>
        <v>1.8325044797722044E-23</v>
      </c>
      <c r="ED193" s="22">
        <f t="shared" si="178"/>
        <v>0.28428805388899908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259.30247982593914</v>
      </c>
      <c r="T194" s="59">
        <f t="shared" si="142"/>
        <v>275.24740346220779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0.2076993438131543</v>
      </c>
      <c r="AB194" s="21">
        <f>EXP(-LN(2)/2)*AB193+(1-EXP(-LN(2)/2))/(LN(2)/2)*V194*Y194*VLOOKUP('Données projet'!$B$9,Paramètres!$A$1:$I$89,3,0)*0.475*44/12</f>
        <v>1.6775350996870984E-23</v>
      </c>
      <c r="AC194" s="22">
        <f t="shared" si="163"/>
        <v>0.2076993438131543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7.9580786405131221E-13</v>
      </c>
      <c r="AJ194" s="13">
        <f>AI194*VLOOKUP('Données projet'!$B$10,Paramètres!$A$1:$I$89,3,0)*VLOOKUP('Données projet'!$B$10,Paramètres!$A$1:$I$89,5,0)</f>
        <v>3.8278358260868117E-13</v>
      </c>
      <c r="AK194" s="13">
        <f t="shared" si="164"/>
        <v>4.9186917125089072E-12</v>
      </c>
      <c r="AL194" s="20">
        <f t="shared" si="165"/>
        <v>9.2334028056631319E-12</v>
      </c>
      <c r="AM194" s="59">
        <f t="shared" si="113"/>
        <v>293.33333333334252</v>
      </c>
      <c r="AN194" s="59">
        <f ca="1">AVERAGE(OFFSET($AM$3,0,0,'Données projet'!$E$10+1,1))-AVERAGE(OFFSET($H$3,0,0,'Données projet'!$E$10+1,1))</f>
        <v>297.21955661193238</v>
      </c>
      <c r="AO194" s="59">
        <f t="shared" si="144"/>
        <v>273.69206144662144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0.27784294328417558</v>
      </c>
      <c r="AV194" s="21">
        <f>EXP(-LN(2)/25)*AV193+(1-EXP(-LN(2)/25))/(LN(2)/25)*Calculateur!AQ194*Calculateur!AS194*VLOOKUP('Données projet'!$B$10,Paramètres!$A$1:$I$89,3,0)*0.475*44/12</f>
        <v>0.15460403218820998</v>
      </c>
      <c r="AW194" s="21">
        <f>EXP(-LN(2)/2)*AW193+(1-EXP(-LN(2)/2))/(LN(2)/2)*AQ194*AT194*VLOOKUP('Données projet'!$B$10,Paramètres!$A$1:$I$89,3,0)*0.475*44/12</f>
        <v>1.2231992017759159E-23</v>
      </c>
      <c r="AX194" s="21">
        <f t="shared" si="166"/>
        <v>0.43244697547238553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3.6357050703372803E-14</v>
      </c>
      <c r="BF194" s="13">
        <f t="shared" si="167"/>
        <v>6.1445232567661395E-13</v>
      </c>
      <c r="BG194" s="20">
        <f t="shared" si="168"/>
        <v>1.1334929971951436E-12</v>
      </c>
      <c r="BH194" s="59">
        <f t="shared" si="116"/>
        <v>293.33333333333445</v>
      </c>
      <c r="BI194" s="59">
        <f ca="1">AVERAGE(OFFSET($BH$3,0,0,'Données projet'!$E$11+1,1))-AVERAGE(OFFSET($H$3,0,0,'Données projet'!$E$11+1,1))</f>
        <v>176.90404027101607</v>
      </c>
      <c r="BJ194" s="59">
        <f t="shared" si="146"/>
        <v>295.34177980841878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7.3145680278376854E-2</v>
      </c>
      <c r="BQ194" s="21">
        <f>EXP(-LN(2)/25)*BQ193+(1-EXP(-LN(2)/25))/(LN(2)/25)*Calculateur!BL194*Calculateur!BN194*VLOOKUP('Données projet'!$B$11,Paramètres!$A$1:$I$89,3,0)*0.475*44/12</f>
        <v>9.4911975482956615E-2</v>
      </c>
      <c r="BR194" s="21">
        <f>EXP(-LN(2)/2)*BR193+(1-EXP(-LN(2)/2))/(LN(2)/2)*BL194*BO194*VLOOKUP('Données projet'!$B$11,Paramètres!$A$1:$I$89,3,0)*0.475*44/12</f>
        <v>1.9712760091539515E-26</v>
      </c>
      <c r="BS194" s="22">
        <f t="shared" si="169"/>
        <v>0.16805765576133347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-5.6843418860808015E-13</v>
      </c>
      <c r="BZ194" s="13">
        <f>BY194*VLOOKUP('Données projet'!$B$12,Paramètres!$A$1:$I$89,3,0)*VLOOKUP('Données projet'!$B$12,Paramètres!$A$1:$I$89,5,0)</f>
        <v>-3.177547114319168E-13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326.31232746914907</v>
      </c>
      <c r="CE194" s="59">
        <f t="shared" si="148"/>
        <v>330.17137761430297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0.18835749083003803</v>
      </c>
      <c r="CL194" s="21">
        <f>EXP(-LN(2)/25)*CL193+(1-EXP(-LN(2)/25))/(LN(2)/25)*Calculateur!CG194*Calculateur!CI194*VLOOKUP('Données projet'!$B$12,Paramètres!$A$1:$I$89,3,0)*0.475*44/12</f>
        <v>0.34752381896264872</v>
      </c>
      <c r="CM194" s="21">
        <f>EXP(-LN(2)/2)*CM193+(1-EXP(-LN(2)/2))/(LN(2)/2)*CG194*CJ194*VLOOKUP('Données projet'!$B$12,Paramètres!$A$1:$I$89,3,0)*0.475*44/12</f>
        <v>1.9022332761834441E-23</v>
      </c>
      <c r="CN194" s="22">
        <f t="shared" si="172"/>
        <v>0.53588130979268678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210.04871822652808</v>
      </c>
      <c r="CZ194" s="59">
        <f t="shared" si="150"/>
        <v>250.17540614049324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0.3010534102907157</v>
      </c>
      <c r="DG194" s="21">
        <f>EXP(-LN(2)/25)*DG193+(1-EXP(-LN(2)/25))/(LN(2)/25)*Calculateur!DB194*Calculateur!DD194*VLOOKUP('Données projet'!$B$13,Paramètres!$A$1:$I$89,3,0)*0.475*44/12</f>
        <v>0.32054659634662958</v>
      </c>
      <c r="DH194" s="21">
        <f>EXP(-LN(2)/2)*DH193+(1-EXP(-LN(2)/2))/(LN(2)/2)*DB194*DE194*VLOOKUP('Données projet'!$B$13,Paramètres!$A$1:$I$89,3,0)*0.475*44/12</f>
        <v>1.2606977731669345E-23</v>
      </c>
      <c r="DI194" s="22">
        <f t="shared" si="175"/>
        <v>0.62160000663734527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-5.1159076974727213E-13</v>
      </c>
      <c r="DP194" s="17">
        <f>DO194*VLOOKUP('Données projet'!$B$14,Paramètres!$A$1:$I$89,3,0)*VLOOKUP('Données projet'!$B$14,Paramètres!$A$1:$I$89,5,0)</f>
        <v>-3.7509835237869992E-13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234.09142087023463</v>
      </c>
      <c r="DU194" s="59">
        <f t="shared" si="152"/>
        <v>278.990685815294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0.10060002351149766</v>
      </c>
      <c r="EB194" s="21">
        <f>EXP(-LN(2)/25)*EB193+(1-EXP(-LN(2)/25))/(LN(2)/25)*Calculateur!DW194*Calculateur!DY194*VLOOKUP('Données projet'!$B$14,Paramètres!$A$1:$I$89,3,0)*0.475*44/12</f>
        <v>0.17670793183509703</v>
      </c>
      <c r="EC194" s="21">
        <f>EXP(-LN(2)/2)*EC193+(1-EXP(-LN(2)/2))/(LN(2)/2)*DW194*DZ194*VLOOKUP('Données projet'!$B$14,Paramètres!$A$1:$I$89,3,0)*0.475*44/12</f>
        <v>1.2957763442016523E-23</v>
      </c>
      <c r="ED194" s="22">
        <f t="shared" si="178"/>
        <v>0.27730795534659469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259.30247982593914</v>
      </c>
      <c r="T195" s="59">
        <f t="shared" si="142"/>
        <v>275.24740346220779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0.20201979433414982</v>
      </c>
      <c r="AB195" s="21">
        <f>EXP(-LN(2)/2)*AB194+(1-EXP(-LN(2)/2))/(LN(2)/2)*V195*Y195*VLOOKUP('Données projet'!$B$9,Paramètres!$A$1:$I$89,3,0)*0.475*44/12</f>
        <v>1.1861964446671983E-23</v>
      </c>
      <c r="AC195" s="22">
        <f t="shared" si="163"/>
        <v>0.20201979433414982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7.9580786405131221E-13</v>
      </c>
      <c r="AJ195" s="13">
        <f>AI195*VLOOKUP('Données projet'!$B$10,Paramètres!$A$1:$I$89,3,0)*VLOOKUP('Données projet'!$B$10,Paramètres!$A$1:$I$89,5,0)</f>
        <v>3.8278358260868117E-13</v>
      </c>
      <c r="AK195" s="13">
        <f t="shared" si="164"/>
        <v>4.9186917125089072E-12</v>
      </c>
      <c r="AL195" s="20">
        <f t="shared" si="165"/>
        <v>9.2334028056631319E-12</v>
      </c>
      <c r="AM195" s="59">
        <f t="shared" si="113"/>
        <v>293.33333333334252</v>
      </c>
      <c r="AN195" s="59">
        <f ca="1">AVERAGE(OFFSET($AM$3,0,0,'Données projet'!$E$10+1,1))-AVERAGE(OFFSET($H$3,0,0,'Données projet'!$E$10+1,1))</f>
        <v>297.21955661193238</v>
      </c>
      <c r="AO195" s="59">
        <f t="shared" si="144"/>
        <v>273.69206144662144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0.2723946126338348</v>
      </c>
      <c r="AV195" s="21">
        <f>EXP(-LN(2)/25)*AV194+(1-EXP(-LN(2)/25))/(LN(2)/25)*Calculateur!AQ195*Calculateur!AS195*VLOOKUP('Données projet'!$B$10,Paramètres!$A$1:$I$89,3,0)*0.475*44/12</f>
        <v>0.15037637679775068</v>
      </c>
      <c r="AW195" s="21">
        <f>EXP(-LN(2)/2)*AW194+(1-EXP(-LN(2)/2))/(LN(2)/2)*AQ195*AT195*VLOOKUP('Données projet'!$B$10,Paramètres!$A$1:$I$89,3,0)*0.475*44/12</f>
        <v>8.6493245031772213E-24</v>
      </c>
      <c r="AX195" s="21">
        <f t="shared" si="166"/>
        <v>0.42277098943158548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3.6357050703372803E-14</v>
      </c>
      <c r="BF195" s="13">
        <f t="shared" si="167"/>
        <v>6.1445232567661395E-13</v>
      </c>
      <c r="BG195" s="20">
        <f t="shared" si="168"/>
        <v>1.1334929971951436E-12</v>
      </c>
      <c r="BH195" s="59">
        <f t="shared" si="116"/>
        <v>293.33333333333445</v>
      </c>
      <c r="BI195" s="59">
        <f ca="1">AVERAGE(OFFSET($BH$3,0,0,'Données projet'!$E$11+1,1))-AVERAGE(OFFSET($H$3,0,0,'Données projet'!$E$11+1,1))</f>
        <v>176.90404027101607</v>
      </c>
      <c r="BJ195" s="59">
        <f t="shared" si="146"/>
        <v>295.34177980841878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7.1711338102577543E-2</v>
      </c>
      <c r="BQ195" s="21">
        <f>EXP(-LN(2)/25)*BQ194+(1-EXP(-LN(2)/25))/(LN(2)/25)*Calculateur!BL195*Calculateur!BN195*VLOOKUP('Données projet'!$B$11,Paramètres!$A$1:$I$89,3,0)*0.475*44/12</f>
        <v>9.2316602522171304E-2</v>
      </c>
      <c r="BR195" s="21">
        <f>EXP(-LN(2)/2)*BR194+(1-EXP(-LN(2)/2))/(LN(2)/2)*BL195*BO195*VLOOKUP('Données projet'!$B$11,Paramètres!$A$1:$I$89,3,0)*0.475*44/12</f>
        <v>1.3939026336631138E-26</v>
      </c>
      <c r="BS195" s="22">
        <f t="shared" si="169"/>
        <v>0.16402794062474885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-5.6843418860808015E-13</v>
      </c>
      <c r="BZ195" s="13">
        <f>BY195*VLOOKUP('Données projet'!$B$12,Paramètres!$A$1:$I$89,3,0)*VLOOKUP('Données projet'!$B$12,Paramètres!$A$1:$I$89,5,0)</f>
        <v>-3.177547114319168E-13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326.31232746914907</v>
      </c>
      <c r="CE195" s="59">
        <f t="shared" si="148"/>
        <v>330.17137761430297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0.18466391532158627</v>
      </c>
      <c r="CL195" s="21">
        <f>EXP(-LN(2)/25)*CL194+(1-EXP(-LN(2)/25))/(LN(2)/25)*Calculateur!CG195*Calculateur!CI195*VLOOKUP('Données projet'!$B$12,Paramètres!$A$1:$I$89,3,0)*0.475*44/12</f>
        <v>0.33802076185763175</v>
      </c>
      <c r="CM195" s="21">
        <f>EXP(-LN(2)/2)*CM194+(1-EXP(-LN(2)/2))/(LN(2)/2)*CG195*CJ195*VLOOKUP('Données projet'!$B$12,Paramètres!$A$1:$I$89,3,0)*0.475*44/12</f>
        <v>1.345082048988016E-23</v>
      </c>
      <c r="CN195" s="22">
        <f t="shared" si="172"/>
        <v>0.52268467717921796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210.04871822652808</v>
      </c>
      <c r="CZ195" s="59">
        <f t="shared" si="150"/>
        <v>250.17540614049324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0.29514993653936361</v>
      </c>
      <c r="DG195" s="21">
        <f>EXP(-LN(2)/25)*DG194+(1-EXP(-LN(2)/25))/(LN(2)/25)*Calculateur!DB195*Calculateur!DD195*VLOOKUP('Données projet'!$B$13,Paramètres!$A$1:$I$89,3,0)*0.475*44/12</f>
        <v>0.31178123281271813</v>
      </c>
      <c r="DH195" s="21">
        <f>EXP(-LN(2)/2)*DH194+(1-EXP(-LN(2)/2))/(LN(2)/2)*DB195*DE195*VLOOKUP('Données projet'!$B$13,Paramètres!$A$1:$I$89,3,0)*0.475*44/12</f>
        <v>8.9144794443311926E-24</v>
      </c>
      <c r="DI195" s="22">
        <f t="shared" si="175"/>
        <v>0.6069311693520818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-5.1159076974727213E-13</v>
      </c>
      <c r="DP195" s="17">
        <f>DO195*VLOOKUP('Données projet'!$B$14,Paramètres!$A$1:$I$89,3,0)*VLOOKUP('Données projet'!$B$14,Paramètres!$A$1:$I$89,5,0)</f>
        <v>-3.7509835237869992E-13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234.09142087023463</v>
      </c>
      <c r="DU195" s="59">
        <f t="shared" si="152"/>
        <v>278.990685815294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9.8627318410392739E-2</v>
      </c>
      <c r="EB195" s="21">
        <f>EXP(-LN(2)/25)*EB194+(1-EXP(-LN(2)/25))/(LN(2)/25)*Calculateur!DW195*Calculateur!DY195*VLOOKUP('Données projet'!$B$14,Paramètres!$A$1:$I$89,3,0)*0.475*44/12</f>
        <v>0.17187584414640003</v>
      </c>
      <c r="EC195" s="21">
        <f>EXP(-LN(2)/2)*EC194+(1-EXP(-LN(2)/2))/(LN(2)/2)*DW195*DZ195*VLOOKUP('Données projet'!$B$14,Paramètres!$A$1:$I$89,3,0)*0.475*44/12</f>
        <v>9.1625223988610233E-24</v>
      </c>
      <c r="ED195" s="22">
        <f t="shared" si="178"/>
        <v>0.27050316255679274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259.30247982593914</v>
      </c>
      <c r="T196" s="59">
        <f t="shared" si="142"/>
        <v>275.24740346220779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0.19649555243432323</v>
      </c>
      <c r="AB196" s="21">
        <f>EXP(-LN(2)/2)*AB195+(1-EXP(-LN(2)/2))/(LN(2)/2)*V196*Y196*VLOOKUP('Données projet'!$B$9,Paramètres!$A$1:$I$89,3,0)*0.475*44/12</f>
        <v>8.387675498435492E-24</v>
      </c>
      <c r="AC196" s="22">
        <f t="shared" si="163"/>
        <v>0.19649555243432323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7.9580786405131221E-13</v>
      </c>
      <c r="AJ196" s="13">
        <f>AI196*VLOOKUP('Données projet'!$B$10,Paramètres!$A$1:$I$89,3,0)*VLOOKUP('Données projet'!$B$10,Paramètres!$A$1:$I$89,5,0)</f>
        <v>3.8278358260868117E-13</v>
      </c>
      <c r="AK196" s="13">
        <f t="shared" si="164"/>
        <v>4.9186917125089072E-12</v>
      </c>
      <c r="AL196" s="20">
        <f t="shared" si="165"/>
        <v>9.2334028056631319E-12</v>
      </c>
      <c r="AM196" s="59">
        <f t="shared" ref="AM196:AM203" si="193">AL196+(AD196+AE196)*44/12</f>
        <v>293.33333333334252</v>
      </c>
      <c r="AN196" s="59">
        <f ca="1">AVERAGE(OFFSET($AM$3,0,0,'Données projet'!$E$10+1,1))-AVERAGE(OFFSET($H$3,0,0,'Données projet'!$E$10+1,1))</f>
        <v>297.21955661193238</v>
      </c>
      <c r="AO196" s="59">
        <f t="shared" si="144"/>
        <v>273.69206144662144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0.26705312042439361</v>
      </c>
      <c r="AV196" s="21">
        <f>EXP(-LN(2)/25)*AV195+(1-EXP(-LN(2)/25))/(LN(2)/25)*Calculateur!AQ196*Calculateur!AS196*VLOOKUP('Données projet'!$B$10,Paramètres!$A$1:$I$89,3,0)*0.475*44/12</f>
        <v>0.14626432686626623</v>
      </c>
      <c r="AW196" s="21">
        <f>EXP(-LN(2)/2)*AW195+(1-EXP(-LN(2)/2))/(LN(2)/2)*AQ196*AT196*VLOOKUP('Données projet'!$B$10,Paramètres!$A$1:$I$89,3,0)*0.475*44/12</f>
        <v>6.1159960088795794E-24</v>
      </c>
      <c r="AX196" s="21">
        <f t="shared" si="166"/>
        <v>0.41331744729065983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3.6357050703372803E-14</v>
      </c>
      <c r="BF196" s="13">
        <f t="shared" si="167"/>
        <v>6.1445232567661395E-13</v>
      </c>
      <c r="BG196" s="20">
        <f t="shared" si="168"/>
        <v>1.1334929971951436E-12</v>
      </c>
      <c r="BH196" s="59">
        <f t="shared" ref="BH196:BH203" si="194">BG196+(AY196+AZ196)*44/12</f>
        <v>293.33333333333445</v>
      </c>
      <c r="BI196" s="59">
        <f ca="1">AVERAGE(OFFSET($BH$3,0,0,'Données projet'!$E$11+1,1))-AVERAGE(OFFSET($H$3,0,0,'Données projet'!$E$11+1,1))</f>
        <v>176.90404027101607</v>
      </c>
      <c r="BJ196" s="59">
        <f t="shared" si="146"/>
        <v>295.34177980841878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7.0305122501983314E-2</v>
      </c>
      <c r="BQ196" s="21">
        <f>EXP(-LN(2)/25)*BQ195+(1-EXP(-LN(2)/25))/(LN(2)/25)*Calculateur!BL196*Calculateur!BN196*VLOOKUP('Données projet'!$B$11,Paramètres!$A$1:$I$89,3,0)*0.475*44/12</f>
        <v>8.9792200171483399E-2</v>
      </c>
      <c r="BR196" s="21">
        <f>EXP(-LN(2)/2)*BR195+(1-EXP(-LN(2)/2))/(LN(2)/2)*BL196*BO196*VLOOKUP('Données projet'!$B$11,Paramètres!$A$1:$I$89,3,0)*0.475*44/12</f>
        <v>9.8563800457697574E-27</v>
      </c>
      <c r="BS196" s="22">
        <f t="shared" si="169"/>
        <v>0.16009732267346671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-5.6843418860808015E-13</v>
      </c>
      <c r="BZ196" s="13">
        <f>BY196*VLOOKUP('Données projet'!$B$12,Paramètres!$A$1:$I$89,3,0)*VLOOKUP('Données projet'!$B$12,Paramètres!$A$1:$I$89,5,0)</f>
        <v>-3.177547114319168E-13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326.31232746914907</v>
      </c>
      <c r="CE196" s="59">
        <f t="shared" si="148"/>
        <v>330.17137761430297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0.18104276857599663</v>
      </c>
      <c r="CL196" s="21">
        <f>EXP(-LN(2)/25)*CL195+(1-EXP(-LN(2)/25))/(LN(2)/25)*Calculateur!CG196*Calculateur!CI196*VLOOKUP('Données projet'!$B$12,Paramètres!$A$1:$I$89,3,0)*0.475*44/12</f>
        <v>0.32877756634889549</v>
      </c>
      <c r="CM196" s="21">
        <f>EXP(-LN(2)/2)*CM195+(1-EXP(-LN(2)/2))/(LN(2)/2)*CG196*CJ196*VLOOKUP('Données projet'!$B$12,Paramètres!$A$1:$I$89,3,0)*0.475*44/12</f>
        <v>9.5111663809172205E-24</v>
      </c>
      <c r="CN196" s="22">
        <f t="shared" si="172"/>
        <v>0.50982033492489209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210.04871822652808</v>
      </c>
      <c r="CZ196" s="59">
        <f t="shared" si="150"/>
        <v>250.17540614049324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0.28936222630751213</v>
      </c>
      <c r="DG196" s="21">
        <f>EXP(-LN(2)/25)*DG195+(1-EXP(-LN(2)/25))/(LN(2)/25)*Calculateur!DB196*Calculateur!DD196*VLOOKUP('Données projet'!$B$13,Paramètres!$A$1:$I$89,3,0)*0.475*44/12</f>
        <v>0.30325555860559189</v>
      </c>
      <c r="DH196" s="21">
        <f>EXP(-LN(2)/2)*DH195+(1-EXP(-LN(2)/2))/(LN(2)/2)*DB196*DE196*VLOOKUP('Données projet'!$B$13,Paramètres!$A$1:$I$89,3,0)*0.475*44/12</f>
        <v>6.3034888658346724E-24</v>
      </c>
      <c r="DI196" s="22">
        <f t="shared" si="175"/>
        <v>0.59261778491310402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-5.1159076974727213E-13</v>
      </c>
      <c r="DP196" s="17">
        <f>DO196*VLOOKUP('Données projet'!$B$14,Paramètres!$A$1:$I$89,3,0)*VLOOKUP('Données projet'!$B$14,Paramètres!$A$1:$I$89,5,0)</f>
        <v>-3.7509835237869992E-13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234.09142087023463</v>
      </c>
      <c r="DU196" s="59">
        <f t="shared" si="152"/>
        <v>278.990685815294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9.6693296853089181E-2</v>
      </c>
      <c r="EB196" s="21">
        <f>EXP(-LN(2)/25)*EB195+(1-EXP(-LN(2)/25))/(LN(2)/25)*Calculateur!DW196*Calculateur!DY196*VLOOKUP('Données projet'!$B$14,Paramètres!$A$1:$I$89,3,0)*0.475*44/12</f>
        <v>0.16717589014965892</v>
      </c>
      <c r="EC196" s="21">
        <f>EXP(-LN(2)/2)*EC195+(1-EXP(-LN(2)/2))/(LN(2)/2)*DW196*DZ196*VLOOKUP('Données projet'!$B$14,Paramètres!$A$1:$I$89,3,0)*0.475*44/12</f>
        <v>6.4788817210082622E-24</v>
      </c>
      <c r="ED196" s="22">
        <f t="shared" si="178"/>
        <v>0.26386918700274808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259.30247982593914</v>
      </c>
      <c r="T197" s="59">
        <f t="shared" ref="T197:T203" si="204">$T$3</f>
        <v>275.24740346220779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0.19112237121975467</v>
      </c>
      <c r="AB197" s="21">
        <f>EXP(-LN(2)/2)*AB196+(1-EXP(-LN(2)/2))/(LN(2)/2)*V197*Y197*VLOOKUP('Données projet'!$B$9,Paramètres!$A$1:$I$89,3,0)*0.475*44/12</f>
        <v>5.9309822233359915E-24</v>
      </c>
      <c r="AC197" s="22">
        <f t="shared" si="163"/>
        <v>0.19112237121975467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7.9580786405131221E-13</v>
      </c>
      <c r="AJ197" s="13">
        <f>AI197*VLOOKUP('Données projet'!$B$10,Paramètres!$A$1:$I$89,3,0)*VLOOKUP('Données projet'!$B$10,Paramètres!$A$1:$I$89,5,0)</f>
        <v>3.8278358260868117E-13</v>
      </c>
      <c r="AK197" s="13">
        <f t="shared" si="164"/>
        <v>4.9186917125089072E-12</v>
      </c>
      <c r="AL197" s="20">
        <f t="shared" si="165"/>
        <v>9.2334028056631319E-12</v>
      </c>
      <c r="AM197" s="59">
        <f t="shared" si="193"/>
        <v>293.33333333334252</v>
      </c>
      <c r="AN197" s="59">
        <f ca="1">AVERAGE(OFFSET($AM$3,0,0,'Données projet'!$E$10+1,1))-AVERAGE(OFFSET($H$3,0,0,'Données projet'!$E$10+1,1))</f>
        <v>297.21955661193238</v>
      </c>
      <c r="AO197" s="59">
        <f t="shared" ref="AO197:AO203" si="205">$AO$3</f>
        <v>273.69206144662144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0.26181637161919102</v>
      </c>
      <c r="AV197" s="21">
        <f>EXP(-LN(2)/25)*AV196+(1-EXP(-LN(2)/25))/(LN(2)/25)*Calculateur!AQ197*Calculateur!AS197*VLOOKUP('Données projet'!$B$10,Paramètres!$A$1:$I$89,3,0)*0.475*44/12</f>
        <v>0.14226472115640151</v>
      </c>
      <c r="AW197" s="21">
        <f>EXP(-LN(2)/2)*AW196+(1-EXP(-LN(2)/2))/(LN(2)/2)*AQ197*AT197*VLOOKUP('Données projet'!$B$10,Paramètres!$A$1:$I$89,3,0)*0.475*44/12</f>
        <v>4.3246622515886107E-24</v>
      </c>
      <c r="AX197" s="21">
        <f t="shared" si="166"/>
        <v>0.40408109277559257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3.6357050703372803E-14</v>
      </c>
      <c r="BF197" s="13">
        <f t="shared" si="167"/>
        <v>6.1445232567661395E-13</v>
      </c>
      <c r="BG197" s="20">
        <f t="shared" si="168"/>
        <v>1.1334929971951436E-12</v>
      </c>
      <c r="BH197" s="59">
        <f t="shared" si="194"/>
        <v>293.33333333333445</v>
      </c>
      <c r="BI197" s="59">
        <f ca="1">AVERAGE(OFFSET($BH$3,0,0,'Données projet'!$E$11+1,1))-AVERAGE(OFFSET($H$3,0,0,'Données projet'!$E$11+1,1))</f>
        <v>176.90404027101607</v>
      </c>
      <c r="BJ197" s="59">
        <f t="shared" ref="BJ197:BJ203" si="206">$BJ$3</f>
        <v>295.34177980841878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6.8926481931609912E-2</v>
      </c>
      <c r="BQ197" s="21">
        <f>EXP(-LN(2)/25)*BQ196+(1-EXP(-LN(2)/25))/(LN(2)/25)*Calculateur!BL197*Calculateur!BN197*VLOOKUP('Données projet'!$B$11,Paramètres!$A$1:$I$89,3,0)*0.475*44/12</f>
        <v>8.7336827735827599E-2</v>
      </c>
      <c r="BR197" s="21">
        <f>EXP(-LN(2)/2)*BR196+(1-EXP(-LN(2)/2))/(LN(2)/2)*BL197*BO197*VLOOKUP('Données projet'!$B$11,Paramètres!$A$1:$I$89,3,0)*0.475*44/12</f>
        <v>6.969513168315569E-27</v>
      </c>
      <c r="BS197" s="22">
        <f t="shared" si="169"/>
        <v>0.15626330966743751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-5.6843418860808015E-13</v>
      </c>
      <c r="BZ197" s="13">
        <f>BY197*VLOOKUP('Données projet'!$B$12,Paramètres!$A$1:$I$89,3,0)*VLOOKUP('Données projet'!$B$12,Paramètres!$A$1:$I$89,5,0)</f>
        <v>-3.177547114319168E-13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326.31232746914907</v>
      </c>
      <c r="CE197" s="59">
        <f t="shared" ref="CE197:CE203" si="207">$CE$3</f>
        <v>330.17137761430297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0.1774926303094066</v>
      </c>
      <c r="CL197" s="21">
        <f>EXP(-LN(2)/25)*CL196+(1-EXP(-LN(2)/25))/(LN(2)/25)*Calculateur!CG197*Calculateur!CI197*VLOOKUP('Données projet'!$B$12,Paramètres!$A$1:$I$89,3,0)*0.475*44/12</f>
        <v>0.31978712650742414</v>
      </c>
      <c r="CM197" s="21">
        <f>EXP(-LN(2)/2)*CM196+(1-EXP(-LN(2)/2))/(LN(2)/2)*CG197*CJ197*VLOOKUP('Données projet'!$B$12,Paramètres!$A$1:$I$89,3,0)*0.475*44/12</f>
        <v>6.7254102449400802E-24</v>
      </c>
      <c r="CN197" s="22">
        <f t="shared" si="172"/>
        <v>0.49727975681683073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210.04871822652808</v>
      </c>
      <c r="CZ197" s="59">
        <f t="shared" ref="CZ197:CZ203" si="208">$CZ$3</f>
        <v>250.17540614049324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0.2836880095431526</v>
      </c>
      <c r="DG197" s="21">
        <f>EXP(-LN(2)/25)*DG196+(1-EXP(-LN(2)/25))/(LN(2)/25)*Calculateur!DB197*Calculateur!DD197*VLOOKUP('Données projet'!$B$13,Paramètres!$A$1:$I$89,3,0)*0.475*44/12</f>
        <v>0.29496301940800523</v>
      </c>
      <c r="DH197" s="21">
        <f>EXP(-LN(2)/2)*DH196+(1-EXP(-LN(2)/2))/(LN(2)/2)*DB197*DE197*VLOOKUP('Données projet'!$B$13,Paramètres!$A$1:$I$89,3,0)*0.475*44/12</f>
        <v>4.4572397221655963E-24</v>
      </c>
      <c r="DI197" s="22">
        <f t="shared" si="175"/>
        <v>0.57865102895115783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-5.1159076974727213E-13</v>
      </c>
      <c r="DP197" s="17">
        <f>DO197*VLOOKUP('Données projet'!$B$14,Paramètres!$A$1:$I$89,3,0)*VLOOKUP('Données projet'!$B$14,Paramètres!$A$1:$I$89,5,0)</f>
        <v>-3.7509835237869992E-13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234.09142087023463</v>
      </c>
      <c r="DU197" s="59">
        <f t="shared" ref="DU197:DU203" si="209">$DU$3</f>
        <v>278.990685815294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9.4797200278887675E-2</v>
      </c>
      <c r="EB197" s="21">
        <f>EXP(-LN(2)/25)*EB196+(1-EXP(-LN(2)/25))/(LN(2)/25)*Calculateur!DW197*Calculateur!DY197*VLOOKUP('Données projet'!$B$14,Paramètres!$A$1:$I$89,3,0)*0.475*44/12</f>
        <v>0.16260445664211851</v>
      </c>
      <c r="EC197" s="21">
        <f>EXP(-LN(2)/2)*EC196+(1-EXP(-LN(2)/2))/(LN(2)/2)*DW197*DZ197*VLOOKUP('Données projet'!$B$14,Paramètres!$A$1:$I$89,3,0)*0.475*44/12</f>
        <v>4.5812611994305124E-24</v>
      </c>
      <c r="ED197" s="22">
        <f t="shared" si="178"/>
        <v>0.25740165692100619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259.30247982593914</v>
      </c>
      <c r="T198" s="59">
        <f t="shared" si="204"/>
        <v>275.24740346220779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0.18589611992806179</v>
      </c>
      <c r="AB198" s="21">
        <f>EXP(-LN(2)/2)*AB197+(1-EXP(-LN(2)/2))/(LN(2)/2)*V198*Y198*VLOOKUP('Données projet'!$B$9,Paramètres!$A$1:$I$89,3,0)*0.475*44/12</f>
        <v>4.193837749217746E-24</v>
      </c>
      <c r="AC198" s="22">
        <f t="shared" si="163"/>
        <v>0.18589611992806179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7.9580786405131221E-13</v>
      </c>
      <c r="AJ198" s="13">
        <f>AI198*VLOOKUP('Données projet'!$B$10,Paramètres!$A$1:$I$89,3,0)*VLOOKUP('Données projet'!$B$10,Paramètres!$A$1:$I$89,5,0)</f>
        <v>3.8278358260868117E-13</v>
      </c>
      <c r="AK198" s="13">
        <f t="shared" si="164"/>
        <v>4.9186917125089072E-12</v>
      </c>
      <c r="AL198" s="20">
        <f t="shared" si="165"/>
        <v>9.2334028056631319E-12</v>
      </c>
      <c r="AM198" s="59">
        <f t="shared" si="193"/>
        <v>293.33333333334252</v>
      </c>
      <c r="AN198" s="59">
        <f ca="1">AVERAGE(OFFSET($AM$3,0,0,'Données projet'!$E$10+1,1))-AVERAGE(OFFSET($H$3,0,0,'Données projet'!$E$10+1,1))</f>
        <v>297.21955661193238</v>
      </c>
      <c r="AO198" s="59">
        <f t="shared" si="205"/>
        <v>273.69206144662144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0.2566823122639571</v>
      </c>
      <c r="AV198" s="21">
        <f>EXP(-LN(2)/25)*AV197+(1-EXP(-LN(2)/25))/(LN(2)/25)*Calculateur!AQ198*Calculateur!AS198*VLOOKUP('Données projet'!$B$10,Paramètres!$A$1:$I$89,3,0)*0.475*44/12</f>
        <v>0.13837448487500317</v>
      </c>
      <c r="AW198" s="21">
        <f>EXP(-LN(2)/2)*AW197+(1-EXP(-LN(2)/2))/(LN(2)/2)*AQ198*AT198*VLOOKUP('Données projet'!$B$10,Paramètres!$A$1:$I$89,3,0)*0.475*44/12</f>
        <v>3.0579980044397897E-24</v>
      </c>
      <c r="AX198" s="21">
        <f t="shared" si="166"/>
        <v>0.39505679713896025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3.6357050703372803E-14</v>
      </c>
      <c r="BF198" s="13">
        <f t="shared" si="167"/>
        <v>6.1445232567661395E-13</v>
      </c>
      <c r="BG198" s="20">
        <f t="shared" si="168"/>
        <v>1.1334929971951436E-12</v>
      </c>
      <c r="BH198" s="59">
        <f t="shared" si="194"/>
        <v>293.33333333333445</v>
      </c>
      <c r="BI198" s="59">
        <f ca="1">AVERAGE(OFFSET($BH$3,0,0,'Données projet'!$E$11+1,1))-AVERAGE(OFFSET($H$3,0,0,'Données projet'!$E$11+1,1))</f>
        <v>176.90404027101607</v>
      </c>
      <c r="BJ198" s="59">
        <f t="shared" si="206"/>
        <v>295.34177980841878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6.757487566193382E-2</v>
      </c>
      <c r="BQ198" s="21">
        <f>EXP(-LN(2)/25)*BQ197+(1-EXP(-LN(2)/25))/(LN(2)/25)*Calculateur!BL198*Calculateur!BN198*VLOOKUP('Données projet'!$B$11,Paramètres!$A$1:$I$89,3,0)*0.475*44/12</f>
        <v>8.4948597588547239E-2</v>
      </c>
      <c r="BR198" s="21">
        <f>EXP(-LN(2)/2)*BR197+(1-EXP(-LN(2)/2))/(LN(2)/2)*BL198*BO198*VLOOKUP('Données projet'!$B$11,Paramètres!$A$1:$I$89,3,0)*0.475*44/12</f>
        <v>4.9281900228848787E-27</v>
      </c>
      <c r="BS198" s="22">
        <f t="shared" si="169"/>
        <v>0.15252347325048105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-5.6843418860808015E-13</v>
      </c>
      <c r="BZ198" s="13">
        <f>BY198*VLOOKUP('Données projet'!$B$12,Paramètres!$A$1:$I$89,3,0)*VLOOKUP('Données projet'!$B$12,Paramètres!$A$1:$I$89,5,0)</f>
        <v>-3.177547114319168E-13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326.31232746914907</v>
      </c>
      <c r="CE198" s="59">
        <f t="shared" si="207"/>
        <v>330.17137761430297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0.17401210808885384</v>
      </c>
      <c r="CL198" s="21">
        <f>EXP(-LN(2)/25)*CL197+(1-EXP(-LN(2)/25))/(LN(2)/25)*Calculateur!CG198*Calculateur!CI198*VLOOKUP('Données projet'!$B$12,Paramètres!$A$1:$I$89,3,0)*0.475*44/12</f>
        <v>0.31104253071620452</v>
      </c>
      <c r="CM198" s="21">
        <f>EXP(-LN(2)/2)*CM197+(1-EXP(-LN(2)/2))/(LN(2)/2)*CG198*CJ198*VLOOKUP('Données projet'!$B$12,Paramètres!$A$1:$I$89,3,0)*0.475*44/12</f>
        <v>4.7555831904586103E-24</v>
      </c>
      <c r="CN198" s="22">
        <f t="shared" si="172"/>
        <v>0.48505463880505839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210.04871822652808</v>
      </c>
      <c r="CZ198" s="59">
        <f t="shared" si="208"/>
        <v>250.17540614049324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0.27812506070861165</v>
      </c>
      <c r="DG198" s="21">
        <f>EXP(-LN(2)/25)*DG197+(1-EXP(-LN(2)/25))/(LN(2)/25)*Calculateur!DB198*Calculateur!DD198*VLOOKUP('Données projet'!$B$13,Paramètres!$A$1:$I$89,3,0)*0.475*44/12</f>
        <v>0.28689724013086226</v>
      </c>
      <c r="DH198" s="21">
        <f>EXP(-LN(2)/2)*DH197+(1-EXP(-LN(2)/2))/(LN(2)/2)*DB198*DE198*VLOOKUP('Données projet'!$B$13,Paramètres!$A$1:$I$89,3,0)*0.475*44/12</f>
        <v>3.1517444329173362E-24</v>
      </c>
      <c r="DI198" s="22">
        <f t="shared" si="175"/>
        <v>0.56502230083947391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-5.1159076974727213E-13</v>
      </c>
      <c r="DP198" s="17">
        <f>DO198*VLOOKUP('Données projet'!$B$14,Paramètres!$A$1:$I$89,3,0)*VLOOKUP('Données projet'!$B$14,Paramètres!$A$1:$I$89,5,0)</f>
        <v>-3.7509835237869992E-13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234.09142087023463</v>
      </c>
      <c r="DU198" s="59">
        <f t="shared" si="209"/>
        <v>278.990685815294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9.2938285002001547E-2</v>
      </c>
      <c r="EB198" s="21">
        <f>EXP(-LN(2)/25)*EB197+(1-EXP(-LN(2)/25))/(LN(2)/25)*Calculateur!DW198*Calculateur!DY198*VLOOKUP('Données projet'!$B$14,Paramètres!$A$1:$I$89,3,0)*0.475*44/12</f>
        <v>0.15815802922424305</v>
      </c>
      <c r="EC198" s="21">
        <f>EXP(-LN(2)/2)*EC197+(1-EXP(-LN(2)/2))/(LN(2)/2)*DW198*DZ198*VLOOKUP('Données projet'!$B$14,Paramètres!$A$1:$I$89,3,0)*0.475*44/12</f>
        <v>3.2394408605041318E-24</v>
      </c>
      <c r="ED198" s="22">
        <f t="shared" si="178"/>
        <v>0.25109631422624457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259.30247982593914</v>
      </c>
      <c r="T199" s="59">
        <f t="shared" si="204"/>
        <v>275.24740346220779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0.18081278075277687</v>
      </c>
      <c r="AB199" s="21">
        <f>EXP(-LN(2)/2)*AB198+(1-EXP(-LN(2)/2))/(LN(2)/2)*V199*Y199*VLOOKUP('Données projet'!$B$9,Paramètres!$A$1:$I$89,3,0)*0.475*44/12</f>
        <v>2.9654911116679957E-24</v>
      </c>
      <c r="AC199" s="22">
        <f t="shared" si="163"/>
        <v>0.18081278075277687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7.9580786405131221E-13</v>
      </c>
      <c r="AJ199" s="13">
        <f>AI199*VLOOKUP('Données projet'!$B$10,Paramètres!$A$1:$I$89,3,0)*VLOOKUP('Données projet'!$B$10,Paramètres!$A$1:$I$89,5,0)</f>
        <v>3.8278358260868117E-13</v>
      </c>
      <c r="AK199" s="13">
        <f t="shared" si="164"/>
        <v>4.9186917125089072E-12</v>
      </c>
      <c r="AL199" s="20">
        <f t="shared" si="165"/>
        <v>9.2334028056631319E-12</v>
      </c>
      <c r="AM199" s="59">
        <f t="shared" si="193"/>
        <v>293.33333333334252</v>
      </c>
      <c r="AN199" s="59">
        <f ca="1">AVERAGE(OFFSET($AM$3,0,0,'Données projet'!$E$10+1,1))-AVERAGE(OFFSET($H$3,0,0,'Données projet'!$E$10+1,1))</f>
        <v>297.21955661193238</v>
      </c>
      <c r="AO199" s="59">
        <f t="shared" si="205"/>
        <v>273.69206144662144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0.2516489286812123</v>
      </c>
      <c r="AV199" s="21">
        <f>EXP(-LN(2)/25)*AV198+(1-EXP(-LN(2)/25))/(LN(2)/25)*Calculateur!AQ199*Calculateur!AS199*VLOOKUP('Données projet'!$B$10,Paramètres!$A$1:$I$89,3,0)*0.475*44/12</f>
        <v>0.1345906273092983</v>
      </c>
      <c r="AW199" s="21">
        <f>EXP(-LN(2)/2)*AW198+(1-EXP(-LN(2)/2))/(LN(2)/2)*AQ199*AT199*VLOOKUP('Données projet'!$B$10,Paramètres!$A$1:$I$89,3,0)*0.475*44/12</f>
        <v>2.1623311257943053E-24</v>
      </c>
      <c r="AX199" s="21">
        <f t="shared" si="166"/>
        <v>0.38623955599051063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3.6357050703372803E-14</v>
      </c>
      <c r="BF199" s="13">
        <f t="shared" si="167"/>
        <v>6.1445232567661395E-13</v>
      </c>
      <c r="BG199" s="20">
        <f t="shared" si="168"/>
        <v>1.1334929971951436E-12</v>
      </c>
      <c r="BH199" s="59">
        <f t="shared" si="194"/>
        <v>293.33333333333445</v>
      </c>
      <c r="BI199" s="59">
        <f ca="1">AVERAGE(OFFSET($BH$3,0,0,'Données projet'!$E$11+1,1))-AVERAGE(OFFSET($H$3,0,0,'Données projet'!$E$11+1,1))</f>
        <v>176.90404027101607</v>
      </c>
      <c r="BJ199" s="59">
        <f t="shared" si="206"/>
        <v>295.34177980841878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6.6249773566807654E-2</v>
      </c>
      <c r="BQ199" s="21">
        <f>EXP(-LN(2)/25)*BQ198+(1-EXP(-LN(2)/25))/(LN(2)/25)*Calculateur!BL199*Calculateur!BN199*VLOOKUP('Données projet'!$B$11,Paramètres!$A$1:$I$89,3,0)*0.475*44/12</f>
        <v>8.2625673720235826E-2</v>
      </c>
      <c r="BR199" s="21">
        <f>EXP(-LN(2)/2)*BR198+(1-EXP(-LN(2)/2))/(LN(2)/2)*BL199*BO199*VLOOKUP('Données projet'!$B$11,Paramètres!$A$1:$I$89,3,0)*0.475*44/12</f>
        <v>3.4847565841577845E-27</v>
      </c>
      <c r="BS199" s="22">
        <f t="shared" si="169"/>
        <v>0.14887544728704349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-5.6843418860808015E-13</v>
      </c>
      <c r="BZ199" s="13">
        <f>BY199*VLOOKUP('Données projet'!$B$12,Paramètres!$A$1:$I$89,3,0)*VLOOKUP('Données projet'!$B$12,Paramètres!$A$1:$I$89,5,0)</f>
        <v>-3.177547114319168E-13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326.31232746914907</v>
      </c>
      <c r="CE199" s="59">
        <f t="shared" si="207"/>
        <v>330.17137761430297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0.17059983678613719</v>
      </c>
      <c r="CL199" s="21">
        <f>EXP(-LN(2)/25)*CL198+(1-EXP(-LN(2)/25))/(LN(2)/25)*Calculateur!CG199*Calculateur!CI199*VLOOKUP('Données projet'!$B$12,Paramètres!$A$1:$I$89,3,0)*0.475*44/12</f>
        <v>0.3025370563567541</v>
      </c>
      <c r="CM199" s="21">
        <f>EXP(-LN(2)/2)*CM198+(1-EXP(-LN(2)/2))/(LN(2)/2)*CG199*CJ199*VLOOKUP('Données projet'!$B$12,Paramètres!$A$1:$I$89,3,0)*0.475*44/12</f>
        <v>3.3627051224700401E-24</v>
      </c>
      <c r="CN199" s="22">
        <f t="shared" si="172"/>
        <v>0.47313689314289131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210.04871822652808</v>
      </c>
      <c r="CZ199" s="59">
        <f t="shared" si="208"/>
        <v>250.17540614049324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0.27267119790765232</v>
      </c>
      <c r="DG199" s="21">
        <f>EXP(-LN(2)/25)*DG198+(1-EXP(-LN(2)/25))/(LN(2)/25)*Calculateur!DB199*Calculateur!DD199*VLOOKUP('Données projet'!$B$13,Paramètres!$A$1:$I$89,3,0)*0.475*44/12</f>
        <v>0.27905202001221369</v>
      </c>
      <c r="DH199" s="21">
        <f>EXP(-LN(2)/2)*DH198+(1-EXP(-LN(2)/2))/(LN(2)/2)*DB199*DE199*VLOOKUP('Données projet'!$B$13,Paramètres!$A$1:$I$89,3,0)*0.475*44/12</f>
        <v>2.2286198610827981E-24</v>
      </c>
      <c r="DI199" s="22">
        <f t="shared" si="175"/>
        <v>0.551723217919866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-5.1159076974727213E-13</v>
      </c>
      <c r="DP199" s="17">
        <f>DO199*VLOOKUP('Données projet'!$B$14,Paramètres!$A$1:$I$89,3,0)*VLOOKUP('Données projet'!$B$14,Paramètres!$A$1:$I$89,5,0)</f>
        <v>-3.7509835237869992E-13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234.09142087023463</v>
      </c>
      <c r="DU199" s="59">
        <f t="shared" si="209"/>
        <v>278.990685815294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9.1115821919868792E-2</v>
      </c>
      <c r="EB199" s="21">
        <f>EXP(-LN(2)/25)*EB198+(1-EXP(-LN(2)/25))/(LN(2)/25)*Calculateur!DW199*Calculateur!DY199*VLOOKUP('Données projet'!$B$14,Paramètres!$A$1:$I$89,3,0)*0.475*44/12</f>
        <v>0.15383318959793685</v>
      </c>
      <c r="EC199" s="21">
        <f>EXP(-LN(2)/2)*EC198+(1-EXP(-LN(2)/2))/(LN(2)/2)*DW199*DZ199*VLOOKUP('Données projet'!$B$14,Paramètres!$A$1:$I$89,3,0)*0.475*44/12</f>
        <v>2.2906305997152566E-24</v>
      </c>
      <c r="ED199" s="22">
        <f t="shared" si="178"/>
        <v>0.24494901151780563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259.30247982593914</v>
      </c>
      <c r="T200" s="59">
        <f t="shared" si="204"/>
        <v>275.24740346220779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0.17586844575456131</v>
      </c>
      <c r="AB200" s="21">
        <f>EXP(-LN(2)/2)*AB199+(1-EXP(-LN(2)/2))/(LN(2)/2)*V200*Y200*VLOOKUP('Données projet'!$B$9,Paramètres!$A$1:$I$89,3,0)*0.475*44/12</f>
        <v>2.096918874608873E-24</v>
      </c>
      <c r="AC200" s="22">
        <f t="shared" si="163"/>
        <v>0.17586844575456131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7.9580786405131221E-13</v>
      </c>
      <c r="AJ200" s="13">
        <f>AI200*VLOOKUP('Données projet'!$B$10,Paramètres!$A$1:$I$89,3,0)*VLOOKUP('Données projet'!$B$10,Paramètres!$A$1:$I$89,5,0)</f>
        <v>3.8278358260868117E-13</v>
      </c>
      <c r="AK200" s="13">
        <f t="shared" si="164"/>
        <v>4.9186917125089072E-12</v>
      </c>
      <c r="AL200" s="20">
        <f t="shared" si="165"/>
        <v>9.2334028056631319E-12</v>
      </c>
      <c r="AM200" s="59">
        <f t="shared" si="193"/>
        <v>293.33333333334252</v>
      </c>
      <c r="AN200" s="59">
        <f ca="1">AVERAGE(OFFSET($AM$3,0,0,'Données projet'!$E$10+1,1))-AVERAGE(OFFSET($H$3,0,0,'Données projet'!$E$10+1,1))</f>
        <v>297.21955661193238</v>
      </c>
      <c r="AO200" s="59">
        <f t="shared" si="205"/>
        <v>273.69206144662144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0.24671424668046427</v>
      </c>
      <c r="AV200" s="21">
        <f>EXP(-LN(2)/25)*AV199+(1-EXP(-LN(2)/25))/(LN(2)/25)*Calculateur!AQ200*Calculateur!AS200*VLOOKUP('Données projet'!$B$10,Paramètres!$A$1:$I$89,3,0)*0.475*44/12</f>
        <v>0.13091023952771205</v>
      </c>
      <c r="AW200" s="21">
        <f>EXP(-LN(2)/2)*AW199+(1-EXP(-LN(2)/2))/(LN(2)/2)*AQ200*AT200*VLOOKUP('Données projet'!$B$10,Paramètres!$A$1:$I$89,3,0)*0.475*44/12</f>
        <v>1.5289990022198948E-24</v>
      </c>
      <c r="AX200" s="21">
        <f t="shared" si="166"/>
        <v>0.37762448620817635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3.6357050703372803E-14</v>
      </c>
      <c r="BF200" s="13">
        <f t="shared" si="167"/>
        <v>6.1445232567661395E-13</v>
      </c>
      <c r="BG200" s="20">
        <f t="shared" si="168"/>
        <v>1.1334929971951436E-12</v>
      </c>
      <c r="BH200" s="59">
        <f t="shared" si="194"/>
        <v>293.33333333333445</v>
      </c>
      <c r="BI200" s="59">
        <f ca="1">AVERAGE(OFFSET($BH$3,0,0,'Données projet'!$E$11+1,1))-AVERAGE(OFFSET($H$3,0,0,'Données projet'!$E$11+1,1))</f>
        <v>176.90404027101607</v>
      </c>
      <c r="BJ200" s="59">
        <f t="shared" si="206"/>
        <v>295.34177980841878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6.4950655915534436E-2</v>
      </c>
      <c r="BQ200" s="21">
        <f>EXP(-LN(2)/25)*BQ199+(1-EXP(-LN(2)/25))/(LN(2)/25)*Calculateur!BL200*Calculateur!BN200*VLOOKUP('Données projet'!$B$11,Paramètres!$A$1:$I$89,3,0)*0.475*44/12</f>
        <v>8.0366270327260639E-2</v>
      </c>
      <c r="BR200" s="21">
        <f>EXP(-LN(2)/2)*BR199+(1-EXP(-LN(2)/2))/(LN(2)/2)*BL200*BO200*VLOOKUP('Données projet'!$B$11,Paramètres!$A$1:$I$89,3,0)*0.475*44/12</f>
        <v>2.4640950114424393E-27</v>
      </c>
      <c r="BS200" s="22">
        <f t="shared" si="169"/>
        <v>0.14531692624279507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-5.6843418860808015E-13</v>
      </c>
      <c r="BZ200" s="13">
        <f>BY200*VLOOKUP('Données projet'!$B$12,Paramètres!$A$1:$I$89,3,0)*VLOOKUP('Données projet'!$B$12,Paramètres!$A$1:$I$89,5,0)</f>
        <v>-3.177547114319168E-13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326.31232746914907</v>
      </c>
      <c r="CE200" s="59">
        <f t="shared" si="207"/>
        <v>330.17137761430297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0.16725447804238683</v>
      </c>
      <c r="CL200" s="21">
        <f>EXP(-LN(2)/25)*CL199+(1-EXP(-LN(2)/25))/(LN(2)/25)*Calculateur!CG200*Calculateur!CI200*VLOOKUP('Données projet'!$B$12,Paramètres!$A$1:$I$89,3,0)*0.475*44/12</f>
        <v>0.29426416464094635</v>
      </c>
      <c r="CM200" s="21">
        <f>EXP(-LN(2)/2)*CM199+(1-EXP(-LN(2)/2))/(LN(2)/2)*CG200*CJ200*VLOOKUP('Données projet'!$B$12,Paramètres!$A$1:$I$89,3,0)*0.475*44/12</f>
        <v>2.3777915952293051E-24</v>
      </c>
      <c r="CN200" s="22">
        <f t="shared" si="172"/>
        <v>0.4615186426833332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210.04871822652808</v>
      </c>
      <c r="CZ200" s="59">
        <f t="shared" si="208"/>
        <v>250.17540614049324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0.26732428202969194</v>
      </c>
      <c r="DG200" s="21">
        <f>EXP(-LN(2)/25)*DG199+(1-EXP(-LN(2)/25))/(LN(2)/25)*Calculateur!DB200*Calculateur!DD200*VLOOKUP('Données projet'!$B$13,Paramètres!$A$1:$I$89,3,0)*0.475*44/12</f>
        <v>0.27142132785027173</v>
      </c>
      <c r="DH200" s="21">
        <f>EXP(-LN(2)/2)*DH199+(1-EXP(-LN(2)/2))/(LN(2)/2)*DB200*DE200*VLOOKUP('Données projet'!$B$13,Paramètres!$A$1:$I$89,3,0)*0.475*44/12</f>
        <v>1.5758722164586681E-24</v>
      </c>
      <c r="DI200" s="22">
        <f t="shared" si="175"/>
        <v>0.53874560987996367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-5.1159076974727213E-13</v>
      </c>
      <c r="DP200" s="17">
        <f>DO200*VLOOKUP('Données projet'!$B$14,Paramètres!$A$1:$I$89,3,0)*VLOOKUP('Données projet'!$B$14,Paramètres!$A$1:$I$89,5,0)</f>
        <v>-3.7509835237869992E-13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234.09142087023463</v>
      </c>
      <c r="DU200" s="59">
        <f t="shared" si="209"/>
        <v>278.990685815294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8.9329096227183949E-2</v>
      </c>
      <c r="EB200" s="21">
        <f>EXP(-LN(2)/25)*EB199+(1-EXP(-LN(2)/25))/(LN(2)/25)*Calculateur!DW200*Calculateur!DY200*VLOOKUP('Données projet'!$B$14,Paramètres!$A$1:$I$89,3,0)*0.475*44/12</f>
        <v>0.1496266129386454</v>
      </c>
      <c r="EC200" s="21">
        <f>EXP(-LN(2)/2)*EC199+(1-EXP(-LN(2)/2))/(LN(2)/2)*DW200*DZ200*VLOOKUP('Données projet'!$B$14,Paramètres!$A$1:$I$89,3,0)*0.475*44/12</f>
        <v>1.6197204302520661E-24</v>
      </c>
      <c r="ED200" s="22">
        <f t="shared" si="178"/>
        <v>0.23895570916582937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259.30247982593914</v>
      </c>
      <c r="T201" s="59">
        <f t="shared" si="204"/>
        <v>275.24740346220779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0.17105931385688322</v>
      </c>
      <c r="AB201" s="21">
        <f>EXP(-LN(2)/2)*AB200+(1-EXP(-LN(2)/2))/(LN(2)/2)*V201*Y201*VLOOKUP('Données projet'!$B$9,Paramètres!$A$1:$I$89,3,0)*0.475*44/12</f>
        <v>1.4827455558339979E-24</v>
      </c>
      <c r="AC201" s="22">
        <f t="shared" si="163"/>
        <v>0.17105931385688322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7.9580786405131221E-13</v>
      </c>
      <c r="AJ201" s="13">
        <f>AI201*VLOOKUP('Données projet'!$B$10,Paramètres!$A$1:$I$89,3,0)*VLOOKUP('Données projet'!$B$10,Paramètres!$A$1:$I$89,5,0)</f>
        <v>3.8278358260868117E-13</v>
      </c>
      <c r="AK201" s="13">
        <f t="shared" si="164"/>
        <v>4.9186917125089072E-12</v>
      </c>
      <c r="AL201" s="20">
        <f t="shared" si="165"/>
        <v>9.2334028056631319E-12</v>
      </c>
      <c r="AM201" s="59">
        <f t="shared" si="193"/>
        <v>293.33333333334252</v>
      </c>
      <c r="AN201" s="59">
        <f ca="1">AVERAGE(OFFSET($AM$3,0,0,'Données projet'!$E$10+1,1))-AVERAGE(OFFSET($H$3,0,0,'Données projet'!$E$10+1,1))</f>
        <v>297.21955661193238</v>
      </c>
      <c r="AO201" s="59">
        <f t="shared" si="205"/>
        <v>273.69206144662144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0.24187633078389209</v>
      </c>
      <c r="AV201" s="21">
        <f>EXP(-LN(2)/25)*AV200+(1-EXP(-LN(2)/25))/(LN(2)/25)*Calculateur!AQ201*Calculateur!AS201*VLOOKUP('Données projet'!$B$10,Paramètres!$A$1:$I$89,3,0)*0.475*44/12</f>
        <v>0.12733049214355646</v>
      </c>
      <c r="AW201" s="21">
        <f>EXP(-LN(2)/2)*AW200+(1-EXP(-LN(2)/2))/(LN(2)/2)*AQ201*AT201*VLOOKUP('Données projet'!$B$10,Paramètres!$A$1:$I$89,3,0)*0.475*44/12</f>
        <v>1.0811655628971527E-24</v>
      </c>
      <c r="AX201" s="21">
        <f t="shared" si="166"/>
        <v>0.36920682292744855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3.6357050703372803E-14</v>
      </c>
      <c r="BF201" s="13">
        <f t="shared" si="167"/>
        <v>6.1445232567661395E-13</v>
      </c>
      <c r="BG201" s="20">
        <f t="shared" si="168"/>
        <v>1.1334929971951436E-12</v>
      </c>
      <c r="BH201" s="59">
        <f t="shared" si="194"/>
        <v>293.33333333333445</v>
      </c>
      <c r="BI201" s="59">
        <f ca="1">AVERAGE(OFFSET($BH$3,0,0,'Données projet'!$E$11+1,1))-AVERAGE(OFFSET($H$3,0,0,'Données projet'!$E$11+1,1))</f>
        <v>176.90404027101607</v>
      </c>
      <c r="BJ201" s="59">
        <f t="shared" si="206"/>
        <v>295.34177980841878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6.3677013169019164E-2</v>
      </c>
      <c r="BQ201" s="21">
        <f>EXP(-LN(2)/25)*BQ200+(1-EXP(-LN(2)/25))/(LN(2)/25)*Calculateur!BL201*Calculateur!BN201*VLOOKUP('Données projet'!$B$11,Paramètres!$A$1:$I$89,3,0)*0.475*44/12</f>
        <v>7.8168650438883214E-2</v>
      </c>
      <c r="BR201" s="21">
        <f>EXP(-LN(2)/2)*BR200+(1-EXP(-LN(2)/2))/(LN(2)/2)*BL201*BO201*VLOOKUP('Données projet'!$B$11,Paramètres!$A$1:$I$89,3,0)*0.475*44/12</f>
        <v>1.7423782920788922E-27</v>
      </c>
      <c r="BS201" s="22">
        <f t="shared" si="169"/>
        <v>0.14184566360790238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-5.6843418860808015E-13</v>
      </c>
      <c r="BZ201" s="13">
        <f>BY201*VLOOKUP('Données projet'!$B$12,Paramètres!$A$1:$I$89,3,0)*VLOOKUP('Données projet'!$B$12,Paramètres!$A$1:$I$89,5,0)</f>
        <v>-3.177547114319168E-13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326.31232746914907</v>
      </c>
      <c r="CE201" s="59">
        <f t="shared" si="207"/>
        <v>330.17137761430297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0.16397471974313407</v>
      </c>
      <c r="CL201" s="21">
        <f>EXP(-LN(2)/25)*CL200+(1-EXP(-LN(2)/25))/(LN(2)/25)*Calculateur!CG201*Calculateur!CI201*VLOOKUP('Données projet'!$B$12,Paramètres!$A$1:$I$89,3,0)*0.475*44/12</f>
        <v>0.28621749558415982</v>
      </c>
      <c r="CM201" s="21">
        <f>EXP(-LN(2)/2)*CM200+(1-EXP(-LN(2)/2))/(LN(2)/2)*CG201*CJ201*VLOOKUP('Données projet'!$B$12,Paramètres!$A$1:$I$89,3,0)*0.475*44/12</f>
        <v>1.6813525612350201E-24</v>
      </c>
      <c r="CN201" s="22">
        <f t="shared" si="172"/>
        <v>0.45019221532729392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210.04871822652808</v>
      </c>
      <c r="CZ201" s="59">
        <f t="shared" si="208"/>
        <v>250.17540614049324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0.26208221591080172</v>
      </c>
      <c r="DG201" s="21">
        <f>EXP(-LN(2)/25)*DG200+(1-EXP(-LN(2)/25))/(LN(2)/25)*Calculateur!DB201*Calculateur!DD201*VLOOKUP('Données projet'!$B$13,Paramètres!$A$1:$I$89,3,0)*0.475*44/12</f>
        <v>0.26399929736677874</v>
      </c>
      <c r="DH201" s="21">
        <f>EXP(-LN(2)/2)*DH200+(1-EXP(-LN(2)/2))/(LN(2)/2)*DB201*DE201*VLOOKUP('Données projet'!$B$13,Paramètres!$A$1:$I$89,3,0)*0.475*44/12</f>
        <v>1.1143099305413991E-24</v>
      </c>
      <c r="DI201" s="22">
        <f t="shared" si="175"/>
        <v>0.52608151327758046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-5.1159076974727213E-13</v>
      </c>
      <c r="DP201" s="17">
        <f>DO201*VLOOKUP('Données projet'!$B$14,Paramètres!$A$1:$I$89,3,0)*VLOOKUP('Données projet'!$B$14,Paramètres!$A$1:$I$89,5,0)</f>
        <v>-3.7509835237869992E-13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234.09142087023463</v>
      </c>
      <c r="DU201" s="59">
        <f t="shared" si="209"/>
        <v>278.990685815294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8.7577407135537591E-2</v>
      </c>
      <c r="EB201" s="21">
        <f>EXP(-LN(2)/25)*EB200+(1-EXP(-LN(2)/25))/(LN(2)/25)*Calculateur!DW201*Calculateur!DY201*VLOOKUP('Données projet'!$B$14,Paramètres!$A$1:$I$89,3,0)*0.475*44/12</f>
        <v>0.14553506533931654</v>
      </c>
      <c r="EC201" s="21">
        <f>EXP(-LN(2)/2)*EC200+(1-EXP(-LN(2)/2))/(LN(2)/2)*DW201*DZ201*VLOOKUP('Données projet'!$B$14,Paramètres!$A$1:$I$89,3,0)*0.475*44/12</f>
        <v>1.1453152998576285E-24</v>
      </c>
      <c r="ED201" s="22">
        <f t="shared" si="178"/>
        <v>0.23311247247485412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259.30247982593914</v>
      </c>
      <c r="T202" s="59">
        <f t="shared" si="204"/>
        <v>275.24740346220779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0.16638168792384839</v>
      </c>
      <c r="AB202" s="21">
        <f>EXP(-LN(2)/2)*AB201+(1-EXP(-LN(2)/2))/(LN(2)/2)*V202*Y202*VLOOKUP('Données projet'!$B$9,Paramètres!$A$1:$I$89,3,0)*0.475*44/12</f>
        <v>1.0484594373044365E-24</v>
      </c>
      <c r="AC202" s="22">
        <f t="shared" si="163"/>
        <v>0.16638168792384839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7.9580786405131221E-13</v>
      </c>
      <c r="AJ202" s="13">
        <f>AI202*VLOOKUP('Données projet'!$B$10,Paramètres!$A$1:$I$89,3,0)*VLOOKUP('Données projet'!$B$10,Paramètres!$A$1:$I$89,5,0)</f>
        <v>3.8278358260868117E-13</v>
      </c>
      <c r="AK202" s="13">
        <f t="shared" si="164"/>
        <v>4.9186917125089072E-12</v>
      </c>
      <c r="AL202" s="20">
        <f t="shared" si="165"/>
        <v>9.2334028056631319E-12</v>
      </c>
      <c r="AM202" s="59">
        <f t="shared" si="193"/>
        <v>293.33333333334252</v>
      </c>
      <c r="AN202" s="59">
        <f ca="1">AVERAGE(OFFSET($AM$3,0,0,'Données projet'!$E$10+1,1))-AVERAGE(OFFSET($H$3,0,0,'Données projet'!$E$10+1,1))</f>
        <v>297.21955661193238</v>
      </c>
      <c r="AO202" s="59">
        <f t="shared" si="205"/>
        <v>273.69206144662144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0.23713328346721438</v>
      </c>
      <c r="AV202" s="21">
        <f>EXP(-LN(2)/25)*AV201+(1-EXP(-LN(2)/25))/(LN(2)/25)*Calculateur!AQ202*Calculateur!AS202*VLOOKUP('Données projet'!$B$10,Paramètres!$A$1:$I$89,3,0)*0.475*44/12</f>
        <v>0.12384863313987135</v>
      </c>
      <c r="AW202" s="21">
        <f>EXP(-LN(2)/2)*AW201+(1-EXP(-LN(2)/2))/(LN(2)/2)*AQ202*AT202*VLOOKUP('Données projet'!$B$10,Paramètres!$A$1:$I$89,3,0)*0.475*44/12</f>
        <v>7.6449950110994742E-25</v>
      </c>
      <c r="AX202" s="21">
        <f t="shared" si="166"/>
        <v>0.36098191660708573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3.6357050703372803E-14</v>
      </c>
      <c r="BF202" s="13">
        <f t="shared" si="167"/>
        <v>6.1445232567661395E-13</v>
      </c>
      <c r="BG202" s="20">
        <f t="shared" si="168"/>
        <v>1.1334929971951436E-12</v>
      </c>
      <c r="BH202" s="59">
        <f t="shared" si="194"/>
        <v>293.33333333333445</v>
      </c>
      <c r="BI202" s="59">
        <f ca="1">AVERAGE(OFFSET($BH$3,0,0,'Données projet'!$E$11+1,1))-AVERAGE(OFFSET($H$3,0,0,'Données projet'!$E$11+1,1))</f>
        <v>176.90404027101607</v>
      </c>
      <c r="BJ202" s="59">
        <f t="shared" si="206"/>
        <v>295.34177980841878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6.2428345779917682E-2</v>
      </c>
      <c r="BQ202" s="21">
        <f>EXP(-LN(2)/25)*BQ201+(1-EXP(-LN(2)/25))/(LN(2)/25)*Calculateur!BL202*Calculateur!BN202*VLOOKUP('Données projet'!$B$11,Paramètres!$A$1:$I$89,3,0)*0.475*44/12</f>
        <v>7.6031124581921281E-2</v>
      </c>
      <c r="BR202" s="21">
        <f>EXP(-LN(2)/2)*BR201+(1-EXP(-LN(2)/2))/(LN(2)/2)*BL202*BO202*VLOOKUP('Données projet'!$B$11,Paramètres!$A$1:$I$89,3,0)*0.475*44/12</f>
        <v>1.2320475057212197E-27</v>
      </c>
      <c r="BS202" s="22">
        <f t="shared" si="169"/>
        <v>0.13845947036183898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-5.6843418860808015E-13</v>
      </c>
      <c r="BZ202" s="13">
        <f>BY202*VLOOKUP('Données projet'!$B$12,Paramètres!$A$1:$I$89,3,0)*VLOOKUP('Données projet'!$B$12,Paramètres!$A$1:$I$89,5,0)</f>
        <v>-3.177547114319168E-13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326.31232746914907</v>
      </c>
      <c r="CE202" s="59">
        <f t="shared" si="207"/>
        <v>330.17137761430297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0.16075927550367464</v>
      </c>
      <c r="CL202" s="21">
        <f>EXP(-LN(2)/25)*CL201+(1-EXP(-LN(2)/25))/(LN(2)/25)*Calculateur!CG202*Calculateur!CI202*VLOOKUP('Données projet'!$B$12,Paramètres!$A$1:$I$89,3,0)*0.475*44/12</f>
        <v>0.27839086311588701</v>
      </c>
      <c r="CM202" s="21">
        <f>EXP(-LN(2)/2)*CM201+(1-EXP(-LN(2)/2))/(LN(2)/2)*CG202*CJ202*VLOOKUP('Données projet'!$B$12,Paramètres!$A$1:$I$89,3,0)*0.475*44/12</f>
        <v>1.1888957976146526E-24</v>
      </c>
      <c r="CN202" s="22">
        <f t="shared" si="172"/>
        <v>0.43915013861956165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210.04871822652808</v>
      </c>
      <c r="CZ202" s="59">
        <f t="shared" si="208"/>
        <v>250.17540614049324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0.25694294351115832</v>
      </c>
      <c r="DG202" s="21">
        <f>EXP(-LN(2)/25)*DG201+(1-EXP(-LN(2)/25))/(LN(2)/25)*Calculateur!DB202*Calculateur!DD202*VLOOKUP('Données projet'!$B$13,Paramètres!$A$1:$I$89,3,0)*0.475*44/12</f>
        <v>0.2567802226971645</v>
      </c>
      <c r="DH202" s="21">
        <f>EXP(-LN(2)/2)*DH201+(1-EXP(-LN(2)/2))/(LN(2)/2)*DB202*DE202*VLOOKUP('Données projet'!$B$13,Paramètres!$A$1:$I$89,3,0)*0.475*44/12</f>
        <v>7.8793610822933405E-25</v>
      </c>
      <c r="DI202" s="22">
        <f t="shared" si="175"/>
        <v>0.51372316620832281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-5.1159076974727213E-13</v>
      </c>
      <c r="DP202" s="17">
        <f>DO202*VLOOKUP('Données projet'!$B$14,Paramètres!$A$1:$I$89,3,0)*VLOOKUP('Données projet'!$B$14,Paramètres!$A$1:$I$89,5,0)</f>
        <v>-3.7509835237869992E-13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234.09142087023463</v>
      </c>
      <c r="DU202" s="59">
        <f t="shared" si="209"/>
        <v>278.990685815294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8.5860067598553566E-2</v>
      </c>
      <c r="EB202" s="21">
        <f>EXP(-LN(2)/25)*EB201+(1-EXP(-LN(2)/25))/(LN(2)/25)*Calculateur!DW202*Calculateur!DY202*VLOOKUP('Données projet'!$B$14,Paramètres!$A$1:$I$89,3,0)*0.475*44/12</f>
        <v>0.14155540132425648</v>
      </c>
      <c r="EC202" s="21">
        <f>EXP(-LN(2)/2)*EC201+(1-EXP(-LN(2)/2))/(LN(2)/2)*DW202*DZ202*VLOOKUP('Données projet'!$B$14,Paramètres!$A$1:$I$89,3,0)*0.475*44/12</f>
        <v>8.0986021512603324E-25</v>
      </c>
      <c r="ED202" s="22">
        <f t="shared" si="178"/>
        <v>0.22741546892281006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259.30247982593914</v>
      </c>
      <c r="T203" s="59">
        <f t="shared" si="204"/>
        <v>275.24740346220779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0.16183197191793805</v>
      </c>
      <c r="AB203" s="21">
        <f>EXP(-LN(2)/2)*AB202+(1-EXP(-LN(2)/2))/(LN(2)/2)*V203*Y203*VLOOKUP('Données projet'!$B$9,Paramètres!$A$1:$I$89,3,0)*0.475*44/12</f>
        <v>7.4137277791699894E-25</v>
      </c>
      <c r="AC203" s="22">
        <f t="shared" si="163"/>
        <v>0.16183197191793805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7.9580786405131221E-13</v>
      </c>
      <c r="AJ203" s="13">
        <f>AI203*VLOOKUP('Données projet'!$B$10,Paramètres!$A$1:$I$89,3,0)*VLOOKUP('Données projet'!$B$10,Paramètres!$A$1:$I$89,5,0)</f>
        <v>3.8278358260868117E-13</v>
      </c>
      <c r="AK203" s="13">
        <f t="shared" si="164"/>
        <v>4.9186917125089072E-12</v>
      </c>
      <c r="AL203" s="20">
        <f t="shared" si="165"/>
        <v>9.2334028056631319E-12</v>
      </c>
      <c r="AM203" s="59">
        <f t="shared" si="193"/>
        <v>293.33333333334252</v>
      </c>
      <c r="AN203" s="59">
        <f ca="1">AVERAGE(OFFSET($AM$3,0,0,'Données projet'!$E$10+1,1))-AVERAGE(OFFSET($H$3,0,0,'Données projet'!$E$10+1,1))</f>
        <v>297.21955661193238</v>
      </c>
      <c r="AO203" s="59">
        <f t="shared" si="205"/>
        <v>273.69206144662144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0.23248324441544349</v>
      </c>
      <c r="AV203" s="21">
        <f>EXP(-LN(2)/25)*AV202+(1-EXP(-LN(2)/25))/(LN(2)/25)*Calculateur!AQ203*Calculateur!AS203*VLOOKUP('Données projet'!$B$10,Paramètres!$A$1:$I$89,3,0)*0.475*44/12</f>
        <v>0.120461985753745</v>
      </c>
      <c r="AW203" s="21">
        <f>EXP(-LN(2)/2)*AW202+(1-EXP(-LN(2)/2))/(LN(2)/2)*AQ203*AT203*VLOOKUP('Données projet'!$B$10,Paramètres!$A$1:$I$89,3,0)*0.475*44/12</f>
        <v>5.4058278144857633E-25</v>
      </c>
      <c r="AX203" s="21">
        <f t="shared" si="166"/>
        <v>0.3529452301691885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3.6357050703372803E-14</v>
      </c>
      <c r="BF203" s="13">
        <f t="shared" si="167"/>
        <v>6.1445232567661395E-13</v>
      </c>
      <c r="BG203" s="20">
        <f t="shared" si="168"/>
        <v>1.1334929971951436E-12</v>
      </c>
      <c r="BH203" s="59">
        <f t="shared" si="194"/>
        <v>293.33333333333445</v>
      </c>
      <c r="BI203" s="59">
        <f ca="1">AVERAGE(OFFSET($BH$3,0,0,'Données projet'!$E$11+1,1))-AVERAGE(OFFSET($H$3,0,0,'Données projet'!$E$11+1,1))</f>
        <v>176.90404027101607</v>
      </c>
      <c r="BJ203" s="59">
        <f t="shared" si="206"/>
        <v>295.34177980841878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6.1204163996704579E-2</v>
      </c>
      <c r="BQ203" s="21">
        <f>EXP(-LN(2)/25)*BQ202+(1-EXP(-LN(2)/25))/(LN(2)/25)*Calculateur!BL203*Calculateur!BN203*VLOOKUP('Données projet'!$B$11,Paramètres!$A$1:$I$89,3,0)*0.475*44/12</f>
        <v>7.3952049481925575E-2</v>
      </c>
      <c r="BR203" s="21">
        <f>EXP(-LN(2)/2)*BR202+(1-EXP(-LN(2)/2))/(LN(2)/2)*BL203*BO203*VLOOKUP('Données projet'!$B$11,Paramètres!$A$1:$I$89,3,0)*0.475*44/12</f>
        <v>8.7118914603944612E-28</v>
      </c>
      <c r="BS203" s="22">
        <f t="shared" si="169"/>
        <v>0.13515621347863016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-5.6843418860808015E-13</v>
      </c>
      <c r="BZ203" s="13">
        <f>BY203*VLOOKUP('Données projet'!$B$12,Paramètres!$A$1:$I$89,3,0)*VLOOKUP('Données projet'!$B$12,Paramètres!$A$1:$I$89,5,0)</f>
        <v>-3.177547114319168E-13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326.31232746914907</v>
      </c>
      <c r="CE203" s="59">
        <f t="shared" si="207"/>
        <v>330.17137761430297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0.15760688416452365</v>
      </c>
      <c r="CL203" s="21">
        <f>EXP(-LN(2)/25)*CL202+(1-EXP(-LN(2)/25))/(LN(2)/25)*Calculateur!CG203*Calculateur!CI203*VLOOKUP('Données projet'!$B$12,Paramètres!$A$1:$I$89,3,0)*0.475*44/12</f>
        <v>0.27077825032404385</v>
      </c>
      <c r="CM203" s="21">
        <f>EXP(-LN(2)/2)*CM202+(1-EXP(-LN(2)/2))/(LN(2)/2)*CG203*CJ203*VLOOKUP('Données projet'!$B$12,Paramètres!$A$1:$I$89,3,0)*0.475*44/12</f>
        <v>8.4067628061751003E-25</v>
      </c>
      <c r="CN203" s="22">
        <f t="shared" si="172"/>
        <v>0.42838513448856752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210.04871822652808</v>
      </c>
      <c r="CZ203" s="59">
        <f t="shared" si="208"/>
        <v>250.17540614049324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0.25190444910862525</v>
      </c>
      <c r="DG203" s="21">
        <f>EXP(-LN(2)/25)*DG202+(1-EXP(-LN(2)/25))/(LN(2)/25)*Calculateur!DB203*Calculateur!DD203*VLOOKUP('Données projet'!$B$13,Paramètres!$A$1:$I$89,3,0)*0.475*44/12</f>
        <v>0.2497585540040255</v>
      </c>
      <c r="DH203" s="21">
        <f>EXP(-LN(2)/2)*DH202+(1-EXP(-LN(2)/2))/(LN(2)/2)*DB203*DE203*VLOOKUP('Données projet'!$B$13,Paramètres!$A$1:$I$89,3,0)*0.475*44/12</f>
        <v>5.5715496527069954E-25</v>
      </c>
      <c r="DI203" s="22">
        <f t="shared" si="175"/>
        <v>0.50166300311265077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-5.1159076974727213E-13</v>
      </c>
      <c r="DP203" s="17">
        <f>DO203*VLOOKUP('Données projet'!$B$14,Paramètres!$A$1:$I$89,3,0)*VLOOKUP('Données projet'!$B$14,Paramètres!$A$1:$I$89,5,0)</f>
        <v>-3.7509835237869992E-13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234.09142087023463</v>
      </c>
      <c r="DU203" s="59">
        <f t="shared" si="209"/>
        <v>278.990685815294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8.4176404042416109E-2</v>
      </c>
      <c r="EB203" s="21">
        <f>EXP(-LN(2)/25)*EB202+(1-EXP(-LN(2)/25))/(LN(2)/25)*Calculateur!DW203*Calculateur!DY203*VLOOKUP('Données projet'!$B$14,Paramètres!$A$1:$I$89,3,0)*0.475*44/12</f>
        <v>0.13768456143096966</v>
      </c>
      <c r="EC203" s="21">
        <f>EXP(-LN(2)/2)*EC202+(1-EXP(-LN(2)/2))/(LN(2)/2)*DW203*DZ203*VLOOKUP('Données projet'!$B$14,Paramètres!$A$1:$I$89,3,0)*0.475*44/12</f>
        <v>5.7265764992881432E-25</v>
      </c>
      <c r="ED203" s="22">
        <f t="shared" si="178"/>
        <v>0.22186096547338577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1.2715047635013723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1.2563584400948855</v>
      </c>
      <c r="BA205" s="82">
        <f>EXP(LN('Données projet'!B88)/'Données projet'!A88)</f>
        <v>1.97435048583482</v>
      </c>
      <c r="BV205" s="82">
        <f>EXP(LN('Données projet'!B114)/'Données projet'!A114)</f>
        <v>1.2820888539868154</v>
      </c>
      <c r="CQ205" s="82">
        <f>EXP(LN('Données projet'!B140)/'Données projet'!A140)</f>
        <v>1.4309690811052556</v>
      </c>
      <c r="DL205" s="82">
        <f>EXP(LN('Données projet'!B166)/'Données projet'!A166)</f>
        <v>1.2709816152101407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J21" sqref="J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laricio</v>
      </c>
      <c r="B6" s="146">
        <f>'Données projet'!D9</f>
        <v>2.6936999999999998</v>
      </c>
      <c r="C6" s="147">
        <f ca="1">IF(OR('Données projet'!B9="",'Données projet'!C9="",'Données projet'!C9=0%),0,Calculateur!S3)</f>
        <v>259.30247982593914</v>
      </c>
      <c r="D6" s="147">
        <f>IF(OR('Données projet'!B9="",'Données projet'!C9="",'Données projet'!C9=0%),0,Calculateur!T3)</f>
        <v>275.24740346220779</v>
      </c>
      <c r="E6" s="147">
        <f ca="1">MIN(C6,D6)</f>
        <v>259.30247982593914</v>
      </c>
      <c r="F6" s="147">
        <f ca="1">E6*B6</f>
        <v>698.48308990713224</v>
      </c>
      <c r="G6" s="147">
        <f ca="1">F6*(100%-'Données projet'!$C$24)*(100%-'Données projet'!$C$25)*(100%-'Données projet'!$C$26)*(100%-'Données projet'!$C$27)</f>
        <v>628.634780916419</v>
      </c>
      <c r="H6" s="148">
        <f>IF(OR('Données projet'!B9="",'Données projet'!C9="",'Données projet'!C9=0%),0,AVERAGE(Calculateur!$AC$3:$AC$33)*B6)</f>
        <v>9.4432516548473089</v>
      </c>
      <c r="I6" s="149">
        <f>H6*(100%-'Données projet'!$C$24)*(100%-'Données projet'!$C$25)*(100%-'Données projet'!$C$26)*(100%-'Données projet'!$C$27)</f>
        <v>8.498926489362578</v>
      </c>
      <c r="J6" s="150">
        <f>IF(OR('Données projet'!B9="",'Données projet'!C9="",'Données projet'!C9=0%),0,SUM(Calculateur!$V$3:$V$33)*VLOOKUP('Données projet'!$B$9,Paramètres!$A$1:$I$89,9,0)*B6)</f>
        <v>123.93713699999998</v>
      </c>
      <c r="K6" s="151">
        <f>J6*(100%-'Données projet'!$C$24)*(100%-'Données projet'!$C$25)*(100%-'Données projet'!$C$26)*(100%-'Données projet'!$C$27)</f>
        <v>111.54342329999999</v>
      </c>
      <c r="L6" s="152">
        <f ca="1">G6+I6+K6</f>
        <v>748.67713070578156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Sapin de Nordmann</v>
      </c>
      <c r="B7" s="154">
        <f>'Données projet'!D10</f>
        <v>1.9710000000000001</v>
      </c>
      <c r="C7" s="147">
        <f ca="1">IF(OR('Données projet'!B10="",'Données projet'!C10="",'Données projet'!C10=0%),0,Calculateur!AN3)</f>
        <v>297.21955661193238</v>
      </c>
      <c r="D7" s="147">
        <f>IF(OR('Données projet'!B10="",'Données projet'!C10="",'Données projet'!C10=0%),0,Calculateur!AO3)</f>
        <v>273.69206144662144</v>
      </c>
      <c r="E7" s="147">
        <f t="shared" ref="E7:E15" ca="1" si="0">MIN(C7,D7)</f>
        <v>273.69206144662144</v>
      </c>
      <c r="F7" s="147">
        <f t="shared" ref="F7:F15" ca="1" si="1">E7*B7</f>
        <v>539.44705311129087</v>
      </c>
      <c r="G7" s="147">
        <f ca="1">F7*(100%-'Données projet'!$C$24)*(100%-'Données projet'!$C$25)*(100%-'Données projet'!$C$26)*(100%-'Données projet'!$C$27)</f>
        <v>485.50234780016177</v>
      </c>
      <c r="H7" s="155">
        <f>IF(OR('Données projet'!B10="",'Données projet'!C10="",'Données projet'!C10=0%),0,AVERAGE(Calculateur!$AX$3:$AX$33)*B7)</f>
        <v>2.6115125513120185</v>
      </c>
      <c r="I7" s="149">
        <f>H7*(100%-'Données projet'!$C$24)*(100%-'Données projet'!$C$25)*(100%-'Données projet'!$C$26)*(100%-'Données projet'!$C$27)</f>
        <v>2.3503612961808167</v>
      </c>
      <c r="J7" s="150">
        <f>IF(OR('Données projet'!B10="",'Données projet'!C10="",'Données projet'!C10=0%),0,SUM(Calculateur!$AQ$3:$AQ$33)*VLOOKUP('Données projet'!$B$10,Paramètres!$A$1:$I$89,9,0)*B7)</f>
        <v>81.362880000000004</v>
      </c>
      <c r="K7" s="151">
        <f>J7*(100%-'Données projet'!$C$24)*(100%-'Données projet'!$C$25)*(100%-'Données projet'!$C$26)*(100%-'Données projet'!$C$27)</f>
        <v>73.226592000000011</v>
      </c>
      <c r="L7" s="152">
        <f t="shared" ref="L7:L15" ca="1" si="2">G7+I7+K7</f>
        <v>561.07930109634265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Tulipier de Virginie</v>
      </c>
      <c r="B8" s="154">
        <f>'Données projet'!D11</f>
        <v>1.9053</v>
      </c>
      <c r="C8" s="147">
        <f ca="1">IF(OR('Données projet'!B11="",'Données projet'!C11="",'Données projet'!C11=0%),0,Calculateur!BI3)</f>
        <v>176.90404027101607</v>
      </c>
      <c r="D8" s="147">
        <f>IF(OR('Données projet'!B11="",'Données projet'!C11="",'Données projet'!C11=0%),0,Calculateur!BJ3)</f>
        <v>295.34177980841878</v>
      </c>
      <c r="E8" s="147">
        <f t="shared" ca="1" si="0"/>
        <v>176.90404027101607</v>
      </c>
      <c r="F8" s="147">
        <f t="shared" ca="1" si="1"/>
        <v>337.0552679283669</v>
      </c>
      <c r="G8" s="147">
        <f ca="1">F8*(100%-'Données projet'!$C$24)*(100%-'Données projet'!$C$25)*(100%-'Données projet'!$C$26)*(100%-'Données projet'!$C$27)</f>
        <v>303.34974113553022</v>
      </c>
      <c r="H8" s="155">
        <f>IF(OR('Données projet'!B11="",'Données projet'!C11="",'Données projet'!C11=0%),0,AVERAGE(Calculateur!$BS$3:$BS$33)*B8)</f>
        <v>22.572138332089018</v>
      </c>
      <c r="I8" s="149">
        <f>H8*(100%-'Données projet'!$C$24)*(100%-'Données projet'!$C$25)*(100%-'Données projet'!$C$26)*(100%-'Données projet'!$C$27)</f>
        <v>20.314924498880117</v>
      </c>
      <c r="J8" s="150">
        <f>IF(OR('Données projet'!B11="",'Données projet'!C11="",'Données projet'!C11=0%),0,SUM(Calculateur!$BL$3:$BL$33)*VLOOKUP('Données projet'!$B$11,Paramètres!$A$1:$I$89,9,0)*B8)</f>
        <v>57.158999999999999</v>
      </c>
      <c r="K8" s="151">
        <f>J8*(100%-'Données projet'!$C$24)*(100%-'Données projet'!$C$25)*(100%-'Données projet'!$C$26)*(100%-'Données projet'!$C$27)</f>
        <v>51.443100000000001</v>
      </c>
      <c r="L8" s="152">
        <f t="shared" ca="1" si="2"/>
        <v>375.10776563441033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Douglas</v>
      </c>
      <c r="B9" s="154">
        <f>'Données projet'!D12</f>
        <v>3.9058000000000002</v>
      </c>
      <c r="C9" s="147">
        <f ca="1">IF(OR('Données projet'!B12="",'Données projet'!C12="",'Données projet'!C12=0%),0,Calculateur!CD3)</f>
        <v>326.31232746914907</v>
      </c>
      <c r="D9" s="147">
        <f>IF(OR('Données projet'!B12="",'Données projet'!C12="",'Données projet'!C12=0%),0,Calculateur!CE3)</f>
        <v>330.17137761430297</v>
      </c>
      <c r="E9" s="147">
        <f t="shared" ca="1" si="0"/>
        <v>326.31232746914907</v>
      </c>
      <c r="F9" s="147">
        <f t="shared" ca="1" si="1"/>
        <v>1274.5106886290025</v>
      </c>
      <c r="G9" s="147">
        <f ca="1">F9*(100%-'Données projet'!$C$24)*(100%-'Données projet'!$C$25)*(100%-'Données projet'!$C$26)*(100%-'Données projet'!$C$27)</f>
        <v>1147.0596197661023</v>
      </c>
      <c r="H9" s="155">
        <f>IF(OR('Données projet'!B12="",'Données projet'!C12="",'Données projet'!C12=0%),0,AVERAGE(Calculateur!$CN$3:$CN$33)*B9)</f>
        <v>31.060007596958958</v>
      </c>
      <c r="I9" s="149">
        <f>H9*(100%-'Données projet'!$C$24)*(100%-'Données projet'!$C$25)*(100%-'Données projet'!$C$26)*(100%-'Données projet'!$C$27)</f>
        <v>27.954006837263062</v>
      </c>
      <c r="J9" s="150">
        <f>IF(OR('Données projet'!B12="",'Données projet'!C12="",'Données projet'!C12=0%),0,SUM(Calculateur!$CG$3:$CG$33)*VLOOKUP('Données projet'!$B$12,Paramètres!$A$1:$I$89,9,0)*B9)</f>
        <v>293.91145</v>
      </c>
      <c r="K9" s="151">
        <f>J9*(100%-'Données projet'!$C$24)*(100%-'Données projet'!$C$25)*(100%-'Données projet'!$C$26)*(100%-'Données projet'!$C$27)</f>
        <v>264.52030500000001</v>
      </c>
      <c r="L9" s="152">
        <f t="shared" ca="1" si="2"/>
        <v>1439.5339316033653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Mélèze hybride</v>
      </c>
      <c r="B10" s="154">
        <f>'Données projet'!D13</f>
        <v>1.3239999999999998</v>
      </c>
      <c r="C10" s="147">
        <f ca="1">IF(OR('Données projet'!B13="",'Données projet'!C13="",'Données projet'!C13=0%),0,Calculateur!CY3)</f>
        <v>210.04871822652808</v>
      </c>
      <c r="D10" s="147">
        <f>IF(OR('Données projet'!B13="",'Données projet'!C13="",'Données projet'!C13=0%),0,Calculateur!CZ3)</f>
        <v>250.17540614049324</v>
      </c>
      <c r="E10" s="147">
        <f t="shared" ca="1" si="0"/>
        <v>210.04871822652808</v>
      </c>
      <c r="F10" s="147">
        <f t="shared" ca="1" si="1"/>
        <v>278.10450293192315</v>
      </c>
      <c r="G10" s="147">
        <f ca="1">F10*(100%-'Données projet'!$C$24)*(100%-'Données projet'!$C$25)*(100%-'Données projet'!$C$26)*(100%-'Données projet'!$C$27)</f>
        <v>250.29405263873085</v>
      </c>
      <c r="H10" s="155">
        <f>IF(OR('Données projet'!B13="",'Données projet'!C13="",'Données projet'!C13=0%),0,AVERAGE(Calculateur!$DI$3:$DI$33)*B10)</f>
        <v>12.58810219550438</v>
      </c>
      <c r="I10" s="149">
        <f>H10*(100%-'Données projet'!$C$24)*(100%-'Données projet'!$C$25)*(100%-'Données projet'!$C$26)*(100%-'Données projet'!$C$27)</f>
        <v>11.329291975953943</v>
      </c>
      <c r="J10" s="150">
        <f>IF(OR('Données projet'!B13="",'Données projet'!C13="",'Données projet'!C13=0%),0,SUM(Calculateur!$DB$3:$DB$33)*VLOOKUP('Données projet'!$B$13,Paramètres!$A$1:$I$89,9,0)*B10)</f>
        <v>93.937799999999996</v>
      </c>
      <c r="K10" s="151">
        <f>J10*(100%-'Données projet'!$C$24)*(100%-'Données projet'!$C$25)*(100%-'Données projet'!$C$26)*(100%-'Données projet'!$C$27)</f>
        <v>84.544020000000003</v>
      </c>
      <c r="L10" s="152">
        <f t="shared" ca="1" si="2"/>
        <v>346.1673646146848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Châtaignier</v>
      </c>
      <c r="B11" s="154">
        <f>'Données projet'!D14</f>
        <v>1.3901999999999999</v>
      </c>
      <c r="C11" s="147">
        <f ca="1">IF(OR('Données projet'!B14="",'Données projet'!C14="",'Données projet'!C14=0%),0,Calculateur!DT3)</f>
        <v>234.09142087023463</v>
      </c>
      <c r="D11" s="147">
        <f>IF(OR('Données projet'!B14="",'Données projet'!C14="",'Données projet'!C14=0%),0,Calculateur!DU3)</f>
        <v>278.990685815294</v>
      </c>
      <c r="E11" s="147">
        <f t="shared" ca="1" si="0"/>
        <v>234.09142087023463</v>
      </c>
      <c r="F11" s="147">
        <f t="shared" ca="1" si="1"/>
        <v>325.43389329380017</v>
      </c>
      <c r="G11" s="147">
        <f ca="1">F11*(100%-'Données projet'!$C$24)*(100%-'Données projet'!$C$25)*(100%-'Données projet'!$C$26)*(100%-'Données projet'!$C$27)</f>
        <v>292.89050396442013</v>
      </c>
      <c r="H11" s="155">
        <f>IF(OR('Données projet'!B14="",'Données projet'!C14="",'Données projet'!C14=0%),0,AVERAGE(Calculateur!$ED$3:$ED$33)*B11)</f>
        <v>5.8187716223736006</v>
      </c>
      <c r="I11" s="149">
        <f>H11*(100%-'Données projet'!$C$24)*(100%-'Données projet'!$C$25)*(100%-'Données projet'!$C$26)*(100%-'Données projet'!$C$27)</f>
        <v>5.2368944601362406</v>
      </c>
      <c r="J11" s="150">
        <f>IF(OR('Données projet'!B14="",'Données projet'!C14="",'Données projet'!C14=0%),0,SUM(Calculateur!$DW$3:$DW$33)*VLOOKUP('Données projet'!$B$14,Paramètres!$A$1:$I$89,9,0)*B11)</f>
        <v>47.614349999999995</v>
      </c>
      <c r="K11" s="151">
        <f>J11*(100%-'Données projet'!$C$24)*(100%-'Données projet'!$C$25)*(100%-'Données projet'!$C$26)*(100%-'Données projet'!$C$27)</f>
        <v>42.852914999999996</v>
      </c>
      <c r="L11" s="152">
        <f t="shared" ca="1" si="2"/>
        <v>340.98031342455636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3453.0344958015162</v>
      </c>
      <c r="G16" s="166">
        <f t="shared" ca="1" si="3"/>
        <v>3107.7310462213641</v>
      </c>
      <c r="H16" s="167">
        <f t="shared" si="3"/>
        <v>84.093783953085278</v>
      </c>
      <c r="I16" s="167">
        <f t="shared" si="3"/>
        <v>75.68440555777677</v>
      </c>
      <c r="J16" s="168">
        <f t="shared" si="3"/>
        <v>697.92261699999995</v>
      </c>
      <c r="K16" s="168">
        <f t="shared" si="3"/>
        <v>628.13035530000002</v>
      </c>
      <c r="L16" s="169">
        <f t="shared" ca="1" si="3"/>
        <v>3811.5458070791406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Sapin de Nordmann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Tulipier de Virginie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Mélèze hybride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80" zoomScaleNormal="80" workbookViewId="0">
      <selection activeCell="O18" sqref="O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869.43997981920575</v>
      </c>
      <c r="U10" s="178">
        <f>'Données projet'!D9</f>
        <v>2.6936999999999998</v>
      </c>
      <c r="V10" s="177">
        <f>U10*T10</f>
        <v>2342.0104736389944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Sapin de Nordmann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1310.671424178955</v>
      </c>
      <c r="U11" s="178">
        <f>'Données projet'!D10</f>
        <v>1.9710000000000001</v>
      </c>
      <c r="V11" s="177">
        <f t="shared" ref="V11" si="0">U11*T11</f>
        <v>2583.3333770567206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Tulipier de Virginie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3063.892311605965</v>
      </c>
      <c r="U12" s="178">
        <f>'Données projet'!D11</f>
        <v>1.9053</v>
      </c>
      <c r="V12" s="177">
        <f t="shared" ref="V12:V19" si="1">U12*T12</f>
        <v>5837.6340213028452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Douglas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3478.8927392045384</v>
      </c>
      <c r="U13" s="178">
        <f>'Données projet'!D12</f>
        <v>3.9058000000000002</v>
      </c>
      <c r="V13" s="177">
        <f t="shared" si="1"/>
        <v>13587.859260785086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Mélèze hybride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526.82964485200739</v>
      </c>
      <c r="U14" s="178">
        <f>'Données projet'!D13</f>
        <v>1.3239999999999998</v>
      </c>
      <c r="V14" s="177">
        <f t="shared" si="1"/>
        <v>697.5224497840577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Châtaignier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-27.707459517061693</v>
      </c>
      <c r="U15" s="178">
        <f>'Données projet'!D14</f>
        <v>1.3901999999999999</v>
      </c>
      <c r="V15" s="177">
        <f t="shared" si="1"/>
        <v>-38.518910220619162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40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517+0.48*1480+0.16*1480</f>
        <v>1464.2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880+620</f>
        <v>1500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445+60</f>
        <v>505</v>
      </c>
      <c r="J21" s="1" t="s">
        <v>324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445+60+312.85</f>
        <v>817.85</v>
      </c>
      <c r="J22" s="1" t="s">
        <v>325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23</v>
      </c>
      <c r="C23" s="193">
        <v>10</v>
      </c>
      <c r="D23" s="182">
        <f>B23*C23</f>
        <v>230</v>
      </c>
      <c r="E23" s="193"/>
      <c r="F23" s="230"/>
      <c r="H23" s="190">
        <v>3</v>
      </c>
      <c r="I23" s="191">
        <f>825+60</f>
        <v>885</v>
      </c>
      <c r="J23" s="1" t="s">
        <v>326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-34383.956785547853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84</v>
      </c>
      <c r="C24" s="193">
        <v>15</v>
      </c>
      <c r="D24" s="182">
        <f t="shared" ref="D24:D42" si="2">B24*C24</f>
        <v>1260</v>
      </c>
      <c r="E24" s="193"/>
      <c r="F24" s="233"/>
      <c r="H24" s="190">
        <v>4</v>
      </c>
      <c r="I24" s="191">
        <v>60</v>
      </c>
      <c r="J24" s="1" t="s">
        <v>328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2267.7395673429387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84</v>
      </c>
      <c r="C25" s="193">
        <v>25</v>
      </c>
      <c r="D25" s="182">
        <f t="shared" si="2"/>
        <v>2100</v>
      </c>
      <c r="E25" s="193"/>
      <c r="F25" s="233"/>
      <c r="H25" s="190">
        <v>5</v>
      </c>
      <c r="I25" s="191">
        <v>60</v>
      </c>
      <c r="J25" s="1" t="s">
        <v>327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-36651.696352890795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82</v>
      </c>
      <c r="C26" s="193">
        <v>35</v>
      </c>
      <c r="D26" s="182">
        <f t="shared" si="2"/>
        <v>2870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64</v>
      </c>
      <c r="C27" s="193">
        <v>40</v>
      </c>
      <c r="D27" s="182">
        <f t="shared" si="2"/>
        <v>2560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50</v>
      </c>
      <c r="C28" s="193">
        <v>50</v>
      </c>
      <c r="D28" s="182">
        <f t="shared" si="2"/>
        <v>2500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522</v>
      </c>
      <c r="C29" s="193">
        <v>60</v>
      </c>
      <c r="D29" s="182">
        <f t="shared" si="2"/>
        <v>31320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Sapin de Nordmann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791+1490*0.48+1490*0.16</f>
        <v>1744.6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v>5</v>
      </c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96</v>
      </c>
      <c r="C55" s="191">
        <v>5</v>
      </c>
      <c r="D55" s="179">
        <f>B55*C55</f>
        <v>480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132</v>
      </c>
      <c r="C56" s="191">
        <v>8</v>
      </c>
      <c r="D56" s="179">
        <f t="shared" ref="D56:D73" si="4">B56*C56</f>
        <v>1056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132</v>
      </c>
      <c r="C57" s="191">
        <v>15</v>
      </c>
      <c r="D57" s="179">
        <f t="shared" si="4"/>
        <v>1980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106</v>
      </c>
      <c r="C58" s="191">
        <v>30</v>
      </c>
      <c r="D58" s="179">
        <f t="shared" si="4"/>
        <v>3180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88</v>
      </c>
      <c r="C59" s="191">
        <v>50</v>
      </c>
      <c r="D59" s="179">
        <f t="shared" si="4"/>
        <v>4400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753</v>
      </c>
      <c r="C60" s="191">
        <v>100</v>
      </c>
      <c r="D60" s="179">
        <f t="shared" si="4"/>
        <v>75300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 t="str">
        <f>IF(O73+1&lt;=MIN('Données projet'!$E$9:$E$18),O73+1,"STOP")</f>
        <v>STOP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Tulipier de Virginie</v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1110+1480*0.18+1480*0.49</f>
        <v>2101.6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5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7</v>
      </c>
      <c r="B86" s="181">
        <f>'Données projet'!D89</f>
        <v>35</v>
      </c>
      <c r="C86" s="191">
        <v>5</v>
      </c>
      <c r="D86" s="179">
        <f t="shared" ref="D86:D104" si="6">B86*C86</f>
        <v>175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11</v>
      </c>
      <c r="B87" s="181">
        <f>'Données projet'!D90</f>
        <v>85</v>
      </c>
      <c r="C87" s="191">
        <v>10</v>
      </c>
      <c r="D87" s="179">
        <f t="shared" si="6"/>
        <v>850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15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20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25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30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35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40</v>
      </c>
      <c r="B93" s="181">
        <f>'Données projet'!D96</f>
        <v>375</v>
      </c>
      <c r="C93" s="191">
        <v>70</v>
      </c>
      <c r="D93" s="179">
        <f t="shared" si="6"/>
        <v>26250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Douglas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627+0.48*1200+0.16*1200</f>
        <v>1395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63</v>
      </c>
      <c r="C117" s="191">
        <v>12</v>
      </c>
      <c r="D117" s="179">
        <f t="shared" ref="D117:D135" si="8">B117*C117</f>
        <v>756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112</v>
      </c>
      <c r="C118" s="191">
        <v>35</v>
      </c>
      <c r="D118" s="179">
        <f t="shared" si="8"/>
        <v>3920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112</v>
      </c>
      <c r="C119" s="191">
        <v>45</v>
      </c>
      <c r="D119" s="179">
        <f t="shared" si="8"/>
        <v>5040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108</v>
      </c>
      <c r="C120" s="191">
        <v>50</v>
      </c>
      <c r="D120" s="179">
        <f t="shared" si="8"/>
        <v>5400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83</v>
      </c>
      <c r="C121" s="191">
        <v>55</v>
      </c>
      <c r="D121" s="179">
        <f t="shared" si="8"/>
        <v>4565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67</v>
      </c>
      <c r="C122" s="191">
        <v>60</v>
      </c>
      <c r="D122" s="179">
        <f t="shared" si="8"/>
        <v>4020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651</v>
      </c>
      <c r="C123" s="191">
        <v>80</v>
      </c>
      <c r="D123" s="179">
        <f t="shared" si="8"/>
        <v>52080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Mélèze hybride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1085+1233*0.16+1233*0.48</f>
        <v>1874.12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>
        <v>8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81</v>
      </c>
      <c r="C148" s="191">
        <v>8</v>
      </c>
      <c r="D148" s="182">
        <f t="shared" ref="D148:D166" si="10">B148*C148</f>
        <v>648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84</v>
      </c>
      <c r="C149" s="191">
        <v>25</v>
      </c>
      <c r="D149" s="182">
        <f t="shared" si="10"/>
        <v>2100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80</v>
      </c>
      <c r="C150" s="191">
        <v>30</v>
      </c>
      <c r="D150" s="182">
        <f t="shared" si="10"/>
        <v>2400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65</v>
      </c>
      <c r="C151" s="191">
        <v>35</v>
      </c>
      <c r="D151" s="182">
        <f t="shared" si="10"/>
        <v>2275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56</v>
      </c>
      <c r="C152" s="191">
        <v>40</v>
      </c>
      <c r="D152" s="182">
        <f t="shared" si="10"/>
        <v>2240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52</v>
      </c>
      <c r="C153" s="191">
        <v>45</v>
      </c>
      <c r="D153" s="182">
        <f t="shared" si="10"/>
        <v>2340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433</v>
      </c>
      <c r="C154" s="191">
        <v>50</v>
      </c>
      <c r="D154" s="182">
        <f t="shared" si="10"/>
        <v>21650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Châtaignier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1015+1180*0.49+1180*0.18</f>
        <v>1805.6000000000001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20</v>
      </c>
      <c r="B179" s="181">
        <f>'Données projet'!D167</f>
        <v>67</v>
      </c>
      <c r="C179" s="193">
        <v>10</v>
      </c>
      <c r="D179" s="179">
        <f t="shared" ref="D179:D197" si="11">B179*C179</f>
        <v>670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30</v>
      </c>
      <c r="B180" s="181">
        <f>'Données projet'!D168</f>
        <v>70</v>
      </c>
      <c r="C180" s="193">
        <v>15</v>
      </c>
      <c r="D180" s="179">
        <f t="shared" si="11"/>
        <v>1050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40</v>
      </c>
      <c r="B181" s="181">
        <f>'Données projet'!D169</f>
        <v>70</v>
      </c>
      <c r="C181" s="193">
        <v>20</v>
      </c>
      <c r="D181" s="179">
        <f t="shared" si="11"/>
        <v>1400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50</v>
      </c>
      <c r="B182" s="181">
        <f>'Données projet'!D170</f>
        <v>43</v>
      </c>
      <c r="C182" s="193">
        <v>30</v>
      </c>
      <c r="D182" s="179">
        <f t="shared" si="11"/>
        <v>1290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60</v>
      </c>
      <c r="B183" s="181">
        <f>'Données projet'!D171</f>
        <v>30</v>
      </c>
      <c r="C183" s="193">
        <v>35</v>
      </c>
      <c r="D183" s="179">
        <f t="shared" si="11"/>
        <v>1050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70</v>
      </c>
      <c r="B184" s="181">
        <f>'Données projet'!D172</f>
        <v>26</v>
      </c>
      <c r="C184" s="193">
        <v>45</v>
      </c>
      <c r="D184" s="179">
        <f t="shared" si="11"/>
        <v>1170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80</v>
      </c>
      <c r="B185" s="181">
        <f>'Données projet'!D173</f>
        <v>342</v>
      </c>
      <c r="C185" s="193">
        <v>70</v>
      </c>
      <c r="D185" s="179">
        <f t="shared" si="11"/>
        <v>23940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2023-01-16T20:58:45Z</dcterms:modified>
</cp:coreProperties>
</file>