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Dijon\FRASSE\"/>
    </mc:Choice>
  </mc:AlternateContent>
  <xr:revisionPtr revIDLastSave="0" documentId="13_ncr:1_{B3401F85-6824-4098-A2CC-F2C1AF62272B}" xr6:coauthVersionLast="47" xr6:coauthVersionMax="47" xr10:uidLastSave="{00000000-0000-0000-0000-000000000000}"/>
  <bookViews>
    <workbookView xWindow="-108" yWindow="-108" windowWidth="23256" windowHeight="12576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0" i="1" l="1"/>
  <c r="D120" i="1" s="1"/>
  <c r="B96" i="1"/>
  <c r="B95" i="1"/>
  <c r="B94" i="1"/>
  <c r="B93" i="1"/>
  <c r="B92" i="1"/>
  <c r="B91" i="1"/>
  <c r="B90" i="1"/>
  <c r="B89" i="1"/>
  <c r="B72" i="1"/>
  <c r="D72" i="1" s="1"/>
  <c r="D71" i="1"/>
  <c r="D70" i="1"/>
  <c r="D69" i="1"/>
  <c r="D68" i="1"/>
  <c r="D67" i="1"/>
  <c r="D66" i="1"/>
  <c r="D65" i="1"/>
  <c r="D64" i="1"/>
  <c r="D63" i="1"/>
  <c r="B46" i="1"/>
  <c r="D46" i="1" s="1"/>
  <c r="D45" i="1"/>
  <c r="D44" i="1"/>
  <c r="D43" i="1"/>
  <c r="D42" i="1"/>
  <c r="D41" i="1"/>
  <c r="D40" i="1"/>
  <c r="D39" i="1"/>
  <c r="D38" i="1"/>
  <c r="D37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H140" i="2" l="1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I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B167" i="2" l="1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G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HH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A192" i="2" l="1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EA195" i="2" l="1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FS201" i="2" l="1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P203" i="2" l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<sst xmlns="http://schemas.openxmlformats.org/spreadsheetml/2006/main" count="1173" uniqueCount="324">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</sst>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98.711655844836244</c:v>
                </c:pt>
                <c:pt idx="22">
                  <c:v>111.22512582797835</c:v>
                </c:pt>
                <c:pt idx="23">
                  <c:v>123.70402111473783</c:v>
                </c:pt>
                <c:pt idx="24">
                  <c:v>136.15232577620694</c:v>
                </c:pt>
                <c:pt idx="25">
                  <c:v>148.57323391466869</c:v>
                </c:pt>
                <c:pt idx="26">
                  <c:v>160.96936079546251</c:v>
                </c:pt>
                <c:pt idx="27">
                  <c:v>173.342885263987</c:v>
                </c:pt>
                <c:pt idx="28">
                  <c:v>185.69564922944687</c:v>
                </c:pt>
                <c:pt idx="29">
                  <c:v>198.02922921541202</c:v>
                </c:pt>
                <c:pt idx="30">
                  <c:v>210.34498910896289</c:v>
                </c:pt>
                <c:pt idx="31">
                  <c:v>169.61345228889294</c:v>
                </c:pt>
                <c:pt idx="32">
                  <c:v>185.69564922944687</c:v>
                </c:pt>
                <c:pt idx="33">
                  <c:v>201.74532528316695</c:v>
                </c:pt>
                <c:pt idx="34">
                  <c:v>217.76543262779288</c:v>
                </c:pt>
                <c:pt idx="35">
                  <c:v>233.75845318467347</c:v>
                </c:pt>
                <c:pt idx="36">
                  <c:v>249.72650127853672</c:v>
                </c:pt>
                <c:pt idx="37">
                  <c:v>265.67139861401193</c:v>
                </c:pt>
                <c:pt idx="38">
                  <c:v>281.5947302821483</c:v>
                </c:pt>
                <c:pt idx="39">
                  <c:v>297.49788742006405</c:v>
                </c:pt>
                <c:pt idx="40">
                  <c:v>313.38210026249618</c:v>
                </c:pt>
                <c:pt idx="41">
                  <c:v>247.97507238738748</c:v>
                </c:pt>
                <c:pt idx="42">
                  <c:v>264.11677214797504</c:v>
                </c:pt>
                <c:pt idx="43">
                  <c:v>280.23622755830667</c:v>
                </c:pt>
                <c:pt idx="44">
                  <c:v>296.33489822464168</c:v>
                </c:pt>
                <c:pt idx="45">
                  <c:v>312.41407218540223</c:v>
                </c:pt>
                <c:pt idx="46">
                  <c:v>328.47489405645246</c:v>
                </c:pt>
                <c:pt idx="47">
                  <c:v>344.51838738035781</c:v>
                </c:pt>
                <c:pt idx="48">
                  <c:v>360.54547259299108</c:v>
                </c:pt>
                <c:pt idx="49">
                  <c:v>376.55698162745358</c:v>
                </c:pt>
                <c:pt idx="50">
                  <c:v>392.55366990377729</c:v>
                </c:pt>
                <c:pt idx="51">
                  <c:v>326.54079262774445</c:v>
                </c:pt>
                <c:pt idx="52">
                  <c:v>341.62020115511154</c:v>
                </c:pt>
                <c:pt idx="53">
                  <c:v>356.68497890922026</c:v>
                </c:pt>
                <c:pt idx="54">
                  <c:v>371.73583079258918</c:v>
                </c:pt>
                <c:pt idx="55">
                  <c:v>386.77339997206718</c:v>
                </c:pt>
                <c:pt idx="56">
                  <c:v>401.79827552592519</c:v>
                </c:pt>
                <c:pt idx="57">
                  <c:v>416.81099888731995</c:v>
                </c:pt>
                <c:pt idx="58">
                  <c:v>431.81206931097466</c:v>
                </c:pt>
                <c:pt idx="59">
                  <c:v>446.80194854062023</c:v>
                </c:pt>
                <c:pt idx="60">
                  <c:v>461.78106481747767</c:v>
                </c:pt>
                <c:pt idx="61">
                  <c:v>394.48001486506865</c:v>
                </c:pt>
                <c:pt idx="62">
                  <c:v>407.95878231757462</c:v>
                </c:pt>
                <c:pt idx="63">
                  <c:v>421.42793186976132</c:v>
                </c:pt>
                <c:pt idx="64">
                  <c:v>434.88781420496679</c:v>
                </c:pt>
                <c:pt idx="65">
                  <c:v>448.33875652973529</c:v>
                </c:pt>
                <c:pt idx="66">
                  <c:v>461.78106481747767</c:v>
                </c:pt>
                <c:pt idx="67">
                  <c:v>475.2150257772908</c:v>
                </c:pt>
                <c:pt idx="68">
                  <c:v>488.64090858857736</c:v>
                </c:pt>
                <c:pt idx="69">
                  <c:v>502.0589664351258</c:v>
                </c:pt>
                <c:pt idx="70">
                  <c:v>515.46943786668055</c:v>
                </c:pt>
                <c:pt idx="71">
                  <c:v>446.6098395921727</c:v>
                </c:pt>
                <c:pt idx="72">
                  <c:v>458.32527966923953</c:v>
                </c:pt>
                <c:pt idx="73">
                  <c:v>470.03432649602973</c:v>
                </c:pt>
                <c:pt idx="74">
                  <c:v>481.7371617829092</c:v>
                </c:pt>
                <c:pt idx="75">
                  <c:v>493.43395769164982</c:v>
                </c:pt>
                <c:pt idx="76">
                  <c:v>505.12487755644264</c:v>
                </c:pt>
                <c:pt idx="77">
                  <c:v>516.81007653469237</c:v>
                </c:pt>
                <c:pt idx="78">
                  <c:v>528.48970219589739</c:v>
                </c:pt>
                <c:pt idx="79">
                  <c:v>540.16389505577172</c:v>
                </c:pt>
                <c:pt idx="80">
                  <c:v>551.83278906179783</c:v>
                </c:pt>
                <c:pt idx="81">
                  <c:v>482.12075813367898</c:v>
                </c:pt>
                <c:pt idx="82">
                  <c:v>492.85884412246696</c:v>
                </c:pt>
                <c:pt idx="83">
                  <c:v>503.59197136026728</c:v>
                </c:pt>
                <c:pt idx="84">
                  <c:v>514.32026043494284</c:v>
                </c:pt>
                <c:pt idx="85">
                  <c:v>525.04382649327442</c:v>
                </c:pt>
                <c:pt idx="86">
                  <c:v>535.76277959494962</c:v>
                </c:pt>
                <c:pt idx="87">
                  <c:v>546.47722503675448</c:v>
                </c:pt>
                <c:pt idx="88">
                  <c:v>557.18726365001623</c:v>
                </c:pt>
                <c:pt idx="89">
                  <c:v>567.89299207399495</c:v>
                </c:pt>
                <c:pt idx="90">
                  <c:v>578.59450300758874</c:v>
                </c:pt>
                <c:pt idx="91">
                  <c:v>507.61564043595746</c:v>
                </c:pt>
                <c:pt idx="92">
                  <c:v>517.00159034875685</c:v>
                </c:pt>
                <c:pt idx="93">
                  <c:v>526.38394569812317</c:v>
                </c:pt>
                <c:pt idx="94">
                  <c:v>535.76277959494962</c:v>
                </c:pt>
                <c:pt idx="95">
                  <c:v>545.13816238142374</c:v>
                </c:pt>
                <c:pt idx="96">
                  <c:v>554.51016178271334</c:v>
                </c:pt>
                <c:pt idx="97">
                  <c:v>563.87884304786633</c:v>
                </c:pt>
                <c:pt idx="98">
                  <c:v>573.24426908085661</c:v>
                </c:pt>
                <c:pt idx="99">
                  <c:v>582.60650056262477</c:v>
                </c:pt>
                <c:pt idx="100">
                  <c:v>591.96559606486528</c:v>
                </c:pt>
                <c:pt idx="101">
                  <c:v>520.06560820994321</c:v>
                </c:pt>
                <c:pt idx="102">
                  <c:v>528.48970219589739</c:v>
                </c:pt>
                <c:pt idx="103">
                  <c:v>536.91096968482714</c:v>
                </c:pt>
                <c:pt idx="104">
                  <c:v>545.32946126917022</c:v>
                </c:pt>
                <c:pt idx="105">
                  <c:v>553.74522585166358</c:v>
                </c:pt>
                <c:pt idx="106">
                  <c:v>562.15831072715355</c:v>
                </c:pt>
                <c:pt idx="107">
                  <c:v>570.56876165925394</c:v>
                </c:pt>
                <c:pt idx="108">
                  <c:v>578.97662295224825</c:v>
                </c:pt>
                <c:pt idx="109">
                  <c:v>587.38193751859933</c:v>
                </c:pt>
                <c:pt idx="110">
                  <c:v>595.7847469423931</c:v>
                </c:pt>
                <c:pt idx="111">
                  <c:v>528.29827709857148</c:v>
                </c:pt>
                <c:pt idx="112">
                  <c:v>535.38003807305324</c:v>
                </c:pt>
                <c:pt idx="113">
                  <c:v>542.45982974284027</c:v>
                </c:pt>
                <c:pt idx="114">
                  <c:v>549.53768144295748</c:v>
                </c:pt>
                <c:pt idx="115">
                  <c:v>556.61362169091831</c:v>
                </c:pt>
                <c:pt idx="116">
                  <c:v>563.68767821983886</c:v>
                </c:pt>
                <c:pt idx="117">
                  <c:v>570.75987800979954</c:v>
                </c:pt>
                <c:pt idx="118">
                  <c:v>577.83024731757359</c:v>
                </c:pt>
                <c:pt idx="119">
                  <c:v>584.89881170482352</c:v>
                </c:pt>
                <c:pt idx="120">
                  <c:v>591.96559606486471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3.0873954293069432</c:v>
                </c:pt>
                <c:pt idx="2">
                  <c:v>3.6969523327533285</c:v>
                </c:pt>
                <c:pt idx="3">
                  <c:v>4.4273012249221102</c:v>
                </c:pt>
                <c:pt idx="4">
                  <c:v>5.3024617849498643</c:v>
                </c:pt>
                <c:pt idx="5">
                  <c:v>6.3512455158746723</c:v>
                </c:pt>
                <c:pt idx="6">
                  <c:v>7.6082145638704972</c:v>
                </c:pt>
                <c:pt idx="7">
                  <c:v>9.1148329231718037</c:v>
                </c:pt>
                <c:pt idx="8">
                  <c:v>10.92084872649014</c:v>
                </c:pt>
                <c:pt idx="9">
                  <c:v>13.085954123475267</c:v>
                </c:pt>
                <c:pt idx="10">
                  <c:v>15.681778629035497</c:v>
                </c:pt>
                <c:pt idx="11">
                  <c:v>18.794283098237205</c:v>
                </c:pt>
                <c:pt idx="12">
                  <c:v>22.526635038894295</c:v>
                </c:pt>
                <c:pt idx="13">
                  <c:v>27.002662268531896</c:v>
                </c:pt>
                <c:pt idx="14">
                  <c:v>32.371001514529802</c:v>
                </c:pt>
                <c:pt idx="15">
                  <c:v>38.810082112983899</c:v>
                </c:pt>
                <c:pt idx="16">
                  <c:v>46.534113286836906</c:v>
                </c:pt>
                <c:pt idx="17">
                  <c:v>55.800277543955367</c:v>
                </c:pt>
                <c:pt idx="18">
                  <c:v>66.917373694244205</c:v>
                </c:pt>
                <c:pt idx="19">
                  <c:v>80.256202241032796</c:v>
                </c:pt>
                <c:pt idx="20">
                  <c:v>96.262045139603686</c:v>
                </c:pt>
                <c:pt idx="21">
                  <c:v>110.29146199065519</c:v>
                </c:pt>
                <c:pt idx="22">
                  <c:v>124.27700087602052</c:v>
                </c:pt>
                <c:pt idx="23">
                  <c:v>138.22430277628158</c:v>
                </c:pt>
                <c:pt idx="24">
                  <c:v>152.13777377111359</c:v>
                </c:pt>
                <c:pt idx="25">
                  <c:v>166.02094629475889</c:v>
                </c:pt>
                <c:pt idx="26">
                  <c:v>179.87671263181528</c:v>
                </c:pt>
                <c:pt idx="27">
                  <c:v>193.70748241961212</c:v>
                </c:pt>
                <c:pt idx="28">
                  <c:v>207.51529266966918</c:v>
                </c:pt>
                <c:pt idx="29">
                  <c:v>221.30188689717423</c:v>
                </c:pt>
                <c:pt idx="30">
                  <c:v>235.06877345752699</c:v>
                </c:pt>
                <c:pt idx="31">
                  <c:v>189.53880266603633</c:v>
                </c:pt>
                <c:pt idx="32">
                  <c:v>207.51529266966918</c:v>
                </c:pt>
                <c:pt idx="33">
                  <c:v>225.45581704538475</c:v>
                </c:pt>
                <c:pt idx="34">
                  <c:v>243.36364067727686</c:v>
                </c:pt>
                <c:pt idx="35">
                  <c:v>261.24150838162944</c:v>
                </c:pt>
                <c:pt idx="36">
                  <c:v>279.09175844081614</c:v>
                </c:pt>
                <c:pt idx="37">
                  <c:v>296.91640552163273</c:v>
                </c:pt>
                <c:pt idx="38">
                  <c:v>314.71720261424775</c:v>
                </c:pt>
                <c:pt idx="39">
                  <c:v>332.49568821053043</c:v>
                </c:pt>
                <c:pt idx="40">
                  <c:v>350.25322285655164</c:v>
                </c:pt>
                <c:pt idx="41">
                  <c:v>277.13386946464016</c:v>
                </c:pt>
                <c:pt idx="42">
                  <c:v>295.17849192957436</c:v>
                </c:pt>
                <c:pt idx="43">
                  <c:v>313.19851383460843</c:v>
                </c:pt>
                <c:pt idx="44">
                  <c:v>331.19554939327526</c:v>
                </c:pt>
                <c:pt idx="45">
                  <c:v>349.17102307812593</c:v>
                </c:pt>
                <c:pt idx="46">
                  <c:v>367.12620074726834</c:v>
                </c:pt>
                <c:pt idx="47">
                  <c:v>385.06221436094899</c:v>
                </c:pt>
                <c:pt idx="48">
                  <c:v>402.9800818512519</c:v>
                </c:pt>
                <c:pt idx="49">
                  <c:v>420.88072327292639</c:v>
                </c:pt>
                <c:pt idx="50">
                  <c:v>438.76497406308482</c:v>
                </c:pt>
                <c:pt idx="51">
                  <c:v>364.96396296815823</c:v>
                </c:pt>
                <c:pt idx="52">
                  <c:v>381.82213777185649</c:v>
                </c:pt>
                <c:pt idx="53">
                  <c:v>398.66413205286977</c:v>
                </c:pt>
                <c:pt idx="54">
                  <c:v>415.49072537978219</c:v>
                </c:pt>
                <c:pt idx="55">
                  <c:v>432.3026290462214</c:v>
                </c:pt>
                <c:pt idx="56">
                  <c:v>449.10049452796119</c:v>
                </c:pt>
                <c:pt idx="57">
                  <c:v>465.88492060890161</c:v>
                </c:pt>
                <c:pt idx="58">
                  <c:v>482.65645942680254</c:v>
                </c:pt>
                <c:pt idx="59">
                  <c:v>499.41562163511918</c:v>
                </c:pt>
                <c:pt idx="60">
                  <c:v>516.16288083607799</c:v>
                </c:pt>
                <c:pt idx="61">
                  <c:v>440.91863377904184</c:v>
                </c:pt>
                <c:pt idx="62">
                  <c:v>455.9880063323198</c:v>
                </c:pt>
                <c:pt idx="63">
                  <c:v>471.0467422191993</c:v>
                </c:pt>
                <c:pt idx="64">
                  <c:v>486.095229268786</c:v>
                </c:pt>
                <c:pt idx="65">
                  <c:v>501.13382934663713</c:v>
                </c:pt>
                <c:pt idx="66">
                  <c:v>516.16288083607799</c:v>
                </c:pt>
                <c:pt idx="67">
                  <c:v>531.18270081556864</c:v>
                </c:pt>
                <c:pt idx="68">
                  <c:v>546.19358697705945</c:v>
                </c:pt>
                <c:pt idx="69">
                  <c:v>561.19581932256801</c:v>
                </c:pt>
                <c:pt idx="70">
                  <c:v>576.18966166997234</c:v>
                </c:pt>
                <c:pt idx="71">
                  <c:v>499.20083687929633</c:v>
                </c:pt>
                <c:pt idx="72">
                  <c:v>512.29916163754626</c:v>
                </c:pt>
                <c:pt idx="73">
                  <c:v>525.39041594713956</c:v>
                </c:pt>
                <c:pt idx="74">
                  <c:v>538.47480076592342</c:v>
                </c:pt>
                <c:pt idx="75">
                  <c:v>551.55250649172569</c:v>
                </c:pt>
                <c:pt idx="76">
                  <c:v>564.6237137597426</c:v>
                </c:pt>
                <c:pt idx="77">
                  <c:v>577.68859416226462</c:v>
                </c:pt>
                <c:pt idx="78">
                  <c:v>590.747310899936</c:v>
                </c:pt>
                <c:pt idx="79">
                  <c:v>603.80001937245117</c:v>
                </c:pt>
                <c:pt idx="80">
                  <c:v>616.8468677155405</c:v>
                </c:pt>
                <c:pt idx="81">
                  <c:v>538.90368289481785</c:v>
                </c:pt>
                <c:pt idx="82">
                  <c:v>550.9094940154306</c:v>
                </c:pt>
                <c:pt idx="83">
                  <c:v>562.90982113451958</c:v>
                </c:pt>
                <c:pt idx="84">
                  <c:v>574.90479761309177</c:v>
                </c:pt>
                <c:pt idx="85">
                  <c:v>586.89455079472998</c:v>
                </c:pt>
                <c:pt idx="86">
                  <c:v>598.87920239708058</c:v>
                </c:pt>
                <c:pt idx="87">
                  <c:v>610.85886887038123</c:v>
                </c:pt>
                <c:pt idx="88">
                  <c:v>622.8336617264132</c:v>
                </c:pt>
                <c:pt idx="89">
                  <c:v>634.80368784084919</c:v>
                </c:pt>
                <c:pt idx="90">
                  <c:v>646.76904973162129</c:v>
                </c:pt>
                <c:pt idx="91">
                  <c:v>567.40855737534184</c:v>
                </c:pt>
                <c:pt idx="92">
                  <c:v>577.90272074471466</c:v>
                </c:pt>
                <c:pt idx="93">
                  <c:v>588.39290880026499</c:v>
                </c:pt>
                <c:pt idx="94">
                  <c:v>598.87920239708058</c:v>
                </c:pt>
                <c:pt idx="95">
                  <c:v>609.36167932827254</c:v>
                </c:pt>
                <c:pt idx="96">
                  <c:v>619.84041449272661</c:v>
                </c:pt>
                <c:pt idx="97">
                  <c:v>630.31548005092793</c:v>
                </c:pt>
                <c:pt idx="98">
                  <c:v>640.78694556988842</c:v>
                </c:pt>
                <c:pt idx="99">
                  <c:v>651.25487815811414</c:v>
                </c:pt>
                <c:pt idx="100">
                  <c:v>661.71934259144575</c:v>
                </c:pt>
                <c:pt idx="101">
                  <c:v>581.32852138015051</c:v>
                </c:pt>
                <c:pt idx="102">
                  <c:v>590.74731089993577</c:v>
                </c:pt>
                <c:pt idx="103">
                  <c:v>600.16297452894207</c:v>
                </c:pt>
                <c:pt idx="104">
                  <c:v>609.57556821855803</c:v>
                </c:pt>
                <c:pt idx="105">
                  <c:v>618.98514605149205</c:v>
                </c:pt>
                <c:pt idx="106">
                  <c:v>628.3917603322484</c:v>
                </c:pt>
                <c:pt idx="107">
                  <c:v>637.79546167190301</c:v>
                </c:pt>
                <c:pt idx="108">
                  <c:v>647.19629906762555</c:v>
                </c:pt>
                <c:pt idx="109">
                  <c:v>656.59431997733589</c:v>
                </c:pt>
                <c:pt idx="110">
                  <c:v>665.9895703898718</c:v>
                </c:pt>
                <c:pt idx="111">
                  <c:v>590.53328243145256</c:v>
                </c:pt>
                <c:pt idx="112">
                  <c:v>598.45126564391796</c:v>
                </c:pt>
                <c:pt idx="113">
                  <c:v>606.36707095513873</c:v>
                </c:pt>
                <c:pt idx="114">
                  <c:v>614.28073080742217</c:v>
                </c:pt>
                <c:pt idx="115">
                  <c:v>622.19227673896933</c:v>
                </c:pt>
                <c:pt idx="116">
                  <c:v>630.10173942049767</c:v>
                </c:pt>
                <c:pt idx="117">
                  <c:v>638.00914868992481</c:v>
                </c:pt>
                <c:pt idx="118">
                  <c:v>645.91453358524529</c:v>
                </c:pt>
                <c:pt idx="119">
                  <c:v>653.81792237571403</c:v>
                </c:pt>
                <c:pt idx="120">
                  <c:v>661.71934259144507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161.3963988836461</c:v>
                </c:pt>
                <c:pt idx="22">
                  <c:v>170.74399063136909</c:v>
                </c:pt>
                <c:pt idx="23">
                  <c:v>180.07953633511511</c:v>
                </c:pt>
                <c:pt idx="24">
                  <c:v>189.40374922883845</c:v>
                </c:pt>
                <c:pt idx="25">
                  <c:v>198.71726649156165</c:v>
                </c:pt>
                <c:pt idx="26">
                  <c:v>208.02066062067857</c:v>
                </c:pt>
                <c:pt idx="27">
                  <c:v>217.3144486608976</c:v>
                </c:pt>
                <c:pt idx="28">
                  <c:v>226.59909976948094</c:v>
                </c:pt>
                <c:pt idx="29">
                  <c:v>235.87504147501636</c:v>
                </c:pt>
                <c:pt idx="30">
                  <c:v>245.14266489892427</c:v>
                </c:pt>
                <c:pt idx="31">
                  <c:v>208.93025151398959</c:v>
                </c:pt>
                <c:pt idx="32">
                  <c:v>219.0307656524819</c:v>
                </c:pt>
                <c:pt idx="33">
                  <c:v>229.12058085809744</c:v>
                </c:pt>
                <c:pt idx="34">
                  <c:v>239.20023509293381</c:v>
                </c:pt>
                <c:pt idx="35">
                  <c:v>249.27021723566543</c:v>
                </c:pt>
                <c:pt idx="36">
                  <c:v>259.33097340507067</c:v>
                </c:pt>
                <c:pt idx="37">
                  <c:v>269.38291224993577</c:v>
                </c:pt>
                <c:pt idx="38">
                  <c:v>279.4264094073539</c:v>
                </c:pt>
                <c:pt idx="39">
                  <c:v>289.46181128597163</c:v>
                </c:pt>
                <c:pt idx="40">
                  <c:v>299.48943829674107</c:v>
                </c:pt>
                <c:pt idx="41">
                  <c:v>227.20431355624598</c:v>
                </c:pt>
                <c:pt idx="42">
                  <c:v>238.79723773455569</c:v>
                </c:pt>
                <c:pt idx="43">
                  <c:v>250.37734432120666</c:v>
                </c:pt>
                <c:pt idx="44">
                  <c:v>261.945310006184</c:v>
                </c:pt>
                <c:pt idx="45">
                  <c:v>273.50174679153514</c:v>
                </c:pt>
                <c:pt idx="46">
                  <c:v>285.04721070608576</c:v>
                </c:pt>
                <c:pt idx="47">
                  <c:v>296.58220903324576</c:v>
                </c:pt>
                <c:pt idx="48">
                  <c:v>308.10720635475906</c:v>
                </c:pt>
                <c:pt idx="49">
                  <c:v>319.62262964231485</c:v>
                </c:pt>
                <c:pt idx="50">
                  <c:v>331.12887257662896</c:v>
                </c:pt>
                <c:pt idx="51">
                  <c:v>261.04041434217822</c:v>
                </c:pt>
                <c:pt idx="52">
                  <c:v>274.60656174697795</c:v>
                </c:pt>
                <c:pt idx="53">
                  <c:v>288.15765529324972</c:v>
                </c:pt>
                <c:pt idx="54">
                  <c:v>301.69450278359409</c:v>
                </c:pt>
                <c:pt idx="55">
                  <c:v>315.21783358823507</c:v>
                </c:pt>
                <c:pt idx="56">
                  <c:v>328.72830936987799</c:v>
                </c:pt>
                <c:pt idx="57">
                  <c:v>342.2265329523762</c:v>
                </c:pt>
                <c:pt idx="58">
                  <c:v>355.71305571649367</c:v>
                </c:pt>
                <c:pt idx="59">
                  <c:v>369.18838381508658</c:v>
                </c:pt>
                <c:pt idx="60">
                  <c:v>382.65298343324525</c:v>
                </c:pt>
                <c:pt idx="61">
                  <c:v>314.81733022074968</c:v>
                </c:pt>
                <c:pt idx="62">
                  <c:v>330.32872765301551</c:v>
                </c:pt>
                <c:pt idx="63">
                  <c:v>345.82406144357361</c:v>
                </c:pt>
                <c:pt idx="64">
                  <c:v>361.30415262392557</c:v>
                </c:pt>
                <c:pt idx="65">
                  <c:v>376.76974613287081</c:v>
                </c:pt>
                <c:pt idx="66">
                  <c:v>392.22152076799466</c:v>
                </c:pt>
                <c:pt idx="67">
                  <c:v>407.66009748688685</c:v>
                </c:pt>
                <c:pt idx="68">
                  <c:v>423.08604638514606</c:v>
                </c:pt>
                <c:pt idx="69">
                  <c:v>438.49989260360843</c:v>
                </c:pt>
                <c:pt idx="70">
                  <c:v>453.90212136173136</c:v>
                </c:pt>
                <c:pt idx="71">
                  <c:v>387.83657804664409</c:v>
                </c:pt>
                <c:pt idx="72">
                  <c:v>404.77256638639187</c:v>
                </c:pt>
                <c:pt idx="73">
                  <c:v>421.69323961894656</c:v>
                </c:pt>
                <c:pt idx="74">
                  <c:v>438.59929855364607</c:v>
                </c:pt>
                <c:pt idx="75">
                  <c:v>455.49138558575515</c:v>
                </c:pt>
                <c:pt idx="76">
                  <c:v>472.37009159588234</c:v>
                </c:pt>
                <c:pt idx="77">
                  <c:v>489.23596181208933</c:v>
                </c:pt>
                <c:pt idx="78">
                  <c:v>506.08950082174573</c:v>
                </c:pt>
                <c:pt idx="79">
                  <c:v>522.93117688121504</c:v>
                </c:pt>
                <c:pt idx="80">
                  <c:v>539.76142564164627</c:v>
                </c:pt>
                <c:pt idx="81">
                  <c:v>474.45420688971325</c:v>
                </c:pt>
                <c:pt idx="82">
                  <c:v>491.8143485962089</c:v>
                </c:pt>
                <c:pt idx="83">
                  <c:v>509.16150115519235</c:v>
                </c:pt>
                <c:pt idx="84">
                  <c:v>526.49616916569187</c:v>
                </c:pt>
                <c:pt idx="85">
                  <c:v>543.81882130875795</c:v>
                </c:pt>
                <c:pt idx="86">
                  <c:v>561.12989399028811</c:v>
                </c:pt>
                <c:pt idx="87">
                  <c:v>578.42979451115264</c:v>
                </c:pt>
                <c:pt idx="88">
                  <c:v>595.7189038385352</c:v>
                </c:pt>
                <c:pt idx="89">
                  <c:v>612.99757903900297</c:v>
                </c:pt>
                <c:pt idx="90">
                  <c:v>630.26615542315449</c:v>
                </c:pt>
                <c:pt idx="91">
                  <c:v>566.1727153890298</c:v>
                </c:pt>
                <c:pt idx="92">
                  <c:v>584.45749051831808</c:v>
                </c:pt>
                <c:pt idx="93">
                  <c:v>602.73034768336277</c:v>
                </c:pt>
                <c:pt idx="94">
                  <c:v>620.99169878755254</c:v>
                </c:pt>
                <c:pt idx="95">
                  <c:v>639.24192955322633</c:v>
                </c:pt>
                <c:pt idx="96">
                  <c:v>657.48140190092874</c:v>
                </c:pt>
                <c:pt idx="97">
                  <c:v>675.71045605112249</c:v>
                </c:pt>
                <c:pt idx="98">
                  <c:v>693.92941238749461</c:v>
                </c:pt>
                <c:pt idx="99">
                  <c:v>712.13857311456889</c:v>
                </c:pt>
                <c:pt idx="100">
                  <c:v>730.33822373711973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1.9933916441581754</c:v>
                </c:pt>
                <c:pt idx="2">
                  <c:v>2.5623261721581314</c:v>
                </c:pt>
                <c:pt idx="3">
                  <c:v>3.2942955119098722</c:v>
                </c:pt>
                <c:pt idx="4">
                  <c:v>4.23619633043461</c:v>
                </c:pt>
                <c:pt idx="5">
                  <c:v>5.4484627492651603</c:v>
                </c:pt>
                <c:pt idx="6">
                  <c:v>7.0089869449314071</c:v>
                </c:pt>
                <c:pt idx="7">
                  <c:v>9.0181786232062908</c:v>
                </c:pt>
                <c:pt idx="8">
                  <c:v>11.605495104681887</c:v>
                </c:pt>
                <c:pt idx="9">
                  <c:v>14.937870632061715</c:v>
                </c:pt>
                <c:pt idx="10">
                  <c:v>19.230598735063261</c:v>
                </c:pt>
                <c:pt idx="11">
                  <c:v>24.761383382256227</c:v>
                </c:pt>
                <c:pt idx="12">
                  <c:v>31.888483968904367</c:v>
                </c:pt>
                <c:pt idx="13">
                  <c:v>41.074149856495346</c:v>
                </c:pt>
                <c:pt idx="14">
                  <c:v>52.914890206805474</c:v>
                </c:pt>
                <c:pt idx="15">
                  <c:v>68.180577553228503</c:v>
                </c:pt>
                <c:pt idx="16">
                  <c:v>87.864969096236052</c:v>
                </c:pt>
                <c:pt idx="17">
                  <c:v>113.2509871504281</c:v>
                </c:pt>
                <c:pt idx="18">
                  <c:v>145.99508005823589</c:v>
                </c:pt>
                <c:pt idx="19">
                  <c:v>188.23625265919645</c:v>
                </c:pt>
                <c:pt idx="20">
                  <c:v>242.73699578294506</c:v>
                </c:pt>
                <c:pt idx="21">
                  <c:v>192.29003045267413</c:v>
                </c:pt>
                <c:pt idx="22">
                  <c:v>219.28874729858379</c:v>
                </c:pt>
                <c:pt idx="23">
                  <c:v>246.21105711862242</c:v>
                </c:pt>
                <c:pt idx="24">
                  <c:v>273.06648912870259</c:v>
                </c:pt>
                <c:pt idx="25">
                  <c:v>299.86254273698586</c:v>
                </c:pt>
                <c:pt idx="26">
                  <c:v>326.60526674391025</c:v>
                </c:pt>
                <c:pt idx="27">
                  <c:v>353.29963832825246</c:v>
                </c:pt>
                <c:pt idx="28">
                  <c:v>379.94982125073926</c:v>
                </c:pt>
                <c:pt idx="29">
                  <c:v>406.55934771731046</c:v>
                </c:pt>
                <c:pt idx="30">
                  <c:v>433.13125009429899</c:v>
                </c:pt>
                <c:pt idx="31">
                  <c:v>317.65398661193501</c:v>
                </c:pt>
                <c:pt idx="32">
                  <c:v>345.00247647890689</c:v>
                </c:pt>
                <c:pt idx="33">
                  <c:v>372.30335622549779</c:v>
                </c:pt>
                <c:pt idx="34">
                  <c:v>399.56060449432636</c:v>
                </c:pt>
                <c:pt idx="35">
                  <c:v>426.77761307453511</c:v>
                </c:pt>
                <c:pt idx="36">
                  <c:v>453.95730613830068</c:v>
                </c:pt>
                <c:pt idx="37">
                  <c:v>481.10222941810247</c:v>
                </c:pt>
                <c:pt idx="38">
                  <c:v>508.21461820459371</c:v>
                </c:pt>
                <c:pt idx="39">
                  <c:v>535.29645007879674</c:v>
                </c:pt>
                <c:pt idx="40">
                  <c:v>562.34948641975632</c:v>
                </c:pt>
                <c:pt idx="41">
                  <c:v>444.43579354849908</c:v>
                </c:pt>
                <c:pt idx="42">
                  <c:v>468.42186475434511</c:v>
                </c:pt>
                <c:pt idx="43">
                  <c:v>492.38177551856029</c:v>
                </c:pt>
                <c:pt idx="44">
                  <c:v>516.31697660260215</c:v>
                </c:pt>
                <c:pt idx="45">
                  <c:v>540.22877341525373</c:v>
                </c:pt>
                <c:pt idx="46">
                  <c:v>564.11834649389664</c:v>
                </c:pt>
                <c:pt idx="47">
                  <c:v>587.98676833759816</c:v>
                </c:pt>
                <c:pt idx="48">
                  <c:v>611.83501736640767</c:v>
                </c:pt>
                <c:pt idx="49">
                  <c:v>635.66398959253263</c:v>
                </c:pt>
                <c:pt idx="50">
                  <c:v>659.47450845181311</c:v>
                </c:pt>
                <c:pt idx="51">
                  <c:v>549.83777157347788</c:v>
                </c:pt>
                <c:pt idx="52">
                  <c:v>570.18213138838905</c:v>
                </c:pt>
                <c:pt idx="53">
                  <c:v>590.51133070234414</c:v>
                </c:pt>
                <c:pt idx="54">
                  <c:v>610.82596442485919</c:v>
                </c:pt>
                <c:pt idx="55">
                  <c:v>631.12658470504709</c:v>
                </c:pt>
                <c:pt idx="56">
                  <c:v>651.41370530942902</c:v>
                </c:pt>
                <c:pt idx="57">
                  <c:v>671.68780542646584</c:v>
                </c:pt>
                <c:pt idx="58">
                  <c:v>691.94933298825333</c:v>
                </c:pt>
                <c:pt idx="59">
                  <c:v>712.19870758327704</c:v>
                </c:pt>
                <c:pt idx="60">
                  <c:v>732.43632302099616</c:v>
                </c:pt>
                <c:pt idx="61">
                  <c:v>651.16177221536145</c:v>
                </c:pt>
                <c:pt idx="62">
                  <c:v>668.0368898585059</c:v>
                </c:pt>
                <c:pt idx="63">
                  <c:v>684.90324436365006</c:v>
                </c:pt>
                <c:pt idx="64">
                  <c:v>701.76108174829403</c:v>
                </c:pt>
                <c:pt idx="65">
                  <c:v>718.61063525657755</c:v>
                </c:pt>
                <c:pt idx="66">
                  <c:v>735.45212631254537</c:v>
                </c:pt>
                <c:pt idx="67">
                  <c:v>752.28576538162952</c:v>
                </c:pt>
                <c:pt idx="68">
                  <c:v>769.11175275108883</c:v>
                </c:pt>
                <c:pt idx="69">
                  <c:v>785.93027923866612</c:v>
                </c:pt>
                <c:pt idx="70">
                  <c:v>802.74152683749219</c:v>
                </c:pt>
                <c:pt idx="71">
                  <c:v>740.60354161515352</c:v>
                </c:pt>
                <c:pt idx="72">
                  <c:v>753.79287926214704</c:v>
                </c:pt>
                <c:pt idx="73">
                  <c:v>766.9775296674934</c:v>
                </c:pt>
                <c:pt idx="74">
                  <c:v>780.15758470453568</c:v>
                </c:pt>
                <c:pt idx="75">
                  <c:v>793.33313289155137</c:v>
                </c:pt>
                <c:pt idx="76">
                  <c:v>806.5042595691117</c:v>
                </c:pt>
                <c:pt idx="77">
                  <c:v>819.67104706526504</c:v>
                </c:pt>
                <c:pt idx="78">
                  <c:v>832.83357484956321</c:v>
                </c:pt>
                <c:pt idx="79">
                  <c:v>845.99191967685238</c:v>
                </c:pt>
                <c:pt idx="80">
                  <c:v>859.14615572166258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03" zoomScale="80" zoomScaleNormal="80" workbookViewId="0">
      <selection activeCell="I19" sqref="I19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53.16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14</v>
      </c>
      <c r="C9" s="32">
        <v>0.15537443168885989</v>
      </c>
      <c r="D9" s="33">
        <f t="shared" ref="D9:D18" si="0">C9*$C$5</f>
        <v>8.259704788579791</v>
      </c>
      <c r="E9" s="34">
        <v>120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12</v>
      </c>
      <c r="C10" s="32">
        <v>6.6589042152368522E-2</v>
      </c>
      <c r="D10" s="33">
        <f t="shared" si="0"/>
        <v>3.5398734808199106</v>
      </c>
      <c r="E10" s="34">
        <v>120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164</v>
      </c>
      <c r="C11" s="32">
        <v>0.38901826307938581</v>
      </c>
      <c r="D11" s="33">
        <f t="shared" si="0"/>
        <v>20.680210865300147</v>
      </c>
      <c r="E11" s="34">
        <v>100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 t="s">
        <v>35</v>
      </c>
      <c r="C12" s="32">
        <v>0.38901826307938581</v>
      </c>
      <c r="D12" s="33">
        <f t="shared" si="0"/>
        <v>20.680210865300147</v>
      </c>
      <c r="E12" s="34">
        <v>80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53.16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Chêne sessile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20</v>
      </c>
      <c r="B36" s="60">
        <v>42</v>
      </c>
      <c r="C36" s="60"/>
      <c r="D36" s="60"/>
      <c r="E36" s="51"/>
      <c r="F36" s="51"/>
      <c r="G36" s="51"/>
      <c r="H36" s="51"/>
      <c r="I36" s="49">
        <f>IFERROR(B36/A36,"")</f>
        <v>2.1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30</v>
      </c>
      <c r="B37" s="60">
        <v>105</v>
      </c>
      <c r="C37" s="60">
        <v>1</v>
      </c>
      <c r="D37" s="60">
        <f>21+8</f>
        <v>29</v>
      </c>
      <c r="E37" s="51"/>
      <c r="F37" s="51">
        <v>0.25</v>
      </c>
      <c r="G37" s="51">
        <v>0.25</v>
      </c>
      <c r="H37" s="51">
        <v>0.5</v>
      </c>
      <c r="I37" s="53">
        <f t="shared" ref="I37:I55" si="1">IF(A37&lt;&gt;0,(B37-(B36-D36))/(A37-A36),"")</f>
        <v>6.3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40</v>
      </c>
      <c r="B38" s="60">
        <v>158</v>
      </c>
      <c r="C38" s="60">
        <v>2</v>
      </c>
      <c r="D38" s="60">
        <f>21+21</f>
        <v>42</v>
      </c>
      <c r="E38" s="51"/>
      <c r="F38" s="51"/>
      <c r="G38" s="51"/>
      <c r="H38" s="51"/>
      <c r="I38" s="53">
        <f t="shared" si="1"/>
        <v>8.1999999999999993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50</v>
      </c>
      <c r="B39" s="60">
        <v>199</v>
      </c>
      <c r="C39" s="60">
        <v>3</v>
      </c>
      <c r="D39" s="60">
        <f t="shared" ref="D39:D44" si="2">21+21</f>
        <v>42</v>
      </c>
      <c r="E39" s="51"/>
      <c r="F39" s="51"/>
      <c r="G39" s="51"/>
      <c r="H39" s="51"/>
      <c r="I39" s="49">
        <f t="shared" si="1"/>
        <v>8.3000000000000007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60</v>
      </c>
      <c r="B40" s="60">
        <v>235</v>
      </c>
      <c r="C40" s="60">
        <v>4</v>
      </c>
      <c r="D40" s="60">
        <f t="shared" si="2"/>
        <v>42</v>
      </c>
      <c r="E40" s="51"/>
      <c r="F40" s="51"/>
      <c r="G40" s="51"/>
      <c r="H40" s="51"/>
      <c r="I40" s="49">
        <f t="shared" si="1"/>
        <v>7.8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70</v>
      </c>
      <c r="B41" s="60">
        <v>263</v>
      </c>
      <c r="C41" s="60">
        <v>5</v>
      </c>
      <c r="D41" s="60">
        <f t="shared" si="2"/>
        <v>42</v>
      </c>
      <c r="E41" s="51"/>
      <c r="F41" s="51"/>
      <c r="G41" s="51"/>
      <c r="H41" s="51"/>
      <c r="I41" s="53">
        <f t="shared" si="1"/>
        <v>7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80</v>
      </c>
      <c r="B42" s="60">
        <v>282</v>
      </c>
      <c r="C42" s="60">
        <v>6</v>
      </c>
      <c r="D42" s="60">
        <f t="shared" si="2"/>
        <v>42</v>
      </c>
      <c r="E42" s="51"/>
      <c r="F42" s="51"/>
      <c r="G42" s="51"/>
      <c r="H42" s="51"/>
      <c r="I42" s="53">
        <f t="shared" si="1"/>
        <v>6.1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90</v>
      </c>
      <c r="B43" s="60">
        <v>296</v>
      </c>
      <c r="C43" s="60">
        <v>7</v>
      </c>
      <c r="D43" s="60">
        <f t="shared" si="2"/>
        <v>42</v>
      </c>
      <c r="E43" s="51"/>
      <c r="F43" s="51"/>
      <c r="G43" s="51"/>
      <c r="H43" s="51"/>
      <c r="I43" s="49">
        <f t="shared" si="1"/>
        <v>5.6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100</v>
      </c>
      <c r="B44" s="60">
        <v>303</v>
      </c>
      <c r="C44" s="60">
        <v>8</v>
      </c>
      <c r="D44" s="60">
        <f t="shared" si="2"/>
        <v>42</v>
      </c>
      <c r="E44" s="51"/>
      <c r="F44" s="51"/>
      <c r="G44" s="51"/>
      <c r="H44" s="51"/>
      <c r="I44" s="49">
        <f t="shared" si="1"/>
        <v>4.9000000000000004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>
        <v>110</v>
      </c>
      <c r="B45" s="60">
        <v>305</v>
      </c>
      <c r="C45" s="60">
        <v>9</v>
      </c>
      <c r="D45" s="60">
        <f>20+19</f>
        <v>39</v>
      </c>
      <c r="E45" s="51"/>
      <c r="F45" s="51"/>
      <c r="G45" s="51"/>
      <c r="H45" s="51"/>
      <c r="I45" s="49">
        <f t="shared" si="1"/>
        <v>4.4000000000000004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>
        <v>120</v>
      </c>
      <c r="B46" s="60">
        <f>268+17+18</f>
        <v>303</v>
      </c>
      <c r="C46" s="60">
        <v>10</v>
      </c>
      <c r="D46" s="60">
        <f>B46</f>
        <v>303</v>
      </c>
      <c r="E46" s="51"/>
      <c r="F46" s="51"/>
      <c r="G46" s="51"/>
      <c r="H46" s="51"/>
      <c r="I46" s="49">
        <f t="shared" si="1"/>
        <v>3.7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pubescent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20</v>
      </c>
      <c r="B62" s="60">
        <v>42</v>
      </c>
      <c r="C62" s="60"/>
      <c r="D62" s="60"/>
      <c r="E62" s="51"/>
      <c r="F62" s="51"/>
      <c r="G62" s="51"/>
      <c r="H62" s="51"/>
      <c r="I62" s="53">
        <f>IFERROR(B62/A62,"")</f>
        <v>2.1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30</v>
      </c>
      <c r="B63" s="60">
        <v>105</v>
      </c>
      <c r="C63" s="60">
        <v>1</v>
      </c>
      <c r="D63" s="60">
        <f>21+8</f>
        <v>29</v>
      </c>
      <c r="E63" s="51"/>
      <c r="F63" s="51">
        <v>0.25</v>
      </c>
      <c r="G63" s="51">
        <v>0.25</v>
      </c>
      <c r="H63" s="51">
        <v>0.5</v>
      </c>
      <c r="I63" s="49">
        <f>IF(A63&lt;&gt;0,(B63-(B62-D62))/(A63-A62),"")</f>
        <v>6.3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40</v>
      </c>
      <c r="B64" s="60">
        <v>158</v>
      </c>
      <c r="C64" s="60">
        <v>2</v>
      </c>
      <c r="D64" s="60">
        <f>21+21</f>
        <v>42</v>
      </c>
      <c r="E64" s="51"/>
      <c r="F64" s="51"/>
      <c r="G64" s="51"/>
      <c r="H64" s="51"/>
      <c r="I64" s="49">
        <f>IF(A64&lt;&gt;0,(B64-(B63-D63))/(A64-A63),"")</f>
        <v>8.1999999999999993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50</v>
      </c>
      <c r="B65" s="60">
        <v>199</v>
      </c>
      <c r="C65" s="60">
        <v>3</v>
      </c>
      <c r="D65" s="60">
        <f t="shared" ref="D65:D70" si="3">21+21</f>
        <v>42</v>
      </c>
      <c r="E65" s="51"/>
      <c r="F65" s="51"/>
      <c r="G65" s="51"/>
      <c r="H65" s="51"/>
      <c r="I65" s="49">
        <f>IF(A65&lt;&gt;0,(B65-(B64-D64))/(A65-A64),"")</f>
        <v>8.3000000000000007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60</v>
      </c>
      <c r="B66" s="60">
        <v>235</v>
      </c>
      <c r="C66" s="60">
        <v>4</v>
      </c>
      <c r="D66" s="60">
        <f t="shared" si="3"/>
        <v>42</v>
      </c>
      <c r="E66" s="51"/>
      <c r="F66" s="51"/>
      <c r="G66" s="51"/>
      <c r="H66" s="51"/>
      <c r="I66" s="49">
        <f t="shared" ref="I66:I81" si="4">IF(A66&lt;&gt;0,(B66-(B65-D65))/(A66-A65),"")</f>
        <v>7.8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70</v>
      </c>
      <c r="B67" s="60">
        <v>263</v>
      </c>
      <c r="C67" s="60">
        <v>5</v>
      </c>
      <c r="D67" s="60">
        <f t="shared" si="3"/>
        <v>42</v>
      </c>
      <c r="E67" s="51"/>
      <c r="F67" s="51"/>
      <c r="G67" s="51"/>
      <c r="H67" s="51"/>
      <c r="I67" s="49">
        <f t="shared" si="4"/>
        <v>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80</v>
      </c>
      <c r="B68" s="60">
        <v>282</v>
      </c>
      <c r="C68" s="60">
        <v>6</v>
      </c>
      <c r="D68" s="60">
        <f t="shared" si="3"/>
        <v>42</v>
      </c>
      <c r="E68" s="51"/>
      <c r="F68" s="51"/>
      <c r="G68" s="51"/>
      <c r="H68" s="51"/>
      <c r="I68" s="49">
        <f t="shared" si="4"/>
        <v>6.1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90</v>
      </c>
      <c r="B69" s="50">
        <v>296</v>
      </c>
      <c r="C69" s="50">
        <v>7</v>
      </c>
      <c r="D69" s="50">
        <f t="shared" si="3"/>
        <v>42</v>
      </c>
      <c r="E69" s="51"/>
      <c r="F69" s="51"/>
      <c r="G69" s="51"/>
      <c r="H69" s="51"/>
      <c r="I69" s="49">
        <f t="shared" si="4"/>
        <v>5.6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100</v>
      </c>
      <c r="B70" s="50">
        <v>303</v>
      </c>
      <c r="C70" s="50">
        <v>8</v>
      </c>
      <c r="D70" s="50">
        <f t="shared" si="3"/>
        <v>42</v>
      </c>
      <c r="E70" s="51"/>
      <c r="F70" s="51"/>
      <c r="G70" s="51"/>
      <c r="H70" s="51"/>
      <c r="I70" s="49">
        <f t="shared" si="4"/>
        <v>4.9000000000000004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110</v>
      </c>
      <c r="B71" s="50">
        <v>305</v>
      </c>
      <c r="C71" s="50">
        <v>9</v>
      </c>
      <c r="D71" s="50">
        <f>20+19</f>
        <v>39</v>
      </c>
      <c r="E71" s="51"/>
      <c r="F71" s="51"/>
      <c r="G71" s="51"/>
      <c r="H71" s="51"/>
      <c r="I71" s="49">
        <f t="shared" si="4"/>
        <v>4.4000000000000004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120</v>
      </c>
      <c r="B72" s="50">
        <f>268+17+18</f>
        <v>303</v>
      </c>
      <c r="C72" s="50">
        <v>10</v>
      </c>
      <c r="D72" s="50">
        <f>B72</f>
        <v>303</v>
      </c>
      <c r="E72" s="51"/>
      <c r="F72" s="51"/>
      <c r="G72" s="51"/>
      <c r="H72" s="51"/>
      <c r="I72" s="49">
        <f t="shared" si="4"/>
        <v>3.7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4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4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4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4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4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4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4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4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4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Cèdre de l'Atlas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20</v>
      </c>
      <c r="B88" s="60">
        <v>158</v>
      </c>
      <c r="C88" s="60">
        <v>1</v>
      </c>
      <c r="D88" s="60">
        <v>12.5</v>
      </c>
      <c r="E88" s="51"/>
      <c r="F88" s="51">
        <v>0.5</v>
      </c>
      <c r="G88" s="51">
        <v>0.5</v>
      </c>
      <c r="H88" s="87"/>
      <c r="I88" s="53">
        <f>IFERROR(B88/A88,"")</f>
        <v>7.9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30</v>
      </c>
      <c r="B89" s="60">
        <f>250-D88</f>
        <v>237.5</v>
      </c>
      <c r="C89" s="60">
        <v>2</v>
      </c>
      <c r="D89" s="60">
        <v>45.9</v>
      </c>
      <c r="E89" s="51">
        <v>0.2</v>
      </c>
      <c r="F89" s="51">
        <v>0.4</v>
      </c>
      <c r="G89" s="51">
        <v>0.4</v>
      </c>
      <c r="H89" s="87"/>
      <c r="I89" s="53">
        <f t="shared" ref="I89:I107" si="5">IF(A89&lt;&gt;0,(B89-(B88-D88))/(A89-A88),"")</f>
        <v>9.1999999999999993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40</v>
      </c>
      <c r="B90" s="60">
        <f>350-SUM(D88:D89)</f>
        <v>291.60000000000002</v>
      </c>
      <c r="C90" s="60">
        <v>3</v>
      </c>
      <c r="D90" s="60">
        <v>83.4</v>
      </c>
      <c r="E90" s="87"/>
      <c r="F90" s="87"/>
      <c r="G90" s="87"/>
      <c r="H90" s="87"/>
      <c r="I90" s="53">
        <f t="shared" si="5"/>
        <v>10.000000000000004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50</v>
      </c>
      <c r="B91" s="60">
        <f>465-SUM(D88:D90)</f>
        <v>323.2</v>
      </c>
      <c r="C91" s="60">
        <v>4</v>
      </c>
      <c r="D91" s="60">
        <v>83.4</v>
      </c>
      <c r="E91" s="87"/>
      <c r="F91" s="87"/>
      <c r="G91" s="87"/>
      <c r="H91" s="87"/>
      <c r="I91" s="53">
        <f t="shared" si="5"/>
        <v>11.499999999999996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60</v>
      </c>
      <c r="B92" s="60">
        <f>600-SUM(D88:D91)</f>
        <v>374.79999999999995</v>
      </c>
      <c r="C92" s="60">
        <v>5</v>
      </c>
      <c r="D92" s="60">
        <v>83.4</v>
      </c>
      <c r="E92" s="87"/>
      <c r="F92" s="87"/>
      <c r="G92" s="87"/>
      <c r="H92" s="87"/>
      <c r="I92" s="53">
        <f t="shared" si="5"/>
        <v>13.499999999999996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70</v>
      </c>
      <c r="B93" s="60">
        <f>755-SUM(D88:D92)</f>
        <v>446.4</v>
      </c>
      <c r="C93" s="60">
        <v>6</v>
      </c>
      <c r="D93" s="60">
        <v>83.4</v>
      </c>
      <c r="E93" s="87"/>
      <c r="F93" s="87"/>
      <c r="G93" s="87"/>
      <c r="H93" s="87"/>
      <c r="I93" s="53">
        <f t="shared" si="5"/>
        <v>15.5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80</v>
      </c>
      <c r="B94" s="60">
        <f>925-SUM(D88:D93)</f>
        <v>533</v>
      </c>
      <c r="C94" s="60">
        <v>7</v>
      </c>
      <c r="D94" s="60">
        <v>83.4</v>
      </c>
      <c r="E94" s="87"/>
      <c r="F94" s="87"/>
      <c r="G94" s="87"/>
      <c r="H94" s="87"/>
      <c r="I94" s="53">
        <f t="shared" si="5"/>
        <v>17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90</v>
      </c>
      <c r="B95" s="60">
        <f>1100-SUM(D88:D94)</f>
        <v>624.6</v>
      </c>
      <c r="C95" s="60">
        <v>8</v>
      </c>
      <c r="D95" s="60">
        <v>83.4</v>
      </c>
      <c r="E95" s="87"/>
      <c r="F95" s="87"/>
      <c r="G95" s="87"/>
      <c r="H95" s="87"/>
      <c r="I95" s="53">
        <f t="shared" si="5"/>
        <v>17.5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>
        <v>100</v>
      </c>
      <c r="B96" s="60">
        <f>1285-SUM(D88:D95)</f>
        <v>726.2</v>
      </c>
      <c r="C96" s="60">
        <v>9</v>
      </c>
      <c r="D96" s="60">
        <v>726.2</v>
      </c>
      <c r="E96" s="87"/>
      <c r="F96" s="87"/>
      <c r="G96" s="87"/>
      <c r="H96" s="87"/>
      <c r="I96" s="53">
        <f t="shared" si="5"/>
        <v>18.5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5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5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5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5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5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5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5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5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5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5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5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Pin laricio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20</v>
      </c>
      <c r="B114" s="60">
        <v>184</v>
      </c>
      <c r="C114" s="50">
        <v>1</v>
      </c>
      <c r="D114" s="60">
        <v>60</v>
      </c>
      <c r="E114" s="51"/>
      <c r="F114" s="51">
        <v>0.5</v>
      </c>
      <c r="G114" s="51">
        <v>0.5</v>
      </c>
      <c r="H114" s="51"/>
      <c r="I114" s="53">
        <f>IFERROR(B114/A114,"")</f>
        <v>9.1999999999999993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30</v>
      </c>
      <c r="B115" s="60">
        <v>333</v>
      </c>
      <c r="C115" s="50">
        <v>2</v>
      </c>
      <c r="D115" s="60">
        <v>112</v>
      </c>
      <c r="E115" s="51">
        <v>0.1</v>
      </c>
      <c r="F115" s="51">
        <v>0.45</v>
      </c>
      <c r="G115" s="51">
        <v>0.45</v>
      </c>
      <c r="H115" s="51"/>
      <c r="I115" s="53">
        <f t="shared" ref="I115:I133" si="6">IF(A115&lt;&gt;0,(B115-(B114-D114))/(A115-A114),"")</f>
        <v>20.9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40</v>
      </c>
      <c r="B116" s="60">
        <v>435</v>
      </c>
      <c r="C116" s="50">
        <v>3</v>
      </c>
      <c r="D116" s="60">
        <v>112</v>
      </c>
      <c r="E116" s="51"/>
      <c r="F116" s="51"/>
      <c r="G116" s="51"/>
      <c r="H116" s="51"/>
      <c r="I116" s="53">
        <f t="shared" si="6"/>
        <v>21.4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50</v>
      </c>
      <c r="B117" s="60">
        <v>512</v>
      </c>
      <c r="C117" s="50">
        <v>4</v>
      </c>
      <c r="D117" s="60">
        <v>103</v>
      </c>
      <c r="E117" s="51"/>
      <c r="F117" s="51"/>
      <c r="G117" s="51"/>
      <c r="H117" s="51"/>
      <c r="I117" s="53">
        <f t="shared" si="6"/>
        <v>18.899999999999999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60</v>
      </c>
      <c r="B118" s="60">
        <v>570</v>
      </c>
      <c r="C118" s="50">
        <v>5</v>
      </c>
      <c r="D118" s="60">
        <v>78</v>
      </c>
      <c r="E118" s="51"/>
      <c r="F118" s="51"/>
      <c r="G118" s="51"/>
      <c r="H118" s="51"/>
      <c r="I118" s="53">
        <f t="shared" si="6"/>
        <v>16.100000000000001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70</v>
      </c>
      <c r="B119" s="60">
        <v>626</v>
      </c>
      <c r="C119" s="50">
        <v>6</v>
      </c>
      <c r="D119" s="60">
        <v>60</v>
      </c>
      <c r="E119" s="51"/>
      <c r="F119" s="51"/>
      <c r="G119" s="51"/>
      <c r="H119" s="51"/>
      <c r="I119" s="53">
        <f t="shared" si="6"/>
        <v>13.4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>
        <v>80</v>
      </c>
      <c r="B120" s="60">
        <f>616+55</f>
        <v>671</v>
      </c>
      <c r="C120" s="60">
        <v>7</v>
      </c>
      <c r="D120" s="60">
        <f>B120</f>
        <v>671</v>
      </c>
      <c r="E120" s="87"/>
      <c r="F120" s="87"/>
      <c r="G120" s="87"/>
      <c r="H120" s="87"/>
      <c r="I120" s="53">
        <f t="shared" si="6"/>
        <v>10.5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6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6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6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6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6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6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6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6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6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6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6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6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6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7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7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7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7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7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7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7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7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7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7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7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7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7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7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7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7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7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7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8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8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8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8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8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8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8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8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8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8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8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8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8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8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8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8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8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8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8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9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9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9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9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9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9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9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9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9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9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9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9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9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9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9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9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9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9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9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10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10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10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10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10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10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10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10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10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10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10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10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10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10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10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10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10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10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10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11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11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11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11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11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11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11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11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11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11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11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11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11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11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11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11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11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2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2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2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2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2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2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2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2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2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2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2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2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2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2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2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2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2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2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21" sqref="G21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sessile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pubescent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Cèdre de l'Atlas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Pin laricio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282.32472952059817</v>
      </c>
      <c r="T3" s="59">
        <f>IF('Données projet'!E9&gt;30,$R$33-$H$33,LOOKUP('Données projet'!$E$9,$A$3:$A$203,R3:R203)-LOOKUP('Données projet'!$E$9,$A$3:$A$203,$H$3:$H$203))</f>
        <v>172.32171001882176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324.30660429578262</v>
      </c>
      <c r="AO3" s="59">
        <f>IF('Données projet'!E10&gt;30,$AM$33-$H$33,LOOKUP('Données projet'!$E$10,$A$3:$A$203,AM3:AM203)-LOOKUP('Données projet'!$E$10,$A$3:$A$203,$H$3:$H$203))</f>
        <v>197.04549436738586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252.98248842635206</v>
      </c>
      <c r="BJ3" s="59">
        <f>IF('Données projet'!E11&gt;30,$BH$33-$H$33,LOOKUP('Données projet'!$E$11,$A$3:$A$203,BH3:BH203)-LOOKUP('Données projet'!$E$11,$A$3:$A$203,$H$3:$H$203))</f>
        <v>207.11938580878308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392.08740055894992</v>
      </c>
      <c r="CE3" s="59">
        <f>IF('Données projet'!E12&gt;30,$CC$33-$H$33,LOOKUP('Données projet'!$E$12,$A$3:$A$203,CC3:CC203)-LOOKUP('Données projet'!$E$12,$A$3:$A$203,$H$3:$H$203))</f>
        <v>395.10797100415783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2.1</v>
      </c>
      <c r="N4" s="13">
        <f>IF('Données projet'!$A$36&gt;35,N3+M4-V3,IF(A4&lt;'Données projet'!$A$36,$K$205^A4,IF(A4='Données projet'!$A$36,'Données projet'!$B$36,N3+M4-V3)))</f>
        <v>1.2054868146447177</v>
      </c>
      <c r="O4" s="13">
        <f>N4*VLOOKUP('Données projet'!$B$9,Paramètres!$A$1:$I$89,3,0)*VLOOKUP('Données projet'!$B$9,Paramètres!$A$1:$I$89,5,0)</f>
        <v>1.0907244698905405</v>
      </c>
      <c r="P4" s="13">
        <f>EXP(-1.0587+0.8836*LN(O4)+0.284)</f>
        <v>0.49759623852608204</v>
      </c>
      <c r="Q4" s="20">
        <f t="shared" ref="Q4:Q34" si="2">(O4+P4)*0.475*44/12</f>
        <v>2.7663252338256172</v>
      </c>
      <c r="R4" s="59">
        <f t="shared" si="0"/>
        <v>296.09965856715894</v>
      </c>
      <c r="S4" s="59">
        <f ca="1">AVERAGE(OFFSET($R$3,0,0,'Données projet'!$E$9+1,1))-AVERAGE(OFFSET($H$3,0,0,'Données projet'!$E$9+1,1))</f>
        <v>282.32472952059817</v>
      </c>
      <c r="T4" s="59">
        <f>$T$3</f>
        <v>172.32171001882176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2.1</v>
      </c>
      <c r="AI4" s="13">
        <f>IF('Données projet'!$A$62&gt;35,AI3+AH4-AQ3,IF(A4&lt;'Données projet'!$A$62,$AF$205^A4,IF(A4='Données projet'!$A$62,'Données projet'!$B$62,AI3+AH4-AQ3)))</f>
        <v>1.2054868146447177</v>
      </c>
      <c r="AJ4" s="13">
        <f>AI4*VLOOKUP('Données projet'!$B$10,Paramètres!$A$1:$I$89,3,0)*VLOOKUP('Données projet'!$B$10,Paramètres!$A$1:$I$89,5,0)</f>
        <v>1.2223636300497438</v>
      </c>
      <c r="AK4" s="13">
        <f>EXP(-1.0587+0.8836*LN(AJ4)+0.284)</f>
        <v>0.55030360208821416</v>
      </c>
      <c r="AL4" s="20">
        <f t="shared" ref="AL4:AL67" si="4">(AJ4+AK4)*0.475*44/12</f>
        <v>3.0873954293069432</v>
      </c>
      <c r="AM4" s="59">
        <f t="shared" ref="AM4:AM67" si="5">AL4+(AD4+AE4)*44/12</f>
        <v>296.42072876264024</v>
      </c>
      <c r="AN4" s="59">
        <f ca="1">AVERAGE(OFFSET($AM$3,0,0,'Données projet'!$E$10+1,1))-AVERAGE(OFFSET($H$3,0,0,'Données projet'!$E$10+1,1))</f>
        <v>324.30660429578262</v>
      </c>
      <c r="AO4" s="59">
        <f>$AO$3</f>
        <v>197.04549436738586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7.9</v>
      </c>
      <c r="BD4" s="12">
        <f>IF('Données projet'!$A$88&gt;35,BD3+BC4-BL3,IF(A4&lt;'Données projet'!$A$88,$BA$205^A4,IF(A4='Données projet'!$A$88,'Données projet'!$B$88,BD3+BC4-BL3)))</f>
        <v>1.2880503926580862</v>
      </c>
      <c r="BE4" s="13">
        <f>BD4*VLOOKUP('Données projet'!$B$11,Paramètres!$A$1:$I$89,3,0)*VLOOKUP('Données projet'!$B$11,Paramètres!$A$1:$I$89,5,0)</f>
        <v>0.60280758376398436</v>
      </c>
      <c r="BF4" s="13">
        <f>EXP(-1.0587+0.8836*LN(BE4)+0.284)</f>
        <v>0.29465781953181042</v>
      </c>
      <c r="BG4" s="20">
        <f t="shared" ref="BG4:BG67" si="7">(BE4+BF4)*0.475*44/12</f>
        <v>1.5630855774068424</v>
      </c>
      <c r="BH4" s="59">
        <f t="shared" ref="BH4:BH67" si="8">BG4+(AY4+AZ4)*44/12</f>
        <v>294.89641891074018</v>
      </c>
      <c r="BI4" s="59">
        <f ca="1">AVERAGE(OFFSET($BH$3,0,0,'Données projet'!$E$11+1,1))-AVERAGE(OFFSET($H$3,0,0,'Données projet'!$E$11+1,1))</f>
        <v>252.98248842635206</v>
      </c>
      <c r="BJ4" s="59">
        <f>$BJ$3</f>
        <v>207.11938580878308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9.1999999999999993</v>
      </c>
      <c r="BY4" s="12">
        <f>IF('Données projet'!$A$114&gt;35,BY3+BX4-CG3,IF(A4&lt;'Données projet'!$A$114,$BV$205^A4,IF(A4='Données projet'!$A$114,'Données projet'!$B$114,BY3+BX4-CG3)))</f>
        <v>1.297898980070181</v>
      </c>
      <c r="BZ4" s="13">
        <f>BY4*VLOOKUP('Données projet'!$B$12,Paramètres!$A$1:$I$89,3,0)*VLOOKUP('Données projet'!$B$12,Paramètres!$A$1:$I$89,5,0)</f>
        <v>0.77614359008196832</v>
      </c>
      <c r="CA4" s="13">
        <f>EXP(-1.0587+0.8836*LN(BZ4)+0.284)</f>
        <v>0.36838749747296484</v>
      </c>
      <c r="CB4" s="20">
        <f t="shared" ref="CB4:CB67" si="10">(BZ4+CA4)*0.475*44/12</f>
        <v>1.9933916441581754</v>
      </c>
      <c r="CC4" s="59">
        <f t="shared" ref="CC4:CC67" si="11">CB4+(BT4+BU4)*44/12</f>
        <v>295.32672497749149</v>
      </c>
      <c r="CD4" s="59">
        <f ca="1">AVERAGE(OFFSET($CC$3,0,0,'Données projet'!$E$12+1,1))-AVERAGE(OFFSET($H$3,0,0,'Données projet'!$E$12+1,1))</f>
        <v>392.08740055894992</v>
      </c>
      <c r="CE4" s="59">
        <f>$CE$3</f>
        <v>395.10797100415783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2.1</v>
      </c>
      <c r="N5" s="13">
        <f>IF('Données projet'!$A$36&gt;35,N4+M5-V4,IF(A5&lt;'Données projet'!$A$36,$K$205^A5,IF(A5='Données projet'!$A$36,'Données projet'!$B$36,N4+M5-V4)))</f>
        <v>1.4531984602822681</v>
      </c>
      <c r="O5" s="13">
        <f>N5*VLOOKUP('Données projet'!$B$9,Paramètres!$A$1:$I$89,3,0)*VLOOKUP('Données projet'!$B$9,Paramètres!$A$1:$I$89,5,0)</f>
        <v>1.3148539668633961</v>
      </c>
      <c r="P5" s="13">
        <f t="shared" ref="P5:P68" si="33">EXP(-1.0587+0.8836*LN(O5)+0.284)</f>
        <v>0.58693801963664449</v>
      </c>
      <c r="Q5" s="20">
        <f t="shared" si="2"/>
        <v>3.3122877098209038</v>
      </c>
      <c r="R5" s="59">
        <f t="shared" si="0"/>
        <v>296.64562104315422</v>
      </c>
      <c r="S5" s="59">
        <f ca="1">AVERAGE(OFFSET($R$3,0,0,'Données projet'!$E$9+1,1))-AVERAGE(OFFSET($H$3,0,0,'Données projet'!$E$9+1,1))</f>
        <v>282.32472952059817</v>
      </c>
      <c r="T5" s="59">
        <f t="shared" ref="T5:T68" si="34">$T$3</f>
        <v>172.32171001882176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2.1</v>
      </c>
      <c r="AI5" s="13">
        <f>IF('Données projet'!$A$62&gt;35,AI4+AH5-AQ4,IF(A5&lt;'Données projet'!$A$62,$AF$205^A5,IF(A5='Données projet'!$A$62,'Données projet'!$B$62,AI4+AH5-AQ4)))</f>
        <v>1.4531984602822681</v>
      </c>
      <c r="AJ5" s="13">
        <f>AI5*VLOOKUP('Données projet'!$B$10,Paramètres!$A$1:$I$89,3,0)*VLOOKUP('Données projet'!$B$10,Paramètres!$A$1:$I$89,5,0)</f>
        <v>1.47354323872622</v>
      </c>
      <c r="AK5" s="13">
        <f t="shared" ref="AK5:AK68" si="35">EXP(-1.0587+0.8836*LN(AJ5)+0.284)</f>
        <v>0.64910881835703094</v>
      </c>
      <c r="AL5" s="20">
        <f t="shared" si="4"/>
        <v>3.6969523327533285</v>
      </c>
      <c r="AM5" s="59">
        <f t="shared" si="5"/>
        <v>297.03028566608663</v>
      </c>
      <c r="AN5" s="59">
        <f ca="1">AVERAGE(OFFSET($AM$3,0,0,'Données projet'!$E$10+1,1))-AVERAGE(OFFSET($H$3,0,0,'Données projet'!$E$10+1,1))</f>
        <v>324.30660429578262</v>
      </c>
      <c r="AO5" s="59">
        <f t="shared" ref="AO5:AO68" si="36">$AO$3</f>
        <v>197.04549436738586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7.9</v>
      </c>
      <c r="BD5" s="12">
        <f>IF('Données projet'!$A$88&gt;35,BD4+BC5-BL4,IF(A5&lt;'Données projet'!$A$88,$BA$205^A5,IF(A5='Données projet'!$A$88,'Données projet'!$B$88,BD4+BC5-BL4)))</f>
        <v>1.6590738140266501</v>
      </c>
      <c r="BE5" s="13">
        <f>BD5*VLOOKUP('Données projet'!$B$11,Paramètres!$A$1:$I$89,3,0)*VLOOKUP('Données projet'!$B$11,Paramètres!$A$1:$I$89,5,0)</f>
        <v>0.77644654496447219</v>
      </c>
      <c r="BF5" s="13">
        <f t="shared" ref="BF5:BF68" si="37">EXP(-1.0587+0.8836*LN(BE5)+0.284)</f>
        <v>0.36851455096495994</v>
      </c>
      <c r="BG5" s="20">
        <f t="shared" si="7"/>
        <v>1.9941405754104276</v>
      </c>
      <c r="BH5" s="59">
        <f t="shared" si="8"/>
        <v>295.32747390874374</v>
      </c>
      <c r="BI5" s="59">
        <f ca="1">AVERAGE(OFFSET($BH$3,0,0,'Données projet'!$E$11+1,1))-AVERAGE(OFFSET($H$3,0,0,'Données projet'!$E$11+1,1))</f>
        <v>252.98248842635206</v>
      </c>
      <c r="BJ5" s="59">
        <f t="shared" ref="BJ5:BJ68" si="38">$BJ$3</f>
        <v>207.11938580878308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9.1999999999999993</v>
      </c>
      <c r="BY5" s="12">
        <f>IF('Données projet'!$A$114&gt;35,BY4+BX5-CG4,IF(A5&lt;'Données projet'!$A$114,$BV$205^A5,IF(A5='Données projet'!$A$114,'Données projet'!$B$114,BY4+BX5-CG4)))</f>
        <v>1.6845417624672161</v>
      </c>
      <c r="BZ5" s="13">
        <f>BY5*VLOOKUP('Données projet'!$B$12,Paramètres!$A$1:$I$89,3,0)*VLOOKUP('Données projet'!$B$12,Paramètres!$A$1:$I$89,5,0)</f>
        <v>1.0073559739553952</v>
      </c>
      <c r="CA5" s="13">
        <f t="shared" ref="CA5:CA68" si="39">EXP(-1.0587+0.8836*LN(BZ5)+0.284)</f>
        <v>0.46383608661386677</v>
      </c>
      <c r="CB5" s="20">
        <f t="shared" si="10"/>
        <v>2.5623261721581314</v>
      </c>
      <c r="CC5" s="59">
        <f t="shared" si="11"/>
        <v>295.89565950549144</v>
      </c>
      <c r="CD5" s="59">
        <f ca="1">AVERAGE(OFFSET($CC$3,0,0,'Données projet'!$E$12+1,1))-AVERAGE(OFFSET($H$3,0,0,'Données projet'!$E$12+1,1))</f>
        <v>392.08740055894992</v>
      </c>
      <c r="CE5" s="59">
        <f t="shared" ref="CE5:CE68" si="40">$CE$3</f>
        <v>395.10797100415783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2.1</v>
      </c>
      <c r="N6" s="13">
        <f>IF('Données projet'!$A$36&gt;35,N5+M6-V5,IF(A6&lt;'Données projet'!$A$36,$K$205^A6,IF(A6='Données projet'!$A$36,'Données projet'!$B$36,N5+M6-V5)))</f>
        <v>1.7518115829322798</v>
      </c>
      <c r="O6" s="13">
        <f>N6*VLOOKUP('Données projet'!$B$9,Paramètres!$A$1:$I$89,3,0)*VLOOKUP('Données projet'!$B$9,Paramètres!$A$1:$I$89,5,0)</f>
        <v>1.5850391202371266</v>
      </c>
      <c r="P6" s="13">
        <f t="shared" si="33"/>
        <v>0.69232082604846479</v>
      </c>
      <c r="Q6" s="20">
        <f t="shared" si="2"/>
        <v>3.966401906447405</v>
      </c>
      <c r="R6" s="59">
        <f t="shared" si="0"/>
        <v>297.29973523978072</v>
      </c>
      <c r="S6" s="59">
        <f ca="1">AVERAGE(OFFSET($R$3,0,0,'Données projet'!$E$9+1,1))-AVERAGE(OFFSET($H$3,0,0,'Données projet'!$E$9+1,1))</f>
        <v>282.32472952059817</v>
      </c>
      <c r="T6" s="59">
        <f t="shared" si="34"/>
        <v>172.32171001882176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2.1</v>
      </c>
      <c r="AI6" s="13">
        <f>IF('Données projet'!$A$62&gt;35,AI5+AH6-AQ5,IF(A6&lt;'Données projet'!$A$62,$AF$205^A6,IF(A6='Données projet'!$A$62,'Données projet'!$B$62,AI5+AH6-AQ5)))</f>
        <v>1.7518115829322798</v>
      </c>
      <c r="AJ6" s="13">
        <f>AI6*VLOOKUP('Données projet'!$B$10,Paramètres!$A$1:$I$89,3,0)*VLOOKUP('Données projet'!$B$10,Paramètres!$A$1:$I$89,5,0)</f>
        <v>1.7763369450933317</v>
      </c>
      <c r="AK6" s="13">
        <f t="shared" si="35"/>
        <v>0.76565418883323866</v>
      </c>
      <c r="AL6" s="20">
        <f t="shared" si="4"/>
        <v>4.4273012249221102</v>
      </c>
      <c r="AM6" s="59">
        <f t="shared" si="5"/>
        <v>297.76063455825545</v>
      </c>
      <c r="AN6" s="59">
        <f ca="1">AVERAGE(OFFSET($AM$3,0,0,'Données projet'!$E$10+1,1))-AVERAGE(OFFSET($H$3,0,0,'Données projet'!$E$10+1,1))</f>
        <v>324.30660429578262</v>
      </c>
      <c r="AO6" s="59">
        <f t="shared" si="36"/>
        <v>197.04549436738586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7.9</v>
      </c>
      <c r="BD6" s="12">
        <f>IF('Données projet'!$A$88&gt;35,BD5+BC6-BL5,IF(A6&lt;'Données projet'!$A$88,$BA$205^A6,IF(A6='Données projet'!$A$88,'Données projet'!$B$88,BD5+BC6-BL5)))</f>
        <v>2.1369706776057753</v>
      </c>
      <c r="BE6" s="13">
        <f>BD6*VLOOKUP('Données projet'!$B$11,Paramètres!$A$1:$I$89,3,0)*VLOOKUP('Données projet'!$B$11,Paramètres!$A$1:$I$89,5,0)</f>
        <v>1.0001022771195029</v>
      </c>
      <c r="BF6" s="13">
        <f t="shared" si="37"/>
        <v>0.46088365986243646</v>
      </c>
      <c r="BG6" s="20">
        <f t="shared" si="7"/>
        <v>2.5445505069102112</v>
      </c>
      <c r="BH6" s="59">
        <f t="shared" si="8"/>
        <v>295.8778838402435</v>
      </c>
      <c r="BI6" s="59">
        <f ca="1">AVERAGE(OFFSET($BH$3,0,0,'Données projet'!$E$11+1,1))-AVERAGE(OFFSET($H$3,0,0,'Données projet'!$E$11+1,1))</f>
        <v>252.98248842635206</v>
      </c>
      <c r="BJ6" s="59">
        <f t="shared" si="38"/>
        <v>207.11938580878308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9.1999999999999993</v>
      </c>
      <c r="BY6" s="12">
        <f>IF('Données projet'!$A$114&gt;35,BY5+BX6-CG5,IF(A6&lt;'Données projet'!$A$114,$BV$205^A6,IF(A6='Données projet'!$A$114,'Données projet'!$B$114,BY5+BX6-CG5)))</f>
        <v>2.1863650353918249</v>
      </c>
      <c r="BZ6" s="13">
        <f>BY6*VLOOKUP('Données projet'!$B$12,Paramètres!$A$1:$I$89,3,0)*VLOOKUP('Données projet'!$B$12,Paramètres!$A$1:$I$89,5,0)</f>
        <v>1.3074462911643114</v>
      </c>
      <c r="CA6" s="13">
        <f t="shared" si="39"/>
        <v>0.584015246774371</v>
      </c>
      <c r="CB6" s="20">
        <f t="shared" si="10"/>
        <v>3.2942955119098722</v>
      </c>
      <c r="CC6" s="59">
        <f t="shared" si="11"/>
        <v>296.62762884524318</v>
      </c>
      <c r="CD6" s="59">
        <f ca="1">AVERAGE(OFFSET($CC$3,0,0,'Données projet'!$E$12+1,1))-AVERAGE(OFFSET($H$3,0,0,'Données projet'!$E$12+1,1))</f>
        <v>392.08740055894992</v>
      </c>
      <c r="CE6" s="59">
        <f t="shared" si="40"/>
        <v>395.10797100415783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2.1</v>
      </c>
      <c r="N7" s="13">
        <f>IF('Données projet'!$A$36&gt;35,N6+M7-V6,IF(A7&lt;'Données projet'!$A$36,$K$205^A7,IF(A7='Données projet'!$A$36,'Données projet'!$B$36,N6+M7-V6)))</f>
        <v>2.1117857649667546</v>
      </c>
      <c r="O7" s="13">
        <f>N7*VLOOKUP('Données projet'!$B$9,Paramètres!$A$1:$I$89,3,0)*VLOOKUP('Données projet'!$B$9,Paramètres!$A$1:$I$89,5,0)</f>
        <v>1.9107437601419195</v>
      </c>
      <c r="P7" s="13">
        <f t="shared" si="33"/>
        <v>0.81662477151702284</v>
      </c>
      <c r="Q7" s="20">
        <f t="shared" si="2"/>
        <v>4.7501668593059909</v>
      </c>
      <c r="R7" s="59">
        <f t="shared" si="0"/>
        <v>298.08350019263929</v>
      </c>
      <c r="S7" s="59">
        <f ca="1">AVERAGE(OFFSET($R$3,0,0,'Données projet'!$E$9+1,1))-AVERAGE(OFFSET($H$3,0,0,'Données projet'!$E$9+1,1))</f>
        <v>282.32472952059817</v>
      </c>
      <c r="T7" s="59">
        <f t="shared" si="34"/>
        <v>172.32171001882176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2.1</v>
      </c>
      <c r="AI7" s="13">
        <f>IF('Données projet'!$A$62&gt;35,AI6+AH7-AQ6,IF(A7&lt;'Données projet'!$A$62,$AF$205^A7,IF(A7='Données projet'!$A$62,'Données projet'!$B$62,AI6+AH7-AQ6)))</f>
        <v>2.1117857649667546</v>
      </c>
      <c r="AJ7" s="13">
        <f>AI7*VLOOKUP('Données projet'!$B$10,Paramètres!$A$1:$I$89,3,0)*VLOOKUP('Données projet'!$B$10,Paramètres!$A$1:$I$89,5,0)</f>
        <v>2.1413507656762891</v>
      </c>
      <c r="AK7" s="13">
        <f t="shared" si="35"/>
        <v>0.9031249003236328</v>
      </c>
      <c r="AL7" s="20">
        <f t="shared" si="4"/>
        <v>5.3024617849498643</v>
      </c>
      <c r="AM7" s="59">
        <f t="shared" si="5"/>
        <v>298.63579511828317</v>
      </c>
      <c r="AN7" s="59">
        <f ca="1">AVERAGE(OFFSET($AM$3,0,0,'Données projet'!$E$10+1,1))-AVERAGE(OFFSET($H$3,0,0,'Données projet'!$E$10+1,1))</f>
        <v>324.30660429578262</v>
      </c>
      <c r="AO7" s="59">
        <f t="shared" si="36"/>
        <v>197.04549436738586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7.9</v>
      </c>
      <c r="BD7" s="12">
        <f>IF('Données projet'!$A$88&gt;35,BD6+BC7-BL6,IF(A7&lt;'Données projet'!$A$88,$BA$205^A7,IF(A7='Données projet'!$A$88,'Données projet'!$B$88,BD6+BC7-BL6)))</f>
        <v>2.7525259203889356</v>
      </c>
      <c r="BE7" s="13">
        <f>BD7*VLOOKUP('Données projet'!$B$11,Paramètres!$A$1:$I$89,3,0)*VLOOKUP('Données projet'!$B$11,Paramètres!$A$1:$I$89,5,0)</f>
        <v>1.2881821307420218</v>
      </c>
      <c r="BF7" s="13">
        <f t="shared" si="37"/>
        <v>0.57640532069082717</v>
      </c>
      <c r="BG7" s="20">
        <f t="shared" si="7"/>
        <v>3.2474898112455457</v>
      </c>
      <c r="BH7" s="59">
        <f t="shared" si="8"/>
        <v>296.58082314457886</v>
      </c>
      <c r="BI7" s="59">
        <f ca="1">AVERAGE(OFFSET($BH$3,0,0,'Données projet'!$E$11+1,1))-AVERAGE(OFFSET($H$3,0,0,'Données projet'!$E$11+1,1))</f>
        <v>252.98248842635206</v>
      </c>
      <c r="BJ7" s="59">
        <f t="shared" si="38"/>
        <v>207.11938580878308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9.1999999999999993</v>
      </c>
      <c r="BY7" s="12">
        <f>IF('Données projet'!$A$114&gt;35,BY6+BX7-CG6,IF(A7&lt;'Données projet'!$A$114,$BV$205^A7,IF(A7='Données projet'!$A$114,'Données projet'!$B$114,BY6+BX7-CG6)))</f>
        <v>2.8376809494961548</v>
      </c>
      <c r="BZ7" s="13">
        <f>BY7*VLOOKUP('Données projet'!$B$12,Paramètres!$A$1:$I$89,3,0)*VLOOKUP('Données projet'!$B$12,Paramètres!$A$1:$I$89,5,0)</f>
        <v>1.6969332077987007</v>
      </c>
      <c r="CA7" s="13">
        <f t="shared" si="39"/>
        <v>0.73533262785753417</v>
      </c>
      <c r="CB7" s="20">
        <f t="shared" si="10"/>
        <v>4.23619633043461</v>
      </c>
      <c r="CC7" s="59">
        <f t="shared" si="11"/>
        <v>297.56952966376792</v>
      </c>
      <c r="CD7" s="59">
        <f ca="1">AVERAGE(OFFSET($CC$3,0,0,'Données projet'!$E$12+1,1))-AVERAGE(OFFSET($H$3,0,0,'Données projet'!$E$12+1,1))</f>
        <v>392.08740055894992</v>
      </c>
      <c r="CE7" s="59">
        <f t="shared" si="40"/>
        <v>395.10797100415783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2.1</v>
      </c>
      <c r="N8" s="13">
        <f>IF('Données projet'!$A$36&gt;35,N7+M8-V7,IF(A8&lt;'Données projet'!$A$36,$K$205^A8,IF(A8='Données projet'!$A$36,'Données projet'!$B$36,N7+M8-V7)))</f>
        <v>2.5457298950218314</v>
      </c>
      <c r="O8" s="13">
        <f>N8*VLOOKUP('Données projet'!$B$9,Paramètres!$A$1:$I$89,3,0)*VLOOKUP('Données projet'!$B$9,Paramètres!$A$1:$I$89,5,0)</f>
        <v>2.3033764090157529</v>
      </c>
      <c r="P8" s="13">
        <f t="shared" si="33"/>
        <v>0.96324708482559218</v>
      </c>
      <c r="Q8" s="20">
        <f t="shared" si="2"/>
        <v>5.6893692517736758</v>
      </c>
      <c r="R8" s="59">
        <f t="shared" si="0"/>
        <v>299.02270258510697</v>
      </c>
      <c r="S8" s="59">
        <f ca="1">AVERAGE(OFFSET($R$3,0,0,'Données projet'!$E$9+1,1))-AVERAGE(OFFSET($H$3,0,0,'Données projet'!$E$9+1,1))</f>
        <v>282.32472952059817</v>
      </c>
      <c r="T8" s="59">
        <f t="shared" si="34"/>
        <v>172.32171001882176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2.1</v>
      </c>
      <c r="AI8" s="13">
        <f>IF('Données projet'!$A$62&gt;35,AI7+AH8-AQ7,IF(A8&lt;'Données projet'!$A$62,$AF$205^A8,IF(A8='Données projet'!$A$62,'Données projet'!$B$62,AI7+AH8-AQ7)))</f>
        <v>2.5457298950218314</v>
      </c>
      <c r="AJ8" s="13">
        <f>AI8*VLOOKUP('Données projet'!$B$10,Paramètres!$A$1:$I$89,3,0)*VLOOKUP('Données projet'!$B$10,Paramètres!$A$1:$I$89,5,0)</f>
        <v>2.5813701135521372</v>
      </c>
      <c r="AK8" s="13">
        <f t="shared" si="35"/>
        <v>1.0652780295337991</v>
      </c>
      <c r="AL8" s="20">
        <f t="shared" si="4"/>
        <v>6.3512455158746723</v>
      </c>
      <c r="AM8" s="59">
        <f t="shared" si="5"/>
        <v>299.68457884920798</v>
      </c>
      <c r="AN8" s="59">
        <f ca="1">AVERAGE(OFFSET($AM$3,0,0,'Données projet'!$E$10+1,1))-AVERAGE(OFFSET($H$3,0,0,'Données projet'!$E$10+1,1))</f>
        <v>324.30660429578262</v>
      </c>
      <c r="AO8" s="59">
        <f t="shared" si="36"/>
        <v>197.04549436738586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7.9</v>
      </c>
      <c r="BD8" s="12">
        <f>IF('Données projet'!$A$88&gt;35,BD7+BC8-BL7,IF(A8&lt;'Données projet'!$A$88,$BA$205^A8,IF(A8='Données projet'!$A$88,'Données projet'!$B$88,BD7+BC8-BL7)))</f>
        <v>3.5453920925585285</v>
      </c>
      <c r="BE8" s="13">
        <f>BD8*VLOOKUP('Données projet'!$B$11,Paramètres!$A$1:$I$89,3,0)*VLOOKUP('Données projet'!$B$11,Paramètres!$A$1:$I$89,5,0)</f>
        <v>1.6592434993173915</v>
      </c>
      <c r="BF8" s="13">
        <f t="shared" si="37"/>
        <v>0.72088277944126433</v>
      </c>
      <c r="BG8" s="20">
        <f t="shared" si="7"/>
        <v>4.1453866021713255</v>
      </c>
      <c r="BH8" s="59">
        <f t="shared" si="8"/>
        <v>297.47871993550461</v>
      </c>
      <c r="BI8" s="59">
        <f ca="1">AVERAGE(OFFSET($BH$3,0,0,'Données projet'!$E$11+1,1))-AVERAGE(OFFSET($H$3,0,0,'Données projet'!$E$11+1,1))</f>
        <v>252.98248842635206</v>
      </c>
      <c r="BJ8" s="59">
        <f t="shared" si="38"/>
        <v>207.11938580878308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9.1999999999999993</v>
      </c>
      <c r="BY8" s="12">
        <f>IF('Données projet'!$A$114&gt;35,BY7+BX8-CG7,IF(A8&lt;'Données projet'!$A$114,$BV$205^A8,IF(A8='Données projet'!$A$114,'Données projet'!$B$114,BY7+BX8-CG7)))</f>
        <v>3.6830232101156422</v>
      </c>
      <c r="BZ8" s="13">
        <f>BY8*VLOOKUP('Données projet'!$B$12,Paramètres!$A$1:$I$89,3,0)*VLOOKUP('Données projet'!$B$12,Paramètres!$A$1:$I$89,5,0)</f>
        <v>2.2024478796491542</v>
      </c>
      <c r="CA8" s="13">
        <f t="shared" si="39"/>
        <v>0.92585609122079437</v>
      </c>
      <c r="CB8" s="20">
        <f t="shared" si="10"/>
        <v>5.4484627492651603</v>
      </c>
      <c r="CC8" s="59">
        <f t="shared" si="11"/>
        <v>298.78179608259848</v>
      </c>
      <c r="CD8" s="59">
        <f ca="1">AVERAGE(OFFSET($CC$3,0,0,'Données projet'!$E$12+1,1))-AVERAGE(OFFSET($H$3,0,0,'Données projet'!$E$12+1,1))</f>
        <v>392.08740055894992</v>
      </c>
      <c r="CE8" s="59">
        <f t="shared" si="40"/>
        <v>395.10797100415783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2.1</v>
      </c>
      <c r="N9" s="13">
        <f>IF('Données projet'!$A$36&gt;35,N8+M9-V8,IF(A9&lt;'Données projet'!$A$36,$K$205^A9,IF(A9='Données projet'!$A$36,'Données projet'!$B$36,N8+M9-V8)))</f>
        <v>3.0688438220956993</v>
      </c>
      <c r="O9" s="13">
        <f>N9*VLOOKUP('Données projet'!$B$9,Paramètres!$A$1:$I$89,3,0)*VLOOKUP('Données projet'!$B$9,Paramètres!$A$1:$I$89,5,0)</f>
        <v>2.7766898902321886</v>
      </c>
      <c r="P9" s="13">
        <f t="shared" si="33"/>
        <v>1.1361949561012803</v>
      </c>
      <c r="Q9" s="20">
        <f t="shared" si="2"/>
        <v>6.8149411073641248</v>
      </c>
      <c r="R9" s="59">
        <f t="shared" si="0"/>
        <v>300.14827444069743</v>
      </c>
      <c r="S9" s="59">
        <f ca="1">AVERAGE(OFFSET($R$3,0,0,'Données projet'!$E$9+1,1))-AVERAGE(OFFSET($H$3,0,0,'Données projet'!$E$9+1,1))</f>
        <v>282.32472952059817</v>
      </c>
      <c r="T9" s="59">
        <f t="shared" si="34"/>
        <v>172.32171001882176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2.1</v>
      </c>
      <c r="AI9" s="13">
        <f>IF('Données projet'!$A$62&gt;35,AI8+AH9-AQ8,IF(A9&lt;'Données projet'!$A$62,$AF$205^A9,IF(A9='Données projet'!$A$62,'Données projet'!$B$62,AI8+AH9-AQ8)))</f>
        <v>3.0688438220956993</v>
      </c>
      <c r="AJ9" s="13">
        <f>AI9*VLOOKUP('Données projet'!$B$10,Paramètres!$A$1:$I$89,3,0)*VLOOKUP('Données projet'!$B$10,Paramètres!$A$1:$I$89,5,0)</f>
        <v>3.111807635605039</v>
      </c>
      <c r="AK9" s="13">
        <f t="shared" si="35"/>
        <v>1.2565452240335246</v>
      </c>
      <c r="AL9" s="20">
        <f t="shared" si="4"/>
        <v>7.6082145638704972</v>
      </c>
      <c r="AM9" s="59">
        <f t="shared" si="5"/>
        <v>300.9415478972038</v>
      </c>
      <c r="AN9" s="59">
        <f ca="1">AVERAGE(OFFSET($AM$3,0,0,'Données projet'!$E$10+1,1))-AVERAGE(OFFSET($H$3,0,0,'Données projet'!$E$10+1,1))</f>
        <v>324.30660429578262</v>
      </c>
      <c r="AO9" s="59">
        <f t="shared" si="36"/>
        <v>197.04549436738586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7.9</v>
      </c>
      <c r="BD9" s="12">
        <f>IF('Données projet'!$A$88&gt;35,BD8+BC9-BL8,IF(A9&lt;'Données projet'!$A$88,$BA$205^A9,IF(A9='Données projet'!$A$88,'Données projet'!$B$88,BD8+BC9-BL8)))</f>
        <v>4.566643676946887</v>
      </c>
      <c r="BE9" s="13">
        <f>BD9*VLOOKUP('Données projet'!$B$11,Paramètres!$A$1:$I$89,3,0)*VLOOKUP('Données projet'!$B$11,Paramètres!$A$1:$I$89,5,0)</f>
        <v>2.1371892408111433</v>
      </c>
      <c r="BF9" s="13">
        <f t="shared" si="37"/>
        <v>0.9015738804633705</v>
      </c>
      <c r="BG9" s="20">
        <f t="shared" si="7"/>
        <v>5.292512436219778</v>
      </c>
      <c r="BH9" s="59">
        <f t="shared" si="8"/>
        <v>298.62584576955311</v>
      </c>
      <c r="BI9" s="59">
        <f ca="1">AVERAGE(OFFSET($BH$3,0,0,'Données projet'!$E$11+1,1))-AVERAGE(OFFSET($H$3,0,0,'Données projet'!$E$11+1,1))</f>
        <v>252.98248842635206</v>
      </c>
      <c r="BJ9" s="59">
        <f t="shared" si="38"/>
        <v>207.11938580878308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9.1999999999999993</v>
      </c>
      <c r="BY9" s="12">
        <f>IF('Données projet'!$A$114&gt;35,BY8+BX9-CG8,IF(A9&lt;'Données projet'!$A$114,$BV$205^A9,IF(A9='Données projet'!$A$114,'Données projet'!$B$114,BY8+BX9-CG8)))</f>
        <v>4.7801920679838954</v>
      </c>
      <c r="BZ9" s="13">
        <f>BY9*VLOOKUP('Données projet'!$B$12,Paramètres!$A$1:$I$89,3,0)*VLOOKUP('Données projet'!$B$12,Paramètres!$A$1:$I$89,5,0)</f>
        <v>2.8585548566543699</v>
      </c>
      <c r="CA9" s="13">
        <f t="shared" si="39"/>
        <v>1.1657438677081613</v>
      </c>
      <c r="CB9" s="20">
        <f t="shared" si="10"/>
        <v>7.0089869449314071</v>
      </c>
      <c r="CC9" s="59">
        <f t="shared" si="11"/>
        <v>300.34232027826471</v>
      </c>
      <c r="CD9" s="59">
        <f ca="1">AVERAGE(OFFSET($CC$3,0,0,'Données projet'!$E$12+1,1))-AVERAGE(OFFSET($H$3,0,0,'Données projet'!$E$12+1,1))</f>
        <v>392.08740055894992</v>
      </c>
      <c r="CE9" s="59">
        <f t="shared" si="40"/>
        <v>395.10797100415783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2.1</v>
      </c>
      <c r="N10" s="13">
        <f>IF('Données projet'!$A$36&gt;35,N9+M10-V9,IF(A10&lt;'Données projet'!$A$36,$K$205^A10,IF(A10='Données projet'!$A$36,'Données projet'!$B$36,N9+M10-V9)))</f>
        <v>3.6994507637402658</v>
      </c>
      <c r="O10" s="13">
        <f>N10*VLOOKUP('Données projet'!$B$9,Paramètres!$A$1:$I$89,3,0)*VLOOKUP('Données projet'!$B$9,Paramètres!$A$1:$I$89,5,0)</f>
        <v>3.3472630510321921</v>
      </c>
      <c r="P10" s="13">
        <f t="shared" si="33"/>
        <v>1.34019505338418</v>
      </c>
      <c r="Q10" s="20">
        <f t="shared" si="2"/>
        <v>8.1639895318585136</v>
      </c>
      <c r="R10" s="59">
        <f t="shared" si="0"/>
        <v>301.49732286519185</v>
      </c>
      <c r="S10" s="59">
        <f ca="1">AVERAGE(OFFSET($R$3,0,0,'Données projet'!$E$9+1,1))-AVERAGE(OFFSET($H$3,0,0,'Données projet'!$E$9+1,1))</f>
        <v>282.32472952059817</v>
      </c>
      <c r="T10" s="59">
        <f t="shared" si="34"/>
        <v>172.32171001882176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2.1</v>
      </c>
      <c r="AI10" s="13">
        <f>IF('Données projet'!$A$62&gt;35,AI9+AH10-AQ9,IF(A10&lt;'Données projet'!$A$62,$AF$205^A10,IF(A10='Données projet'!$A$62,'Données projet'!$B$62,AI9+AH10-AQ9)))</f>
        <v>3.6994507637402658</v>
      </c>
      <c r="AJ10" s="13">
        <f>AI10*VLOOKUP('Données projet'!$B$10,Paramètres!$A$1:$I$89,3,0)*VLOOKUP('Données projet'!$B$10,Paramètres!$A$1:$I$89,5,0)</f>
        <v>3.7512430744326299</v>
      </c>
      <c r="AK10" s="13">
        <f t="shared" si="35"/>
        <v>1.4821538192545303</v>
      </c>
      <c r="AL10" s="20">
        <f t="shared" si="4"/>
        <v>9.1148329231718037</v>
      </c>
      <c r="AM10" s="59">
        <f t="shared" si="5"/>
        <v>302.44816625650515</v>
      </c>
      <c r="AN10" s="59">
        <f ca="1">AVERAGE(OFFSET($AM$3,0,0,'Données projet'!$E$10+1,1))-AVERAGE(OFFSET($H$3,0,0,'Données projet'!$E$10+1,1))</f>
        <v>324.30660429578262</v>
      </c>
      <c r="AO10" s="59">
        <f t="shared" si="36"/>
        <v>197.04549436738586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7.9</v>
      </c>
      <c r="BD10" s="12">
        <f>IF('Données projet'!$A$88&gt;35,BD9+BC10-BL9,IF(A10&lt;'Données projet'!$A$88,$BA$205^A10,IF(A10='Données projet'!$A$88,'Données projet'!$B$88,BD9+BC10-BL9)))</f>
        <v>5.8820671812210037</v>
      </c>
      <c r="BE10" s="13">
        <f>BD10*VLOOKUP('Données projet'!$B$11,Paramètres!$A$1:$I$89,3,0)*VLOOKUP('Données projet'!$B$11,Paramètres!$A$1:$I$89,5,0)</f>
        <v>2.7528074408114294</v>
      </c>
      <c r="BF10" s="13">
        <f t="shared" si="37"/>
        <v>1.1275556652411438</v>
      </c>
      <c r="BG10" s="20">
        <f t="shared" si="7"/>
        <v>6.7582990763748976</v>
      </c>
      <c r="BH10" s="59">
        <f t="shared" si="8"/>
        <v>300.09163240970821</v>
      </c>
      <c r="BI10" s="59">
        <f ca="1">AVERAGE(OFFSET($BH$3,0,0,'Données projet'!$E$11+1,1))-AVERAGE(OFFSET($H$3,0,0,'Données projet'!$E$11+1,1))</f>
        <v>252.98248842635206</v>
      </c>
      <c r="BJ10" s="59">
        <f t="shared" si="38"/>
        <v>207.11938580878308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9.1999999999999993</v>
      </c>
      <c r="BY10" s="12">
        <f>IF('Données projet'!$A$114&gt;35,BY9+BX10-CG9,IF(A10&lt;'Données projet'!$A$114,$BV$205^A10,IF(A10='Données projet'!$A$114,'Données projet'!$B$114,BY9+BX10-CG9)))</f>
        <v>6.2042064095758676</v>
      </c>
      <c r="BZ10" s="13">
        <f>BY10*VLOOKUP('Données projet'!$B$12,Paramètres!$A$1:$I$89,3,0)*VLOOKUP('Données projet'!$B$12,Paramètres!$A$1:$I$89,5,0)</f>
        <v>3.710115432926369</v>
      </c>
      <c r="CA10" s="13">
        <f t="shared" si="39"/>
        <v>1.4677861689145641</v>
      </c>
      <c r="CB10" s="20">
        <f t="shared" si="10"/>
        <v>9.0181786232062908</v>
      </c>
      <c r="CC10" s="59">
        <f t="shared" si="11"/>
        <v>302.35151195653958</v>
      </c>
      <c r="CD10" s="59">
        <f ca="1">AVERAGE(OFFSET($CC$3,0,0,'Données projet'!$E$12+1,1))-AVERAGE(OFFSET($H$3,0,0,'Données projet'!$E$12+1,1))</f>
        <v>392.08740055894992</v>
      </c>
      <c r="CE10" s="59">
        <f t="shared" si="40"/>
        <v>395.10797100415783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2.1</v>
      </c>
      <c r="N11" s="13">
        <f>IF('Données projet'!$A$36&gt;35,N10+M11-V10,IF(A11&lt;'Données projet'!$A$36,$K$205^A11,IF(A11='Données projet'!$A$36,'Données projet'!$B$36,N10+M11-V10)))</f>
        <v>4.4596391171162209</v>
      </c>
      <c r="O11" s="13">
        <f>N11*VLOOKUP('Données projet'!$B$9,Paramètres!$A$1:$I$89,3,0)*VLOOKUP('Données projet'!$B$9,Paramètres!$A$1:$I$89,5,0)</f>
        <v>4.0350814731667564</v>
      </c>
      <c r="P11" s="13">
        <f t="shared" si="33"/>
        <v>1.5808227025391921</v>
      </c>
      <c r="Q11" s="20">
        <f t="shared" si="2"/>
        <v>9.7810331060211926</v>
      </c>
      <c r="R11" s="59">
        <f t="shared" si="0"/>
        <v>303.11436643935451</v>
      </c>
      <c r="S11" s="59">
        <f ca="1">AVERAGE(OFFSET($R$3,0,0,'Données projet'!$E$9+1,1))-AVERAGE(OFFSET($H$3,0,0,'Données projet'!$E$9+1,1))</f>
        <v>282.32472952059817</v>
      </c>
      <c r="T11" s="59">
        <f t="shared" si="34"/>
        <v>172.32171001882176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2.1</v>
      </c>
      <c r="AI11" s="13">
        <f>IF('Données projet'!$A$62&gt;35,AI10+AH11-AQ10,IF(A11&lt;'Données projet'!$A$62,$AF$205^A11,IF(A11='Données projet'!$A$62,'Données projet'!$B$62,AI10+AH11-AQ10)))</f>
        <v>4.4596391171162209</v>
      </c>
      <c r="AJ11" s="13">
        <f>AI11*VLOOKUP('Données projet'!$B$10,Paramètres!$A$1:$I$89,3,0)*VLOOKUP('Données projet'!$B$10,Paramètres!$A$1:$I$89,5,0)</f>
        <v>4.5220740647558486</v>
      </c>
      <c r="AK11" s="13">
        <f t="shared" si="35"/>
        <v>1.7482697016499746</v>
      </c>
      <c r="AL11" s="20">
        <f t="shared" si="4"/>
        <v>10.92084872649014</v>
      </c>
      <c r="AM11" s="59">
        <f t="shared" si="5"/>
        <v>304.25418205982345</v>
      </c>
      <c r="AN11" s="59">
        <f ca="1">AVERAGE(OFFSET($AM$3,0,0,'Données projet'!$E$10+1,1))-AVERAGE(OFFSET($H$3,0,0,'Données projet'!$E$10+1,1))</f>
        <v>324.30660429578262</v>
      </c>
      <c r="AO11" s="59">
        <f t="shared" si="36"/>
        <v>197.04549436738586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7.9</v>
      </c>
      <c r="BD11" s="12">
        <f>IF('Données projet'!$A$88&gt;35,BD10+BC11-BL10,IF(A11&lt;'Données projet'!$A$88,$BA$205^A11,IF(A11='Données projet'!$A$88,'Données projet'!$B$88,BD10+BC11-BL10)))</f>
        <v>7.5763989424129567</v>
      </c>
      <c r="BE11" s="13">
        <f>BD11*VLOOKUP('Données projet'!$B$11,Paramètres!$A$1:$I$89,3,0)*VLOOKUP('Données projet'!$B$11,Paramètres!$A$1:$I$89,5,0)</f>
        <v>3.5457547050492639</v>
      </c>
      <c r="BF11" s="13">
        <f t="shared" si="37"/>
        <v>1.4101803587787649</v>
      </c>
      <c r="BG11" s="20">
        <f t="shared" si="7"/>
        <v>8.631586902833817</v>
      </c>
      <c r="BH11" s="59">
        <f t="shared" si="8"/>
        <v>301.96492023616713</v>
      </c>
      <c r="BI11" s="59">
        <f ca="1">AVERAGE(OFFSET($BH$3,0,0,'Données projet'!$E$11+1,1))-AVERAGE(OFFSET($H$3,0,0,'Données projet'!$E$11+1,1))</f>
        <v>252.98248842635206</v>
      </c>
      <c r="BJ11" s="59">
        <f t="shared" si="38"/>
        <v>207.11938580878308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9.1999999999999993</v>
      </c>
      <c r="BY11" s="12">
        <f>IF('Données projet'!$A$114&gt;35,BY10+BX11-CG10,IF(A11&lt;'Données projet'!$A$114,$BV$205^A11,IF(A11='Données projet'!$A$114,'Données projet'!$B$114,BY10+BX11-CG10)))</f>
        <v>8.0524331711333978</v>
      </c>
      <c r="BZ11" s="13">
        <f>BY11*VLOOKUP('Données projet'!$B$12,Paramètres!$A$1:$I$89,3,0)*VLOOKUP('Données projet'!$B$12,Paramètres!$A$1:$I$89,5,0)</f>
        <v>4.8153550363377722</v>
      </c>
      <c r="CA11" s="13">
        <f t="shared" si="39"/>
        <v>1.84808712902982</v>
      </c>
      <c r="CB11" s="20">
        <f t="shared" si="10"/>
        <v>11.605495104681887</v>
      </c>
      <c r="CC11" s="59">
        <f t="shared" si="11"/>
        <v>304.93882843801521</v>
      </c>
      <c r="CD11" s="59">
        <f ca="1">AVERAGE(OFFSET($CC$3,0,0,'Données projet'!$E$12+1,1))-AVERAGE(OFFSET($H$3,0,0,'Données projet'!$E$12+1,1))</f>
        <v>392.08740055894992</v>
      </c>
      <c r="CE11" s="59">
        <f t="shared" si="40"/>
        <v>395.10797100415783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2.1</v>
      </c>
      <c r="N12" s="13">
        <f>IF('Données projet'!$A$36&gt;35,N11+M12-V11,IF(A12&lt;'Données projet'!$A$36,$K$205^A12,IF(A12='Données projet'!$A$36,'Données projet'!$B$36,N11+M12-V11)))</f>
        <v>5.3760361537574148</v>
      </c>
      <c r="O12" s="13">
        <f>N12*VLOOKUP('Données projet'!$B$9,Paramètres!$A$1:$I$89,3,0)*VLOOKUP('Données projet'!$B$9,Paramètres!$A$1:$I$89,5,0)</f>
        <v>4.8642375119197085</v>
      </c>
      <c r="P12" s="13">
        <f t="shared" si="33"/>
        <v>1.8646542609995393</v>
      </c>
      <c r="Q12" s="20">
        <f t="shared" si="2"/>
        <v>11.719486504501022</v>
      </c>
      <c r="R12" s="59">
        <f t="shared" si="0"/>
        <v>305.05281983783436</v>
      </c>
      <c r="S12" s="59">
        <f ca="1">AVERAGE(OFFSET($R$3,0,0,'Données projet'!$E$9+1,1))-AVERAGE(OFFSET($H$3,0,0,'Données projet'!$E$9+1,1))</f>
        <v>282.32472952059817</v>
      </c>
      <c r="T12" s="59">
        <f t="shared" si="34"/>
        <v>172.32171001882176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2.1</v>
      </c>
      <c r="AI12" s="13">
        <f>IF('Données projet'!$A$62&gt;35,AI11+AH12-AQ11,IF(A12&lt;'Données projet'!$A$62,$AF$205^A12,IF(A12='Données projet'!$A$62,'Données projet'!$B$62,AI11+AH12-AQ11)))</f>
        <v>5.3760361537574148</v>
      </c>
      <c r="AJ12" s="13">
        <f>AI12*VLOOKUP('Données projet'!$B$10,Paramètres!$A$1:$I$89,3,0)*VLOOKUP('Données projet'!$B$10,Paramètres!$A$1:$I$89,5,0)</f>
        <v>5.4513006599100189</v>
      </c>
      <c r="AK12" s="13">
        <f t="shared" si="35"/>
        <v>2.062165822468125</v>
      </c>
      <c r="AL12" s="20">
        <f t="shared" si="4"/>
        <v>13.085954123475267</v>
      </c>
      <c r="AM12" s="59">
        <f t="shared" si="5"/>
        <v>306.4192874568086</v>
      </c>
      <c r="AN12" s="59">
        <f ca="1">AVERAGE(OFFSET($AM$3,0,0,'Données projet'!$E$10+1,1))-AVERAGE(OFFSET($H$3,0,0,'Données projet'!$E$10+1,1))</f>
        <v>324.30660429578262</v>
      </c>
      <c r="AO12" s="59">
        <f t="shared" si="36"/>
        <v>197.04549436738586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7.9</v>
      </c>
      <c r="BD12" s="12">
        <f>IF('Données projet'!$A$88&gt;35,BD11+BC12-BL11,IF(A12&lt;'Données projet'!$A$88,$BA$205^A12,IF(A12='Données projet'!$A$88,'Données projet'!$B$88,BD11+BC12-BL11)))</f>
        <v>9.7587836327093171</v>
      </c>
      <c r="BE12" s="13">
        <f>BD12*VLOOKUP('Données projet'!$B$11,Paramètres!$A$1:$I$89,3,0)*VLOOKUP('Données projet'!$B$11,Paramètres!$A$1:$I$89,5,0)</f>
        <v>4.5671107401079603</v>
      </c>
      <c r="BF12" s="13">
        <f t="shared" si="37"/>
        <v>1.763645650133036</v>
      </c>
      <c r="BG12" s="20">
        <f t="shared" si="7"/>
        <v>11.026067379669733</v>
      </c>
      <c r="BH12" s="59">
        <f t="shared" si="8"/>
        <v>304.35940071300303</v>
      </c>
      <c r="BI12" s="59">
        <f ca="1">AVERAGE(OFFSET($BH$3,0,0,'Données projet'!$E$11+1,1))-AVERAGE(OFFSET($H$3,0,0,'Données projet'!$E$11+1,1))</f>
        <v>252.98248842635206</v>
      </c>
      <c r="BJ12" s="59">
        <f t="shared" si="38"/>
        <v>207.11938580878308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9.1999999999999993</v>
      </c>
      <c r="BY12" s="12">
        <f>IF('Données projet'!$A$114&gt;35,BY11+BX12-CG11,IF(A12&lt;'Données projet'!$A$114,$BV$205^A12,IF(A12='Données projet'!$A$114,'Données projet'!$B$114,BY11+BX12-CG11)))</f>
        <v>10.45124479989733</v>
      </c>
      <c r="BZ12" s="13">
        <f>BY12*VLOOKUP('Données projet'!$B$12,Paramètres!$A$1:$I$89,3,0)*VLOOKUP('Données projet'!$B$12,Paramètres!$A$1:$I$89,5,0)</f>
        <v>6.2498443903386036</v>
      </c>
      <c r="CA12" s="13">
        <f t="shared" si="39"/>
        <v>2.3269234366824749</v>
      </c>
      <c r="CB12" s="20">
        <f t="shared" si="10"/>
        <v>14.937870632061715</v>
      </c>
      <c r="CC12" s="59">
        <f t="shared" si="11"/>
        <v>308.27120396539505</v>
      </c>
      <c r="CD12" s="59">
        <f ca="1">AVERAGE(OFFSET($CC$3,0,0,'Données projet'!$E$12+1,1))-AVERAGE(OFFSET($H$3,0,0,'Données projet'!$E$12+1,1))</f>
        <v>392.08740055894992</v>
      </c>
      <c r="CE12" s="59">
        <f t="shared" si="40"/>
        <v>395.10797100415783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2.1</v>
      </c>
      <c r="N13" s="13">
        <f>IF('Données projet'!$A$36&gt;35,N12+M13-V12,IF(A13&lt;'Données projet'!$A$36,$K$205^A13,IF(A13='Données projet'!$A$36,'Données projet'!$B$36,N12+M13-V12)))</f>
        <v>6.4807406984078657</v>
      </c>
      <c r="O13" s="13">
        <f>N13*VLOOKUP('Données projet'!$B$9,Paramètres!$A$1:$I$89,3,0)*VLOOKUP('Données projet'!$B$9,Paramètres!$A$1:$I$89,5,0)</f>
        <v>5.8637741839194364</v>
      </c>
      <c r="P13" s="13">
        <f t="shared" si="33"/>
        <v>2.1994468497187687</v>
      </c>
      <c r="Q13" s="20">
        <f t="shared" si="2"/>
        <v>14.043443300253207</v>
      </c>
      <c r="R13" s="59">
        <f t="shared" si="0"/>
        <v>307.37677663358653</v>
      </c>
      <c r="S13" s="59">
        <f ca="1">AVERAGE(OFFSET($R$3,0,0,'Données projet'!$E$9+1,1))-AVERAGE(OFFSET($H$3,0,0,'Données projet'!$E$9+1,1))</f>
        <v>282.32472952059817</v>
      </c>
      <c r="T13" s="59">
        <f t="shared" si="34"/>
        <v>172.32171001882176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2.1</v>
      </c>
      <c r="AI13" s="13">
        <f>IF('Données projet'!$A$62&gt;35,AI12+AH13-AQ12,IF(A13&lt;'Données projet'!$A$62,$AF$205^A13,IF(A13='Données projet'!$A$62,'Données projet'!$B$62,AI12+AH13-AQ12)))</f>
        <v>6.4807406984078657</v>
      </c>
      <c r="AJ13" s="13">
        <f>AI13*VLOOKUP('Données projet'!$B$10,Paramètres!$A$1:$I$89,3,0)*VLOOKUP('Données projet'!$B$10,Paramètres!$A$1:$I$89,5,0)</f>
        <v>6.5714710681855761</v>
      </c>
      <c r="AK13" s="13">
        <f t="shared" si="35"/>
        <v>2.4324209676242781</v>
      </c>
      <c r="AL13" s="20">
        <f t="shared" si="4"/>
        <v>15.681778629035497</v>
      </c>
      <c r="AM13" s="59">
        <f t="shared" si="5"/>
        <v>309.01511196236879</v>
      </c>
      <c r="AN13" s="59">
        <f ca="1">AVERAGE(OFFSET($AM$3,0,0,'Données projet'!$E$10+1,1))-AVERAGE(OFFSET($H$3,0,0,'Données projet'!$E$10+1,1))</f>
        <v>324.30660429578262</v>
      </c>
      <c r="AO13" s="59">
        <f t="shared" si="36"/>
        <v>197.04549436738586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7.9</v>
      </c>
      <c r="BD13" s="12">
        <f>IF('Données projet'!$A$88&gt;35,BD12+BC13-BL12,IF(A13&lt;'Données projet'!$A$88,$BA$205^A13,IF(A13='Données projet'!$A$88,'Données projet'!$B$88,BD12+BC13-BL12)))</f>
        <v>12.569805089976542</v>
      </c>
      <c r="BE13" s="13">
        <f>BD13*VLOOKUP('Données projet'!$B$11,Paramètres!$A$1:$I$89,3,0)*VLOOKUP('Données projet'!$B$11,Paramètres!$A$1:$I$89,5,0)</f>
        <v>5.8826687821090227</v>
      </c>
      <c r="BF13" s="13">
        <f t="shared" si="37"/>
        <v>2.2057079152108381</v>
      </c>
      <c r="BG13" s="20">
        <f t="shared" si="7"/>
        <v>14.087256081165423</v>
      </c>
      <c r="BH13" s="59">
        <f t="shared" si="8"/>
        <v>307.42058941449875</v>
      </c>
      <c r="BI13" s="59">
        <f ca="1">AVERAGE(OFFSET($BH$3,0,0,'Données projet'!$E$11+1,1))-AVERAGE(OFFSET($H$3,0,0,'Données projet'!$E$11+1,1))</f>
        <v>252.98248842635206</v>
      </c>
      <c r="BJ13" s="59">
        <f t="shared" si="38"/>
        <v>207.11938580878308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9.1999999999999993</v>
      </c>
      <c r="BY13" s="12">
        <f>IF('Données projet'!$A$114&gt;35,BY12+BX13-CG12,IF(A13&lt;'Données projet'!$A$114,$BV$205^A13,IF(A13='Données projet'!$A$114,'Données projet'!$B$114,BY12+BX13-CG12)))</f>
        <v>13.564659966250527</v>
      </c>
      <c r="BZ13" s="13">
        <f>BY13*VLOOKUP('Données projet'!$B$12,Paramètres!$A$1:$I$89,3,0)*VLOOKUP('Données projet'!$B$12,Paramètres!$A$1:$I$89,5,0)</f>
        <v>8.111666659817816</v>
      </c>
      <c r="CA13" s="13">
        <f t="shared" si="39"/>
        <v>2.9298254368692236</v>
      </c>
      <c r="CB13" s="20">
        <f t="shared" si="10"/>
        <v>19.230598735063261</v>
      </c>
      <c r="CC13" s="59">
        <f t="shared" si="11"/>
        <v>312.56393206839658</v>
      </c>
      <c r="CD13" s="59">
        <f ca="1">AVERAGE(OFFSET($CC$3,0,0,'Données projet'!$E$12+1,1))-AVERAGE(OFFSET($H$3,0,0,'Données projet'!$E$12+1,1))</f>
        <v>392.08740055894992</v>
      </c>
      <c r="CE13" s="59">
        <f t="shared" si="40"/>
        <v>395.10797100415783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2.1</v>
      </c>
      <c r="N14" s="13">
        <f>IF('Données projet'!$A$36&gt;35,N13+M14-V13,IF(A14&lt;'Données projet'!$A$36,$K$205^A14,IF(A14='Données projet'!$A$36,'Données projet'!$B$36,N13+M14-V13)))</f>
        <v>7.8124474610620815</v>
      </c>
      <c r="O14" s="13">
        <f>N14*VLOOKUP('Données projet'!$B$9,Paramètres!$A$1:$I$89,3,0)*VLOOKUP('Données projet'!$B$9,Paramètres!$A$1:$I$89,5,0)</f>
        <v>7.0687024627689707</v>
      </c>
      <c r="P14" s="13">
        <f t="shared" si="33"/>
        <v>2.5943503554083325</v>
      </c>
      <c r="Q14" s="20">
        <f t="shared" si="2"/>
        <v>16.829816991658799</v>
      </c>
      <c r="R14" s="59">
        <f t="shared" si="0"/>
        <v>310.1631503249921</v>
      </c>
      <c r="S14" s="59">
        <f ca="1">AVERAGE(OFFSET($R$3,0,0,'Données projet'!$E$9+1,1))-AVERAGE(OFFSET($H$3,0,0,'Données projet'!$E$9+1,1))</f>
        <v>282.32472952059817</v>
      </c>
      <c r="T14" s="59">
        <f t="shared" si="34"/>
        <v>172.32171001882176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2.1</v>
      </c>
      <c r="AI14" s="13">
        <f>IF('Données projet'!$A$62&gt;35,AI13+AH14-AQ13,IF(A14&lt;'Données projet'!$A$62,$AF$205^A14,IF(A14='Données projet'!$A$62,'Données projet'!$B$62,AI13+AH14-AQ13)))</f>
        <v>7.8124474610620815</v>
      </c>
      <c r="AJ14" s="13">
        <f>AI14*VLOOKUP('Données projet'!$B$10,Paramètres!$A$1:$I$89,3,0)*VLOOKUP('Données projet'!$B$10,Paramètres!$A$1:$I$89,5,0)</f>
        <v>7.921821725516951</v>
      </c>
      <c r="AK14" s="13">
        <f t="shared" si="35"/>
        <v>2.869154216054651</v>
      </c>
      <c r="AL14" s="20">
        <f t="shared" si="4"/>
        <v>18.794283098237205</v>
      </c>
      <c r="AM14" s="59">
        <f t="shared" si="5"/>
        <v>312.12761643157052</v>
      </c>
      <c r="AN14" s="59">
        <f ca="1">AVERAGE(OFFSET($AM$3,0,0,'Données projet'!$E$10+1,1))-AVERAGE(OFFSET($H$3,0,0,'Données projet'!$E$10+1,1))</f>
        <v>324.30660429578262</v>
      </c>
      <c r="AO14" s="59">
        <f t="shared" si="36"/>
        <v>197.04549436738586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7.9</v>
      </c>
      <c r="BD14" s="12">
        <f>IF('Données projet'!$A$88&gt;35,BD13+BC14-BL13,IF(A14&lt;'Données projet'!$A$88,$BA$205^A14,IF(A14='Données projet'!$A$88,'Données projet'!$B$88,BD13+BC14-BL13)))</f>
        <v>16.190542381779895</v>
      </c>
      <c r="BE14" s="13">
        <f>BD14*VLOOKUP('Données projet'!$B$11,Paramètres!$A$1:$I$89,3,0)*VLOOKUP('Données projet'!$B$11,Paramètres!$A$1:$I$89,5,0)</f>
        <v>7.5771738346729904</v>
      </c>
      <c r="BF14" s="13">
        <f t="shared" si="37"/>
        <v>2.7585742106736397</v>
      </c>
      <c r="BG14" s="20">
        <f t="shared" si="7"/>
        <v>18.001427845645381</v>
      </c>
      <c r="BH14" s="59">
        <f t="shared" si="8"/>
        <v>311.33476117897868</v>
      </c>
      <c r="BI14" s="59">
        <f ca="1">AVERAGE(OFFSET($BH$3,0,0,'Données projet'!$E$11+1,1))-AVERAGE(OFFSET($H$3,0,0,'Données projet'!$E$11+1,1))</f>
        <v>252.98248842635206</v>
      </c>
      <c r="BJ14" s="59">
        <f t="shared" si="38"/>
        <v>207.11938580878308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9.1999999999999993</v>
      </c>
      <c r="BY14" s="12">
        <f>IF('Données projet'!$A$114&gt;35,BY13+BX14-CG13,IF(A14&lt;'Données projet'!$A$114,$BV$205^A14,IF(A14='Données projet'!$A$114,'Données projet'!$B$114,BY13+BX14-CG13)))</f>
        <v>17.605558335195376</v>
      </c>
      <c r="BZ14" s="13">
        <f>BY14*VLOOKUP('Données projet'!$B$12,Paramètres!$A$1:$I$89,3,0)*VLOOKUP('Données projet'!$B$12,Paramètres!$A$1:$I$89,5,0)</f>
        <v>10.528123884446835</v>
      </c>
      <c r="CA14" s="13">
        <f t="shared" si="39"/>
        <v>3.6889383445998032</v>
      </c>
      <c r="CB14" s="20">
        <f t="shared" si="10"/>
        <v>24.761383382256227</v>
      </c>
      <c r="CC14" s="59">
        <f t="shared" si="11"/>
        <v>318.09471671558953</v>
      </c>
      <c r="CD14" s="59">
        <f ca="1">AVERAGE(OFFSET($CC$3,0,0,'Données projet'!$E$12+1,1))-AVERAGE(OFFSET($H$3,0,0,'Données projet'!$E$12+1,1))</f>
        <v>392.08740055894992</v>
      </c>
      <c r="CE14" s="59">
        <f t="shared" si="40"/>
        <v>395.10797100415783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2.1</v>
      </c>
      <c r="N15" s="13">
        <f>IF('Données projet'!$A$36&gt;35,N14+M15-V14,IF(A15&lt;'Données projet'!$A$36,$K$205^A15,IF(A15='Données projet'!$A$36,'Données projet'!$B$36,N14+M15-V14)))</f>
        <v>9.4178024044149407</v>
      </c>
      <c r="O15" s="13">
        <f>N15*VLOOKUP('Données projet'!$B$9,Paramètres!$A$1:$I$89,3,0)*VLOOKUP('Données projet'!$B$9,Paramètres!$A$1:$I$89,5,0)</f>
        <v>8.521227615514638</v>
      </c>
      <c r="P15" s="13">
        <f t="shared" si="33"/>
        <v>3.0601574970852128</v>
      </c>
      <c r="Q15" s="20">
        <f t="shared" si="2"/>
        <v>20.170912404444739</v>
      </c>
      <c r="R15" s="59">
        <f t="shared" si="0"/>
        <v>313.50424573777804</v>
      </c>
      <c r="S15" s="59">
        <f ca="1">AVERAGE(OFFSET($R$3,0,0,'Données projet'!$E$9+1,1))-AVERAGE(OFFSET($H$3,0,0,'Données projet'!$E$9+1,1))</f>
        <v>282.32472952059817</v>
      </c>
      <c r="T15" s="59">
        <f t="shared" si="34"/>
        <v>172.32171001882176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2.1</v>
      </c>
      <c r="AI15" s="13">
        <f>IF('Données projet'!$A$62&gt;35,AI14+AH15-AQ14,IF(A15&lt;'Données projet'!$A$62,$AF$205^A15,IF(A15='Données projet'!$A$62,'Données projet'!$B$62,AI14+AH15-AQ14)))</f>
        <v>9.4178024044149407</v>
      </c>
      <c r="AJ15" s="13">
        <f>AI15*VLOOKUP('Données projet'!$B$10,Paramètres!$A$1:$I$89,3,0)*VLOOKUP('Données projet'!$B$10,Paramètres!$A$1:$I$89,5,0)</f>
        <v>9.5496516380767513</v>
      </c>
      <c r="AK15" s="13">
        <f t="shared" si="35"/>
        <v>3.3843014943027487</v>
      </c>
      <c r="AL15" s="20">
        <f t="shared" si="4"/>
        <v>22.526635038894295</v>
      </c>
      <c r="AM15" s="59">
        <f t="shared" si="5"/>
        <v>315.85996837222763</v>
      </c>
      <c r="AN15" s="59">
        <f ca="1">AVERAGE(OFFSET($AM$3,0,0,'Données projet'!$E$10+1,1))-AVERAGE(OFFSET($H$3,0,0,'Données projet'!$E$10+1,1))</f>
        <v>324.30660429578262</v>
      </c>
      <c r="AO15" s="59">
        <f t="shared" si="36"/>
        <v>197.04549436738586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7.9</v>
      </c>
      <c r="BD15" s="12">
        <f>IF('Données projet'!$A$88&gt;35,BD14+BC15-BL14,IF(A15&lt;'Données projet'!$A$88,$BA$205^A15,IF(A15='Données projet'!$A$88,'Données projet'!$B$88,BD14+BC15-BL14)))</f>
        <v>20.854234472198982</v>
      </c>
      <c r="BE15" s="13">
        <f>BD15*VLOOKUP('Données projet'!$B$11,Paramètres!$A$1:$I$89,3,0)*VLOOKUP('Données projet'!$B$11,Paramètres!$A$1:$I$89,5,0)</f>
        <v>9.7597817329891239</v>
      </c>
      <c r="BF15" s="13">
        <f t="shared" si="37"/>
        <v>3.4500178483814818</v>
      </c>
      <c r="BG15" s="20">
        <f t="shared" si="7"/>
        <v>23.00706760422047</v>
      </c>
      <c r="BH15" s="59">
        <f t="shared" si="8"/>
        <v>316.3404009375538</v>
      </c>
      <c r="BI15" s="59">
        <f ca="1">AVERAGE(OFFSET($BH$3,0,0,'Données projet'!$E$11+1,1))-AVERAGE(OFFSET($H$3,0,0,'Données projet'!$E$11+1,1))</f>
        <v>252.98248842635206</v>
      </c>
      <c r="BJ15" s="59">
        <f t="shared" si="38"/>
        <v>207.11938580878308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9.1999999999999993</v>
      </c>
      <c r="BY15" s="12">
        <f>IF('Données projet'!$A$114&gt;35,BY14+BX15-CG14,IF(A15&lt;'Données projet'!$A$114,$BV$205^A15,IF(A15='Données projet'!$A$114,'Données projet'!$B$114,BY14+BX15-CG14)))</f>
        <v>22.850236206816152</v>
      </c>
      <c r="BZ15" s="13">
        <f>BY15*VLOOKUP('Données projet'!$B$12,Paramètres!$A$1:$I$89,3,0)*VLOOKUP('Données projet'!$B$12,Paramètres!$A$1:$I$89,5,0)</f>
        <v>13.66444125167606</v>
      </c>
      <c r="CA15" s="13">
        <f t="shared" si="39"/>
        <v>4.6447361467379347</v>
      </c>
      <c r="CB15" s="20">
        <f t="shared" si="10"/>
        <v>31.888483968904367</v>
      </c>
      <c r="CC15" s="59">
        <f t="shared" si="11"/>
        <v>325.2218173022377</v>
      </c>
      <c r="CD15" s="59">
        <f ca="1">AVERAGE(OFFSET($CC$3,0,0,'Données projet'!$E$12+1,1))-AVERAGE(OFFSET($H$3,0,0,'Données projet'!$E$12+1,1))</f>
        <v>392.08740055894992</v>
      </c>
      <c r="CE15" s="59">
        <f t="shared" si="40"/>
        <v>395.10797100415783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2.1</v>
      </c>
      <c r="N16" s="13">
        <f>IF('Données projet'!$A$36&gt;35,N15+M16-V15,IF(A16&lt;'Données projet'!$A$36,$K$205^A16,IF(A16='Données projet'!$A$36,'Données projet'!$B$36,N15+M16-V15)))</f>
        <v>11.35303662145153</v>
      </c>
      <c r="O16" s="13">
        <f>N16*VLOOKUP('Données projet'!$B$9,Paramètres!$A$1:$I$89,3,0)*VLOOKUP('Données projet'!$B$9,Paramètres!$A$1:$I$89,5,0)</f>
        <v>10.272227535089344</v>
      </c>
      <c r="P16" s="13">
        <f t="shared" si="33"/>
        <v>3.6095987912522753</v>
      </c>
      <c r="Q16" s="20">
        <f t="shared" si="2"/>
        <v>24.177514185044988</v>
      </c>
      <c r="R16" s="59">
        <f t="shared" si="0"/>
        <v>317.51084751837828</v>
      </c>
      <c r="S16" s="59">
        <f ca="1">AVERAGE(OFFSET($R$3,0,0,'Données projet'!$E$9+1,1))-AVERAGE(OFFSET($H$3,0,0,'Données projet'!$E$9+1,1))</f>
        <v>282.32472952059817</v>
      </c>
      <c r="T16" s="59">
        <f t="shared" si="34"/>
        <v>172.32171001882176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2.1</v>
      </c>
      <c r="AI16" s="13">
        <f>IF('Données projet'!$A$62&gt;35,AI15+AH16-AQ15,IF(A16&lt;'Données projet'!$A$62,$AF$205^A16,IF(A16='Données projet'!$A$62,'Données projet'!$B$62,AI15+AH16-AQ15)))</f>
        <v>11.35303662145153</v>
      </c>
      <c r="AJ16" s="13">
        <f>AI16*VLOOKUP('Données projet'!$B$10,Paramètres!$A$1:$I$89,3,0)*VLOOKUP('Données projet'!$B$10,Paramètres!$A$1:$I$89,5,0)</f>
        <v>11.511979134151852</v>
      </c>
      <c r="AK16" s="13">
        <f t="shared" si="35"/>
        <v>3.9919417855793822</v>
      </c>
      <c r="AL16" s="20">
        <f t="shared" si="4"/>
        <v>27.002662268531896</v>
      </c>
      <c r="AM16" s="59">
        <f t="shared" si="5"/>
        <v>320.33599560186519</v>
      </c>
      <c r="AN16" s="59">
        <f ca="1">AVERAGE(OFFSET($AM$3,0,0,'Données projet'!$E$10+1,1))-AVERAGE(OFFSET($H$3,0,0,'Données projet'!$E$10+1,1))</f>
        <v>324.30660429578262</v>
      </c>
      <c r="AO16" s="59">
        <f t="shared" si="36"/>
        <v>197.04549436738586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7.9</v>
      </c>
      <c r="BD16" s="12">
        <f>IF('Données projet'!$A$88&gt;35,BD15+BC16-BL15,IF(A16&lt;'Données projet'!$A$88,$BA$205^A16,IF(A16='Données projet'!$A$88,'Données projet'!$B$88,BD15+BC16-BL15)))</f>
        <v>26.861304900499697</v>
      </c>
      <c r="BE16" s="13">
        <f>BD16*VLOOKUP('Données projet'!$B$11,Paramètres!$A$1:$I$89,3,0)*VLOOKUP('Données projet'!$B$11,Paramètres!$A$1:$I$89,5,0)</f>
        <v>12.571090693433858</v>
      </c>
      <c r="BF16" s="13">
        <f t="shared" si="37"/>
        <v>4.3147735914069099</v>
      </c>
      <c r="BG16" s="20">
        <f t="shared" si="7"/>
        <v>29.409546962764335</v>
      </c>
      <c r="BH16" s="59">
        <f t="shared" si="8"/>
        <v>322.74288029609767</v>
      </c>
      <c r="BI16" s="59">
        <f ca="1">AVERAGE(OFFSET($BH$3,0,0,'Données projet'!$E$11+1,1))-AVERAGE(OFFSET($H$3,0,0,'Données projet'!$E$11+1,1))</f>
        <v>252.98248842635206</v>
      </c>
      <c r="BJ16" s="59">
        <f t="shared" si="38"/>
        <v>207.11938580878308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9.1999999999999993</v>
      </c>
      <c r="BY16" s="12">
        <f>IF('Données projet'!$A$114&gt;35,BY15+BX16-CG15,IF(A16&lt;'Données projet'!$A$114,$BV$205^A16,IF(A16='Données projet'!$A$114,'Données projet'!$B$114,BY15+BX16-CG15)))</f>
        <v>29.657298267189407</v>
      </c>
      <c r="BZ16" s="13">
        <f>BY16*VLOOKUP('Données projet'!$B$12,Paramètres!$A$1:$I$89,3,0)*VLOOKUP('Données projet'!$B$12,Paramètres!$A$1:$I$89,5,0)</f>
        <v>17.735064363779266</v>
      </c>
      <c r="CA16" s="13">
        <f t="shared" si="39"/>
        <v>5.8481795729644723</v>
      </c>
      <c r="CB16" s="20">
        <f t="shared" si="10"/>
        <v>41.074149856495346</v>
      </c>
      <c r="CC16" s="59">
        <f t="shared" si="11"/>
        <v>334.40748318982867</v>
      </c>
      <c r="CD16" s="59">
        <f ca="1">AVERAGE(OFFSET($CC$3,0,0,'Données projet'!$E$12+1,1))-AVERAGE(OFFSET($H$3,0,0,'Données projet'!$E$12+1,1))</f>
        <v>392.08740055894992</v>
      </c>
      <c r="CE16" s="59">
        <f t="shared" si="40"/>
        <v>395.10797100415783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2.1</v>
      </c>
      <c r="N17" s="13">
        <f>IF('Données projet'!$A$36&gt;35,N16+M17-V16,IF(A17&lt;'Données projet'!$A$36,$K$205^A17,IF(A17='Données projet'!$A$36,'Données projet'!$B$36,N16+M17-V16)))</f>
        <v>13.685935953338433</v>
      </c>
      <c r="O17" s="13">
        <f>N17*VLOOKUP('Données projet'!$B$9,Paramètres!$A$1:$I$89,3,0)*VLOOKUP('Données projet'!$B$9,Paramètres!$A$1:$I$89,5,0)</f>
        <v>12.383034850580612</v>
      </c>
      <c r="P17" s="13">
        <f t="shared" si="33"/>
        <v>4.2576904771143838</v>
      </c>
      <c r="Q17" s="20">
        <f t="shared" si="2"/>
        <v>28.982596612402116</v>
      </c>
      <c r="R17" s="59">
        <f t="shared" si="0"/>
        <v>322.31592994573543</v>
      </c>
      <c r="S17" s="59">
        <f ca="1">AVERAGE(OFFSET($R$3,0,0,'Données projet'!$E$9+1,1))-AVERAGE(OFFSET($H$3,0,0,'Données projet'!$E$9+1,1))</f>
        <v>282.32472952059817</v>
      </c>
      <c r="T17" s="59">
        <f t="shared" si="34"/>
        <v>172.32171001882176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2.1</v>
      </c>
      <c r="AI17" s="13">
        <f>IF('Données projet'!$A$62&gt;35,AI16+AH17-AQ16,IF(A17&lt;'Données projet'!$A$62,$AF$205^A17,IF(A17='Données projet'!$A$62,'Données projet'!$B$62,AI16+AH17-AQ16)))</f>
        <v>13.685935953338433</v>
      </c>
      <c r="AJ17" s="13">
        <f>AI17*VLOOKUP('Données projet'!$B$10,Paramètres!$A$1:$I$89,3,0)*VLOOKUP('Données projet'!$B$10,Paramètres!$A$1:$I$89,5,0)</f>
        <v>13.877539056685173</v>
      </c>
      <c r="AK17" s="13">
        <f t="shared" si="35"/>
        <v>4.7086819085950955</v>
      </c>
      <c r="AL17" s="20">
        <f t="shared" si="4"/>
        <v>32.371001514529802</v>
      </c>
      <c r="AM17" s="59">
        <f t="shared" si="5"/>
        <v>325.70433484786309</v>
      </c>
      <c r="AN17" s="59">
        <f ca="1">AVERAGE(OFFSET($AM$3,0,0,'Données projet'!$E$10+1,1))-AVERAGE(OFFSET($H$3,0,0,'Données projet'!$E$10+1,1))</f>
        <v>324.30660429578262</v>
      </c>
      <c r="AO17" s="59">
        <f t="shared" si="36"/>
        <v>197.04549436738586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7.9</v>
      </c>
      <c r="BD17" s="12">
        <f>IF('Données projet'!$A$88&gt;35,BD16+BC17-BL16,IF(A17&lt;'Données projet'!$A$88,$BA$205^A17,IF(A17='Données projet'!$A$88,'Données projet'!$B$88,BD16+BC17-BL16)))</f>
        <v>34.598714324397214</v>
      </c>
      <c r="BE17" s="13">
        <f>BD17*VLOOKUP('Données projet'!$B$11,Paramètres!$A$1:$I$89,3,0)*VLOOKUP('Données projet'!$B$11,Paramètres!$A$1:$I$89,5,0)</f>
        <v>16.192198303817896</v>
      </c>
      <c r="BF17" s="13">
        <f t="shared" si="37"/>
        <v>5.3962825594761723</v>
      </c>
      <c r="BG17" s="20">
        <f t="shared" si="7"/>
        <v>37.599937503570509</v>
      </c>
      <c r="BH17" s="59">
        <f t="shared" si="8"/>
        <v>330.93327083690383</v>
      </c>
      <c r="BI17" s="59">
        <f ca="1">AVERAGE(OFFSET($BH$3,0,0,'Données projet'!$E$11+1,1))-AVERAGE(OFFSET($H$3,0,0,'Données projet'!$E$11+1,1))</f>
        <v>252.98248842635206</v>
      </c>
      <c r="BJ17" s="59">
        <f t="shared" si="38"/>
        <v>207.11938580878308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9.1999999999999993</v>
      </c>
      <c r="BY17" s="12">
        <f>IF('Données projet'!$A$114&gt;35,BY16+BX17-CG16,IF(A17&lt;'Données projet'!$A$114,$BV$205^A17,IF(A17='Données projet'!$A$114,'Données projet'!$B$114,BY16+BX17-CG16)))</f>
        <v>38.492177172622277</v>
      </c>
      <c r="BZ17" s="13">
        <f>BY17*VLOOKUP('Données projet'!$B$12,Paramètres!$A$1:$I$89,3,0)*VLOOKUP('Données projet'!$B$12,Paramètres!$A$1:$I$89,5,0)</f>
        <v>23.018321949228124</v>
      </c>
      <c r="CA17" s="13">
        <f t="shared" si="39"/>
        <v>7.3634331934353119</v>
      </c>
      <c r="CB17" s="20">
        <f t="shared" si="10"/>
        <v>52.914890206805474</v>
      </c>
      <c r="CC17" s="59">
        <f t="shared" si="11"/>
        <v>346.24822354013878</v>
      </c>
      <c r="CD17" s="59">
        <f ca="1">AVERAGE(OFFSET($CC$3,0,0,'Données projet'!$E$12+1,1))-AVERAGE(OFFSET($H$3,0,0,'Données projet'!$E$12+1,1))</f>
        <v>392.08740055894992</v>
      </c>
      <c r="CE17" s="59">
        <f t="shared" si="40"/>
        <v>395.10797100415783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2.1</v>
      </c>
      <c r="N18" s="13">
        <f>IF('Données projet'!$A$36&gt;35,N17+M18-V17,IF(A18&lt;'Données projet'!$A$36,$K$205^A18,IF(A18='Données projet'!$A$36,'Données projet'!$B$36,N17+M18-V17)))</f>
        <v>16.498215337821566</v>
      </c>
      <c r="O18" s="13">
        <f>N18*VLOOKUP('Données projet'!$B$9,Paramètres!$A$1:$I$89,3,0)*VLOOKUP('Données projet'!$B$9,Paramètres!$A$1:$I$89,5,0)</f>
        <v>14.927585237660953</v>
      </c>
      <c r="P18" s="13">
        <f t="shared" si="33"/>
        <v>5.0221449106318534</v>
      </c>
      <c r="Q18" s="20">
        <f t="shared" si="2"/>
        <v>34.745780008276633</v>
      </c>
      <c r="R18" s="59">
        <f t="shared" si="0"/>
        <v>328.07911334160997</v>
      </c>
      <c r="S18" s="59">
        <f ca="1">AVERAGE(OFFSET($R$3,0,0,'Données projet'!$E$9+1,1))-AVERAGE(OFFSET($H$3,0,0,'Données projet'!$E$9+1,1))</f>
        <v>282.32472952059817</v>
      </c>
      <c r="T18" s="59">
        <f t="shared" si="34"/>
        <v>172.32171001882176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2.1</v>
      </c>
      <c r="AI18" s="13">
        <f>IF('Données projet'!$A$62&gt;35,AI17+AH18-AQ17,IF(A18&lt;'Données projet'!$A$62,$AF$205^A18,IF(A18='Données projet'!$A$62,'Données projet'!$B$62,AI17+AH18-AQ17)))</f>
        <v>16.498215337821566</v>
      </c>
      <c r="AJ18" s="13">
        <f>AI18*VLOOKUP('Données projet'!$B$10,Paramètres!$A$1:$I$89,3,0)*VLOOKUP('Données projet'!$B$10,Paramètres!$A$1:$I$89,5,0)</f>
        <v>16.729190352551068</v>
      </c>
      <c r="AK18" s="13">
        <f t="shared" si="35"/>
        <v>5.5541103821765283</v>
      </c>
      <c r="AL18" s="20">
        <f t="shared" si="4"/>
        <v>38.810082112983899</v>
      </c>
      <c r="AM18" s="59">
        <f t="shared" si="5"/>
        <v>332.14341544631719</v>
      </c>
      <c r="AN18" s="59">
        <f ca="1">AVERAGE(OFFSET($AM$3,0,0,'Données projet'!$E$10+1,1))-AVERAGE(OFFSET($H$3,0,0,'Données projet'!$E$10+1,1))</f>
        <v>324.30660429578262</v>
      </c>
      <c r="AO18" s="59">
        <f t="shared" si="36"/>
        <v>197.04549436738586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7.9</v>
      </c>
      <c r="BD18" s="12">
        <f>IF('Données projet'!$A$88&gt;35,BD17+BC18-BL17,IF(A18&lt;'Données projet'!$A$88,$BA$205^A18,IF(A18='Données projet'!$A$88,'Données projet'!$B$88,BD17+BC18-BL17)))</f>
        <v>44.564887571004775</v>
      </c>
      <c r="BE18" s="13">
        <f>BD18*VLOOKUP('Données projet'!$B$11,Paramètres!$A$1:$I$89,3,0)*VLOOKUP('Données projet'!$B$11,Paramètres!$A$1:$I$89,5,0)</f>
        <v>20.856367383230236</v>
      </c>
      <c r="BF18" s="13">
        <f t="shared" si="37"/>
        <v>6.7488744993944465</v>
      </c>
      <c r="BG18" s="20">
        <f t="shared" si="7"/>
        <v>48.079129612237985</v>
      </c>
      <c r="BH18" s="59">
        <f t="shared" si="8"/>
        <v>341.41246294557129</v>
      </c>
      <c r="BI18" s="59">
        <f ca="1">AVERAGE(OFFSET($BH$3,0,0,'Données projet'!$E$11+1,1))-AVERAGE(OFFSET($H$3,0,0,'Données projet'!$E$11+1,1))</f>
        <v>252.98248842635206</v>
      </c>
      <c r="BJ18" s="59">
        <f t="shared" si="38"/>
        <v>207.11938580878308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9.1999999999999993</v>
      </c>
      <c r="BY18" s="12">
        <f>IF('Données projet'!$A$114&gt;35,BY17+BX18-CG17,IF(A18&lt;'Données projet'!$A$114,$BV$205^A18,IF(A18='Données projet'!$A$114,'Données projet'!$B$114,BY17+BX18-CG17)))</f>
        <v>49.958957493027157</v>
      </c>
      <c r="BZ18" s="13">
        <f>BY18*VLOOKUP('Données projet'!$B$12,Paramètres!$A$1:$I$89,3,0)*VLOOKUP('Données projet'!$B$12,Paramètres!$A$1:$I$89,5,0)</f>
        <v>29.875456580830239</v>
      </c>
      <c r="CA18" s="13">
        <f t="shared" si="39"/>
        <v>9.2712865119325407</v>
      </c>
      <c r="CB18" s="20">
        <f t="shared" si="10"/>
        <v>68.180577553228503</v>
      </c>
      <c r="CC18" s="59">
        <f t="shared" si="11"/>
        <v>361.5139108865618</v>
      </c>
      <c r="CD18" s="59">
        <f ca="1">AVERAGE(OFFSET($CC$3,0,0,'Données projet'!$E$12+1,1))-AVERAGE(OFFSET($H$3,0,0,'Données projet'!$E$12+1,1))</f>
        <v>392.08740055894992</v>
      </c>
      <c r="CE18" s="59">
        <f t="shared" si="40"/>
        <v>395.10797100415783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2.1</v>
      </c>
      <c r="N19" s="13">
        <f>IF('Données projet'!$A$36&gt;35,N18+M19-V18,IF(A19&lt;'Données projet'!$A$36,$K$205^A19,IF(A19='Données projet'!$A$36,'Données projet'!$B$36,N18+M19-V18)))</f>
        <v>19.888381054913147</v>
      </c>
      <c r="O19" s="13">
        <f>N19*VLOOKUP('Données projet'!$B$9,Paramètres!$A$1:$I$89,3,0)*VLOOKUP('Données projet'!$B$9,Paramètres!$A$1:$I$89,5,0)</f>
        <v>17.995007178485412</v>
      </c>
      <c r="P19" s="13">
        <f t="shared" si="33"/>
        <v>5.9238546434872337</v>
      </c>
      <c r="Q19" s="20">
        <f t="shared" si="2"/>
        <v>41.658684339935689</v>
      </c>
      <c r="R19" s="59">
        <f t="shared" si="0"/>
        <v>334.992017673269</v>
      </c>
      <c r="S19" s="59">
        <f ca="1">AVERAGE(OFFSET($R$3,0,0,'Données projet'!$E$9+1,1))-AVERAGE(OFFSET($H$3,0,0,'Données projet'!$E$9+1,1))</f>
        <v>282.32472952059817</v>
      </c>
      <c r="T19" s="59">
        <f t="shared" si="34"/>
        <v>172.32171001882176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2.1</v>
      </c>
      <c r="AI19" s="13">
        <f>IF('Données projet'!$A$62&gt;35,AI18+AH19-AQ18,IF(A19&lt;'Données projet'!$A$62,$AF$205^A19,IF(A19='Données projet'!$A$62,'Données projet'!$B$62,AI18+AH19-AQ18)))</f>
        <v>19.888381054913147</v>
      </c>
      <c r="AJ19" s="13">
        <f>AI19*VLOOKUP('Données projet'!$B$10,Paramètres!$A$1:$I$89,3,0)*VLOOKUP('Données projet'!$B$10,Paramètres!$A$1:$I$89,5,0)</f>
        <v>20.166818389681932</v>
      </c>
      <c r="AK19" s="13">
        <f t="shared" si="35"/>
        <v>6.5513327797938032</v>
      </c>
      <c r="AL19" s="20">
        <f t="shared" si="4"/>
        <v>46.534113286836906</v>
      </c>
      <c r="AM19" s="59">
        <f t="shared" si="5"/>
        <v>339.8674466201702</v>
      </c>
      <c r="AN19" s="59">
        <f ca="1">AVERAGE(OFFSET($AM$3,0,0,'Données projet'!$E$10+1,1))-AVERAGE(OFFSET($H$3,0,0,'Données projet'!$E$10+1,1))</f>
        <v>324.30660429578262</v>
      </c>
      <c r="AO19" s="59">
        <f t="shared" si="36"/>
        <v>197.04549436738586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7.9</v>
      </c>
      <c r="BD19" s="12">
        <f>IF('Données projet'!$A$88&gt;35,BD18+BC19-BL18,IF(A19&lt;'Données projet'!$A$88,$BA$205^A19,IF(A19='Données projet'!$A$88,'Données projet'!$B$88,BD18+BC19-BL18)))</f>
        <v>57.401820934596167</v>
      </c>
      <c r="BE19" s="13">
        <f>BD19*VLOOKUP('Données projet'!$B$11,Paramètres!$A$1:$I$89,3,0)*VLOOKUP('Données projet'!$B$11,Paramètres!$A$1:$I$89,5,0)</f>
        <v>26.864052197391008</v>
      </c>
      <c r="BF19" s="13">
        <f t="shared" si="37"/>
        <v>8.4404970471001413</v>
      </c>
      <c r="BG19" s="20">
        <f t="shared" si="7"/>
        <v>61.488756600822086</v>
      </c>
      <c r="BH19" s="59">
        <f t="shared" si="8"/>
        <v>354.82208993415543</v>
      </c>
      <c r="BI19" s="59">
        <f ca="1">AVERAGE(OFFSET($BH$3,0,0,'Données projet'!$E$11+1,1))-AVERAGE(OFFSET($H$3,0,0,'Données projet'!$E$11+1,1))</f>
        <v>252.98248842635206</v>
      </c>
      <c r="BJ19" s="59">
        <f t="shared" si="38"/>
        <v>207.11938580878308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9.1999999999999993</v>
      </c>
      <c r="BY19" s="12">
        <f>IF('Données projet'!$A$114&gt;35,BY18+BX19-CG18,IF(A19&lt;'Données projet'!$A$114,$BV$205^A19,IF(A19='Données projet'!$A$114,'Données projet'!$B$114,BY18+BX19-CG18)))</f>
        <v>64.841679975569477</v>
      </c>
      <c r="BZ19" s="13">
        <f>BY19*VLOOKUP('Données projet'!$B$12,Paramètres!$A$1:$I$89,3,0)*VLOOKUP('Données projet'!$B$12,Paramètres!$A$1:$I$89,5,0)</f>
        <v>38.775324625390546</v>
      </c>
      <c r="CA19" s="13">
        <f t="shared" si="39"/>
        <v>11.673461458572737</v>
      </c>
      <c r="CB19" s="20">
        <f t="shared" si="10"/>
        <v>87.864969096236052</v>
      </c>
      <c r="CC19" s="59">
        <f t="shared" si="11"/>
        <v>381.19830242956937</v>
      </c>
      <c r="CD19" s="59">
        <f ca="1">AVERAGE(OFFSET($CC$3,0,0,'Données projet'!$E$12+1,1))-AVERAGE(OFFSET($H$3,0,0,'Données projet'!$E$12+1,1))</f>
        <v>392.08740055894992</v>
      </c>
      <c r="CE19" s="59">
        <f t="shared" si="40"/>
        <v>395.10797100415783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2.1</v>
      </c>
      <c r="N20" s="13">
        <f>IF('Données projet'!$A$36&gt;35,N19+M20-V19,IF(A20&lt;'Données projet'!$A$36,$K$205^A20,IF(A20='Données projet'!$A$36,'Données projet'!$B$36,N19+M20-V19)))</f>
        <v>23.975181126327602</v>
      </c>
      <c r="O20" s="13">
        <f>N20*VLOOKUP('Données projet'!$B$9,Paramètres!$A$1:$I$89,3,0)*VLOOKUP('Données projet'!$B$9,Paramètres!$A$1:$I$89,5,0)</f>
        <v>21.692743883101215</v>
      </c>
      <c r="P20" s="13">
        <f t="shared" si="33"/>
        <v>6.98746341685115</v>
      </c>
      <c r="Q20" s="20">
        <f t="shared" si="2"/>
        <v>49.951361047417038</v>
      </c>
      <c r="R20" s="59">
        <f t="shared" si="0"/>
        <v>343.28469438075035</v>
      </c>
      <c r="S20" s="59">
        <f ca="1">AVERAGE(OFFSET($R$3,0,0,'Données projet'!$E$9+1,1))-AVERAGE(OFFSET($H$3,0,0,'Données projet'!$E$9+1,1))</f>
        <v>282.32472952059817</v>
      </c>
      <c r="T20" s="59">
        <f t="shared" si="34"/>
        <v>172.32171001882176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2.1</v>
      </c>
      <c r="AI20" s="13">
        <f>IF('Données projet'!$A$62&gt;35,AI19+AH20-AQ19,IF(A20&lt;'Données projet'!$A$62,$AF$205^A20,IF(A20='Données projet'!$A$62,'Données projet'!$B$62,AI19+AH20-AQ19)))</f>
        <v>23.975181126327602</v>
      </c>
      <c r="AJ20" s="13">
        <f>AI20*VLOOKUP('Données projet'!$B$10,Paramètres!$A$1:$I$89,3,0)*VLOOKUP('Données projet'!$B$10,Paramètres!$A$1:$I$89,5,0)</f>
        <v>24.31083366209619</v>
      </c>
      <c r="AK20" s="13">
        <f t="shared" si="35"/>
        <v>7.7276032052466093</v>
      </c>
      <c r="AL20" s="20">
        <f t="shared" si="4"/>
        <v>55.800277543955367</v>
      </c>
      <c r="AM20" s="59">
        <f t="shared" si="5"/>
        <v>349.13361087728867</v>
      </c>
      <c r="AN20" s="59">
        <f ca="1">AVERAGE(OFFSET($AM$3,0,0,'Données projet'!$E$10+1,1))-AVERAGE(OFFSET($H$3,0,0,'Données projet'!$E$10+1,1))</f>
        <v>324.30660429578262</v>
      </c>
      <c r="AO20" s="59">
        <f t="shared" si="36"/>
        <v>197.04549436738586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7.9</v>
      </c>
      <c r="BD20" s="12">
        <f>IF('Données projet'!$A$88&gt;35,BD19+BC20-BL19,IF(A20&lt;'Données projet'!$A$88,$BA$205^A20,IF(A20='Données projet'!$A$88,'Données projet'!$B$88,BD19+BC20-BL19)))</f>
        <v>73.936437994095741</v>
      </c>
      <c r="BE20" s="13">
        <f>BD20*VLOOKUP('Données projet'!$B$11,Paramètres!$A$1:$I$89,3,0)*VLOOKUP('Données projet'!$B$11,Paramètres!$A$1:$I$89,5,0)</f>
        <v>34.602252981236802</v>
      </c>
      <c r="BF20" s="13">
        <f t="shared" si="37"/>
        <v>10.556129086190376</v>
      </c>
      <c r="BG20" s="20">
        <f t="shared" si="7"/>
        <v>78.650848767435647</v>
      </c>
      <c r="BH20" s="59">
        <f t="shared" si="8"/>
        <v>371.98418210076898</v>
      </c>
      <c r="BI20" s="59">
        <f ca="1">AVERAGE(OFFSET($BH$3,0,0,'Données projet'!$E$11+1,1))-AVERAGE(OFFSET($H$3,0,0,'Données projet'!$E$11+1,1))</f>
        <v>252.98248842635206</v>
      </c>
      <c r="BJ20" s="59">
        <f t="shared" si="38"/>
        <v>207.11938580878308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9.1999999999999993</v>
      </c>
      <c r="BY20" s="12">
        <f>IF('Données projet'!$A$114&gt;35,BY19+BX20-CG19,IF(A20&lt;'Données projet'!$A$114,$BV$205^A20,IF(A20='Données projet'!$A$114,'Données projet'!$B$114,BY19+BX20-CG19)))</f>
        <v>84.157950306328701</v>
      </c>
      <c r="BZ20" s="13">
        <f>BY20*VLOOKUP('Données projet'!$B$12,Paramètres!$A$1:$I$89,3,0)*VLOOKUP('Données projet'!$B$12,Paramètres!$A$1:$I$89,5,0)</f>
        <v>50.326454283184567</v>
      </c>
      <c r="CA20" s="13">
        <f t="shared" si="39"/>
        <v>14.6980359467263</v>
      </c>
      <c r="CB20" s="20">
        <f t="shared" si="10"/>
        <v>113.2509871504281</v>
      </c>
      <c r="CC20" s="59">
        <f t="shared" si="11"/>
        <v>406.58432048376142</v>
      </c>
      <c r="CD20" s="59">
        <f ca="1">AVERAGE(OFFSET($CC$3,0,0,'Données projet'!$E$12+1,1))-AVERAGE(OFFSET($H$3,0,0,'Données projet'!$E$12+1,1))</f>
        <v>392.08740055894992</v>
      </c>
      <c r="CE20" s="59">
        <f t="shared" si="40"/>
        <v>395.10797100415783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2.1</v>
      </c>
      <c r="N21" s="13">
        <f>IF('Données projet'!$A$36&gt;35,N20+M21-V20,IF(A21&lt;'Données projet'!$A$36,$K$205^A21,IF(A21='Données projet'!$A$36,'Données projet'!$B$36,N20+M21-V20)))</f>
        <v>28.901764726506816</v>
      </c>
      <c r="O21" s="13">
        <f>N21*VLOOKUP('Données projet'!$B$9,Paramètres!$A$1:$I$89,3,0)*VLOOKUP('Données projet'!$B$9,Paramètres!$A$1:$I$89,5,0)</f>
        <v>26.150316724543362</v>
      </c>
      <c r="P21" s="13">
        <f t="shared" si="33"/>
        <v>8.2420396752158016</v>
      </c>
      <c r="Q21" s="20">
        <f t="shared" si="2"/>
        <v>59.900020729580547</v>
      </c>
      <c r="R21" s="59">
        <f t="shared" si="0"/>
        <v>353.23335406291386</v>
      </c>
      <c r="S21" s="59">
        <f ca="1">AVERAGE(OFFSET($R$3,0,0,'Données projet'!$E$9+1,1))-AVERAGE(OFFSET($H$3,0,0,'Données projet'!$E$9+1,1))</f>
        <v>282.32472952059817</v>
      </c>
      <c r="T21" s="59">
        <f t="shared" si="34"/>
        <v>172.32171001882176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2.1</v>
      </c>
      <c r="AI21" s="13">
        <f>IF('Données projet'!$A$62&gt;35,AI20+AH21-AQ20,IF(A21&lt;'Données projet'!$A$62,$AF$205^A21,IF(A21='Données projet'!$A$62,'Données projet'!$B$62,AI20+AH21-AQ20)))</f>
        <v>28.901764726506816</v>
      </c>
      <c r="AJ21" s="13">
        <f>AI21*VLOOKUP('Données projet'!$B$10,Paramètres!$A$1:$I$89,3,0)*VLOOKUP('Données projet'!$B$10,Paramètres!$A$1:$I$89,5,0)</f>
        <v>29.306389432677911</v>
      </c>
      <c r="AK21" s="13">
        <f t="shared" si="35"/>
        <v>9.1150691477493808</v>
      </c>
      <c r="AL21" s="20">
        <f t="shared" si="4"/>
        <v>66.917373694244205</v>
      </c>
      <c r="AM21" s="59">
        <f t="shared" si="5"/>
        <v>360.2507070275775</v>
      </c>
      <c r="AN21" s="59">
        <f ca="1">AVERAGE(OFFSET($AM$3,0,0,'Données projet'!$E$10+1,1))-AVERAGE(OFFSET($H$3,0,0,'Données projet'!$E$10+1,1))</f>
        <v>324.30660429578262</v>
      </c>
      <c r="AO21" s="59">
        <f t="shared" si="36"/>
        <v>197.04549436738586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7.9</v>
      </c>
      <c r="BD21" s="12">
        <f>IF('Données projet'!$A$88&gt;35,BD20+BC21-BL20,IF(A21&lt;'Données projet'!$A$88,$BA$205^A21,IF(A21='Données projet'!$A$88,'Données projet'!$B$88,BD20+BC21-BL20)))</f>
        <v>95.233857990035276</v>
      </c>
      <c r="BE21" s="13">
        <f>BD21*VLOOKUP('Données projet'!$B$11,Paramètres!$A$1:$I$89,3,0)*VLOOKUP('Données projet'!$B$11,Paramètres!$A$1:$I$89,5,0)</f>
        <v>44.569445539336513</v>
      </c>
      <c r="BF21" s="13">
        <f t="shared" si="37"/>
        <v>13.202049673437019</v>
      </c>
      <c r="BG21" s="20">
        <f t="shared" si="7"/>
        <v>100.61868749558056</v>
      </c>
      <c r="BH21" s="59">
        <f t="shared" si="8"/>
        <v>393.95202082891387</v>
      </c>
      <c r="BI21" s="59">
        <f ca="1">AVERAGE(OFFSET($BH$3,0,0,'Données projet'!$E$11+1,1))-AVERAGE(OFFSET($H$3,0,0,'Données projet'!$E$11+1,1))</f>
        <v>252.98248842635206</v>
      </c>
      <c r="BJ21" s="59">
        <f t="shared" si="38"/>
        <v>207.11938580878308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9.1999999999999993</v>
      </c>
      <c r="BY21" s="12">
        <f>IF('Données projet'!$A$114&gt;35,BY20+BX21-CG20,IF(A21&lt;'Données projet'!$A$114,$BV$205^A21,IF(A21='Données projet'!$A$114,'Données projet'!$B$114,BY20+BX21-CG20)))</f>
        <v>109.228517867381</v>
      </c>
      <c r="BZ21" s="13">
        <f>BY21*VLOOKUP('Données projet'!$B$12,Paramètres!$A$1:$I$89,3,0)*VLOOKUP('Données projet'!$B$12,Paramètres!$A$1:$I$89,5,0)</f>
        <v>65.318653684693842</v>
      </c>
      <c r="CA21" s="13">
        <f t="shared" si="39"/>
        <v>18.506272664532506</v>
      </c>
      <c r="CB21" s="20">
        <f t="shared" si="10"/>
        <v>145.99508005823589</v>
      </c>
      <c r="CC21" s="59">
        <f t="shared" si="11"/>
        <v>439.3284133915692</v>
      </c>
      <c r="CD21" s="59">
        <f ca="1">AVERAGE(OFFSET($CC$3,0,0,'Données projet'!$E$12+1,1))-AVERAGE(OFFSET($H$3,0,0,'Données projet'!$E$12+1,1))</f>
        <v>392.08740055894992</v>
      </c>
      <c r="CE21" s="59">
        <f t="shared" si="40"/>
        <v>395.10797100415783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2.1</v>
      </c>
      <c r="N22" s="13">
        <f>IF('Données projet'!$A$36&gt;35,N21+M22-V21,IF(A22&lt;'Données projet'!$A$36,$K$205^A22,IF(A22='Données projet'!$A$36,'Données projet'!$B$36,N21+M22-V21)))</f>
        <v>34.840696297767764</v>
      </c>
      <c r="O22" s="13">
        <f>N22*VLOOKUP('Données projet'!$B$9,Paramètres!$A$1:$I$89,3,0)*VLOOKUP('Données projet'!$B$9,Paramètres!$A$1:$I$89,5,0)</f>
        <v>31.52386201022027</v>
      </c>
      <c r="P22" s="13">
        <f t="shared" si="33"/>
        <v>9.7218710074397983</v>
      </c>
      <c r="Q22" s="20">
        <f t="shared" si="2"/>
        <v>71.836318339091292</v>
      </c>
      <c r="R22" s="59">
        <f t="shared" si="0"/>
        <v>365.16965167242461</v>
      </c>
      <c r="S22" s="59">
        <f ca="1">AVERAGE(OFFSET($R$3,0,0,'Données projet'!$E$9+1,1))-AVERAGE(OFFSET($H$3,0,0,'Données projet'!$E$9+1,1))</f>
        <v>282.32472952059817</v>
      </c>
      <c r="T22" s="59">
        <f t="shared" si="34"/>
        <v>172.32171001882176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2.1</v>
      </c>
      <c r="AI22" s="13">
        <f>IF('Données projet'!$A$62&gt;35,AI21+AH22-AQ21,IF(A22&lt;'Données projet'!$A$62,$AF$205^A22,IF(A22='Données projet'!$A$62,'Données projet'!$B$62,AI21+AH22-AQ21)))</f>
        <v>34.840696297767764</v>
      </c>
      <c r="AJ22" s="13">
        <f>AI22*VLOOKUP('Données projet'!$B$10,Paramètres!$A$1:$I$89,3,0)*VLOOKUP('Données projet'!$B$10,Paramètres!$A$1:$I$89,5,0)</f>
        <v>35.328466045936516</v>
      </c>
      <c r="AK22" s="13">
        <f t="shared" si="35"/>
        <v>10.751650073316766</v>
      </c>
      <c r="AL22" s="20">
        <f t="shared" si="4"/>
        <v>80.256202241032796</v>
      </c>
      <c r="AM22" s="59">
        <f t="shared" si="5"/>
        <v>373.5895355743661</v>
      </c>
      <c r="AN22" s="59">
        <f ca="1">AVERAGE(OFFSET($AM$3,0,0,'Données projet'!$E$10+1,1))-AVERAGE(OFFSET($H$3,0,0,'Données projet'!$E$10+1,1))</f>
        <v>324.30660429578262</v>
      </c>
      <c r="AO22" s="59">
        <f t="shared" si="36"/>
        <v>197.04549436738586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7.9</v>
      </c>
      <c r="BD22" s="12">
        <f>IF('Données projet'!$A$88&gt;35,BD21+BC22-BL21,IF(A22&lt;'Données projet'!$A$88,$BA$205^A22,IF(A22='Données projet'!$A$88,'Données projet'!$B$88,BD21+BC22-BL21)))</f>
        <v>122.66600817840934</v>
      </c>
      <c r="BE22" s="13">
        <f>BD22*VLOOKUP('Données projet'!$B$11,Paramètres!$A$1:$I$89,3,0)*VLOOKUP('Données projet'!$B$11,Paramètres!$A$1:$I$89,5,0)</f>
        <v>57.407691827495569</v>
      </c>
      <c r="BF22" s="13">
        <f t="shared" si="37"/>
        <v>16.511176981334152</v>
      </c>
      <c r="BG22" s="20">
        <f t="shared" si="7"/>
        <v>128.7420298420451</v>
      </c>
      <c r="BH22" s="59">
        <f t="shared" si="8"/>
        <v>422.07536317537841</v>
      </c>
      <c r="BI22" s="59">
        <f ca="1">AVERAGE(OFFSET($BH$3,0,0,'Données projet'!$E$11+1,1))-AVERAGE(OFFSET($H$3,0,0,'Données projet'!$E$11+1,1))</f>
        <v>252.98248842635206</v>
      </c>
      <c r="BJ22" s="59">
        <f t="shared" si="38"/>
        <v>207.11938580878308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9.1999999999999993</v>
      </c>
      <c r="BY22" s="12">
        <f>IF('Données projet'!$A$114&gt;35,BY21+BX22-CG21,IF(A22&lt;'Données projet'!$A$114,$BV$205^A22,IF(A22='Données projet'!$A$114,'Données projet'!$B$114,BY21+BX22-CG21)))</f>
        <v>141.76758193465133</v>
      </c>
      <c r="BZ22" s="13">
        <f>BY22*VLOOKUP('Données projet'!$B$12,Paramètres!$A$1:$I$89,3,0)*VLOOKUP('Données projet'!$B$12,Paramètres!$A$1:$I$89,5,0)</f>
        <v>84.777013996921497</v>
      </c>
      <c r="CA22" s="13">
        <f t="shared" si="39"/>
        <v>23.301217194961634</v>
      </c>
      <c r="CB22" s="20">
        <f t="shared" si="10"/>
        <v>188.23625265919645</v>
      </c>
      <c r="CC22" s="59">
        <f t="shared" si="11"/>
        <v>481.56958599252977</v>
      </c>
      <c r="CD22" s="59">
        <f ca="1">AVERAGE(OFFSET($CC$3,0,0,'Données projet'!$E$12+1,1))-AVERAGE(OFFSET($H$3,0,0,'Données projet'!$E$12+1,1))</f>
        <v>392.08740055894992</v>
      </c>
      <c r="CE22" s="59">
        <f t="shared" si="40"/>
        <v>395.10797100415783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42</v>
      </c>
      <c r="L23" s="12">
        <f>VLOOKUP(A23,'Données projet'!$A$35:$I$55,9,0)</f>
        <v>2.1</v>
      </c>
      <c r="M23" s="12">
        <f t="array" ref="M23">INDEX(L:L,MIN(IF(ISNUMBER(L23:L219),ROW(L23:L219),"")))</f>
        <v>2.1</v>
      </c>
      <c r="N23" s="13">
        <f>IF('Données projet'!$A$36&gt;35,N22+M23-V22,IF(A23&lt;'Données projet'!$A$36,$K$205^A23,IF(A23='Données projet'!$A$36,'Données projet'!$B$36,N22+M23-V22)))</f>
        <v>42</v>
      </c>
      <c r="O23" s="13">
        <f>N23*VLOOKUP('Données projet'!$B$9,Paramètres!$A$1:$I$89,3,0)*VLOOKUP('Données projet'!$B$9,Paramètres!$A$1:$I$89,5,0)</f>
        <v>38.001600000000003</v>
      </c>
      <c r="P23" s="13">
        <f t="shared" si="33"/>
        <v>11.467401227090512</v>
      </c>
      <c r="Q23" s="20">
        <f t="shared" si="2"/>
        <v>86.158510470515978</v>
      </c>
      <c r="R23" s="59">
        <f t="shared" si="0"/>
        <v>379.49184380384929</v>
      </c>
      <c r="S23" s="59">
        <f ca="1">AVERAGE(OFFSET($R$3,0,0,'Données projet'!$E$9+1,1))-AVERAGE(OFFSET($H$3,0,0,'Données projet'!$E$9+1,1))</f>
        <v>282.32472952059817</v>
      </c>
      <c r="T23" s="59">
        <f t="shared" si="34"/>
        <v>172.32171001882176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42</v>
      </c>
      <c r="AG23" s="12">
        <f>VLOOKUP(A23,'Données projet'!$A$61:$I$81,9,0)</f>
        <v>2.1</v>
      </c>
      <c r="AH23" s="12">
        <f t="array" ref="AH23">INDEX(AG:AG,MIN(IF(ISNUMBER(AG23:AG219),ROW(AG23:AG219),"")))</f>
        <v>2.1</v>
      </c>
      <c r="AI23" s="13">
        <f>IF('Données projet'!$A$62&gt;35,AI22+AH23-AQ22,IF(A23&lt;'Données projet'!$A$62,$AF$205^A23,IF(A23='Données projet'!$A$62,'Données projet'!$B$62,AI22+AH23-AQ22)))</f>
        <v>42</v>
      </c>
      <c r="AJ23" s="13">
        <f>AI23*VLOOKUP('Données projet'!$B$10,Paramètres!$A$1:$I$89,3,0)*VLOOKUP('Données projet'!$B$10,Paramètres!$A$1:$I$89,5,0)</f>
        <v>42.588000000000001</v>
      </c>
      <c r="AK23" s="13">
        <f t="shared" si="35"/>
        <v>12.682073764365764</v>
      </c>
      <c r="AL23" s="20">
        <f t="shared" si="4"/>
        <v>96.262045139603686</v>
      </c>
      <c r="AM23" s="59">
        <f t="shared" si="5"/>
        <v>389.595378472937</v>
      </c>
      <c r="AN23" s="59">
        <f ca="1">AVERAGE(OFFSET($AM$3,0,0,'Données projet'!$E$10+1,1))-AVERAGE(OFFSET($H$3,0,0,'Données projet'!$E$10+1,1))</f>
        <v>324.30660429578262</v>
      </c>
      <c r="AO23" s="59">
        <f t="shared" si="36"/>
        <v>197.04549436738586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158</v>
      </c>
      <c r="BB23" s="12">
        <f>VLOOKUP(A23,'Données projet'!$A$87:$I$107,9,0)</f>
        <v>7.9</v>
      </c>
      <c r="BC23" s="12">
        <f t="array" ref="BC23">INDEX(BB:BB,MIN(IF(ISNUMBER(BB23:BB219),ROW(BB23:BB219),"")))</f>
        <v>7.9</v>
      </c>
      <c r="BD23" s="12">
        <f>IF('Données projet'!$A$88&gt;35,BD22+BC23-BL22,IF(A23&lt;'Données projet'!$A$88,$BA$205^A23,IF(A23='Données projet'!$A$88,'Données projet'!$B$88,BD22+BC23-BL22)))</f>
        <v>158</v>
      </c>
      <c r="BE23" s="13">
        <f>BD23*VLOOKUP('Données projet'!$B$11,Paramètres!$A$1:$I$89,3,0)*VLOOKUP('Données projet'!$B$11,Paramètres!$A$1:$I$89,5,0)</f>
        <v>73.944000000000003</v>
      </c>
      <c r="BF23" s="13">
        <f t="shared" si="37"/>
        <v>20.649745460165708</v>
      </c>
      <c r="BG23" s="20">
        <f t="shared" si="7"/>
        <v>164.75077334312192</v>
      </c>
      <c r="BH23" s="59">
        <f t="shared" si="8"/>
        <v>458.08410667645524</v>
      </c>
      <c r="BI23" s="59">
        <f ca="1">AVERAGE(OFFSET($BH$3,0,0,'Données projet'!$E$11+1,1))-AVERAGE(OFFSET($H$3,0,0,'Données projet'!$E$11+1,1))</f>
        <v>252.98248842635206</v>
      </c>
      <c r="BJ23" s="59">
        <f t="shared" si="38"/>
        <v>207.11938580878308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12.5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0.27500000000000002</v>
      </c>
      <c r="BO23" s="16">
        <f>IF(ISNA(VLOOKUP(A23,'Données projet'!$A$87:$I$107,7,0)),0%,VLOOKUP(A23,'Données projet'!$A$87:$I$107,7,0))</f>
        <v>0.5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2.1257077612234943</v>
      </c>
      <c r="BR23" s="21">
        <f>EXP(-LN(2)/2)*BR22+(1-EXP(-LN(2)/2))/(LN(2)/2)*BL23*BO23*VLOOKUP('Données projet'!$B$11,Paramètres!$A$1:$I$89,3,0)*0.475*44/12</f>
        <v>3.3117794702649124</v>
      </c>
      <c r="BS23" s="22">
        <f t="shared" si="9"/>
        <v>5.4374872314884062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184</v>
      </c>
      <c r="BW23" s="12">
        <f>VLOOKUP(A23,'Données projet'!$A$113:$I$133,9,0)</f>
        <v>9.1999999999999993</v>
      </c>
      <c r="BX23" s="12">
        <f t="array" ref="BX23">INDEX(BW:BW,MIN(IF(ISNUMBER(BW23:BW219),ROW(BW23:BW219),"")))</f>
        <v>9.1999999999999993</v>
      </c>
      <c r="BY23" s="12">
        <f>IF('Données projet'!$A$114&gt;35,BY22+BX23-CG22,IF(A23&lt;'Données projet'!$A$114,$BV$205^A23,IF(A23='Données projet'!$A$114,'Données projet'!$B$114,BY22+BX23-CG22)))</f>
        <v>184</v>
      </c>
      <c r="BZ23" s="13">
        <f>BY23*VLOOKUP('Données projet'!$B$12,Paramètres!$A$1:$I$89,3,0)*VLOOKUP('Données projet'!$B$12,Paramètres!$A$1:$I$89,5,0)</f>
        <v>110.03200000000001</v>
      </c>
      <c r="CA23" s="13">
        <f t="shared" si="39"/>
        <v>29.338523894513916</v>
      </c>
      <c r="CB23" s="20">
        <f t="shared" si="10"/>
        <v>242.73699578294506</v>
      </c>
      <c r="CC23" s="59">
        <f t="shared" si="11"/>
        <v>536.07032911627834</v>
      </c>
      <c r="CD23" s="59">
        <f ca="1">AVERAGE(OFFSET($CC$3,0,0,'Données projet'!$E$12+1,1))-AVERAGE(OFFSET($H$3,0,0,'Données projet'!$E$12+1,1))</f>
        <v>392.08740055894992</v>
      </c>
      <c r="CE23" s="59">
        <f t="shared" si="40"/>
        <v>395.10797100415783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60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0.22500000000000001</v>
      </c>
      <c r="CJ23" s="16">
        <f>IF(ISNA(VLOOKUP(A23,'Données projet'!$A$113:$I$133,7,0)),0%,VLOOKUP(A23,'Données projet'!$A$113:$I$133,7,0))</f>
        <v>0.5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10.667188038139718</v>
      </c>
      <c r="CM23" s="21">
        <f>EXP(-LN(2)/2)*CM22+(1-EXP(-LN(2)/2))/(LN(2)/2)*CG23*CJ23*VLOOKUP('Données projet'!$B$12,Paramètres!$A$1:$I$89,3,0)*0.475*44/12</f>
        <v>20.3122474176248</v>
      </c>
      <c r="CN23" s="22">
        <f t="shared" si="12"/>
        <v>30.979435455764516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6.3</v>
      </c>
      <c r="N24" s="13">
        <f>IF('Données projet'!$A$36&gt;35,N23+M24-V23,IF(A24&lt;'Données projet'!$A$36,$K$205^A24,IF(A24='Données projet'!$A$36,'Données projet'!$B$36,N23+M24-V23)))</f>
        <v>48.3</v>
      </c>
      <c r="O24" s="13">
        <f>N24*VLOOKUP('Données projet'!$B$9,Paramètres!$A$1:$I$89,3,0)*VLOOKUP('Données projet'!$B$9,Paramètres!$A$1:$I$89,5,0)</f>
        <v>43.701839999999997</v>
      </c>
      <c r="P24" s="13">
        <f t="shared" si="33"/>
        <v>12.974708810432297</v>
      </c>
      <c r="Q24" s="20">
        <f t="shared" si="2"/>
        <v>98.711655844836244</v>
      </c>
      <c r="R24" s="59">
        <f t="shared" si="0"/>
        <v>392.04498917816954</v>
      </c>
      <c r="S24" s="59">
        <f ca="1">AVERAGE(OFFSET($R$3,0,0,'Données projet'!$E$9+1,1))-AVERAGE(OFFSET($H$3,0,0,'Données projet'!$E$9+1,1))</f>
        <v>282.32472952059817</v>
      </c>
      <c r="T24" s="59">
        <f t="shared" si="34"/>
        <v>172.32171001882176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6.3</v>
      </c>
      <c r="AI24" s="13">
        <f>IF('Données projet'!$A$62&gt;35,AI23+AH24-AQ23,IF(A24&lt;'Données projet'!$A$62,$AF$205^A24,IF(A24='Données projet'!$A$62,'Données projet'!$B$62,AI23+AH24-AQ23)))</f>
        <v>48.3</v>
      </c>
      <c r="AJ24" s="13">
        <f>AI24*VLOOKUP('Données projet'!$B$10,Paramètres!$A$1:$I$89,3,0)*VLOOKUP('Données projet'!$B$10,Paramètres!$A$1:$I$89,5,0)</f>
        <v>48.976199999999999</v>
      </c>
      <c r="AK24" s="13">
        <f t="shared" si="35"/>
        <v>14.349041334347479</v>
      </c>
      <c r="AL24" s="20">
        <f t="shared" si="4"/>
        <v>110.29146199065519</v>
      </c>
      <c r="AM24" s="59">
        <f t="shared" si="5"/>
        <v>403.62479532398851</v>
      </c>
      <c r="AN24" s="59">
        <f ca="1">AVERAGE(OFFSET($AM$3,0,0,'Données projet'!$E$10+1,1))-AVERAGE(OFFSET($H$3,0,0,'Données projet'!$E$10+1,1))</f>
        <v>324.30660429578262</v>
      </c>
      <c r="AO24" s="59">
        <f t="shared" si="36"/>
        <v>197.04549436738586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9.1999999999999993</v>
      </c>
      <c r="BD24" s="12">
        <f>IF('Données projet'!$A$88&gt;35,BD23+BC24-BL23,IF(A24&lt;'Données projet'!$A$88,$BA$205^A24,IF(A24='Données projet'!$A$88,'Données projet'!$B$88,BD23+BC24-BL23)))</f>
        <v>154.69999999999999</v>
      </c>
      <c r="BE24" s="13">
        <f>BD24*VLOOKUP('Données projet'!$B$11,Paramètres!$A$1:$I$89,3,0)*VLOOKUP('Données projet'!$B$11,Paramètres!$A$1:$I$89,5,0)</f>
        <v>72.399599999999992</v>
      </c>
      <c r="BF24" s="13">
        <f t="shared" si="37"/>
        <v>20.268188832715463</v>
      </c>
      <c r="BG24" s="20">
        <f t="shared" si="7"/>
        <v>161.3963988836461</v>
      </c>
      <c r="BH24" s="59">
        <f t="shared" si="8"/>
        <v>454.72973221697941</v>
      </c>
      <c r="BI24" s="59">
        <f ca="1">AVERAGE(OFFSET($BH$3,0,0,'Données projet'!$E$11+1,1))-AVERAGE(OFFSET($H$3,0,0,'Données projet'!$E$11+1,1))</f>
        <v>252.98248842635206</v>
      </c>
      <c r="BJ24" s="59">
        <f t="shared" si="38"/>
        <v>207.11938580878308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2.0675801707067252</v>
      </c>
      <c r="BR24" s="21">
        <f>EXP(-LN(2)/2)*BR23+(1-EXP(-LN(2)/2))/(LN(2)/2)*BL24*BO24*VLOOKUP('Données projet'!$B$11,Paramètres!$A$1:$I$89,3,0)*0.475*44/12</f>
        <v>2.341781721218712</v>
      </c>
      <c r="BS24" s="22">
        <f t="shared" si="9"/>
        <v>4.4093618919254371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20.9</v>
      </c>
      <c r="BY24" s="12">
        <f>IF('Données projet'!$A$114&gt;35,BY23+BX24-CG23,IF(A24&lt;'Données projet'!$A$114,$BV$205^A24,IF(A24='Données projet'!$A$114,'Données projet'!$B$114,BY23+BX24-CG23)))</f>
        <v>144.9</v>
      </c>
      <c r="BZ24" s="13">
        <f>BY24*VLOOKUP('Données projet'!$B$12,Paramètres!$A$1:$I$89,3,0)*VLOOKUP('Données projet'!$B$12,Paramètres!$A$1:$I$89,5,0)</f>
        <v>86.650200000000012</v>
      </c>
      <c r="CA24" s="13">
        <f t="shared" si="39"/>
        <v>23.75555911158321</v>
      </c>
      <c r="CB24" s="20">
        <f t="shared" si="10"/>
        <v>192.29003045267413</v>
      </c>
      <c r="CC24" s="59">
        <f t="shared" si="11"/>
        <v>485.62336378600742</v>
      </c>
      <c r="CD24" s="59">
        <f ca="1">AVERAGE(OFFSET($CC$3,0,0,'Données projet'!$E$12+1,1))-AVERAGE(OFFSET($H$3,0,0,'Données projet'!$E$12+1,1))</f>
        <v>392.08740055894992</v>
      </c>
      <c r="CE24" s="59">
        <f t="shared" si="40"/>
        <v>395.10797100415783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10.375493220273748</v>
      </c>
      <c r="CM24" s="21">
        <f>EXP(-LN(2)/2)*CM23+(1-EXP(-LN(2)/2))/(LN(2)/2)*CG24*CJ24*VLOOKUP('Données projet'!$B$12,Paramètres!$A$1:$I$89,3,0)*0.475*44/12</f>
        <v>14.362927890141435</v>
      </c>
      <c r="CN24" s="22">
        <f t="shared" si="12"/>
        <v>24.738421110415182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6.3</v>
      </c>
      <c r="N25" s="13">
        <f>IF('Données projet'!$A$36&gt;35,N24+M25-V24,IF(A25&lt;'Données projet'!$A$36,$K$205^A25,IF(A25='Données projet'!$A$36,'Données projet'!$B$36,N24+M25-V24)))</f>
        <v>54.599999999999994</v>
      </c>
      <c r="O25" s="13">
        <f>N25*VLOOKUP('Données projet'!$B$9,Paramètres!$A$1:$I$89,3,0)*VLOOKUP('Données projet'!$B$9,Paramètres!$A$1:$I$89,5,0)</f>
        <v>49.402079999999998</v>
      </c>
      <c r="P25" s="13">
        <f t="shared" si="33"/>
        <v>14.459236264867963</v>
      </c>
      <c r="Q25" s="20">
        <f t="shared" si="2"/>
        <v>111.22512582797835</v>
      </c>
      <c r="R25" s="59">
        <f t="shared" si="0"/>
        <v>404.55845916131165</v>
      </c>
      <c r="S25" s="59">
        <f ca="1">AVERAGE(OFFSET($R$3,0,0,'Données projet'!$E$9+1,1))-AVERAGE(OFFSET($H$3,0,0,'Données projet'!$E$9+1,1))</f>
        <v>282.32472952059817</v>
      </c>
      <c r="T25" s="59">
        <f t="shared" si="34"/>
        <v>172.32171001882176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6.3</v>
      </c>
      <c r="AI25" s="13">
        <f>IF('Données projet'!$A$62&gt;35,AI24+AH25-AQ24,IF(A25&lt;'Données projet'!$A$62,$AF$205^A25,IF(A25='Données projet'!$A$62,'Données projet'!$B$62,AI24+AH25-AQ24)))</f>
        <v>54.599999999999994</v>
      </c>
      <c r="AJ25" s="13">
        <f>AI25*VLOOKUP('Données projet'!$B$10,Paramètres!$A$1:$I$89,3,0)*VLOOKUP('Données projet'!$B$10,Paramètres!$A$1:$I$89,5,0)</f>
        <v>55.364399999999996</v>
      </c>
      <c r="AK25" s="13">
        <f t="shared" si="35"/>
        <v>15.990815813983085</v>
      </c>
      <c r="AL25" s="20">
        <f t="shared" si="4"/>
        <v>124.27700087602052</v>
      </c>
      <c r="AM25" s="59">
        <f t="shared" si="5"/>
        <v>417.61033420935382</v>
      </c>
      <c r="AN25" s="59">
        <f ca="1">AVERAGE(OFFSET($AM$3,0,0,'Données projet'!$E$10+1,1))-AVERAGE(OFFSET($H$3,0,0,'Données projet'!$E$10+1,1))</f>
        <v>324.30660429578262</v>
      </c>
      <c r="AO25" s="59">
        <f t="shared" si="36"/>
        <v>197.04549436738586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9.1999999999999993</v>
      </c>
      <c r="BD25" s="12">
        <f>IF('Données projet'!$A$88&gt;35,BD24+BC25-BL24,IF(A25&lt;'Données projet'!$A$88,$BA$205^A25,IF(A25='Données projet'!$A$88,'Données projet'!$B$88,BD24+BC25-BL24)))</f>
        <v>163.89999999999998</v>
      </c>
      <c r="BE25" s="13">
        <f>BD25*VLOOKUP('Données projet'!$B$11,Paramètres!$A$1:$I$89,3,0)*VLOOKUP('Données projet'!$B$11,Paramètres!$A$1:$I$89,5,0)</f>
        <v>76.705199999999991</v>
      </c>
      <c r="BF25" s="13">
        <f t="shared" si="37"/>
        <v>21.32962715676695</v>
      </c>
      <c r="BG25" s="20">
        <f t="shared" si="7"/>
        <v>170.74399063136909</v>
      </c>
      <c r="BH25" s="59">
        <f t="shared" si="8"/>
        <v>464.07732396470237</v>
      </c>
      <c r="BI25" s="59">
        <f ca="1">AVERAGE(OFFSET($BH$3,0,0,'Données projet'!$E$11+1,1))-AVERAGE(OFFSET($H$3,0,0,'Données projet'!$E$11+1,1))</f>
        <v>252.98248842635206</v>
      </c>
      <c r="BJ25" s="59">
        <f t="shared" si="38"/>
        <v>207.11938580878308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2.0110420822094341</v>
      </c>
      <c r="BR25" s="21">
        <f>EXP(-LN(2)/2)*BR24+(1-EXP(-LN(2)/2))/(LN(2)/2)*BL25*BO25*VLOOKUP('Données projet'!$B$11,Paramètres!$A$1:$I$89,3,0)*0.475*44/12</f>
        <v>1.6558897351324564</v>
      </c>
      <c r="BS25" s="22">
        <f t="shared" si="9"/>
        <v>3.6669318173418906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20.9</v>
      </c>
      <c r="BY25" s="12">
        <f>IF('Données projet'!$A$114&gt;35,BY24+BX25-CG24,IF(A25&lt;'Données projet'!$A$114,$BV$205^A25,IF(A25='Données projet'!$A$114,'Données projet'!$B$114,BY24+BX25-CG24)))</f>
        <v>165.8</v>
      </c>
      <c r="BZ25" s="13">
        <f>BY25*VLOOKUP('Données projet'!$B$12,Paramètres!$A$1:$I$89,3,0)*VLOOKUP('Données projet'!$B$12,Paramètres!$A$1:$I$89,5,0)</f>
        <v>99.148400000000024</v>
      </c>
      <c r="CA25" s="13">
        <f t="shared" si="39"/>
        <v>26.759014716890203</v>
      </c>
      <c r="CB25" s="20">
        <f t="shared" si="10"/>
        <v>219.28874729858379</v>
      </c>
      <c r="CC25" s="59">
        <f t="shared" si="11"/>
        <v>512.62208063191713</v>
      </c>
      <c r="CD25" s="59">
        <f ca="1">AVERAGE(OFFSET($CC$3,0,0,'Données projet'!$E$12+1,1))-AVERAGE(OFFSET($H$3,0,0,'Données projet'!$E$12+1,1))</f>
        <v>392.08740055894992</v>
      </c>
      <c r="CE25" s="59">
        <f t="shared" si="40"/>
        <v>395.10797100415783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10.091774812541887</v>
      </c>
      <c r="CM25" s="21">
        <f>EXP(-LN(2)/2)*CM24+(1-EXP(-LN(2)/2))/(LN(2)/2)*CG25*CJ25*VLOOKUP('Données projet'!$B$12,Paramètres!$A$1:$I$89,3,0)*0.475*44/12</f>
        <v>10.156123708812402</v>
      </c>
      <c r="CN25" s="22">
        <f t="shared" si="12"/>
        <v>20.247898521354287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6.3</v>
      </c>
      <c r="N26" s="13">
        <f>IF('Données projet'!$A$36&gt;35,N25+M26-V25,IF(A26&lt;'Données projet'!$A$36,$K$205^A26,IF(A26='Données projet'!$A$36,'Données projet'!$B$36,N25+M26-V25)))</f>
        <v>60.899999999999991</v>
      </c>
      <c r="O26" s="13">
        <f>N26*VLOOKUP('Données projet'!$B$9,Paramètres!$A$1:$I$89,3,0)*VLOOKUP('Données projet'!$B$9,Paramètres!$A$1:$I$89,5,0)</f>
        <v>55.102319999999992</v>
      </c>
      <c r="P26" s="13">
        <f t="shared" si="33"/>
        <v>15.923912218988239</v>
      </c>
      <c r="Q26" s="20">
        <f t="shared" si="2"/>
        <v>123.70402111473783</v>
      </c>
      <c r="R26" s="59">
        <f t="shared" si="0"/>
        <v>417.03735444807114</v>
      </c>
      <c r="S26" s="59">
        <f ca="1">AVERAGE(OFFSET($R$3,0,0,'Données projet'!$E$9+1,1))-AVERAGE(OFFSET($H$3,0,0,'Données projet'!$E$9+1,1))</f>
        <v>282.32472952059817</v>
      </c>
      <c r="T26" s="59">
        <f t="shared" si="34"/>
        <v>172.32171001882176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6.3</v>
      </c>
      <c r="AI26" s="13">
        <f>IF('Données projet'!$A$62&gt;35,AI25+AH26-AQ25,IF(A26&lt;'Données projet'!$A$62,$AF$205^A26,IF(A26='Données projet'!$A$62,'Données projet'!$B$62,AI25+AH26-AQ25)))</f>
        <v>60.899999999999991</v>
      </c>
      <c r="AJ26" s="13">
        <f>AI26*VLOOKUP('Données projet'!$B$10,Paramètres!$A$1:$I$89,3,0)*VLOOKUP('Données projet'!$B$10,Paramètres!$A$1:$I$89,5,0)</f>
        <v>61.752599999999994</v>
      </c>
      <c r="AK26" s="13">
        <f t="shared" si="35"/>
        <v>17.610636043798049</v>
      </c>
      <c r="AL26" s="20">
        <f t="shared" si="4"/>
        <v>138.22430277628158</v>
      </c>
      <c r="AM26" s="59">
        <f t="shared" si="5"/>
        <v>431.55763610961492</v>
      </c>
      <c r="AN26" s="59">
        <f ca="1">AVERAGE(OFFSET($AM$3,0,0,'Données projet'!$E$10+1,1))-AVERAGE(OFFSET($H$3,0,0,'Données projet'!$E$10+1,1))</f>
        <v>324.30660429578262</v>
      </c>
      <c r="AO26" s="59">
        <f t="shared" si="36"/>
        <v>197.04549436738586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9.1999999999999993</v>
      </c>
      <c r="BD26" s="12">
        <f>IF('Données projet'!$A$88&gt;35,BD25+BC26-BL25,IF(A26&lt;'Données projet'!$A$88,$BA$205^A26,IF(A26='Données projet'!$A$88,'Données projet'!$B$88,BD25+BC26-BL25)))</f>
        <v>173.09999999999997</v>
      </c>
      <c r="BE26" s="13">
        <f>BD26*VLOOKUP('Données projet'!$B$11,Paramètres!$A$1:$I$89,3,0)*VLOOKUP('Données projet'!$B$11,Paramètres!$A$1:$I$89,5,0)</f>
        <v>81.010799999999989</v>
      </c>
      <c r="BF26" s="13">
        <f t="shared" si="37"/>
        <v>22.384149091932141</v>
      </c>
      <c r="BG26" s="20">
        <f t="shared" si="7"/>
        <v>180.07953633511511</v>
      </c>
      <c r="BH26" s="59">
        <f t="shared" si="8"/>
        <v>473.41286966844842</v>
      </c>
      <c r="BI26" s="59">
        <f ca="1">AVERAGE(OFFSET($BH$3,0,0,'Données projet'!$E$11+1,1))-AVERAGE(OFFSET($H$3,0,0,'Données projet'!$E$11+1,1))</f>
        <v>252.98248842635206</v>
      </c>
      <c r="BJ26" s="59">
        <f t="shared" si="38"/>
        <v>207.11938580878308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1.9560500307153104</v>
      </c>
      <c r="BR26" s="21">
        <f>EXP(-LN(2)/2)*BR25+(1-EXP(-LN(2)/2))/(LN(2)/2)*BL26*BO26*VLOOKUP('Données projet'!$B$11,Paramètres!$A$1:$I$89,3,0)*0.475*44/12</f>
        <v>1.170890860609356</v>
      </c>
      <c r="BS26" s="22">
        <f t="shared" si="9"/>
        <v>3.1269408913246663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20.9</v>
      </c>
      <c r="BY26" s="12">
        <f>IF('Données projet'!$A$114&gt;35,BY25+BX26-CG25,IF(A26&lt;'Données projet'!$A$114,$BV$205^A26,IF(A26='Données projet'!$A$114,'Données projet'!$B$114,BY25+BX26-CG25)))</f>
        <v>186.70000000000002</v>
      </c>
      <c r="BZ26" s="13">
        <f>BY26*VLOOKUP('Données projet'!$B$12,Paramètres!$A$1:$I$89,3,0)*VLOOKUP('Données projet'!$B$12,Paramètres!$A$1:$I$89,5,0)</f>
        <v>111.64660000000001</v>
      </c>
      <c r="CA26" s="13">
        <f t="shared" si="39"/>
        <v>29.718600259496139</v>
      </c>
      <c r="CB26" s="20">
        <f t="shared" si="10"/>
        <v>246.21105711862242</v>
      </c>
      <c r="CC26" s="59">
        <f t="shared" si="11"/>
        <v>539.54439045195568</v>
      </c>
      <c r="CD26" s="59">
        <f ca="1">AVERAGE(OFFSET($CC$3,0,0,'Données projet'!$E$12+1,1))-AVERAGE(OFFSET($H$3,0,0,'Données projet'!$E$12+1,1))</f>
        <v>392.08740055894992</v>
      </c>
      <c r="CE26" s="59">
        <f t="shared" si="40"/>
        <v>395.10797100415783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9.8158146995895574</v>
      </c>
      <c r="CM26" s="21">
        <f>EXP(-LN(2)/2)*CM25+(1-EXP(-LN(2)/2))/(LN(2)/2)*CG26*CJ26*VLOOKUP('Données projet'!$B$12,Paramètres!$A$1:$I$89,3,0)*0.475*44/12</f>
        <v>7.1814639450707185</v>
      </c>
      <c r="CN26" s="22">
        <f t="shared" si="12"/>
        <v>16.997278644660277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6.3</v>
      </c>
      <c r="N27" s="13">
        <f>IF('Données projet'!$A$36&gt;35,N26+M27-V26,IF(A27&lt;'Données projet'!$A$36,$K$205^A27,IF(A27='Données projet'!$A$36,'Données projet'!$B$36,N26+M27-V26)))</f>
        <v>67.199999999999989</v>
      </c>
      <c r="O27" s="13">
        <f>N27*VLOOKUP('Données projet'!$B$9,Paramètres!$A$1:$I$89,3,0)*VLOOKUP('Données projet'!$B$9,Paramètres!$A$1:$I$89,5,0)</f>
        <v>60.802559999999993</v>
      </c>
      <c r="P27" s="13">
        <f t="shared" si="33"/>
        <v>17.371024177726472</v>
      </c>
      <c r="Q27" s="20">
        <f t="shared" si="2"/>
        <v>136.15232577620694</v>
      </c>
      <c r="R27" s="59">
        <f t="shared" si="0"/>
        <v>429.48565910954028</v>
      </c>
      <c r="S27" s="59">
        <f ca="1">AVERAGE(OFFSET($R$3,0,0,'Données projet'!$E$9+1,1))-AVERAGE(OFFSET($H$3,0,0,'Données projet'!$E$9+1,1))</f>
        <v>282.32472952059817</v>
      </c>
      <c r="T27" s="59">
        <f t="shared" si="34"/>
        <v>172.32171001882176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6.3</v>
      </c>
      <c r="AI27" s="13">
        <f>IF('Données projet'!$A$62&gt;35,AI26+AH27-AQ26,IF(A27&lt;'Données projet'!$A$62,$AF$205^A27,IF(A27='Données projet'!$A$62,'Données projet'!$B$62,AI26+AH27-AQ26)))</f>
        <v>67.199999999999989</v>
      </c>
      <c r="AJ27" s="13">
        <f>AI27*VLOOKUP('Données projet'!$B$10,Paramètres!$A$1:$I$89,3,0)*VLOOKUP('Données projet'!$B$10,Paramètres!$A$1:$I$89,5,0)</f>
        <v>68.140799999999984</v>
      </c>
      <c r="AK27" s="13">
        <f t="shared" si="35"/>
        <v>19.21103183030446</v>
      </c>
      <c r="AL27" s="20">
        <f t="shared" si="4"/>
        <v>152.13777377111359</v>
      </c>
      <c r="AM27" s="59">
        <f t="shared" si="5"/>
        <v>445.4711071044469</v>
      </c>
      <c r="AN27" s="59">
        <f ca="1">AVERAGE(OFFSET($AM$3,0,0,'Données projet'!$E$10+1,1))-AVERAGE(OFFSET($H$3,0,0,'Données projet'!$E$10+1,1))</f>
        <v>324.30660429578262</v>
      </c>
      <c r="AO27" s="59">
        <f t="shared" si="36"/>
        <v>197.04549436738586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9.1999999999999993</v>
      </c>
      <c r="BD27" s="12">
        <f>IF('Données projet'!$A$88&gt;35,BD26+BC27-BL26,IF(A27&lt;'Données projet'!$A$88,$BA$205^A27,IF(A27='Données projet'!$A$88,'Données projet'!$B$88,BD26+BC27-BL26)))</f>
        <v>182.29999999999995</v>
      </c>
      <c r="BE27" s="13">
        <f>BD27*VLOOKUP('Données projet'!$B$11,Paramètres!$A$1:$I$89,3,0)*VLOOKUP('Données projet'!$B$11,Paramètres!$A$1:$I$89,5,0)</f>
        <v>85.316399999999987</v>
      </c>
      <c r="BF27" s="13">
        <f t="shared" si="37"/>
        <v>23.432164150529264</v>
      </c>
      <c r="BG27" s="20">
        <f t="shared" si="7"/>
        <v>189.40374922883845</v>
      </c>
      <c r="BH27" s="59">
        <f t="shared" si="8"/>
        <v>482.73708256217174</v>
      </c>
      <c r="BI27" s="59">
        <f ca="1">AVERAGE(OFFSET($BH$3,0,0,'Données projet'!$E$11+1,1))-AVERAGE(OFFSET($H$3,0,0,'Données projet'!$E$11+1,1))</f>
        <v>252.98248842635206</v>
      </c>
      <c r="BJ27" s="59">
        <f t="shared" si="38"/>
        <v>207.11938580878308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1.9025617397611998</v>
      </c>
      <c r="BR27" s="21">
        <f>EXP(-LN(2)/2)*BR26+(1-EXP(-LN(2)/2))/(LN(2)/2)*BL27*BO27*VLOOKUP('Données projet'!$B$11,Paramètres!$A$1:$I$89,3,0)*0.475*44/12</f>
        <v>0.8279448675662282</v>
      </c>
      <c r="BS27" s="22">
        <f t="shared" si="9"/>
        <v>2.730506607327428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20.9</v>
      </c>
      <c r="BY27" s="12">
        <f>IF('Données projet'!$A$114&gt;35,BY26+BX27-CG26,IF(A27&lt;'Données projet'!$A$114,$BV$205^A27,IF(A27='Données projet'!$A$114,'Données projet'!$B$114,BY26+BX27-CG26)))</f>
        <v>207.60000000000002</v>
      </c>
      <c r="BZ27" s="13">
        <f>BY27*VLOOKUP('Données projet'!$B$12,Paramètres!$A$1:$I$89,3,0)*VLOOKUP('Données projet'!$B$12,Paramètres!$A$1:$I$89,5,0)</f>
        <v>124.14480000000002</v>
      </c>
      <c r="CA27" s="13">
        <f t="shared" si="39"/>
        <v>32.639787059542115</v>
      </c>
      <c r="CB27" s="20">
        <f t="shared" si="10"/>
        <v>273.06648912870259</v>
      </c>
      <c r="CC27" s="59">
        <f t="shared" si="11"/>
        <v>566.3998224620359</v>
      </c>
      <c r="CD27" s="59">
        <f ca="1">AVERAGE(OFFSET($CC$3,0,0,'Données projet'!$E$12+1,1))-AVERAGE(OFFSET($H$3,0,0,'Données projet'!$E$12+1,1))</f>
        <v>392.08740055894992</v>
      </c>
      <c r="CE27" s="59">
        <f t="shared" si="40"/>
        <v>395.10797100415783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9.5474007304380208</v>
      </c>
      <c r="CM27" s="21">
        <f>EXP(-LN(2)/2)*CM26+(1-EXP(-LN(2)/2))/(LN(2)/2)*CG27*CJ27*VLOOKUP('Données projet'!$B$12,Paramètres!$A$1:$I$89,3,0)*0.475*44/12</f>
        <v>5.0780618544062008</v>
      </c>
      <c r="CN27" s="22">
        <f t="shared" si="12"/>
        <v>14.625462584844222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6.3</v>
      </c>
      <c r="N28" s="13">
        <f>IF('Données projet'!$A$36&gt;35,N27+M28-V27,IF(A28&lt;'Données projet'!$A$36,$K$205^A28,IF(A28='Données projet'!$A$36,'Données projet'!$B$36,N27+M28-V27)))</f>
        <v>73.499999999999986</v>
      </c>
      <c r="O28" s="13">
        <f>N28*VLOOKUP('Données projet'!$B$9,Paramètres!$A$1:$I$89,3,0)*VLOOKUP('Données projet'!$B$9,Paramètres!$A$1:$I$89,5,0)</f>
        <v>66.502799999999979</v>
      </c>
      <c r="P28" s="13">
        <f t="shared" si="33"/>
        <v>18.802406075407909</v>
      </c>
      <c r="Q28" s="20">
        <f t="shared" si="2"/>
        <v>148.57323391466869</v>
      </c>
      <c r="R28" s="59">
        <f t="shared" si="0"/>
        <v>441.90656724800203</v>
      </c>
      <c r="S28" s="59">
        <f ca="1">AVERAGE(OFFSET($R$3,0,0,'Données projet'!$E$9+1,1))-AVERAGE(OFFSET($H$3,0,0,'Données projet'!$E$9+1,1))</f>
        <v>282.32472952059817</v>
      </c>
      <c r="T28" s="59">
        <f t="shared" si="34"/>
        <v>172.32171001882176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6.3</v>
      </c>
      <c r="AI28" s="13">
        <f>IF('Données projet'!$A$62&gt;35,AI27+AH28-AQ27,IF(A28&lt;'Données projet'!$A$62,$AF$205^A28,IF(A28='Données projet'!$A$62,'Données projet'!$B$62,AI27+AH28-AQ27)))</f>
        <v>73.499999999999986</v>
      </c>
      <c r="AJ28" s="13">
        <f>AI28*VLOOKUP('Données projet'!$B$10,Paramètres!$A$1:$I$89,3,0)*VLOOKUP('Données projet'!$B$10,Paramètres!$A$1:$I$89,5,0)</f>
        <v>74.528999999999982</v>
      </c>
      <c r="AK28" s="13">
        <f t="shared" si="35"/>
        <v>20.794031365411815</v>
      </c>
      <c r="AL28" s="20">
        <f t="shared" si="4"/>
        <v>166.02094629475889</v>
      </c>
      <c r="AM28" s="59">
        <f t="shared" si="5"/>
        <v>459.35427962809217</v>
      </c>
      <c r="AN28" s="59">
        <f ca="1">AVERAGE(OFFSET($AM$3,0,0,'Données projet'!$E$10+1,1))-AVERAGE(OFFSET($H$3,0,0,'Données projet'!$E$10+1,1))</f>
        <v>324.30660429578262</v>
      </c>
      <c r="AO28" s="59">
        <f t="shared" si="36"/>
        <v>197.04549436738586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9.1999999999999993</v>
      </c>
      <c r="BD28" s="12">
        <f>IF('Données projet'!$A$88&gt;35,BD27+BC28-BL27,IF(A28&lt;'Données projet'!$A$88,$BA$205^A28,IF(A28='Données projet'!$A$88,'Données projet'!$B$88,BD27+BC28-BL27)))</f>
        <v>191.49999999999994</v>
      </c>
      <c r="BE28" s="13">
        <f>BD28*VLOOKUP('Données projet'!$B$11,Paramètres!$A$1:$I$89,3,0)*VLOOKUP('Données projet'!$B$11,Paramètres!$A$1:$I$89,5,0)</f>
        <v>89.621999999999986</v>
      </c>
      <c r="BF28" s="13">
        <f t="shared" si="37"/>
        <v>24.47403817697321</v>
      </c>
      <c r="BG28" s="20">
        <f t="shared" si="7"/>
        <v>198.71726649156165</v>
      </c>
      <c r="BH28" s="59">
        <f t="shared" si="8"/>
        <v>492.05059982489496</v>
      </c>
      <c r="BI28" s="59">
        <f ca="1">AVERAGE(OFFSET($BH$3,0,0,'Données projet'!$E$11+1,1))-AVERAGE(OFFSET($H$3,0,0,'Données projet'!$E$11+1,1))</f>
        <v>252.98248842635206</v>
      </c>
      <c r="BJ28" s="59">
        <f t="shared" si="38"/>
        <v>207.11938580878308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1.8505360889360563</v>
      </c>
      <c r="BR28" s="21">
        <f>EXP(-LN(2)/2)*BR27+(1-EXP(-LN(2)/2))/(LN(2)/2)*BL28*BO28*VLOOKUP('Données projet'!$B$11,Paramètres!$A$1:$I$89,3,0)*0.475*44/12</f>
        <v>0.58544543030467799</v>
      </c>
      <c r="BS28" s="22">
        <f t="shared" si="9"/>
        <v>2.4359815192407344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20.9</v>
      </c>
      <c r="BY28" s="12">
        <f>IF('Données projet'!$A$114&gt;35,BY27+BX28-CG27,IF(A28&lt;'Données projet'!$A$114,$BV$205^A28,IF(A28='Données projet'!$A$114,'Données projet'!$B$114,BY27+BX28-CG27)))</f>
        <v>228.50000000000003</v>
      </c>
      <c r="BZ28" s="13">
        <f>BY28*VLOOKUP('Données projet'!$B$12,Paramètres!$A$1:$I$89,3,0)*VLOOKUP('Données projet'!$B$12,Paramètres!$A$1:$I$89,5,0)</f>
        <v>136.64300000000003</v>
      </c>
      <c r="CA28" s="13">
        <f t="shared" si="39"/>
        <v>35.526880997312432</v>
      </c>
      <c r="CB28" s="20">
        <f t="shared" si="10"/>
        <v>299.86254273698586</v>
      </c>
      <c r="CC28" s="59">
        <f t="shared" si="11"/>
        <v>593.19587607031917</v>
      </c>
      <c r="CD28" s="59">
        <f ca="1">AVERAGE(OFFSET($CC$3,0,0,'Données projet'!$E$12+1,1))-AVERAGE(OFFSET($H$3,0,0,'Données projet'!$E$12+1,1))</f>
        <v>392.08740055894992</v>
      </c>
      <c r="CE28" s="59">
        <f t="shared" si="40"/>
        <v>395.10797100415783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9.2863265553882091</v>
      </c>
      <c r="CM28" s="21">
        <f>EXP(-LN(2)/2)*CM27+(1-EXP(-LN(2)/2))/(LN(2)/2)*CG28*CJ28*VLOOKUP('Données projet'!$B$12,Paramètres!$A$1:$I$89,3,0)*0.475*44/12</f>
        <v>3.5907319725353593</v>
      </c>
      <c r="CN28" s="22">
        <f t="shared" si="12"/>
        <v>12.877058527923568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6.3</v>
      </c>
      <c r="N29" s="13">
        <f>IF('Données projet'!$A$36&gt;35,N28+M29-V28,IF(A29&lt;'Données projet'!$A$36,$K$205^A29,IF(A29='Données projet'!$A$36,'Données projet'!$B$36,N28+M29-V28)))</f>
        <v>79.799999999999983</v>
      </c>
      <c r="O29" s="13">
        <f>N29*VLOOKUP('Données projet'!$B$9,Paramètres!$A$1:$I$89,3,0)*VLOOKUP('Données projet'!$B$9,Paramètres!$A$1:$I$89,5,0)</f>
        <v>72.203039999999973</v>
      </c>
      <c r="P29" s="13">
        <f t="shared" si="33"/>
        <v>20.219559499787128</v>
      </c>
      <c r="Q29" s="20">
        <f t="shared" si="2"/>
        <v>160.96936079546251</v>
      </c>
      <c r="R29" s="59">
        <f t="shared" si="0"/>
        <v>454.30269412879579</v>
      </c>
      <c r="S29" s="59">
        <f ca="1">AVERAGE(OFFSET($R$3,0,0,'Données projet'!$E$9+1,1))-AVERAGE(OFFSET($H$3,0,0,'Données projet'!$E$9+1,1))</f>
        <v>282.32472952059817</v>
      </c>
      <c r="T29" s="59">
        <f t="shared" si="34"/>
        <v>172.32171001882176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6.3</v>
      </c>
      <c r="AI29" s="13">
        <f>IF('Données projet'!$A$62&gt;35,AI28+AH29-AQ28,IF(A29&lt;'Données projet'!$A$62,$AF$205^A29,IF(A29='Données projet'!$A$62,'Données projet'!$B$62,AI28+AH29-AQ28)))</f>
        <v>79.799999999999983</v>
      </c>
      <c r="AJ29" s="13">
        <f>AI29*VLOOKUP('Données projet'!$B$10,Paramètres!$A$1:$I$89,3,0)*VLOOKUP('Données projet'!$B$10,Paramètres!$A$1:$I$89,5,0)</f>
        <v>80.917199999999994</v>
      </c>
      <c r="AK29" s="13">
        <f t="shared" si="35"/>
        <v>22.361295290994434</v>
      </c>
      <c r="AL29" s="20">
        <f t="shared" si="4"/>
        <v>179.87671263181528</v>
      </c>
      <c r="AM29" s="59">
        <f t="shared" si="5"/>
        <v>473.21004596514859</v>
      </c>
      <c r="AN29" s="59">
        <f ca="1">AVERAGE(OFFSET($AM$3,0,0,'Données projet'!$E$10+1,1))-AVERAGE(OFFSET($H$3,0,0,'Données projet'!$E$10+1,1))</f>
        <v>324.30660429578262</v>
      </c>
      <c r="AO29" s="59">
        <f t="shared" si="36"/>
        <v>197.04549436738586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9.1999999999999993</v>
      </c>
      <c r="BD29" s="12">
        <f>IF('Données projet'!$A$88&gt;35,BD28+BC29-BL28,IF(A29&lt;'Données projet'!$A$88,$BA$205^A29,IF(A29='Données projet'!$A$88,'Données projet'!$B$88,BD28+BC29-BL28)))</f>
        <v>200.69999999999993</v>
      </c>
      <c r="BE29" s="13">
        <f>BD29*VLOOKUP('Données projet'!$B$11,Paramètres!$A$1:$I$89,3,0)*VLOOKUP('Données projet'!$B$11,Paramètres!$A$1:$I$89,5,0)</f>
        <v>93.927599999999956</v>
      </c>
      <c r="BF29" s="13">
        <f t="shared" si="37"/>
        <v>25.510099877901624</v>
      </c>
      <c r="BG29" s="20">
        <f t="shared" si="7"/>
        <v>208.02066062067857</v>
      </c>
      <c r="BH29" s="59">
        <f t="shared" si="8"/>
        <v>501.35399395401191</v>
      </c>
      <c r="BI29" s="59">
        <f ca="1">AVERAGE(OFFSET($BH$3,0,0,'Données projet'!$E$11+1,1))-AVERAGE(OFFSET($H$3,0,0,'Données projet'!$E$11+1,1))</f>
        <v>252.98248842635206</v>
      </c>
      <c r="BJ29" s="59">
        <f t="shared" si="38"/>
        <v>207.11938580878308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1.7999330822686364</v>
      </c>
      <c r="BR29" s="21">
        <f>EXP(-LN(2)/2)*BR28+(1-EXP(-LN(2)/2))/(LN(2)/2)*BL29*BO29*VLOOKUP('Données projet'!$B$11,Paramètres!$A$1:$I$89,3,0)*0.475*44/12</f>
        <v>0.4139724337831141</v>
      </c>
      <c r="BS29" s="22">
        <f t="shared" si="9"/>
        <v>2.2139055160517502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20.9</v>
      </c>
      <c r="BY29" s="12">
        <f>IF('Données projet'!$A$114&gt;35,BY28+BX29-CG28,IF(A29&lt;'Données projet'!$A$114,$BV$205^A29,IF(A29='Données projet'!$A$114,'Données projet'!$B$114,BY28+BX29-CG28)))</f>
        <v>249.40000000000003</v>
      </c>
      <c r="BZ29" s="13">
        <f>BY29*VLOOKUP('Données projet'!$B$12,Paramètres!$A$1:$I$89,3,0)*VLOOKUP('Données projet'!$B$12,Paramètres!$A$1:$I$89,5,0)</f>
        <v>149.14120000000003</v>
      </c>
      <c r="CA29" s="13">
        <f t="shared" si="39"/>
        <v>38.383355068273794</v>
      </c>
      <c r="CB29" s="20">
        <f t="shared" si="10"/>
        <v>326.60526674391025</v>
      </c>
      <c r="CC29" s="59">
        <f t="shared" si="11"/>
        <v>619.93860007724356</v>
      </c>
      <c r="CD29" s="59">
        <f ca="1">AVERAGE(OFFSET($CC$3,0,0,'Données projet'!$E$12+1,1))-AVERAGE(OFFSET($H$3,0,0,'Données projet'!$E$12+1,1))</f>
        <v>392.08740055894992</v>
      </c>
      <c r="CE29" s="59">
        <f t="shared" si="40"/>
        <v>395.10797100415783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9.0323914673844286</v>
      </c>
      <c r="CM29" s="21">
        <f>EXP(-LN(2)/2)*CM28+(1-EXP(-LN(2)/2))/(LN(2)/2)*CG29*CJ29*VLOOKUP('Données projet'!$B$12,Paramètres!$A$1:$I$89,3,0)*0.475*44/12</f>
        <v>2.5390309272031004</v>
      </c>
      <c r="CN29" s="22">
        <f t="shared" si="12"/>
        <v>11.571422394587529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6.3</v>
      </c>
      <c r="N30" s="13">
        <f>IF('Données projet'!$A$36&gt;35,N29+M30-V29,IF(A30&lt;'Données projet'!$A$36,$K$205^A30,IF(A30='Données projet'!$A$36,'Données projet'!$B$36,N29+M30-V29)))</f>
        <v>86.09999999999998</v>
      </c>
      <c r="O30" s="13">
        <f>N30*VLOOKUP('Données projet'!$B$9,Paramètres!$A$1:$I$89,3,0)*VLOOKUP('Données projet'!$B$9,Paramètres!$A$1:$I$89,5,0)</f>
        <v>77.903279999999981</v>
      </c>
      <c r="P30" s="13">
        <f t="shared" si="33"/>
        <v>21.623735462576285</v>
      </c>
      <c r="Q30" s="20">
        <f t="shared" si="2"/>
        <v>173.342885263987</v>
      </c>
      <c r="R30" s="59">
        <f t="shared" si="0"/>
        <v>466.67621859732031</v>
      </c>
      <c r="S30" s="59">
        <f ca="1">AVERAGE(OFFSET($R$3,0,0,'Données projet'!$E$9+1,1))-AVERAGE(OFFSET($H$3,0,0,'Données projet'!$E$9+1,1))</f>
        <v>282.32472952059817</v>
      </c>
      <c r="T30" s="59">
        <f t="shared" si="34"/>
        <v>172.32171001882176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6.3</v>
      </c>
      <c r="AI30" s="13">
        <f>IF('Données projet'!$A$62&gt;35,AI29+AH30-AQ29,IF(A30&lt;'Données projet'!$A$62,$AF$205^A30,IF(A30='Données projet'!$A$62,'Données projet'!$B$62,AI29+AH30-AQ29)))</f>
        <v>86.09999999999998</v>
      </c>
      <c r="AJ30" s="13">
        <f>AI30*VLOOKUP('Données projet'!$B$10,Paramètres!$A$1:$I$89,3,0)*VLOOKUP('Données projet'!$B$10,Paramètres!$A$1:$I$89,5,0)</f>
        <v>87.305399999999992</v>
      </c>
      <c r="AK30" s="13">
        <f t="shared" si="35"/>
        <v>23.914207130877781</v>
      </c>
      <c r="AL30" s="20">
        <f t="shared" si="4"/>
        <v>193.70748241961212</v>
      </c>
      <c r="AM30" s="59">
        <f t="shared" si="5"/>
        <v>487.04081575294543</v>
      </c>
      <c r="AN30" s="59">
        <f ca="1">AVERAGE(OFFSET($AM$3,0,0,'Données projet'!$E$10+1,1))-AVERAGE(OFFSET($H$3,0,0,'Données projet'!$E$10+1,1))</f>
        <v>324.30660429578262</v>
      </c>
      <c r="AO30" s="59">
        <f t="shared" si="36"/>
        <v>197.04549436738586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9.1999999999999993</v>
      </c>
      <c r="BD30" s="12">
        <f>IF('Données projet'!$A$88&gt;35,BD29+BC30-BL29,IF(A30&lt;'Données projet'!$A$88,$BA$205^A30,IF(A30='Données projet'!$A$88,'Données projet'!$B$88,BD29+BC30-BL29)))</f>
        <v>209.89999999999992</v>
      </c>
      <c r="BE30" s="13">
        <f>BD30*VLOOKUP('Données projet'!$B$11,Paramètres!$A$1:$I$89,3,0)*VLOOKUP('Données projet'!$B$11,Paramètres!$A$1:$I$89,5,0)</f>
        <v>98.233199999999954</v>
      </c>
      <c r="BF30" s="13">
        <f t="shared" si="37"/>
        <v>26.540646121089583</v>
      </c>
      <c r="BG30" s="20">
        <f t="shared" si="7"/>
        <v>217.3144486608976</v>
      </c>
      <c r="BH30" s="59">
        <f t="shared" si="8"/>
        <v>510.64778199423091</v>
      </c>
      <c r="BI30" s="59">
        <f ca="1">AVERAGE(OFFSET($BH$3,0,0,'Données projet'!$E$11+1,1))-AVERAGE(OFFSET($H$3,0,0,'Données projet'!$E$11+1,1))</f>
        <v>252.98248842635206</v>
      </c>
      <c r="BJ30" s="59">
        <f t="shared" si="38"/>
        <v>207.11938580878308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1.7507138174796335</v>
      </c>
      <c r="BR30" s="21">
        <f>EXP(-LN(2)/2)*BR29+(1-EXP(-LN(2)/2))/(LN(2)/2)*BL30*BO30*VLOOKUP('Données projet'!$B$11,Paramètres!$A$1:$I$89,3,0)*0.475*44/12</f>
        <v>0.292722715152339</v>
      </c>
      <c r="BS30" s="22">
        <f t="shared" si="9"/>
        <v>2.0434365326319726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20.9</v>
      </c>
      <c r="BY30" s="12">
        <f>IF('Données projet'!$A$114&gt;35,BY29+BX30-CG29,IF(A30&lt;'Données projet'!$A$114,$BV$205^A30,IF(A30='Données projet'!$A$114,'Données projet'!$B$114,BY29+BX30-CG29)))</f>
        <v>270.3</v>
      </c>
      <c r="BZ30" s="13">
        <f>BY30*VLOOKUP('Données projet'!$B$12,Paramètres!$A$1:$I$89,3,0)*VLOOKUP('Données projet'!$B$12,Paramètres!$A$1:$I$89,5,0)</f>
        <v>161.63940000000002</v>
      </c>
      <c r="CA30" s="13">
        <f t="shared" si="39"/>
        <v>41.212066982728679</v>
      </c>
      <c r="CB30" s="20">
        <f t="shared" si="10"/>
        <v>353.29963832825246</v>
      </c>
      <c r="CC30" s="59">
        <f t="shared" si="11"/>
        <v>646.63297166158577</v>
      </c>
      <c r="CD30" s="59">
        <f ca="1">AVERAGE(OFFSET($CC$3,0,0,'Données projet'!$E$12+1,1))-AVERAGE(OFFSET($H$3,0,0,'Données projet'!$E$12+1,1))</f>
        <v>392.08740055894992</v>
      </c>
      <c r="CE30" s="59">
        <f t="shared" si="40"/>
        <v>395.10797100415783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8.7854002477159785</v>
      </c>
      <c r="CM30" s="21">
        <f>EXP(-LN(2)/2)*CM29+(1-EXP(-LN(2)/2))/(LN(2)/2)*CG30*CJ30*VLOOKUP('Données projet'!$B$12,Paramètres!$A$1:$I$89,3,0)*0.475*44/12</f>
        <v>1.7953659862676796</v>
      </c>
      <c r="CN30" s="22">
        <f t="shared" si="12"/>
        <v>10.580766233983658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6.3</v>
      </c>
      <c r="N31" s="13">
        <f>IF('Données projet'!$A$36&gt;35,N30+M31-V30,IF(A31&lt;'Données projet'!$A$36,$K$205^A31,IF(A31='Données projet'!$A$36,'Données projet'!$B$36,N30+M31-V30)))</f>
        <v>92.399999999999977</v>
      </c>
      <c r="O31" s="13">
        <f>N31*VLOOKUP('Données projet'!$B$9,Paramètres!$A$1:$I$89,3,0)*VLOOKUP('Données projet'!$B$9,Paramètres!$A$1:$I$89,5,0)</f>
        <v>83.603519999999975</v>
      </c>
      <c r="P31" s="13">
        <f t="shared" si="33"/>
        <v>23.015991519299678</v>
      </c>
      <c r="Q31" s="20">
        <f t="shared" si="2"/>
        <v>185.69564922944687</v>
      </c>
      <c r="R31" s="59">
        <f t="shared" si="0"/>
        <v>479.02898256278019</v>
      </c>
      <c r="S31" s="59">
        <f ca="1">AVERAGE(OFFSET($R$3,0,0,'Données projet'!$E$9+1,1))-AVERAGE(OFFSET($H$3,0,0,'Données projet'!$E$9+1,1))</f>
        <v>282.32472952059817</v>
      </c>
      <c r="T31" s="59">
        <f t="shared" si="34"/>
        <v>172.32171001882176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6.3</v>
      </c>
      <c r="AI31" s="13">
        <f>IF('Données projet'!$A$62&gt;35,AI30+AH31-AQ30,IF(A31&lt;'Données projet'!$A$62,$AF$205^A31,IF(A31='Données projet'!$A$62,'Données projet'!$B$62,AI30+AH31-AQ30)))</f>
        <v>92.399999999999977</v>
      </c>
      <c r="AJ31" s="13">
        <f>AI31*VLOOKUP('Données projet'!$B$10,Paramètres!$A$1:$I$89,3,0)*VLOOKUP('Données projet'!$B$10,Paramètres!$A$1:$I$89,5,0)</f>
        <v>93.693599999999989</v>
      </c>
      <c r="AK31" s="13">
        <f t="shared" si="35"/>
        <v>25.453936461054091</v>
      </c>
      <c r="AL31" s="20">
        <f t="shared" si="4"/>
        <v>207.51529266966918</v>
      </c>
      <c r="AM31" s="59">
        <f t="shared" si="5"/>
        <v>500.84862600300249</v>
      </c>
      <c r="AN31" s="59">
        <f ca="1">AVERAGE(OFFSET($AM$3,0,0,'Données projet'!$E$10+1,1))-AVERAGE(OFFSET($H$3,0,0,'Données projet'!$E$10+1,1))</f>
        <v>324.30660429578262</v>
      </c>
      <c r="AO31" s="59">
        <f t="shared" si="36"/>
        <v>197.04549436738586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9.1999999999999993</v>
      </c>
      <c r="BD31" s="12">
        <f>IF('Données projet'!$A$88&gt;35,BD30+BC31-BL30,IF(A31&lt;'Données projet'!$A$88,$BA$205^A31,IF(A31='Données projet'!$A$88,'Données projet'!$B$88,BD30+BC31-BL30)))</f>
        <v>219.09999999999991</v>
      </c>
      <c r="BE31" s="13">
        <f>BD31*VLOOKUP('Données projet'!$B$11,Paramètres!$A$1:$I$89,3,0)*VLOOKUP('Données projet'!$B$11,Paramètres!$A$1:$I$89,5,0)</f>
        <v>102.53879999999995</v>
      </c>
      <c r="BF31" s="13">
        <f t="shared" si="37"/>
        <v>27.565946279127878</v>
      </c>
      <c r="BG31" s="20">
        <f t="shared" si="7"/>
        <v>226.59909976948094</v>
      </c>
      <c r="BH31" s="59">
        <f t="shared" si="8"/>
        <v>519.93243310281423</v>
      </c>
      <c r="BI31" s="59">
        <f ca="1">AVERAGE(OFFSET($BH$3,0,0,'Données projet'!$E$11+1,1))-AVERAGE(OFFSET($H$3,0,0,'Données projet'!$E$11+1,1))</f>
        <v>252.98248842635206</v>
      </c>
      <c r="BJ31" s="59">
        <f t="shared" si="38"/>
        <v>207.11938580878308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1.7028404560746147</v>
      </c>
      <c r="BR31" s="21">
        <f>EXP(-LN(2)/2)*BR30+(1-EXP(-LN(2)/2))/(LN(2)/2)*BL31*BO31*VLOOKUP('Données projet'!$B$11,Paramètres!$A$1:$I$89,3,0)*0.475*44/12</f>
        <v>0.20698621689155705</v>
      </c>
      <c r="BS31" s="22">
        <f t="shared" si="9"/>
        <v>1.9098266729661717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20.9</v>
      </c>
      <c r="BY31" s="12">
        <f>IF('Données projet'!$A$114&gt;35,BY30+BX31-CG30,IF(A31&lt;'Données projet'!$A$114,$BV$205^A31,IF(A31='Données projet'!$A$114,'Données projet'!$B$114,BY30+BX31-CG30)))</f>
        <v>291.2</v>
      </c>
      <c r="BZ31" s="13">
        <f>BY31*VLOOKUP('Données projet'!$B$12,Paramètres!$A$1:$I$89,3,0)*VLOOKUP('Données projet'!$B$12,Paramètres!$A$1:$I$89,5,0)</f>
        <v>174.13759999999999</v>
      </c>
      <c r="CA31" s="13">
        <f t="shared" si="39"/>
        <v>44.015407416692426</v>
      </c>
      <c r="CB31" s="20">
        <f t="shared" si="10"/>
        <v>379.94982125073926</v>
      </c>
      <c r="CC31" s="59">
        <f t="shared" si="11"/>
        <v>673.28315458407258</v>
      </c>
      <c r="CD31" s="59">
        <f ca="1">AVERAGE(OFFSET($CC$3,0,0,'Données projet'!$E$12+1,1))-AVERAGE(OFFSET($H$3,0,0,'Données projet'!$E$12+1,1))</f>
        <v>392.08740055894992</v>
      </c>
      <c r="CE31" s="59">
        <f t="shared" si="40"/>
        <v>395.10797100415783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8.5451630159380656</v>
      </c>
      <c r="CM31" s="21">
        <f>EXP(-LN(2)/2)*CM30+(1-EXP(-LN(2)/2))/(LN(2)/2)*CG31*CJ31*VLOOKUP('Données projet'!$B$12,Paramètres!$A$1:$I$89,3,0)*0.475*44/12</f>
        <v>1.2695154636015502</v>
      </c>
      <c r="CN31" s="22">
        <f t="shared" si="12"/>
        <v>9.8146784795396158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6.3</v>
      </c>
      <c r="N32" s="13">
        <f>IF('Données projet'!$A$36&gt;35,N31+M32-V31,IF(A32&lt;'Données projet'!$A$36,$K$205^A32,IF(A32='Données projet'!$A$36,'Données projet'!$B$36,N31+M32-V31)))</f>
        <v>98.699999999999974</v>
      </c>
      <c r="O32" s="13">
        <f>N32*VLOOKUP('Données projet'!$B$9,Paramètres!$A$1:$I$89,3,0)*VLOOKUP('Données projet'!$B$9,Paramètres!$A$1:$I$89,5,0)</f>
        <v>89.303759999999968</v>
      </c>
      <c r="P32" s="13">
        <f t="shared" si="33"/>
        <v>24.397232850954325</v>
      </c>
      <c r="Q32" s="20">
        <f t="shared" si="2"/>
        <v>198.02922921541202</v>
      </c>
      <c r="R32" s="59">
        <f t="shared" si="0"/>
        <v>491.36256254874536</v>
      </c>
      <c r="S32" s="59">
        <f ca="1">AVERAGE(OFFSET($R$3,0,0,'Données projet'!$E$9+1,1))-AVERAGE(OFFSET($H$3,0,0,'Données projet'!$E$9+1,1))</f>
        <v>282.32472952059817</v>
      </c>
      <c r="T32" s="59">
        <f t="shared" si="34"/>
        <v>172.32171001882176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6.3</v>
      </c>
      <c r="AI32" s="13">
        <f>IF('Données projet'!$A$62&gt;35,AI31+AH32-AQ31,IF(A32&lt;'Données projet'!$A$62,$AF$205^A32,IF(A32='Données projet'!$A$62,'Données projet'!$B$62,AI31+AH32-AQ31)))</f>
        <v>98.699999999999974</v>
      </c>
      <c r="AJ32" s="13">
        <f>AI32*VLOOKUP('Données projet'!$B$10,Paramètres!$A$1:$I$89,3,0)*VLOOKUP('Données projet'!$B$10,Paramètres!$A$1:$I$89,5,0)</f>
        <v>100.08179999999999</v>
      </c>
      <c r="AK32" s="13">
        <f t="shared" si="35"/>
        <v>26.981484342875188</v>
      </c>
      <c r="AL32" s="20">
        <f t="shared" si="4"/>
        <v>221.30188689717423</v>
      </c>
      <c r="AM32" s="59">
        <f t="shared" si="5"/>
        <v>514.63522023050757</v>
      </c>
      <c r="AN32" s="59">
        <f ca="1">AVERAGE(OFFSET($AM$3,0,0,'Données projet'!$E$10+1,1))-AVERAGE(OFFSET($H$3,0,0,'Données projet'!$E$10+1,1))</f>
        <v>324.30660429578262</v>
      </c>
      <c r="AO32" s="59">
        <f t="shared" si="36"/>
        <v>197.04549436738586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9.1999999999999993</v>
      </c>
      <c r="BD32" s="12">
        <f>IF('Données projet'!$A$88&gt;35,BD31+BC32-BL31,IF(A32&lt;'Données projet'!$A$88,$BA$205^A32,IF(A32='Données projet'!$A$88,'Données projet'!$B$88,BD31+BC32-BL31)))</f>
        <v>228.2999999999999</v>
      </c>
      <c r="BE32" s="13">
        <f>BD32*VLOOKUP('Données projet'!$B$11,Paramètres!$A$1:$I$89,3,0)*VLOOKUP('Données projet'!$B$11,Paramètres!$A$1:$I$89,5,0)</f>
        <v>106.84439999999995</v>
      </c>
      <c r="BF32" s="13">
        <f t="shared" si="37"/>
        <v>28.586245822975961</v>
      </c>
      <c r="BG32" s="20">
        <f t="shared" si="7"/>
        <v>235.87504147501636</v>
      </c>
      <c r="BH32" s="59">
        <f t="shared" si="8"/>
        <v>529.20837480834962</v>
      </c>
      <c r="BI32" s="59">
        <f ca="1">AVERAGE(OFFSET($BH$3,0,0,'Données projet'!$E$11+1,1))-AVERAGE(OFFSET($H$3,0,0,'Données projet'!$E$11+1,1))</f>
        <v>252.98248842635206</v>
      </c>
      <c r="BJ32" s="59">
        <f t="shared" si="38"/>
        <v>207.11938580878308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1.6562761942547666</v>
      </c>
      <c r="BR32" s="21">
        <f>EXP(-LN(2)/2)*BR31+(1-EXP(-LN(2)/2))/(LN(2)/2)*BL32*BO32*VLOOKUP('Données projet'!$B$11,Paramètres!$A$1:$I$89,3,0)*0.475*44/12</f>
        <v>0.1463613575761695</v>
      </c>
      <c r="BS32" s="22">
        <f t="shared" si="9"/>
        <v>1.8026375518309361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20.9</v>
      </c>
      <c r="BY32" s="12">
        <f>IF('Données projet'!$A$114&gt;35,BY31+BX32-CG31,IF(A32&lt;'Données projet'!$A$114,$BV$205^A32,IF(A32='Données projet'!$A$114,'Données projet'!$B$114,BY31+BX32-CG31)))</f>
        <v>312.09999999999997</v>
      </c>
      <c r="BZ32" s="13">
        <f>BY32*VLOOKUP('Données projet'!$B$12,Paramètres!$A$1:$I$89,3,0)*VLOOKUP('Données projet'!$B$12,Paramètres!$A$1:$I$89,5,0)</f>
        <v>186.63580000000002</v>
      </c>
      <c r="CA32" s="13">
        <f t="shared" si="39"/>
        <v>46.795404430991645</v>
      </c>
      <c r="CB32" s="20">
        <f t="shared" si="10"/>
        <v>406.55934771731046</v>
      </c>
      <c r="CC32" s="59">
        <f t="shared" si="11"/>
        <v>699.89268105064377</v>
      </c>
      <c r="CD32" s="59">
        <f ca="1">AVERAGE(OFFSET($CC$3,0,0,'Données projet'!$E$12+1,1))-AVERAGE(OFFSET($H$3,0,0,'Données projet'!$E$12+1,1))</f>
        <v>392.08740055894992</v>
      </c>
      <c r="CE32" s="59">
        <f t="shared" si="40"/>
        <v>395.10797100415783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8.3114950838966468</v>
      </c>
      <c r="CM32" s="21">
        <f>EXP(-LN(2)/2)*CM31+(1-EXP(-LN(2)/2))/(LN(2)/2)*CG32*CJ32*VLOOKUP('Données projet'!$B$12,Paramètres!$A$1:$I$89,3,0)*0.475*44/12</f>
        <v>0.89768299313383981</v>
      </c>
      <c r="CN32" s="22">
        <f t="shared" si="12"/>
        <v>9.2091780770304865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105</v>
      </c>
      <c r="L33" s="12">
        <f>VLOOKUP(A33,'Données projet'!$A$35:$I$55,9,0)</f>
        <v>6.3</v>
      </c>
      <c r="M33" s="12">
        <f t="array" ref="M33">INDEX(L:L,MIN(IF(ISNUMBER(L33:L229),ROW(L33:L229),"")))</f>
        <v>6.3</v>
      </c>
      <c r="N33" s="13">
        <f>IF('Données projet'!$A$36&gt;35,N32+M33-V32,IF(A33&lt;'Données projet'!$A$36,$K$205^A33,IF(A33='Données projet'!$A$36,'Données projet'!$B$36,N32+M33-V32)))</f>
        <v>104.99999999999997</v>
      </c>
      <c r="O33" s="13">
        <f>N33*VLOOKUP('Données projet'!$B$9,Paramètres!$A$1:$I$89,3,0)*VLOOKUP('Données projet'!$B$9,Paramètres!$A$1:$I$89,5,0)</f>
        <v>95.003999999999962</v>
      </c>
      <c r="P33" s="13">
        <f t="shared" si="33"/>
        <v>25.768242550600764</v>
      </c>
      <c r="Q33" s="20">
        <f t="shared" si="2"/>
        <v>210.34498910896289</v>
      </c>
      <c r="R33" s="59">
        <f t="shared" si="0"/>
        <v>503.67832244229623</v>
      </c>
      <c r="S33" s="59">
        <f ca="1">AVERAGE(OFFSET($R$3,0,0,'Données projet'!$E$9+1,1))-AVERAGE(OFFSET($H$3,0,0,'Données projet'!$E$9+1,1))</f>
        <v>282.32472952059817</v>
      </c>
      <c r="T33" s="59">
        <f t="shared" si="34"/>
        <v>172.32171001882176</v>
      </c>
      <c r="U33" s="15">
        <f>IF(ISNA(VLOOKUP(A33,'Données projet'!$A$35:$I$55,3,0)),0,VLOOKUP(A33,'Données projet'!$A$35:$I$55,3,0))</f>
        <v>1</v>
      </c>
      <c r="V33" s="15">
        <f>IF(ISNA(VLOOKUP(A33,'Données projet'!$A$35:$I$55,4,0)),0,VLOOKUP(A33,'Données projet'!$A$35:$I$55,4,0))</f>
        <v>29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0.1075</v>
      </c>
      <c r="Y33" s="16">
        <f>IF(ISNA(VLOOKUP(A33,'Données projet'!$A$35:$I$55,7,0)),0%,VLOOKUP(A33,'Données projet'!$A$35:$I$55,7,0))</f>
        <v>0.25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3.1059381724899082</v>
      </c>
      <c r="AB33" s="21">
        <f>EXP(-LN(2)/2)*AB32+(1-EXP(-LN(2)/2))/(LN(2)/2)*V33*Y33*VLOOKUP('Données projet'!$B$9,Paramètres!$A$1:$I$89,3,0)*0.475*44/12</f>
        <v>6.1893478544284255</v>
      </c>
      <c r="AC33" s="22">
        <f t="shared" si="3"/>
        <v>9.2952860269183333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105</v>
      </c>
      <c r="AG33" s="12">
        <f>VLOOKUP(A33,'Données projet'!$A$61:$I$81,9,0)</f>
        <v>6.3</v>
      </c>
      <c r="AH33" s="12">
        <f t="array" ref="AH33">INDEX(AG:AG,MIN(IF(ISNUMBER(AG33:AG229),ROW(AG33:AG229),"")))</f>
        <v>6.3</v>
      </c>
      <c r="AI33" s="13">
        <f>IF('Données projet'!$A$62&gt;35,AI32+AH33-AQ32,IF(A33&lt;'Données projet'!$A$62,$AF$205^A33,IF(A33='Données projet'!$A$62,'Données projet'!$B$62,AI32+AH33-AQ32)))</f>
        <v>104.99999999999997</v>
      </c>
      <c r="AJ33" s="13">
        <f>AI33*VLOOKUP('Données projet'!$B$10,Paramètres!$A$1:$I$89,3,0)*VLOOKUP('Données projet'!$B$10,Paramètres!$A$1:$I$89,5,0)</f>
        <v>106.46999999999998</v>
      </c>
      <c r="AK33" s="13">
        <f t="shared" si="35"/>
        <v>28.497716817718885</v>
      </c>
      <c r="AL33" s="20">
        <f t="shared" si="4"/>
        <v>235.06877345752699</v>
      </c>
      <c r="AM33" s="59">
        <f t="shared" si="5"/>
        <v>528.40210679086033</v>
      </c>
      <c r="AN33" s="59">
        <f ca="1">AVERAGE(OFFSET($AM$3,0,0,'Données projet'!$E$10+1,1))-AVERAGE(OFFSET($H$3,0,0,'Données projet'!$E$10+1,1))</f>
        <v>324.30660429578262</v>
      </c>
      <c r="AO33" s="59">
        <f t="shared" si="36"/>
        <v>197.04549436738586</v>
      </c>
      <c r="AP33" s="15">
        <f>IF(ISNA(VLOOKUP(A33,'Données projet'!$A$61:$I$81,3,0)),0,VLOOKUP(A33,'Données projet'!$A$61:$I$81,3,0))</f>
        <v>1</v>
      </c>
      <c r="AQ33" s="15">
        <f>IF(ISNA(VLOOKUP(A33,'Données projet'!$A$61:$I$81,4,0)),0,VLOOKUP(A33,'Données projet'!$A$61:$I$81,4,0))</f>
        <v>29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0.1075</v>
      </c>
      <c r="AT33" s="16">
        <f>IF(ISNA(VLOOKUP(A33,'Données projet'!$A$61:$I$81,7,0)),0%,VLOOKUP(A33,'Données projet'!$A$61:$I$81,7,0))</f>
        <v>0.25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3.4807927795145521</v>
      </c>
      <c r="AW33" s="21">
        <f>EXP(-LN(2)/2)*AW32+(1-EXP(-LN(2)/2))/(LN(2)/2)*AQ33*AT33*VLOOKUP('Données projet'!$B$10,Paramètres!$A$1:$I$89,3,0)*0.475*44/12</f>
        <v>6.9363381127215114</v>
      </c>
      <c r="AX33" s="21">
        <f t="shared" si="6"/>
        <v>10.417130892236063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237.5</v>
      </c>
      <c r="BB33" s="12">
        <f>VLOOKUP(A33,'Données projet'!$A$87:$I$107,9,0)</f>
        <v>9.1999999999999993</v>
      </c>
      <c r="BC33" s="12">
        <f t="array" ref="BC33">INDEX(BB:BB,MIN(IF(ISNUMBER(BB33:BB229),ROW(BB33:BB229),"")))</f>
        <v>9.1999999999999993</v>
      </c>
      <c r="BD33" s="12">
        <f>IF('Données projet'!$A$88&gt;35,BD32+BC33-BL32,IF(A33&lt;'Données projet'!$A$88,$BA$205^A33,IF(A33='Données projet'!$A$88,'Données projet'!$B$88,BD32+BC33-BL32)))</f>
        <v>237.49999999999989</v>
      </c>
      <c r="BE33" s="13">
        <f>BD33*VLOOKUP('Données projet'!$B$11,Paramètres!$A$1:$I$89,3,0)*VLOOKUP('Données projet'!$B$11,Paramètres!$A$1:$I$89,5,0)</f>
        <v>111.14999999999995</v>
      </c>
      <c r="BF33" s="13">
        <f t="shared" si="37"/>
        <v>29.601769319956546</v>
      </c>
      <c r="BG33" s="20">
        <f t="shared" si="7"/>
        <v>245.14266489892427</v>
      </c>
      <c r="BH33" s="59">
        <f t="shared" si="8"/>
        <v>538.47599823225755</v>
      </c>
      <c r="BI33" s="59">
        <f ca="1">AVERAGE(OFFSET($BH$3,0,0,'Données projet'!$E$11+1,1))-AVERAGE(OFFSET($H$3,0,0,'Données projet'!$E$11+1,1))</f>
        <v>252.98248842635206</v>
      </c>
      <c r="BJ33" s="59">
        <f t="shared" si="38"/>
        <v>207.11938580878308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45.9</v>
      </c>
      <c r="BM33" s="16">
        <f>IF(ISNA(VLOOKUP(A33,'Données projet'!$A$87:$I$107,5,0)),0%,VLOOKUP(A33,'Données projet'!$A$87:$I$107,5,0)*VLOOKUP('Données projet'!$B$11,Paramètres!$A$1:$I$89,7,0))</f>
        <v>0.11000000000000001</v>
      </c>
      <c r="BN33" s="16">
        <f>IF(ISNA(VLOOKUP(A33,'Données projet'!$A$87:$I$107,6,0)),0%,VLOOKUP(A33,'Données projet'!$A$87:$I$107,6,0)*VLOOKUP('Données projet'!$B$11,Paramètres!$A$1:$I$89,7,0))</f>
        <v>0.22000000000000003</v>
      </c>
      <c r="BO33" s="16">
        <f>IF(ISNA(VLOOKUP(A33,'Données projet'!$A$87:$I$107,7,0)),0%,VLOOKUP(A33,'Données projet'!$A$87:$I$107,7,0))</f>
        <v>0.4</v>
      </c>
      <c r="BP33" s="21">
        <f>EXP(-LN(2)/35)*BP32+(1-EXP(-LN(2)/35))/(LN(2)/35)*BL33*BM33*VLOOKUP('Données projet'!$B$11,Paramètres!$A$1:$I$89,3,0)*0.475*44/12</f>
        <v>3.1345816018206638</v>
      </c>
      <c r="BQ33" s="21">
        <f>EXP(-LN(2)/25)*BQ32+(1-EXP(-LN(2)/25))/(LN(2)/25)*Calculateur!BL33*Calculateur!BN33*VLOOKUP('Données projet'!$B$11,Paramètres!$A$1:$I$89,3,0)*0.475*44/12</f>
        <v>7.8554643539932272</v>
      </c>
      <c r="BR33" s="21">
        <f>EXP(-LN(2)/2)*BR32+(1-EXP(-LN(2)/2))/(LN(2)/2)*BL33*BO33*VLOOKUP('Données projet'!$B$11,Paramètres!$A$1:$I$89,3,0)*0.475*44/12</f>
        <v>9.8321764802959866</v>
      </c>
      <c r="BS33" s="22">
        <f t="shared" si="9"/>
        <v>20.822222436109875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333</v>
      </c>
      <c r="BW33" s="12">
        <f>VLOOKUP(A33,'Données projet'!$A$113:$I$133,9,0)</f>
        <v>20.9</v>
      </c>
      <c r="BX33" s="12">
        <f t="array" ref="BX33">INDEX(BW:BW,MIN(IF(ISNUMBER(BW33:BW229),ROW(BW33:BW229),"")))</f>
        <v>20.9</v>
      </c>
      <c r="BY33" s="12">
        <f>IF('Données projet'!$A$114&gt;35,BY32+BX33-CG32,IF(A33&lt;'Données projet'!$A$114,$BV$205^A33,IF(A33='Données projet'!$A$114,'Données projet'!$B$114,BY32+BX33-CG32)))</f>
        <v>332.99999999999994</v>
      </c>
      <c r="BZ33" s="13">
        <f>BY33*VLOOKUP('Données projet'!$B$12,Paramètres!$A$1:$I$89,3,0)*VLOOKUP('Données projet'!$B$12,Paramètres!$A$1:$I$89,5,0)</f>
        <v>199.13399999999999</v>
      </c>
      <c r="CA33" s="13">
        <f t="shared" si="39"/>
        <v>49.553799097205186</v>
      </c>
      <c r="CB33" s="20">
        <f t="shared" si="10"/>
        <v>433.13125009429899</v>
      </c>
      <c r="CC33" s="59">
        <f t="shared" si="11"/>
        <v>726.46458342763231</v>
      </c>
      <c r="CD33" s="59">
        <f ca="1">AVERAGE(OFFSET($CC$3,0,0,'Données projet'!$E$12+1,1))-AVERAGE(OFFSET($H$3,0,0,'Données projet'!$E$12+1,1))</f>
        <v>392.08740055894992</v>
      </c>
      <c r="CE33" s="59">
        <f t="shared" si="40"/>
        <v>395.10797100415783</v>
      </c>
      <c r="CF33" s="15">
        <f>IF(ISNA(VLOOKUP(A33,'Données projet'!$A$113:$I$133,3,0)),0,VLOOKUP(A33,'Données projet'!$A$113:$I$133,3,0))</f>
        <v>2</v>
      </c>
      <c r="CG33" s="15">
        <f>IF(ISNA(VLOOKUP(A33,'Données projet'!$A$113:$I$133,4,0)),0,VLOOKUP(A33,'Données projet'!$A$113:$I$133,4,0))</f>
        <v>112</v>
      </c>
      <c r="CH33" s="16">
        <f>IF(ISNA(VLOOKUP(A33,'Données projet'!$A$113:$I$133,5,0)),0%,VLOOKUP(A33,'Données projet'!$A$113:$I$133,5,0)*VLOOKUP('Données projet'!$B$12,Paramètres!$A$1:$I$89,7,0))</f>
        <v>4.5000000000000005E-2</v>
      </c>
      <c r="CI33" s="16">
        <f>IF(ISNA(VLOOKUP(A33,'Données projet'!$A$113:$I$133,6,0)),0%,VLOOKUP(A33,'Données projet'!$A$113:$I$133,6,0)*VLOOKUP('Données projet'!$B$12,Paramètres!$A$1:$I$89,7,0))</f>
        <v>0.20250000000000001</v>
      </c>
      <c r="CJ33" s="16">
        <f>IF(ISNA(VLOOKUP(A33,'Données projet'!$A$113:$I$133,7,0)),0%,VLOOKUP(A33,'Données projet'!$A$113:$I$133,7,0))</f>
        <v>0.45</v>
      </c>
      <c r="CK33" s="21">
        <f>EXP(-LN(2)/35)*CK32+(1-EXP(-LN(2)/35))/(LN(2)/35)*CG33*CH33*VLOOKUP('Données projet'!$B$12,Paramètres!$A$1:$I$89,3,0)*0.475*44/12</f>
        <v>3.9981591435383397</v>
      </c>
      <c r="CL33" s="21">
        <f>EXP(-LN(2)/25)*CL32+(1-EXP(-LN(2)/25))/(LN(2)/25)*Calculateur!CG33*Calculateur!CI33*VLOOKUP('Données projet'!$B$12,Paramètres!$A$1:$I$89,3,0)*0.475*44/12</f>
        <v>26.005092717819689</v>
      </c>
      <c r="CM33" s="21">
        <f>EXP(-LN(2)/2)*CM32+(1-EXP(-LN(2)/2))/(LN(2)/2)*CG33*CJ33*VLOOKUP('Données projet'!$B$12,Paramètres!$A$1:$I$89,3,0)*0.475*44/12</f>
        <v>34.759333393410436</v>
      </c>
      <c r="CN33" s="22">
        <f t="shared" si="12"/>
        <v>64.762585254768467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8.1999999999999993</v>
      </c>
      <c r="N34" s="13">
        <f>IF('Données projet'!$A$36&gt;35,N33+M34-V33,IF(A34&lt;'Données projet'!$A$36,$K$205^A34,IF(A34='Données projet'!$A$36,'Données projet'!$B$36,N33+M34-V33)))</f>
        <v>84.199999999999974</v>
      </c>
      <c r="O34" s="13">
        <f>N34*VLOOKUP('Données projet'!$B$9,Paramètres!$A$1:$I$89,3,0)*VLOOKUP('Données projet'!$B$9,Paramètres!$A$1:$I$89,5,0)</f>
        <v>76.184159999999977</v>
      </c>
      <c r="P34" s="13">
        <f t="shared" si="33"/>
        <v>21.201554232857205</v>
      </c>
      <c r="Q34" s="20">
        <f t="shared" si="2"/>
        <v>169.61345228889294</v>
      </c>
      <c r="R34" s="59">
        <f t="shared" si="0"/>
        <v>462.94678562222623</v>
      </c>
      <c r="S34" s="59">
        <f ca="1">AVERAGE(OFFSET($R$3,0,0,'Données projet'!$E$9+1,1))-AVERAGE(OFFSET($H$3,0,0,'Données projet'!$E$9+1,1))</f>
        <v>282.32472952059817</v>
      </c>
      <c r="T34" s="59">
        <f t="shared" si="34"/>
        <v>172.32171001882176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3.0210061298289821</v>
      </c>
      <c r="AB34" s="21">
        <f>EXP(-LN(2)/2)*AB33+(1-EXP(-LN(2)/2))/(LN(2)/2)*V34*Y34*VLOOKUP('Données projet'!$B$9,Paramètres!$A$1:$I$89,3,0)*0.475*44/12</f>
        <v>4.3765298389887484</v>
      </c>
      <c r="AC34" s="22">
        <f t="shared" si="3"/>
        <v>7.3975359688177305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8.1999999999999993</v>
      </c>
      <c r="AI34" s="13">
        <f>IF('Données projet'!$A$62&gt;35,AI33+AH34-AQ33,IF(A34&lt;'Données projet'!$A$62,$AF$205^A34,IF(A34='Données projet'!$A$62,'Données projet'!$B$62,AI33+AH34-AQ33)))</f>
        <v>84.199999999999974</v>
      </c>
      <c r="AJ34" s="13">
        <f>AI34*VLOOKUP('Données projet'!$B$10,Paramètres!$A$1:$I$89,3,0)*VLOOKUP('Données projet'!$B$10,Paramètres!$A$1:$I$89,5,0)</f>
        <v>85.37879999999997</v>
      </c>
      <c r="AK34" s="13">
        <f t="shared" si="35"/>
        <v>23.447306793896495</v>
      </c>
      <c r="AL34" s="20">
        <f t="shared" si="4"/>
        <v>189.53880266603633</v>
      </c>
      <c r="AM34" s="59">
        <f t="shared" si="5"/>
        <v>482.87213599936968</v>
      </c>
      <c r="AN34" s="59">
        <f ca="1">AVERAGE(OFFSET($AM$3,0,0,'Données projet'!$E$10+1,1))-AVERAGE(OFFSET($H$3,0,0,'Données projet'!$E$10+1,1))</f>
        <v>324.30660429578262</v>
      </c>
      <c r="AO34" s="59">
        <f t="shared" si="36"/>
        <v>197.04549436738586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3.38561031791179</v>
      </c>
      <c r="AW34" s="21">
        <f>EXP(-LN(2)/2)*AW33+(1-EXP(-LN(2)/2))/(LN(2)/2)*AQ34*AT34*VLOOKUP('Données projet'!$B$10,Paramètres!$A$1:$I$89,3,0)*0.475*44/12</f>
        <v>4.9047317161080803</v>
      </c>
      <c r="AX34" s="21">
        <f t="shared" si="6"/>
        <v>8.2903420340198704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10.000000000000004</v>
      </c>
      <c r="BD34" s="12">
        <f>IF('Données projet'!$A$88&gt;35,BD33+BC34-BL33,IF(A34&lt;'Données projet'!$A$88,$BA$205^A34,IF(A34='Données projet'!$A$88,'Données projet'!$B$88,BD33+BC34-BL33)))</f>
        <v>201.59999999999988</v>
      </c>
      <c r="BE34" s="13">
        <f>BD34*VLOOKUP('Données projet'!$B$11,Paramètres!$A$1:$I$89,3,0)*VLOOKUP('Données projet'!$B$11,Paramètres!$A$1:$I$89,5,0)</f>
        <v>94.34879999999994</v>
      </c>
      <c r="BF34" s="13">
        <f t="shared" si="37"/>
        <v>25.611153022386439</v>
      </c>
      <c r="BG34" s="20">
        <f t="shared" si="7"/>
        <v>208.93025151398959</v>
      </c>
      <c r="BH34" s="59">
        <f t="shared" si="8"/>
        <v>502.26358484732293</v>
      </c>
      <c r="BI34" s="59">
        <f ca="1">AVERAGE(OFFSET($BH$3,0,0,'Données projet'!$E$11+1,1))-AVERAGE(OFFSET($H$3,0,0,'Données projet'!$E$11+1,1))</f>
        <v>252.98248842635206</v>
      </c>
      <c r="BJ34" s="59">
        <f t="shared" si="38"/>
        <v>207.11938580878308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3.0731143685149527</v>
      </c>
      <c r="BQ34" s="21">
        <f>EXP(-LN(2)/25)*BQ33+(1-EXP(-LN(2)/25))/(LN(2)/25)*Calculateur!BL34*Calculateur!BN34*VLOOKUP('Données projet'!$B$11,Paramètres!$A$1:$I$89,3,0)*0.475*44/12</f>
        <v>7.640656268132366</v>
      </c>
      <c r="BR34" s="21">
        <f>EXP(-LN(2)/2)*BR33+(1-EXP(-LN(2)/2))/(LN(2)/2)*BL34*BO34*VLOOKUP('Données projet'!$B$11,Paramètres!$A$1:$I$89,3,0)*0.475*44/12</f>
        <v>6.9523986630401735</v>
      </c>
      <c r="BS34" s="22">
        <f t="shared" si="9"/>
        <v>17.666169299687493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21.4</v>
      </c>
      <c r="BY34" s="12">
        <f>IF('Données projet'!$A$114&gt;35,BY33+BX34-CG33,IF(A34&lt;'Données projet'!$A$114,$BV$205^A34,IF(A34='Données projet'!$A$114,'Données projet'!$B$114,BY33+BX34-CG33)))</f>
        <v>242.39999999999992</v>
      </c>
      <c r="BZ34" s="13">
        <f>BY34*VLOOKUP('Données projet'!$B$12,Paramètres!$A$1:$I$89,3,0)*VLOOKUP('Données projet'!$B$12,Paramètres!$A$1:$I$89,5,0)</f>
        <v>144.95519999999996</v>
      </c>
      <c r="CA34" s="13">
        <f t="shared" si="39"/>
        <v>37.429864083407708</v>
      </c>
      <c r="CB34" s="20">
        <f t="shared" si="10"/>
        <v>317.65398661193501</v>
      </c>
      <c r="CC34" s="59">
        <f t="shared" si="11"/>
        <v>610.98731994526838</v>
      </c>
      <c r="CD34" s="59">
        <f ca="1">AVERAGE(OFFSET($CC$3,0,0,'Données projet'!$E$12+1,1))-AVERAGE(OFFSET($H$3,0,0,'Données projet'!$E$12+1,1))</f>
        <v>392.08740055894992</v>
      </c>
      <c r="CE34" s="59">
        <f t="shared" si="40"/>
        <v>395.10797100415783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3.9197576813698349</v>
      </c>
      <c r="CL34" s="21">
        <f>EXP(-LN(2)/25)*CL33+(1-EXP(-LN(2)/25))/(LN(2)/25)*Calculateur!CG34*Calculateur!CI34*VLOOKUP('Données projet'!$B$12,Paramètres!$A$1:$I$89,3,0)*0.475*44/12</f>
        <v>25.293982089902521</v>
      </c>
      <c r="CM34" s="21">
        <f>EXP(-LN(2)/2)*CM33+(1-EXP(-LN(2)/2))/(LN(2)/2)*CG34*CJ34*VLOOKUP('Données projet'!$B$12,Paramètres!$A$1:$I$89,3,0)*0.475*44/12</f>
        <v>24.57856035200453</v>
      </c>
      <c r="CN34" s="22">
        <f t="shared" si="12"/>
        <v>53.792300123276888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8.1999999999999993</v>
      </c>
      <c r="N35" s="13">
        <f>IF('Données projet'!$A$36&gt;35,N34+M35-V34,IF(A35&lt;'Données projet'!$A$36,$K$205^A35,IF(A35='Données projet'!$A$36,'Données projet'!$B$36,N34+M35-V34)))</f>
        <v>92.399999999999977</v>
      </c>
      <c r="O35" s="13">
        <f>N35*VLOOKUP('Données projet'!$B$9,Paramètres!$A$1:$I$89,3,0)*VLOOKUP('Données projet'!$B$9,Paramètres!$A$1:$I$89,5,0)</f>
        <v>83.603519999999975</v>
      </c>
      <c r="P35" s="13">
        <f t="shared" si="33"/>
        <v>23.015991519299678</v>
      </c>
      <c r="Q35" s="20">
        <f t="shared" ref="Q35:Q66" si="53">(O35+P35)*0.475*44/12</f>
        <v>185.69564922944687</v>
      </c>
      <c r="R35" s="59">
        <f t="shared" si="0"/>
        <v>479.02898256278019</v>
      </c>
      <c r="S35" s="59">
        <f ca="1">AVERAGE(OFFSET($R$3,0,0,'Données projet'!$E$9+1,1))-AVERAGE(OFFSET($H$3,0,0,'Données projet'!$E$9+1,1))</f>
        <v>282.32472952059817</v>
      </c>
      <c r="T35" s="59">
        <f t="shared" si="34"/>
        <v>172.32171001882176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2.938396558341001</v>
      </c>
      <c r="AB35" s="21">
        <f>EXP(-LN(2)/2)*AB34+(1-EXP(-LN(2)/2))/(LN(2)/2)*V35*Y35*VLOOKUP('Données projet'!$B$9,Paramètres!$A$1:$I$89,3,0)*0.475*44/12</f>
        <v>3.0946739272142132</v>
      </c>
      <c r="AC35" s="22">
        <f t="shared" si="3"/>
        <v>6.0330704855552142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8.1999999999999993</v>
      </c>
      <c r="AI35" s="13">
        <f>IF('Données projet'!$A$62&gt;35,AI34+AH35-AQ34,IF(A35&lt;'Données projet'!$A$62,$AF$205^A35,IF(A35='Données projet'!$A$62,'Données projet'!$B$62,AI34+AH35-AQ34)))</f>
        <v>92.399999999999977</v>
      </c>
      <c r="AJ35" s="13">
        <f>AI35*VLOOKUP('Données projet'!$B$10,Paramètres!$A$1:$I$89,3,0)*VLOOKUP('Données projet'!$B$10,Paramètres!$A$1:$I$89,5,0)</f>
        <v>93.693599999999989</v>
      </c>
      <c r="AK35" s="13">
        <f t="shared" si="35"/>
        <v>25.453936461054091</v>
      </c>
      <c r="AL35" s="20">
        <f t="shared" si="4"/>
        <v>207.51529266966918</v>
      </c>
      <c r="AM35" s="59">
        <f t="shared" si="5"/>
        <v>500.84862600300249</v>
      </c>
      <c r="AN35" s="59">
        <f ca="1">AVERAGE(OFFSET($AM$3,0,0,'Données projet'!$E$10+1,1))-AVERAGE(OFFSET($H$3,0,0,'Données projet'!$E$10+1,1))</f>
        <v>324.30660429578262</v>
      </c>
      <c r="AO35" s="59">
        <f t="shared" si="36"/>
        <v>197.04549436738586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3.2930306257269835</v>
      </c>
      <c r="AW35" s="21">
        <f>EXP(-LN(2)/2)*AW34+(1-EXP(-LN(2)/2))/(LN(2)/2)*AQ35*AT35*VLOOKUP('Données projet'!$B$10,Paramètres!$A$1:$I$89,3,0)*0.475*44/12</f>
        <v>3.4681690563607561</v>
      </c>
      <c r="AX35" s="21">
        <f t="shared" si="6"/>
        <v>6.7611996820877396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10.000000000000004</v>
      </c>
      <c r="BD35" s="12">
        <f>IF('Données projet'!$A$88&gt;35,BD34+BC35-BL34,IF(A35&lt;'Données projet'!$A$88,$BA$205^A35,IF(A35='Données projet'!$A$88,'Données projet'!$B$88,BD34+BC35-BL34)))</f>
        <v>211.59999999999988</v>
      </c>
      <c r="BE35" s="13">
        <f>BD35*VLOOKUP('Données projet'!$B$11,Paramètres!$A$1:$I$89,3,0)*VLOOKUP('Données projet'!$B$11,Paramètres!$A$1:$I$89,5,0)</f>
        <v>99.028799999999947</v>
      </c>
      <c r="BF35" s="13">
        <f t="shared" si="37"/>
        <v>26.730491283721712</v>
      </c>
      <c r="BG35" s="20">
        <f t="shared" si="7"/>
        <v>219.0307656524819</v>
      </c>
      <c r="BH35" s="59">
        <f t="shared" si="8"/>
        <v>512.36409898581519</v>
      </c>
      <c r="BI35" s="59">
        <f ca="1">AVERAGE(OFFSET($BH$3,0,0,'Données projet'!$E$11+1,1))-AVERAGE(OFFSET($H$3,0,0,'Données projet'!$E$11+1,1))</f>
        <v>252.98248842635206</v>
      </c>
      <c r="BJ35" s="59">
        <f t="shared" si="38"/>
        <v>207.11938580878308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3.0128524701630561</v>
      </c>
      <c r="BQ35" s="21">
        <f>EXP(-LN(2)/25)*BQ34+(1-EXP(-LN(2)/25))/(LN(2)/25)*Calculateur!BL35*Calculateur!BN35*VLOOKUP('Données projet'!$B$11,Paramètres!$A$1:$I$89,3,0)*0.475*44/12</f>
        <v>7.4317221206756363</v>
      </c>
      <c r="BR35" s="21">
        <f>EXP(-LN(2)/2)*BR34+(1-EXP(-LN(2)/2))/(LN(2)/2)*BL35*BO35*VLOOKUP('Données projet'!$B$11,Paramètres!$A$1:$I$89,3,0)*0.475*44/12</f>
        <v>4.9160882401479942</v>
      </c>
      <c r="BS35" s="22">
        <f t="shared" si="9"/>
        <v>15.360662830986687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21.4</v>
      </c>
      <c r="BY35" s="12">
        <f>IF('Données projet'!$A$114&gt;35,BY34+BX35-CG34,IF(A35&lt;'Données projet'!$A$114,$BV$205^A35,IF(A35='Données projet'!$A$114,'Données projet'!$B$114,BY34+BX35-CG34)))</f>
        <v>263.7999999999999</v>
      </c>
      <c r="BZ35" s="13">
        <f>BY35*VLOOKUP('Données projet'!$B$12,Paramètres!$A$1:$I$89,3,0)*VLOOKUP('Données projet'!$B$12,Paramètres!$A$1:$I$89,5,0)</f>
        <v>157.75239999999994</v>
      </c>
      <c r="CA35" s="13">
        <f t="shared" si="39"/>
        <v>40.335146303678705</v>
      </c>
      <c r="CB35" s="20">
        <f t="shared" si="10"/>
        <v>345.00247647890689</v>
      </c>
      <c r="CC35" s="59">
        <f t="shared" si="11"/>
        <v>638.3358098122402</v>
      </c>
      <c r="CD35" s="59">
        <f ca="1">AVERAGE(OFFSET($CC$3,0,0,'Données projet'!$E$12+1,1))-AVERAGE(OFFSET($H$3,0,0,'Données projet'!$E$12+1,1))</f>
        <v>392.08740055894992</v>
      </c>
      <c r="CE35" s="59">
        <f t="shared" si="40"/>
        <v>395.10797100415783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3.8428936240542848</v>
      </c>
      <c r="CL35" s="21">
        <f>EXP(-LN(2)/25)*CL34+(1-EXP(-LN(2)/25))/(LN(2)/25)*Calculateur!CG35*Calculateur!CI35*VLOOKUP('Données projet'!$B$12,Paramètres!$A$1:$I$89,3,0)*0.475*44/12</f>
        <v>24.602316819501429</v>
      </c>
      <c r="CM35" s="21">
        <f>EXP(-LN(2)/2)*CM34+(1-EXP(-LN(2)/2))/(LN(2)/2)*CG35*CJ35*VLOOKUP('Données projet'!$B$12,Paramètres!$A$1:$I$89,3,0)*0.475*44/12</f>
        <v>17.379666696705222</v>
      </c>
      <c r="CN35" s="22">
        <f t="shared" si="12"/>
        <v>45.824877140260938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8.1999999999999993</v>
      </c>
      <c r="N36" s="13">
        <f>IF('Données projet'!$A$36&gt;35,N35+M36-V35,IF(A36&lt;'Données projet'!$A$36,$K$205^A36,IF(A36='Données projet'!$A$36,'Données projet'!$B$36,N35+M36-V35)))</f>
        <v>100.59999999999998</v>
      </c>
      <c r="O36" s="13">
        <f>N36*VLOOKUP('Données projet'!$B$9,Paramètres!$A$1:$I$89,3,0)*VLOOKUP('Données projet'!$B$9,Paramètres!$A$1:$I$89,5,0)</f>
        <v>91.022879999999972</v>
      </c>
      <c r="P36" s="13">
        <f t="shared" si="33"/>
        <v>24.811756526220293</v>
      </c>
      <c r="Q36" s="20">
        <f t="shared" si="53"/>
        <v>201.74532528316695</v>
      </c>
      <c r="R36" s="59">
        <f t="shared" si="0"/>
        <v>495.07865861650026</v>
      </c>
      <c r="S36" s="59">
        <f ca="1">AVERAGE(OFFSET($R$3,0,0,'Données projet'!$E$9+1,1))-AVERAGE(OFFSET($H$3,0,0,'Données projet'!$E$9+1,1))</f>
        <v>282.32472952059817</v>
      </c>
      <c r="T36" s="59">
        <f t="shared" si="34"/>
        <v>172.32171001882176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2.8580459499296071</v>
      </c>
      <c r="AB36" s="21">
        <f>EXP(-LN(2)/2)*AB35+(1-EXP(-LN(2)/2))/(LN(2)/2)*V36*Y36*VLOOKUP('Données projet'!$B$9,Paramètres!$A$1:$I$89,3,0)*0.475*44/12</f>
        <v>2.1882649194943746</v>
      </c>
      <c r="AC36" s="22">
        <f t="shared" si="3"/>
        <v>5.0463108694239818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8.1999999999999993</v>
      </c>
      <c r="AI36" s="13">
        <f>IF('Données projet'!$A$62&gt;35,AI35+AH36-AQ35,IF(A36&lt;'Données projet'!$A$62,$AF$205^A36,IF(A36='Données projet'!$A$62,'Données projet'!$B$62,AI35+AH36-AQ35)))</f>
        <v>100.59999999999998</v>
      </c>
      <c r="AJ36" s="13">
        <f>AI36*VLOOKUP('Données projet'!$B$10,Paramètres!$A$1:$I$89,3,0)*VLOOKUP('Données projet'!$B$10,Paramètres!$A$1:$I$89,5,0)</f>
        <v>102.00839999999998</v>
      </c>
      <c r="AK36" s="13">
        <f t="shared" si="35"/>
        <v>27.43991600691951</v>
      </c>
      <c r="AL36" s="20">
        <f t="shared" si="4"/>
        <v>225.45581704538475</v>
      </c>
      <c r="AM36" s="59">
        <f t="shared" si="5"/>
        <v>518.78915037871809</v>
      </c>
      <c r="AN36" s="59">
        <f ca="1">AVERAGE(OFFSET($AM$3,0,0,'Données projet'!$E$10+1,1))-AVERAGE(OFFSET($H$3,0,0,'Données projet'!$E$10+1,1))</f>
        <v>324.30660429578262</v>
      </c>
      <c r="AO36" s="59">
        <f t="shared" si="36"/>
        <v>197.04549436738586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3.2029825300935246</v>
      </c>
      <c r="AW36" s="21">
        <f>EXP(-LN(2)/2)*AW35+(1-EXP(-LN(2)/2))/(LN(2)/2)*AQ36*AT36*VLOOKUP('Données projet'!$B$10,Paramètres!$A$1:$I$89,3,0)*0.475*44/12</f>
        <v>2.4523658580540402</v>
      </c>
      <c r="AX36" s="21">
        <f t="shared" si="6"/>
        <v>5.6553483881475648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10.000000000000004</v>
      </c>
      <c r="BD36" s="12">
        <f>IF('Données projet'!$A$88&gt;35,BD35+BC36-BL35,IF(A36&lt;'Données projet'!$A$88,$BA$205^A36,IF(A36='Données projet'!$A$88,'Données projet'!$B$88,BD35+BC36-BL35)))</f>
        <v>221.59999999999988</v>
      </c>
      <c r="BE36" s="13">
        <f>BD36*VLOOKUP('Données projet'!$B$11,Paramètres!$A$1:$I$89,3,0)*VLOOKUP('Données projet'!$B$11,Paramètres!$A$1:$I$89,5,0)</f>
        <v>103.70879999999994</v>
      </c>
      <c r="BF36" s="13">
        <f t="shared" si="37"/>
        <v>27.84368661708951</v>
      </c>
      <c r="BG36" s="20">
        <f t="shared" si="7"/>
        <v>229.12058085809744</v>
      </c>
      <c r="BH36" s="59">
        <f t="shared" si="8"/>
        <v>522.45391419143073</v>
      </c>
      <c r="BI36" s="59">
        <f ca="1">AVERAGE(OFFSET($BH$3,0,0,'Données projet'!$E$11+1,1))-AVERAGE(OFFSET($H$3,0,0,'Données projet'!$E$11+1,1))</f>
        <v>252.98248842635206</v>
      </c>
      <c r="BJ36" s="59">
        <f t="shared" si="38"/>
        <v>207.11938580878308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2.9537722708817116</v>
      </c>
      <c r="BQ36" s="21">
        <f>EXP(-LN(2)/25)*BQ35+(1-EXP(-LN(2)/25))/(LN(2)/25)*Calculateur!BL36*Calculateur!BN36*VLOOKUP('Données projet'!$B$11,Paramètres!$A$1:$I$89,3,0)*0.475*44/12</f>
        <v>7.2285012884684798</v>
      </c>
      <c r="BR36" s="21">
        <f>EXP(-LN(2)/2)*BR35+(1-EXP(-LN(2)/2))/(LN(2)/2)*BL36*BO36*VLOOKUP('Données projet'!$B$11,Paramètres!$A$1:$I$89,3,0)*0.475*44/12</f>
        <v>3.4761993315200876</v>
      </c>
      <c r="BS36" s="22">
        <f t="shared" si="9"/>
        <v>13.658472890870279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21.4</v>
      </c>
      <c r="BY36" s="12">
        <f>IF('Données projet'!$A$114&gt;35,BY35+BX36-CG35,IF(A36&lt;'Données projet'!$A$114,$BV$205^A36,IF(A36='Données projet'!$A$114,'Données projet'!$B$114,BY35+BX36-CG35)))</f>
        <v>285.19999999999987</v>
      </c>
      <c r="BZ36" s="13">
        <f>BY36*VLOOKUP('Données projet'!$B$12,Paramètres!$A$1:$I$89,3,0)*VLOOKUP('Données projet'!$B$12,Paramètres!$A$1:$I$89,5,0)</f>
        <v>170.54959999999994</v>
      </c>
      <c r="CA36" s="13">
        <f t="shared" si="39"/>
        <v>43.213092569663907</v>
      </c>
      <c r="CB36" s="20">
        <f t="shared" si="10"/>
        <v>372.30335622549779</v>
      </c>
      <c r="CC36" s="59">
        <f t="shared" si="11"/>
        <v>665.63668955883111</v>
      </c>
      <c r="CD36" s="59">
        <f ca="1">AVERAGE(OFFSET($CC$3,0,0,'Données projet'!$E$12+1,1))-AVERAGE(OFFSET($H$3,0,0,'Données projet'!$E$12+1,1))</f>
        <v>392.08740055894992</v>
      </c>
      <c r="CE36" s="59">
        <f t="shared" si="40"/>
        <v>395.10797100415783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3.7675368240202469</v>
      </c>
      <c r="CL36" s="21">
        <f>EXP(-LN(2)/25)*CL35+(1-EXP(-LN(2)/25))/(LN(2)/25)*Calculateur!CG36*Calculateur!CI36*VLOOKUP('Données projet'!$B$12,Paramètres!$A$1:$I$89,3,0)*0.475*44/12</f>
        <v>23.929565172292548</v>
      </c>
      <c r="CM36" s="21">
        <f>EXP(-LN(2)/2)*CM35+(1-EXP(-LN(2)/2))/(LN(2)/2)*CG36*CJ36*VLOOKUP('Données projet'!$B$12,Paramètres!$A$1:$I$89,3,0)*0.475*44/12</f>
        <v>12.289280176002267</v>
      </c>
      <c r="CN36" s="22">
        <f t="shared" si="12"/>
        <v>39.986382172315061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8.1999999999999993</v>
      </c>
      <c r="N37" s="13">
        <f>IF('Données projet'!$A$36&gt;35,N36+M37-V36,IF(A37&lt;'Données projet'!$A$36,$K$205^A37,IF(A37='Données projet'!$A$36,'Données projet'!$B$36,N36+M37-V36)))</f>
        <v>108.79999999999998</v>
      </c>
      <c r="O37" s="13">
        <f>N37*VLOOKUP('Données projet'!$B$9,Paramètres!$A$1:$I$89,3,0)*VLOOKUP('Données projet'!$B$9,Paramètres!$A$1:$I$89,5,0)</f>
        <v>98.442239999999984</v>
      </c>
      <c r="P37" s="13">
        <f t="shared" si="33"/>
        <v>26.590544283900247</v>
      </c>
      <c r="Q37" s="20">
        <f t="shared" si="53"/>
        <v>217.76543262779288</v>
      </c>
      <c r="R37" s="59">
        <f t="shared" si="0"/>
        <v>511.09876596112622</v>
      </c>
      <c r="S37" s="59">
        <f ca="1">AVERAGE(OFFSET($R$3,0,0,'Données projet'!$E$9+1,1))-AVERAGE(OFFSET($H$3,0,0,'Données projet'!$E$9+1,1))</f>
        <v>282.32472952059817</v>
      </c>
      <c r="T37" s="59">
        <f t="shared" si="34"/>
        <v>172.32171001882176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2.7798925331306776</v>
      </c>
      <c r="AB37" s="21">
        <f>EXP(-LN(2)/2)*AB36+(1-EXP(-LN(2)/2))/(LN(2)/2)*V37*Y37*VLOOKUP('Données projet'!$B$9,Paramètres!$A$1:$I$89,3,0)*0.475*44/12</f>
        <v>1.5473369636071068</v>
      </c>
      <c r="AC37" s="22">
        <f t="shared" si="3"/>
        <v>4.3272294967377842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8.1999999999999993</v>
      </c>
      <c r="AI37" s="13">
        <f>IF('Données projet'!$A$62&gt;35,AI36+AH37-AQ36,IF(A37&lt;'Données projet'!$A$62,$AF$205^A37,IF(A37='Données projet'!$A$62,'Données projet'!$B$62,AI36+AH37-AQ36)))</f>
        <v>108.79999999999998</v>
      </c>
      <c r="AJ37" s="13">
        <f>AI37*VLOOKUP('Données projet'!$B$10,Paramètres!$A$1:$I$89,3,0)*VLOOKUP('Données projet'!$B$10,Paramètres!$A$1:$I$89,5,0)</f>
        <v>110.32319999999999</v>
      </c>
      <c r="AK37" s="13">
        <f t="shared" si="35"/>
        <v>29.407120006092025</v>
      </c>
      <c r="AL37" s="20">
        <f t="shared" si="4"/>
        <v>243.36364067727686</v>
      </c>
      <c r="AM37" s="59">
        <f t="shared" si="5"/>
        <v>536.69697401061012</v>
      </c>
      <c r="AN37" s="59">
        <f ca="1">AVERAGE(OFFSET($AM$3,0,0,'Données projet'!$E$10+1,1))-AVERAGE(OFFSET($H$3,0,0,'Données projet'!$E$10+1,1))</f>
        <v>324.30660429578262</v>
      </c>
      <c r="AO37" s="59">
        <f t="shared" si="36"/>
        <v>197.04549436738586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3.1153968043705866</v>
      </c>
      <c r="AW37" s="21">
        <f>EXP(-LN(2)/2)*AW36+(1-EXP(-LN(2)/2))/(LN(2)/2)*AQ37*AT37*VLOOKUP('Données projet'!$B$10,Paramètres!$A$1:$I$89,3,0)*0.475*44/12</f>
        <v>1.7340845281803781</v>
      </c>
      <c r="AX37" s="21">
        <f t="shared" si="6"/>
        <v>4.8494813325509645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10.000000000000004</v>
      </c>
      <c r="BD37" s="12">
        <f>IF('Données projet'!$A$88&gt;35,BD36+BC37-BL36,IF(A37&lt;'Données projet'!$A$88,$BA$205^A37,IF(A37='Données projet'!$A$88,'Données projet'!$B$88,BD36+BC37-BL36)))</f>
        <v>231.59999999999988</v>
      </c>
      <c r="BE37" s="13">
        <f>BD37*VLOOKUP('Données projet'!$B$11,Paramètres!$A$1:$I$89,3,0)*VLOOKUP('Données projet'!$B$11,Paramètres!$A$1:$I$89,5,0)</f>
        <v>108.38879999999993</v>
      </c>
      <c r="BF37" s="13">
        <f t="shared" si="37"/>
        <v>28.951047900249165</v>
      </c>
      <c r="BG37" s="20">
        <f t="shared" si="7"/>
        <v>239.20023509293381</v>
      </c>
      <c r="BH37" s="59">
        <f t="shared" si="8"/>
        <v>532.53356842626715</v>
      </c>
      <c r="BI37" s="59">
        <f ca="1">AVERAGE(OFFSET($BH$3,0,0,'Données projet'!$E$11+1,1))-AVERAGE(OFFSET($H$3,0,0,'Données projet'!$E$11+1,1))</f>
        <v>252.98248842635206</v>
      </c>
      <c r="BJ37" s="59">
        <f t="shared" si="38"/>
        <v>207.11938580878308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2.895850598272911</v>
      </c>
      <c r="BQ37" s="21">
        <f>EXP(-LN(2)/25)*BQ36+(1-EXP(-LN(2)/25))/(LN(2)/25)*Calculateur!BL37*Calculateur!BN37*VLOOKUP('Données projet'!$B$11,Paramètres!$A$1:$I$89,3,0)*0.475*44/12</f>
        <v>7.0308375406049475</v>
      </c>
      <c r="BR37" s="21">
        <f>EXP(-LN(2)/2)*BR36+(1-EXP(-LN(2)/2))/(LN(2)/2)*BL37*BO37*VLOOKUP('Données projet'!$B$11,Paramètres!$A$1:$I$89,3,0)*0.475*44/12</f>
        <v>2.4580441200739975</v>
      </c>
      <c r="BS37" s="22">
        <f t="shared" si="9"/>
        <v>12.384732258951857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21.4</v>
      </c>
      <c r="BY37" s="12">
        <f>IF('Données projet'!$A$114&gt;35,BY36+BX37-CG36,IF(A37&lt;'Données projet'!$A$114,$BV$205^A37,IF(A37='Données projet'!$A$114,'Données projet'!$B$114,BY36+BX37-CG36)))</f>
        <v>306.59999999999985</v>
      </c>
      <c r="BZ37" s="13">
        <f>BY37*VLOOKUP('Données projet'!$B$12,Paramètres!$A$1:$I$89,3,0)*VLOOKUP('Données projet'!$B$12,Paramètres!$A$1:$I$89,5,0)</f>
        <v>183.34679999999994</v>
      </c>
      <c r="CA37" s="13">
        <f t="shared" si="39"/>
        <v>46.06598726946973</v>
      </c>
      <c r="CB37" s="20">
        <f t="shared" si="10"/>
        <v>399.56060449432636</v>
      </c>
      <c r="CC37" s="59">
        <f t="shared" si="11"/>
        <v>692.89393782765967</v>
      </c>
      <c r="CD37" s="59">
        <f ca="1">AVERAGE(OFFSET($CC$3,0,0,'Données projet'!$E$12+1,1))-AVERAGE(OFFSET($H$3,0,0,'Données projet'!$E$12+1,1))</f>
        <v>392.08740055894992</v>
      </c>
      <c r="CE37" s="59">
        <f t="shared" si="40"/>
        <v>395.10797100415783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3.6936577248717666</v>
      </c>
      <c r="CL37" s="21">
        <f>EXP(-LN(2)/25)*CL36+(1-EXP(-LN(2)/25))/(LN(2)/25)*Calculateur!CG37*Calculateur!CI37*VLOOKUP('Données projet'!$B$12,Paramètres!$A$1:$I$89,3,0)*0.475*44/12</f>
        <v>23.275209954255068</v>
      </c>
      <c r="CM37" s="21">
        <f>EXP(-LN(2)/2)*CM36+(1-EXP(-LN(2)/2))/(LN(2)/2)*CG37*CJ37*VLOOKUP('Données projet'!$B$12,Paramètres!$A$1:$I$89,3,0)*0.475*44/12</f>
        <v>8.6898333483526109</v>
      </c>
      <c r="CN37" s="22">
        <f t="shared" si="12"/>
        <v>35.658701027479445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8.1999999999999993</v>
      </c>
      <c r="N38" s="13">
        <f>IF('Données projet'!$A$36&gt;35,N37+M38-V37,IF(A38&lt;'Données projet'!$A$36,$K$205^A38,IF(A38='Données projet'!$A$36,'Données projet'!$B$36,N37+M38-V37)))</f>
        <v>116.99999999999999</v>
      </c>
      <c r="O38" s="13">
        <f>N38*VLOOKUP('Données projet'!$B$9,Paramètres!$A$1:$I$89,3,0)*VLOOKUP('Données projet'!$B$9,Paramètres!$A$1:$I$89,5,0)</f>
        <v>105.86159999999998</v>
      </c>
      <c r="P38" s="13">
        <f t="shared" si="33"/>
        <v>28.353779818951288</v>
      </c>
      <c r="Q38" s="20">
        <f t="shared" si="53"/>
        <v>233.75845318467347</v>
      </c>
      <c r="R38" s="59">
        <f t="shared" si="0"/>
        <v>527.09178651800676</v>
      </c>
      <c r="S38" s="59">
        <f ca="1">AVERAGE(OFFSET($R$3,0,0,'Données projet'!$E$9+1,1))-AVERAGE(OFFSET($H$3,0,0,'Données projet'!$E$9+1,1))</f>
        <v>282.32472952059817</v>
      </c>
      <c r="T38" s="59">
        <f t="shared" si="34"/>
        <v>172.32171001882176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2.7038762256240245</v>
      </c>
      <c r="AB38" s="21">
        <f>EXP(-LN(2)/2)*AB37+(1-EXP(-LN(2)/2))/(LN(2)/2)*V38*Y38*VLOOKUP('Données projet'!$B$9,Paramètres!$A$1:$I$89,3,0)*0.475*44/12</f>
        <v>1.0941324597471873</v>
      </c>
      <c r="AC38" s="22">
        <f t="shared" si="3"/>
        <v>3.7980086853712116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8.1999999999999993</v>
      </c>
      <c r="AI38" s="13">
        <f>IF('Données projet'!$A$62&gt;35,AI37+AH38-AQ37,IF(A38&lt;'Données projet'!$A$62,$AF$205^A38,IF(A38='Données projet'!$A$62,'Données projet'!$B$62,AI37+AH38-AQ37)))</f>
        <v>116.99999999999999</v>
      </c>
      <c r="AJ38" s="13">
        <f>AI38*VLOOKUP('Données projet'!$B$10,Paramètres!$A$1:$I$89,3,0)*VLOOKUP('Données projet'!$B$10,Paramètres!$A$1:$I$89,5,0)</f>
        <v>118.63800000000001</v>
      </c>
      <c r="AK38" s="13">
        <f t="shared" si="35"/>
        <v>31.357124429643687</v>
      </c>
      <c r="AL38" s="20">
        <f t="shared" si="4"/>
        <v>261.24150838162944</v>
      </c>
      <c r="AM38" s="59">
        <f t="shared" si="5"/>
        <v>554.57484171496276</v>
      </c>
      <c r="AN38" s="59">
        <f ca="1">AVERAGE(OFFSET($AM$3,0,0,'Données projet'!$E$10+1,1))-AVERAGE(OFFSET($H$3,0,0,'Données projet'!$E$10+1,1))</f>
        <v>324.30660429578262</v>
      </c>
      <c r="AO38" s="59">
        <f t="shared" si="36"/>
        <v>197.04549436738586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3.0302061149234754</v>
      </c>
      <c r="AW38" s="21">
        <f>EXP(-LN(2)/2)*AW37+(1-EXP(-LN(2)/2))/(LN(2)/2)*AQ38*AT38*VLOOKUP('Données projet'!$B$10,Paramètres!$A$1:$I$89,3,0)*0.475*44/12</f>
        <v>1.2261829290270201</v>
      </c>
      <c r="AX38" s="21">
        <f t="shared" si="6"/>
        <v>4.2563890439504952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10.000000000000004</v>
      </c>
      <c r="BD38" s="12">
        <f>IF('Données projet'!$A$88&gt;35,BD37+BC38-BL37,IF(A38&lt;'Données projet'!$A$88,$BA$205^A38,IF(A38='Données projet'!$A$88,'Données projet'!$B$88,BD37+BC38-BL37)))</f>
        <v>241.59999999999988</v>
      </c>
      <c r="BE38" s="13">
        <f>BD38*VLOOKUP('Données projet'!$B$11,Paramètres!$A$1:$I$89,3,0)*VLOOKUP('Données projet'!$B$11,Paramètres!$A$1:$I$89,5,0)</f>
        <v>113.06879999999995</v>
      </c>
      <c r="BF38" s="13">
        <f t="shared" si="37"/>
        <v>30.052855829090237</v>
      </c>
      <c r="BG38" s="20">
        <f t="shared" si="7"/>
        <v>249.27021723566543</v>
      </c>
      <c r="BH38" s="59">
        <f t="shared" si="8"/>
        <v>542.6035505689988</v>
      </c>
      <c r="BI38" s="59">
        <f ca="1">AVERAGE(OFFSET($BH$3,0,0,'Données projet'!$E$11+1,1))-AVERAGE(OFFSET($H$3,0,0,'Données projet'!$E$11+1,1))</f>
        <v>252.98248842635206</v>
      </c>
      <c r="BJ38" s="59">
        <f t="shared" si="38"/>
        <v>207.11938580878308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2.8390647343352371</v>
      </c>
      <c r="BQ38" s="21">
        <f>EXP(-LN(2)/25)*BQ37+(1-EXP(-LN(2)/25))/(LN(2)/25)*Calculateur!BL38*Calculateur!BN38*VLOOKUP('Données projet'!$B$11,Paramètres!$A$1:$I$89,3,0)*0.475*44/12</f>
        <v>6.8385789183214278</v>
      </c>
      <c r="BR38" s="21">
        <f>EXP(-LN(2)/2)*BR37+(1-EXP(-LN(2)/2))/(LN(2)/2)*BL38*BO38*VLOOKUP('Données projet'!$B$11,Paramètres!$A$1:$I$89,3,0)*0.475*44/12</f>
        <v>1.738099665760044</v>
      </c>
      <c r="BS38" s="22">
        <f t="shared" si="9"/>
        <v>11.415743318416709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21.4</v>
      </c>
      <c r="BY38" s="12">
        <f>IF('Données projet'!$A$114&gt;35,BY37+BX38-CG37,IF(A38&lt;'Données projet'!$A$114,$BV$205^A38,IF(A38='Données projet'!$A$114,'Données projet'!$B$114,BY37+BX38-CG37)))</f>
        <v>327.99999999999983</v>
      </c>
      <c r="BZ38" s="13">
        <f>BY38*VLOOKUP('Données projet'!$B$12,Paramètres!$A$1:$I$89,3,0)*VLOOKUP('Données projet'!$B$12,Paramètres!$A$1:$I$89,5,0)</f>
        <v>196.14399999999992</v>
      </c>
      <c r="CA38" s="13">
        <f t="shared" si="39"/>
        <v>48.895777841838452</v>
      </c>
      <c r="CB38" s="20">
        <f t="shared" si="10"/>
        <v>426.77761307453511</v>
      </c>
      <c r="CC38" s="59">
        <f t="shared" si="11"/>
        <v>720.11094640786837</v>
      </c>
      <c r="CD38" s="59">
        <f ca="1">AVERAGE(OFFSET($CC$3,0,0,'Données projet'!$E$12+1,1))-AVERAGE(OFFSET($H$3,0,0,'Données projet'!$E$12+1,1))</f>
        <v>392.08740055894992</v>
      </c>
      <c r="CE38" s="59">
        <f t="shared" si="40"/>
        <v>395.10797100415783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3.6212273497957872</v>
      </c>
      <c r="CL38" s="21">
        <f>EXP(-LN(2)/25)*CL37+(1-EXP(-LN(2)/25))/(LN(2)/25)*Calculateur!CG38*Calculateur!CI38*VLOOKUP('Données projet'!$B$12,Paramètres!$A$1:$I$89,3,0)*0.475*44/12</f>
        <v>22.638748114065869</v>
      </c>
      <c r="CM38" s="21">
        <f>EXP(-LN(2)/2)*CM37+(1-EXP(-LN(2)/2))/(LN(2)/2)*CG38*CJ38*VLOOKUP('Données projet'!$B$12,Paramètres!$A$1:$I$89,3,0)*0.475*44/12</f>
        <v>6.1446400880011334</v>
      </c>
      <c r="CN38" s="22">
        <f t="shared" si="12"/>
        <v>32.40461555186279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8.1999999999999993</v>
      </c>
      <c r="N39" s="13">
        <f>IF('Données projet'!$A$36&gt;35,N38+M39-V38,IF(A39&lt;'Données projet'!$A$36,$K$205^A39,IF(A39='Données projet'!$A$36,'Données projet'!$B$36,N38+M39-V38)))</f>
        <v>125.19999999999999</v>
      </c>
      <c r="O39" s="13">
        <f>N39*VLOOKUP('Données projet'!$B$9,Paramètres!$A$1:$I$89,3,0)*VLOOKUP('Données projet'!$B$9,Paramètres!$A$1:$I$89,5,0)</f>
        <v>113.28095999999998</v>
      </c>
      <c r="P39" s="13">
        <f t="shared" si="33"/>
        <v>30.102677097724456</v>
      </c>
      <c r="Q39" s="20">
        <f t="shared" si="53"/>
        <v>249.72650127853672</v>
      </c>
      <c r="R39" s="59">
        <f t="shared" si="0"/>
        <v>543.05983461186997</v>
      </c>
      <c r="S39" s="59">
        <f ca="1">AVERAGE(OFFSET($R$3,0,0,'Données projet'!$E$9+1,1))-AVERAGE(OFFSET($H$3,0,0,'Données projet'!$E$9+1,1))</f>
        <v>282.32472952059817</v>
      </c>
      <c r="T39" s="59">
        <f t="shared" si="34"/>
        <v>172.32171001882176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2.6299385880436645</v>
      </c>
      <c r="AB39" s="21">
        <f>EXP(-LN(2)/2)*AB38+(1-EXP(-LN(2)/2))/(LN(2)/2)*V39*Y39*VLOOKUP('Données projet'!$B$9,Paramètres!$A$1:$I$89,3,0)*0.475*44/12</f>
        <v>0.77366848180355341</v>
      </c>
      <c r="AC39" s="22">
        <f t="shared" si="3"/>
        <v>3.4036070698472178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8.1999999999999993</v>
      </c>
      <c r="AI39" s="13">
        <f>IF('Données projet'!$A$62&gt;35,AI38+AH39-AQ38,IF(A39&lt;'Données projet'!$A$62,$AF$205^A39,IF(A39='Données projet'!$A$62,'Données projet'!$B$62,AI38+AH39-AQ38)))</f>
        <v>125.19999999999999</v>
      </c>
      <c r="AJ39" s="13">
        <f>AI39*VLOOKUP('Données projet'!$B$10,Paramètres!$A$1:$I$89,3,0)*VLOOKUP('Données projet'!$B$10,Paramètres!$A$1:$I$89,5,0)</f>
        <v>126.9528</v>
      </c>
      <c r="AK39" s="13">
        <f t="shared" si="35"/>
        <v>33.291271832047542</v>
      </c>
      <c r="AL39" s="20">
        <f t="shared" si="4"/>
        <v>279.09175844081614</v>
      </c>
      <c r="AM39" s="59">
        <f t="shared" si="5"/>
        <v>572.42509177414945</v>
      </c>
      <c r="AN39" s="59">
        <f ca="1">AVERAGE(OFFSET($AM$3,0,0,'Données projet'!$E$10+1,1))-AVERAGE(OFFSET($H$3,0,0,'Données projet'!$E$10+1,1))</f>
        <v>324.30660429578262</v>
      </c>
      <c r="AO39" s="59">
        <f t="shared" si="36"/>
        <v>197.04549436738586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2.9473449693592788</v>
      </c>
      <c r="AW39" s="21">
        <f>EXP(-LN(2)/2)*AW38+(1-EXP(-LN(2)/2))/(LN(2)/2)*AQ39*AT39*VLOOKUP('Données projet'!$B$10,Paramètres!$A$1:$I$89,3,0)*0.475*44/12</f>
        <v>0.86704226409018903</v>
      </c>
      <c r="AX39" s="21">
        <f t="shared" si="6"/>
        <v>3.8143872334494677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10.000000000000004</v>
      </c>
      <c r="BD39" s="12">
        <f>IF('Données projet'!$A$88&gt;35,BD38+BC39-BL38,IF(A39&lt;'Données projet'!$A$88,$BA$205^A39,IF(A39='Données projet'!$A$88,'Données projet'!$B$88,BD38+BC39-BL38)))</f>
        <v>251.59999999999988</v>
      </c>
      <c r="BE39" s="13">
        <f>BD39*VLOOKUP('Données projet'!$B$11,Paramètres!$A$1:$I$89,3,0)*VLOOKUP('Données projet'!$B$11,Paramètres!$A$1:$I$89,5,0)</f>
        <v>117.74879999999995</v>
      </c>
      <c r="BF39" s="13">
        <f t="shared" si="37"/>
        <v>31.149366548366</v>
      </c>
      <c r="BG39" s="20">
        <f t="shared" si="7"/>
        <v>259.33097340507067</v>
      </c>
      <c r="BH39" s="59">
        <f t="shared" si="8"/>
        <v>552.66430673840398</v>
      </c>
      <c r="BI39" s="59">
        <f ca="1">AVERAGE(OFFSET($BH$3,0,0,'Données projet'!$E$11+1,1))-AVERAGE(OFFSET($H$3,0,0,'Données projet'!$E$11+1,1))</f>
        <v>252.98248842635206</v>
      </c>
      <c r="BJ39" s="59">
        <f t="shared" si="38"/>
        <v>207.11938580878308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2.7833924065534239</v>
      </c>
      <c r="BQ39" s="21">
        <f>EXP(-LN(2)/25)*BQ38+(1-EXP(-LN(2)/25))/(LN(2)/25)*Calculateur!BL39*Calculateur!BN39*VLOOKUP('Données projet'!$B$11,Paramètres!$A$1:$I$89,3,0)*0.475*44/12</f>
        <v>6.6515776181746933</v>
      </c>
      <c r="BR39" s="21">
        <f>EXP(-LN(2)/2)*BR38+(1-EXP(-LN(2)/2))/(LN(2)/2)*BL39*BO39*VLOOKUP('Données projet'!$B$11,Paramètres!$A$1:$I$89,3,0)*0.475*44/12</f>
        <v>1.229022060036999</v>
      </c>
      <c r="BS39" s="22">
        <f t="shared" si="9"/>
        <v>10.663992084765116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21.4</v>
      </c>
      <c r="BY39" s="12">
        <f>IF('Données projet'!$A$114&gt;35,BY38+BX39-CG38,IF(A39&lt;'Données projet'!$A$114,$BV$205^A39,IF(A39='Données projet'!$A$114,'Données projet'!$B$114,BY38+BX39-CG38)))</f>
        <v>349.39999999999981</v>
      </c>
      <c r="BZ39" s="13">
        <f>BY39*VLOOKUP('Données projet'!$B$12,Paramètres!$A$1:$I$89,3,0)*VLOOKUP('Données projet'!$B$12,Paramètres!$A$1:$I$89,5,0)</f>
        <v>208.9411999999999</v>
      </c>
      <c r="CA39" s="13">
        <f t="shared" si="39"/>
        <v>51.704143237301885</v>
      </c>
      <c r="CB39" s="20">
        <f t="shared" si="10"/>
        <v>453.95730613830068</v>
      </c>
      <c r="CC39" s="59">
        <f t="shared" si="11"/>
        <v>747.29063947163399</v>
      </c>
      <c r="CD39" s="59">
        <f ca="1">AVERAGE(OFFSET($CC$3,0,0,'Données projet'!$E$12+1,1))-AVERAGE(OFFSET($H$3,0,0,'Données projet'!$E$12+1,1))</f>
        <v>392.08740055894992</v>
      </c>
      <c r="CE39" s="59">
        <f t="shared" si="40"/>
        <v>395.10797100415783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3.5502172901968811</v>
      </c>
      <c r="CL39" s="21">
        <f>EXP(-LN(2)/25)*CL38+(1-EXP(-LN(2)/25))/(LN(2)/25)*Calculateur!CG39*Calculateur!CI39*VLOOKUP('Données projet'!$B$12,Paramètres!$A$1:$I$89,3,0)*0.475*44/12</f>
        <v>22.019690356366716</v>
      </c>
      <c r="CM39" s="21">
        <f>EXP(-LN(2)/2)*CM38+(1-EXP(-LN(2)/2))/(LN(2)/2)*CG39*CJ39*VLOOKUP('Données projet'!$B$12,Paramètres!$A$1:$I$89,3,0)*0.475*44/12</f>
        <v>4.3449166741763054</v>
      </c>
      <c r="CN39" s="22">
        <f t="shared" si="12"/>
        <v>29.914824320739903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8.1999999999999993</v>
      </c>
      <c r="N40" s="13">
        <f>IF('Données projet'!$A$36&gt;35,N39+M40-V39,IF(A40&lt;'Données projet'!$A$36,$K$205^A40,IF(A40='Données projet'!$A$36,'Données projet'!$B$36,N39+M40-V39)))</f>
        <v>133.39999999999998</v>
      </c>
      <c r="O40" s="13">
        <f>N40*VLOOKUP('Données projet'!$B$9,Paramètres!$A$1:$I$89,3,0)*VLOOKUP('Données projet'!$B$9,Paramètres!$A$1:$I$89,5,0)</f>
        <v>120.70031999999998</v>
      </c>
      <c r="P40" s="13">
        <f t="shared" si="33"/>
        <v>31.838282075030818</v>
      </c>
      <c r="Q40" s="20">
        <f t="shared" si="53"/>
        <v>265.67139861401193</v>
      </c>
      <c r="R40" s="59">
        <f t="shared" si="0"/>
        <v>559.00473194734525</v>
      </c>
      <c r="S40" s="59">
        <f ca="1">AVERAGE(OFFSET($R$3,0,0,'Données projet'!$E$9+1,1))-AVERAGE(OFFSET($H$3,0,0,'Données projet'!$E$9+1,1))</f>
        <v>282.32472952059817</v>
      </c>
      <c r="T40" s="59">
        <f t="shared" si="34"/>
        <v>172.32171001882176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2.5580227790511509</v>
      </c>
      <c r="AB40" s="21">
        <f>EXP(-LN(2)/2)*AB39+(1-EXP(-LN(2)/2))/(LN(2)/2)*V40*Y40*VLOOKUP('Données projet'!$B$9,Paramètres!$A$1:$I$89,3,0)*0.475*44/12</f>
        <v>0.54706622987359366</v>
      </c>
      <c r="AC40" s="22">
        <f t="shared" si="3"/>
        <v>3.1050890089247445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8.1999999999999993</v>
      </c>
      <c r="AI40" s="13">
        <f>IF('Données projet'!$A$62&gt;35,AI39+AH40-AQ39,IF(A40&lt;'Données projet'!$A$62,$AF$205^A40,IF(A40='Données projet'!$A$62,'Données projet'!$B$62,AI39+AH40-AQ39)))</f>
        <v>133.39999999999998</v>
      </c>
      <c r="AJ40" s="13">
        <f>AI40*VLOOKUP('Données projet'!$B$10,Paramètres!$A$1:$I$89,3,0)*VLOOKUP('Données projet'!$B$10,Paramètres!$A$1:$I$89,5,0)</f>
        <v>135.26759999999999</v>
      </c>
      <c r="AK40" s="13">
        <f t="shared" si="35"/>
        <v>35.210718959789133</v>
      </c>
      <c r="AL40" s="20">
        <f t="shared" si="4"/>
        <v>296.91640552163273</v>
      </c>
      <c r="AM40" s="59">
        <f t="shared" si="5"/>
        <v>590.24973885496604</v>
      </c>
      <c r="AN40" s="59">
        <f ca="1">AVERAGE(OFFSET($AM$3,0,0,'Données projet'!$E$10+1,1))-AVERAGE(OFFSET($H$3,0,0,'Données projet'!$E$10+1,1))</f>
        <v>324.30660429578262</v>
      </c>
      <c r="AO40" s="59">
        <f t="shared" si="36"/>
        <v>197.04549436738586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2.8667496661780136</v>
      </c>
      <c r="AW40" s="21">
        <f>EXP(-LN(2)/2)*AW39+(1-EXP(-LN(2)/2))/(LN(2)/2)*AQ40*AT40*VLOOKUP('Données projet'!$B$10,Paramètres!$A$1:$I$89,3,0)*0.475*44/12</f>
        <v>0.61309146451351004</v>
      </c>
      <c r="AX40" s="21">
        <f t="shared" si="6"/>
        <v>3.4798411306915238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10.000000000000004</v>
      </c>
      <c r="BD40" s="12">
        <f>IF('Données projet'!$A$88&gt;35,BD39+BC40-BL39,IF(A40&lt;'Données projet'!$A$88,$BA$205^A40,IF(A40='Données projet'!$A$88,'Données projet'!$B$88,BD39+BC40-BL39)))</f>
        <v>261.59999999999991</v>
      </c>
      <c r="BE40" s="13">
        <f>BD40*VLOOKUP('Données projet'!$B$11,Paramètres!$A$1:$I$89,3,0)*VLOOKUP('Données projet'!$B$11,Paramètres!$A$1:$I$89,5,0)</f>
        <v>122.42879999999995</v>
      </c>
      <c r="BF40" s="13">
        <f t="shared" si="37"/>
        <v>32.240814688958388</v>
      </c>
      <c r="BG40" s="20">
        <f t="shared" si="7"/>
        <v>269.38291224993577</v>
      </c>
      <c r="BH40" s="59">
        <f t="shared" si="8"/>
        <v>562.71624558326903</v>
      </c>
      <c r="BI40" s="59">
        <f ca="1">AVERAGE(OFFSET($BH$3,0,0,'Données projet'!$E$11+1,1))-AVERAGE(OFFSET($H$3,0,0,'Données projet'!$E$11+1,1))</f>
        <v>252.98248842635206</v>
      </c>
      <c r="BJ40" s="59">
        <f t="shared" si="38"/>
        <v>207.11938580878308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2.7288117791626449</v>
      </c>
      <c r="BQ40" s="21">
        <f>EXP(-LN(2)/25)*BQ39+(1-EXP(-LN(2)/25))/(LN(2)/25)*Calculateur!BL40*Calculateur!BN40*VLOOKUP('Données projet'!$B$11,Paramètres!$A$1:$I$89,3,0)*0.475*44/12</f>
        <v>6.4696898784144414</v>
      </c>
      <c r="BR40" s="21">
        <f>EXP(-LN(2)/2)*BR39+(1-EXP(-LN(2)/2))/(LN(2)/2)*BL40*BO40*VLOOKUP('Données projet'!$B$11,Paramètres!$A$1:$I$89,3,0)*0.475*44/12</f>
        <v>0.86904983288002213</v>
      </c>
      <c r="BS40" s="22">
        <f t="shared" si="9"/>
        <v>10.067551490457108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21.4</v>
      </c>
      <c r="BY40" s="12">
        <f>IF('Données projet'!$A$114&gt;35,BY39+BX40-CG39,IF(A40&lt;'Données projet'!$A$114,$BV$205^A40,IF(A40='Données projet'!$A$114,'Données projet'!$B$114,BY39+BX40-CG39)))</f>
        <v>370.79999999999978</v>
      </c>
      <c r="BZ40" s="13">
        <f>BY40*VLOOKUP('Données projet'!$B$12,Paramètres!$A$1:$I$89,3,0)*VLOOKUP('Données projet'!$B$12,Paramètres!$A$1:$I$89,5,0)</f>
        <v>221.73839999999987</v>
      </c>
      <c r="CA40" s="13">
        <f t="shared" si="39"/>
        <v>54.492545120441747</v>
      </c>
      <c r="CB40" s="20">
        <f t="shared" si="10"/>
        <v>481.10222941810247</v>
      </c>
      <c r="CC40" s="59">
        <f t="shared" si="11"/>
        <v>774.43556275143578</v>
      </c>
      <c r="CD40" s="59">
        <f ca="1">AVERAGE(OFFSET($CC$3,0,0,'Données projet'!$E$12+1,1))-AVERAGE(OFFSET($H$3,0,0,'Données projet'!$E$12+1,1))</f>
        <v>392.08740055894992</v>
      </c>
      <c r="CE40" s="59">
        <f t="shared" si="40"/>
        <v>395.10797100415783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3.4805996945548499</v>
      </c>
      <c r="CL40" s="21">
        <f>EXP(-LN(2)/25)*CL39+(1-EXP(-LN(2)/25))/(LN(2)/25)*Calculateur!CG40*Calculateur!CI40*VLOOKUP('Données projet'!$B$12,Paramètres!$A$1:$I$89,3,0)*0.475*44/12</f>
        <v>21.41756076560668</v>
      </c>
      <c r="CM40" s="21">
        <f>EXP(-LN(2)/2)*CM39+(1-EXP(-LN(2)/2))/(LN(2)/2)*CG40*CJ40*VLOOKUP('Données projet'!$B$12,Paramètres!$A$1:$I$89,3,0)*0.475*44/12</f>
        <v>3.0723200440005667</v>
      </c>
      <c r="CN40" s="22">
        <f t="shared" si="12"/>
        <v>27.970480504162097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8.1999999999999993</v>
      </c>
      <c r="N41" s="13">
        <f>IF('Données projet'!$A$36&gt;35,N40+M41-V40,IF(A41&lt;'Données projet'!$A$36,$K$205^A41,IF(A41='Données projet'!$A$36,'Données projet'!$B$36,N40+M41-V40)))</f>
        <v>141.59999999999997</v>
      </c>
      <c r="O41" s="13">
        <f>N41*VLOOKUP('Données projet'!$B$9,Paramètres!$A$1:$I$89,3,0)*VLOOKUP('Données projet'!$B$9,Paramètres!$A$1:$I$89,5,0)</f>
        <v>128.11967999999996</v>
      </c>
      <c r="P41" s="13">
        <f t="shared" si="33"/>
        <v>33.561504850994297</v>
      </c>
      <c r="Q41" s="20">
        <f t="shared" si="53"/>
        <v>281.5947302821483</v>
      </c>
      <c r="R41" s="59">
        <f t="shared" si="0"/>
        <v>574.92806361548162</v>
      </c>
      <c r="S41" s="59">
        <f ca="1">AVERAGE(OFFSET($R$3,0,0,'Données projet'!$E$9+1,1))-AVERAGE(OFFSET($H$3,0,0,'Données projet'!$E$9+1,1))</f>
        <v>282.32472952059817</v>
      </c>
      <c r="T41" s="59">
        <f t="shared" si="34"/>
        <v>172.32171001882176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2.4880735116374257</v>
      </c>
      <c r="AB41" s="21">
        <f>EXP(-LN(2)/2)*AB40+(1-EXP(-LN(2)/2))/(LN(2)/2)*V41*Y41*VLOOKUP('Données projet'!$B$9,Paramètres!$A$1:$I$89,3,0)*0.475*44/12</f>
        <v>0.3868342409017767</v>
      </c>
      <c r="AC41" s="22">
        <f t="shared" si="3"/>
        <v>2.8749077525392024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8.1999999999999993</v>
      </c>
      <c r="AI41" s="13">
        <f>IF('Données projet'!$A$62&gt;35,AI40+AH41-AQ40,IF(A41&lt;'Données projet'!$A$62,$AF$205^A41,IF(A41='Données projet'!$A$62,'Données projet'!$B$62,AI40+AH41-AQ40)))</f>
        <v>141.59999999999997</v>
      </c>
      <c r="AJ41" s="13">
        <f>AI41*VLOOKUP('Données projet'!$B$10,Paramètres!$A$1:$I$89,3,0)*VLOOKUP('Données projet'!$B$10,Paramètres!$A$1:$I$89,5,0)</f>
        <v>143.58239999999998</v>
      </c>
      <c r="AK41" s="13">
        <f t="shared" si="35"/>
        <v>37.116472314400653</v>
      </c>
      <c r="AL41" s="20">
        <f t="shared" si="4"/>
        <v>314.71720261424775</v>
      </c>
      <c r="AM41" s="59">
        <f t="shared" si="5"/>
        <v>608.05053594758101</v>
      </c>
      <c r="AN41" s="59">
        <f ca="1">AVERAGE(OFFSET($AM$3,0,0,'Données projet'!$E$10+1,1))-AVERAGE(OFFSET($H$3,0,0,'Données projet'!$E$10+1,1))</f>
        <v>324.30660429578262</v>
      </c>
      <c r="AO41" s="59">
        <f t="shared" si="36"/>
        <v>197.04549436738586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2.7883582458005631</v>
      </c>
      <c r="AW41" s="21">
        <f>EXP(-LN(2)/2)*AW40+(1-EXP(-LN(2)/2))/(LN(2)/2)*AQ41*AT41*VLOOKUP('Données projet'!$B$10,Paramètres!$A$1:$I$89,3,0)*0.475*44/12</f>
        <v>0.43352113204509451</v>
      </c>
      <c r="AX41" s="21">
        <f t="shared" si="6"/>
        <v>3.2218793778456578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10.000000000000004</v>
      </c>
      <c r="BD41" s="12">
        <f>IF('Données projet'!$A$88&gt;35,BD40+BC41-BL40,IF(A41&lt;'Données projet'!$A$88,$BA$205^A41,IF(A41='Données projet'!$A$88,'Données projet'!$B$88,BD40+BC41-BL40)))</f>
        <v>271.59999999999991</v>
      </c>
      <c r="BE41" s="13">
        <f>BD41*VLOOKUP('Données projet'!$B$11,Paramètres!$A$1:$I$89,3,0)*VLOOKUP('Données projet'!$B$11,Paramètres!$A$1:$I$89,5,0)</f>
        <v>127.10879999999996</v>
      </c>
      <c r="BF41" s="13">
        <f t="shared" si="37"/>
        <v>33.32741592766736</v>
      </c>
      <c r="BG41" s="20">
        <f t="shared" si="7"/>
        <v>279.4264094073539</v>
      </c>
      <c r="BH41" s="59">
        <f t="shared" si="8"/>
        <v>572.75974274068722</v>
      </c>
      <c r="BI41" s="59">
        <f ca="1">AVERAGE(OFFSET($BH$3,0,0,'Données projet'!$E$11+1,1))-AVERAGE(OFFSET($H$3,0,0,'Données projet'!$E$11+1,1))</f>
        <v>252.98248842635206</v>
      </c>
      <c r="BJ41" s="59">
        <f t="shared" si="38"/>
        <v>207.11938580878308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2.6753014445841039</v>
      </c>
      <c r="BQ41" s="21">
        <f>EXP(-LN(2)/25)*BQ40+(1-EXP(-LN(2)/25))/(LN(2)/25)*Calculateur!BL41*Calculateur!BN41*VLOOKUP('Données projet'!$B$11,Paramètres!$A$1:$I$89,3,0)*0.475*44/12</f>
        <v>6.2927758684629946</v>
      </c>
      <c r="BR41" s="21">
        <f>EXP(-LN(2)/2)*BR40+(1-EXP(-LN(2)/2))/(LN(2)/2)*BL41*BO41*VLOOKUP('Données projet'!$B$11,Paramètres!$A$1:$I$89,3,0)*0.475*44/12</f>
        <v>0.61451103001849949</v>
      </c>
      <c r="BS41" s="22">
        <f t="shared" si="9"/>
        <v>9.5825883430655985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21.4</v>
      </c>
      <c r="BY41" s="12">
        <f>IF('Données projet'!$A$114&gt;35,BY40+BX41-CG40,IF(A41&lt;'Données projet'!$A$114,$BV$205^A41,IF(A41='Données projet'!$A$114,'Données projet'!$B$114,BY40+BX41-CG40)))</f>
        <v>392.19999999999976</v>
      </c>
      <c r="BZ41" s="13">
        <f>BY41*VLOOKUP('Données projet'!$B$12,Paramètres!$A$1:$I$89,3,0)*VLOOKUP('Données projet'!$B$12,Paramètres!$A$1:$I$89,5,0)</f>
        <v>234.53559999999987</v>
      </c>
      <c r="CA41" s="13">
        <f t="shared" si="39"/>
        <v>57.262266911728588</v>
      </c>
      <c r="CB41" s="20">
        <f t="shared" si="10"/>
        <v>508.21461820459371</v>
      </c>
      <c r="CC41" s="59">
        <f t="shared" si="11"/>
        <v>801.54795153792702</v>
      </c>
      <c r="CD41" s="59">
        <f ca="1">AVERAGE(OFFSET($CC$3,0,0,'Données projet'!$E$12+1,1))-AVERAGE(OFFSET($H$3,0,0,'Données projet'!$E$12+1,1))</f>
        <v>392.08740055894992</v>
      </c>
      <c r="CE41" s="59">
        <f t="shared" si="40"/>
        <v>395.10797100415783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3.4123472575008185</v>
      </c>
      <c r="CL41" s="21">
        <f>EXP(-LN(2)/25)*CL40+(1-EXP(-LN(2)/25))/(LN(2)/25)*Calculateur!CG41*Calculateur!CI41*VLOOKUP('Données projet'!$B$12,Paramètres!$A$1:$I$89,3,0)*0.475*44/12</f>
        <v>20.831896440170595</v>
      </c>
      <c r="CM41" s="21">
        <f>EXP(-LN(2)/2)*CM40+(1-EXP(-LN(2)/2))/(LN(2)/2)*CG41*CJ41*VLOOKUP('Données projet'!$B$12,Paramètres!$A$1:$I$89,3,0)*0.475*44/12</f>
        <v>2.1724583370881527</v>
      </c>
      <c r="CN41" s="22">
        <f t="shared" si="12"/>
        <v>26.416702034759567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8.1999999999999993</v>
      </c>
      <c r="N42" s="13">
        <f>IF('Données projet'!$A$36&gt;35,N41+M42-V41,IF(A42&lt;'Données projet'!$A$36,$K$205^A42,IF(A42='Données projet'!$A$36,'Données projet'!$B$36,N41+M42-V41)))</f>
        <v>149.79999999999995</v>
      </c>
      <c r="O42" s="13">
        <f>N42*VLOOKUP('Données projet'!$B$9,Paramètres!$A$1:$I$89,3,0)*VLOOKUP('Données projet'!$B$9,Paramètres!$A$1:$I$89,5,0)</f>
        <v>135.53903999999997</v>
      </c>
      <c r="P42" s="13">
        <f t="shared" si="33"/>
        <v>35.273144164630104</v>
      </c>
      <c r="Q42" s="20">
        <f t="shared" si="53"/>
        <v>297.49788742006405</v>
      </c>
      <c r="R42" s="59">
        <f t="shared" si="0"/>
        <v>590.83122075339736</v>
      </c>
      <c r="S42" s="59">
        <f ca="1">AVERAGE(OFFSET($R$3,0,0,'Données projet'!$E$9+1,1))-AVERAGE(OFFSET($H$3,0,0,'Données projet'!$E$9+1,1))</f>
        <v>282.32472952059817</v>
      </c>
      <c r="T42" s="59">
        <f t="shared" si="34"/>
        <v>172.32171001882176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2.420037010619601</v>
      </c>
      <c r="AB42" s="21">
        <f>EXP(-LN(2)/2)*AB41+(1-EXP(-LN(2)/2))/(LN(2)/2)*V42*Y42*VLOOKUP('Données projet'!$B$9,Paramètres!$A$1:$I$89,3,0)*0.475*44/12</f>
        <v>0.27353311493679683</v>
      </c>
      <c r="AC42" s="22">
        <f t="shared" si="3"/>
        <v>2.693570125556398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8.1999999999999993</v>
      </c>
      <c r="AI42" s="13">
        <f>IF('Données projet'!$A$62&gt;35,AI41+AH42-AQ41,IF(A42&lt;'Données projet'!$A$62,$AF$205^A42,IF(A42='Données projet'!$A$62,'Données projet'!$B$62,AI41+AH42-AQ41)))</f>
        <v>149.79999999999995</v>
      </c>
      <c r="AJ42" s="13">
        <f>AI42*VLOOKUP('Données projet'!$B$10,Paramètres!$A$1:$I$89,3,0)*VLOOKUP('Données projet'!$B$10,Paramètres!$A$1:$I$89,5,0)</f>
        <v>151.89719999999997</v>
      </c>
      <c r="AK42" s="13">
        <f t="shared" si="35"/>
        <v>39.009415240495969</v>
      </c>
      <c r="AL42" s="20">
        <f t="shared" si="4"/>
        <v>332.49568821053043</v>
      </c>
      <c r="AM42" s="59">
        <f t="shared" si="5"/>
        <v>625.82902154386375</v>
      </c>
      <c r="AN42" s="59">
        <f ca="1">AVERAGE(OFFSET($AM$3,0,0,'Données projet'!$E$10+1,1))-AVERAGE(OFFSET($H$3,0,0,'Données projet'!$E$10+1,1))</f>
        <v>324.30660429578262</v>
      </c>
      <c r="AO42" s="59">
        <f t="shared" si="36"/>
        <v>197.04549436738586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2.7121104429357596</v>
      </c>
      <c r="AW42" s="21">
        <f>EXP(-LN(2)/2)*AW41+(1-EXP(-LN(2)/2))/(LN(2)/2)*AQ42*AT42*VLOOKUP('Données projet'!$B$10,Paramètres!$A$1:$I$89,3,0)*0.475*44/12</f>
        <v>0.30654573225675502</v>
      </c>
      <c r="AX42" s="21">
        <f t="shared" si="6"/>
        <v>3.0186561751925147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10.000000000000004</v>
      </c>
      <c r="BD42" s="12">
        <f>IF('Données projet'!$A$88&gt;35,BD41+BC42-BL41,IF(A42&lt;'Données projet'!$A$88,$BA$205^A42,IF(A42='Données projet'!$A$88,'Données projet'!$B$88,BD41+BC42-BL41)))</f>
        <v>281.59999999999991</v>
      </c>
      <c r="BE42" s="13">
        <f>BD42*VLOOKUP('Données projet'!$B$11,Paramètres!$A$1:$I$89,3,0)*VLOOKUP('Données projet'!$B$11,Paramètres!$A$1:$I$89,5,0)</f>
        <v>131.78879999999995</v>
      </c>
      <c r="BF42" s="13">
        <f t="shared" si="37"/>
        <v>34.409369159409614</v>
      </c>
      <c r="BG42" s="20">
        <f t="shared" si="7"/>
        <v>289.46181128597163</v>
      </c>
      <c r="BH42" s="59">
        <f t="shared" si="8"/>
        <v>582.79514461930489</v>
      </c>
      <c r="BI42" s="59">
        <f ca="1">AVERAGE(OFFSET($BH$3,0,0,'Données projet'!$E$11+1,1))-AVERAGE(OFFSET($H$3,0,0,'Données projet'!$E$11+1,1))</f>
        <v>252.98248842635206</v>
      </c>
      <c r="BJ42" s="59">
        <f t="shared" si="38"/>
        <v>207.11938580878308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2.6228404150285667</v>
      </c>
      <c r="BQ42" s="21">
        <f>EXP(-LN(2)/25)*BQ41+(1-EXP(-LN(2)/25))/(LN(2)/25)*Calculateur!BL42*Calculateur!BN42*VLOOKUP('Données projet'!$B$11,Paramètres!$A$1:$I$89,3,0)*0.475*44/12</f>
        <v>6.1206995814171732</v>
      </c>
      <c r="BR42" s="21">
        <f>EXP(-LN(2)/2)*BR41+(1-EXP(-LN(2)/2))/(LN(2)/2)*BL42*BO42*VLOOKUP('Données projet'!$B$11,Paramètres!$A$1:$I$89,3,0)*0.475*44/12</f>
        <v>0.43452491644001107</v>
      </c>
      <c r="BS42" s="22">
        <f t="shared" si="9"/>
        <v>9.1780649128857519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21.4</v>
      </c>
      <c r="BY42" s="12">
        <f>IF('Données projet'!$A$114&gt;35,BY41+BX42-CG41,IF(A42&lt;'Données projet'!$A$114,$BV$205^A42,IF(A42='Données projet'!$A$114,'Données projet'!$B$114,BY41+BX42-CG41)))</f>
        <v>413.59999999999974</v>
      </c>
      <c r="BZ42" s="13">
        <f>BY42*VLOOKUP('Données projet'!$B$12,Paramètres!$A$1:$I$89,3,0)*VLOOKUP('Données projet'!$B$12,Paramètres!$A$1:$I$89,5,0)</f>
        <v>247.33279999999985</v>
      </c>
      <c r="CA42" s="13">
        <f t="shared" si="39"/>
        <v>60.014444064381038</v>
      </c>
      <c r="CB42" s="20">
        <f t="shared" si="10"/>
        <v>535.29645007879674</v>
      </c>
      <c r="CC42" s="59">
        <f t="shared" si="11"/>
        <v>828.62978341213011</v>
      </c>
      <c r="CD42" s="59">
        <f ca="1">AVERAGE(OFFSET($CC$3,0,0,'Données projet'!$E$12+1,1))-AVERAGE(OFFSET($H$3,0,0,'Données projet'!$E$12+1,1))</f>
        <v>392.08740055894992</v>
      </c>
      <c r="CE42" s="59">
        <f t="shared" si="40"/>
        <v>395.10797100415783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3.3454332091075405</v>
      </c>
      <c r="CL42" s="21">
        <f>EXP(-LN(2)/25)*CL41+(1-EXP(-LN(2)/25))/(LN(2)/25)*Calculateur!CG42*Calculateur!CI42*VLOOKUP('Données projet'!$B$12,Paramètres!$A$1:$I$89,3,0)*0.475*44/12</f>
        <v>20.262247136512308</v>
      </c>
      <c r="CM42" s="21">
        <f>EXP(-LN(2)/2)*CM41+(1-EXP(-LN(2)/2))/(LN(2)/2)*CG42*CJ42*VLOOKUP('Données projet'!$B$12,Paramètres!$A$1:$I$89,3,0)*0.475*44/12</f>
        <v>1.5361600220002833</v>
      </c>
      <c r="CN42" s="22">
        <f t="shared" si="12"/>
        <v>25.143840367620133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158</v>
      </c>
      <c r="L43" s="12">
        <f>VLOOKUP(A43,'Données projet'!$A$35:$I$55,9,0)</f>
        <v>8.1999999999999993</v>
      </c>
      <c r="M43" s="12">
        <f t="array" ref="M43">INDEX(L:L,MIN(IF(ISNUMBER(L43:L239),ROW(L43:L239),"")))</f>
        <v>8.1999999999999993</v>
      </c>
      <c r="N43" s="13">
        <f>IF('Données projet'!$A$36&gt;35,N42+M43-V42,IF(A43&lt;'Données projet'!$A$36,$K$205^A43,IF(A43='Données projet'!$A$36,'Données projet'!$B$36,N42+M43-V42)))</f>
        <v>157.99999999999994</v>
      </c>
      <c r="O43" s="13">
        <f>N43*VLOOKUP('Données projet'!$B$9,Paramètres!$A$1:$I$89,3,0)*VLOOKUP('Données projet'!$B$9,Paramètres!$A$1:$I$89,5,0)</f>
        <v>142.95839999999993</v>
      </c>
      <c r="P43" s="13">
        <f t="shared" si="33"/>
        <v>36.973906370811264</v>
      </c>
      <c r="Q43" s="20">
        <f t="shared" si="53"/>
        <v>313.38210026249618</v>
      </c>
      <c r="R43" s="59">
        <f t="shared" si="0"/>
        <v>606.7154335958295</v>
      </c>
      <c r="S43" s="59">
        <f ca="1">AVERAGE(OFFSET($R$3,0,0,'Données projet'!$E$9+1,1))-AVERAGE(OFFSET($H$3,0,0,'Données projet'!$E$9+1,1))</f>
        <v>282.32472952059817</v>
      </c>
      <c r="T43" s="59">
        <f t="shared" si="34"/>
        <v>172.32171001882176</v>
      </c>
      <c r="U43" s="15">
        <f>IF(ISNA(VLOOKUP(A43,'Données projet'!$A$35:$I$55,3,0)),0,VLOOKUP(A43,'Données projet'!$A$35:$I$55,3,0))</f>
        <v>2</v>
      </c>
      <c r="V43" s="15">
        <f>IF(ISNA(VLOOKUP(A43,'Données projet'!$A$35:$I$55,4,0)),0,VLOOKUP(A43,'Données projet'!$A$35:$I$55,4,0))</f>
        <v>42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2.3538609712999925</v>
      </c>
      <c r="AB43" s="21">
        <f>EXP(-LN(2)/2)*AB42+(1-EXP(-LN(2)/2))/(LN(2)/2)*V43*Y43*VLOOKUP('Données projet'!$B$9,Paramètres!$A$1:$I$89,3,0)*0.475*44/12</f>
        <v>0.19341712045088835</v>
      </c>
      <c r="AC43" s="22">
        <f t="shared" si="3"/>
        <v>2.547278091750881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158</v>
      </c>
      <c r="AG43" s="12">
        <f>VLOOKUP(A43,'Données projet'!$A$61:$I$81,9,0)</f>
        <v>8.1999999999999993</v>
      </c>
      <c r="AH43" s="12">
        <f t="array" ref="AH43">INDEX(AG:AG,MIN(IF(ISNUMBER(AG43:AG239),ROW(AG43:AG239),"")))</f>
        <v>8.1999999999999993</v>
      </c>
      <c r="AI43" s="13">
        <f>IF('Données projet'!$A$62&gt;35,AI42+AH43-AQ42,IF(A43&lt;'Données projet'!$A$62,$AF$205^A43,IF(A43='Données projet'!$A$62,'Données projet'!$B$62,AI42+AH43-AQ42)))</f>
        <v>157.99999999999994</v>
      </c>
      <c r="AJ43" s="13">
        <f>AI43*VLOOKUP('Données projet'!$B$10,Paramètres!$A$1:$I$89,3,0)*VLOOKUP('Données projet'!$B$10,Paramètres!$A$1:$I$89,5,0)</f>
        <v>160.21199999999993</v>
      </c>
      <c r="AK43" s="13">
        <f t="shared" si="35"/>
        <v>40.890328912852695</v>
      </c>
      <c r="AL43" s="20">
        <f t="shared" si="4"/>
        <v>350.25322285655164</v>
      </c>
      <c r="AM43" s="59">
        <f t="shared" si="5"/>
        <v>643.58655618988496</v>
      </c>
      <c r="AN43" s="59">
        <f ca="1">AVERAGE(OFFSET($AM$3,0,0,'Données projet'!$E$10+1,1))-AVERAGE(OFFSET($H$3,0,0,'Données projet'!$E$10+1,1))</f>
        <v>324.30660429578262</v>
      </c>
      <c r="AO43" s="59">
        <f t="shared" si="36"/>
        <v>197.04549436738586</v>
      </c>
      <c r="AP43" s="15">
        <f>IF(ISNA(VLOOKUP(A43,'Données projet'!$A$61:$I$81,3,0)),0,VLOOKUP(A43,'Données projet'!$A$61:$I$81,3,0))</f>
        <v>2</v>
      </c>
      <c r="AQ43" s="15">
        <f>IF(ISNA(VLOOKUP(A43,'Données projet'!$A$61:$I$81,4,0)),0,VLOOKUP(A43,'Données projet'!$A$61:$I$81,4,0))</f>
        <v>42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2.6379476402499917</v>
      </c>
      <c r="AW43" s="21">
        <f>EXP(-LN(2)/2)*AW42+(1-EXP(-LN(2)/2))/(LN(2)/2)*AQ43*AT43*VLOOKUP('Données projet'!$B$10,Paramètres!$A$1:$I$89,3,0)*0.475*44/12</f>
        <v>0.21676056602254726</v>
      </c>
      <c r="AX43" s="21">
        <f t="shared" si="6"/>
        <v>2.8547082062725391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291.60000000000002</v>
      </c>
      <c r="BB43" s="12">
        <f>VLOOKUP(A43,'Données projet'!$A$87:$I$107,9,0)</f>
        <v>10.000000000000004</v>
      </c>
      <c r="BC43" s="12">
        <f t="array" ref="BC43">INDEX(BB:BB,MIN(IF(ISNUMBER(BB43:BB239),ROW(BB43:BB239),"")))</f>
        <v>10.000000000000004</v>
      </c>
      <c r="BD43" s="12">
        <f>IF('Données projet'!$A$88&gt;35,BD42+BC43-BL42,IF(A43&lt;'Données projet'!$A$88,$BA$205^A43,IF(A43='Données projet'!$A$88,'Données projet'!$B$88,BD42+BC43-BL42)))</f>
        <v>291.59999999999991</v>
      </c>
      <c r="BE43" s="13">
        <f>BD43*VLOOKUP('Données projet'!$B$11,Paramètres!$A$1:$I$89,3,0)*VLOOKUP('Données projet'!$B$11,Paramètres!$A$1:$I$89,5,0)</f>
        <v>136.46879999999996</v>
      </c>
      <c r="BF43" s="13">
        <f t="shared" si="37"/>
        <v>35.486858352195874</v>
      </c>
      <c r="BG43" s="20">
        <f t="shared" si="7"/>
        <v>299.48943829674107</v>
      </c>
      <c r="BH43" s="59">
        <f t="shared" si="8"/>
        <v>592.82277163007439</v>
      </c>
      <c r="BI43" s="59">
        <f ca="1">AVERAGE(OFFSET($BH$3,0,0,'Données projet'!$E$11+1,1))-AVERAGE(OFFSET($H$3,0,0,'Données projet'!$E$11+1,1))</f>
        <v>252.98248842635206</v>
      </c>
      <c r="BJ43" s="59">
        <f t="shared" si="38"/>
        <v>207.11938580878308</v>
      </c>
      <c r="BK43" s="15">
        <f>IF(ISNA(VLOOKUP(A43,'Données projet'!$A$87:$I$107,3,0)),0,VLOOKUP(A43,'Données projet'!$A$87:$I$107,3,0))</f>
        <v>3</v>
      </c>
      <c r="BL43" s="15">
        <f>IF(ISNA(VLOOKUP(A43,'Données projet'!$A$87:$I$107,4,0)),0,VLOOKUP(A43,'Données projet'!$A$87:$I$107,4,0))</f>
        <v>83.4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2.5714081142645449</v>
      </c>
      <c r="BQ43" s="21">
        <f>EXP(-LN(2)/25)*BQ42+(1-EXP(-LN(2)/25))/(LN(2)/25)*Calculateur!BL43*Calculateur!BN43*VLOOKUP('Données projet'!$B$11,Paramètres!$A$1:$I$89,3,0)*0.475*44/12</f>
        <v>5.9533287294897184</v>
      </c>
      <c r="BR43" s="21">
        <f>EXP(-LN(2)/2)*BR42+(1-EXP(-LN(2)/2))/(LN(2)/2)*BL43*BO43*VLOOKUP('Données projet'!$B$11,Paramètres!$A$1:$I$89,3,0)*0.475*44/12</f>
        <v>0.30725551500924975</v>
      </c>
      <c r="BS43" s="22">
        <f t="shared" si="9"/>
        <v>8.8319923587635127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435</v>
      </c>
      <c r="BW43" s="12">
        <f>VLOOKUP(A43,'Données projet'!$A$113:$I$133,9,0)</f>
        <v>21.4</v>
      </c>
      <c r="BX43" s="12">
        <f t="array" ref="BX43">INDEX(BW:BW,MIN(IF(ISNUMBER(BW43:BW239),ROW(BW43:BW239),"")))</f>
        <v>21.4</v>
      </c>
      <c r="BY43" s="12">
        <f>IF('Données projet'!$A$114&gt;35,BY42+BX43-CG42,IF(A43&lt;'Données projet'!$A$114,$BV$205^A43,IF(A43='Données projet'!$A$114,'Données projet'!$B$114,BY42+BX43-CG42)))</f>
        <v>434.99999999999972</v>
      </c>
      <c r="BZ43" s="13">
        <f>BY43*VLOOKUP('Données projet'!$B$12,Paramètres!$A$1:$I$89,3,0)*VLOOKUP('Données projet'!$B$12,Paramètres!$A$1:$I$89,5,0)</f>
        <v>260.12999999999988</v>
      </c>
      <c r="CA43" s="13">
        <f t="shared" si="39"/>
        <v>62.750087896510983</v>
      </c>
      <c r="CB43" s="20">
        <f t="shared" si="10"/>
        <v>562.34948641975632</v>
      </c>
      <c r="CC43" s="59">
        <f t="shared" si="11"/>
        <v>855.68281975308969</v>
      </c>
      <c r="CD43" s="59">
        <f ca="1">AVERAGE(OFFSET($CC$3,0,0,'Données projet'!$E$12+1,1))-AVERAGE(OFFSET($H$3,0,0,'Données projet'!$E$12+1,1))</f>
        <v>392.08740055894992</v>
      </c>
      <c r="CE43" s="59">
        <f t="shared" si="40"/>
        <v>395.10797100415783</v>
      </c>
      <c r="CF43" s="15">
        <f>IF(ISNA(VLOOKUP(A43,'Données projet'!$A$113:$I$133,3,0)),0,VLOOKUP(A43,'Données projet'!$A$113:$I$133,3,0))</f>
        <v>3</v>
      </c>
      <c r="CG43" s="15">
        <f>IF(ISNA(VLOOKUP(A43,'Données projet'!$A$113:$I$133,4,0)),0,VLOOKUP(A43,'Données projet'!$A$113:$I$133,4,0))</f>
        <v>112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3.2798313043897154</v>
      </c>
      <c r="CL43" s="21">
        <f>EXP(-LN(2)/25)*CL42+(1-EXP(-LN(2)/25))/(LN(2)/25)*Calculateur!CG43*Calculateur!CI43*VLOOKUP('Données projet'!$B$12,Paramètres!$A$1:$I$89,3,0)*0.475*44/12</f>
        <v>19.708174923019111</v>
      </c>
      <c r="CM43" s="21">
        <f>EXP(-LN(2)/2)*CM42+(1-EXP(-LN(2)/2))/(LN(2)/2)*CG43*CJ43*VLOOKUP('Données projet'!$B$12,Paramètres!$A$1:$I$89,3,0)*0.475*44/12</f>
        <v>1.0862291685440764</v>
      </c>
      <c r="CN43" s="22">
        <f t="shared" si="12"/>
        <v>24.074235395952904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8.3000000000000007</v>
      </c>
      <c r="N44" s="13">
        <f>IF('Données projet'!$A$36&gt;35,N43+M44-V43,IF(A44&lt;'Données projet'!$A$36,$K$205^A44,IF(A44='Données projet'!$A$36,'Données projet'!$B$36,N43+M44-V43)))</f>
        <v>124.29999999999995</v>
      </c>
      <c r="O44" s="13">
        <f>N44*VLOOKUP('Données projet'!$B$9,Paramètres!$A$1:$I$89,3,0)*VLOOKUP('Données projet'!$B$9,Paramètres!$A$1:$I$89,5,0)</f>
        <v>112.46663999999996</v>
      </c>
      <c r="P44" s="13">
        <f t="shared" si="33"/>
        <v>29.911391992758421</v>
      </c>
      <c r="Q44" s="20">
        <f t="shared" si="53"/>
        <v>247.97507238738748</v>
      </c>
      <c r="R44" s="59">
        <f t="shared" si="0"/>
        <v>541.30840572072077</v>
      </c>
      <c r="S44" s="59">
        <f ca="1">AVERAGE(OFFSET($R$3,0,0,'Données projet'!$E$9+1,1))-AVERAGE(OFFSET($H$3,0,0,'Données projet'!$E$9+1,1))</f>
        <v>282.32472952059817</v>
      </c>
      <c r="T44" s="59">
        <f t="shared" si="34"/>
        <v>172.32171001882176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2.2894945192556255</v>
      </c>
      <c r="AB44" s="21">
        <f>EXP(-LN(2)/2)*AB43+(1-EXP(-LN(2)/2))/(LN(2)/2)*V44*Y44*VLOOKUP('Données projet'!$B$9,Paramètres!$A$1:$I$89,3,0)*0.475*44/12</f>
        <v>0.13676655746839841</v>
      </c>
      <c r="AC44" s="22">
        <f t="shared" si="3"/>
        <v>2.4262610767240238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8.3000000000000007</v>
      </c>
      <c r="AI44" s="13">
        <f>IF('Données projet'!$A$62&gt;35,AI43+AH44-AQ43,IF(A44&lt;'Données projet'!$A$62,$AF$205^A44,IF(A44='Données projet'!$A$62,'Données projet'!$B$62,AI43+AH44-AQ43)))</f>
        <v>124.29999999999995</v>
      </c>
      <c r="AJ44" s="13">
        <f>AI44*VLOOKUP('Données projet'!$B$10,Paramètres!$A$1:$I$89,3,0)*VLOOKUP('Données projet'!$B$10,Paramètres!$A$1:$I$89,5,0)</f>
        <v>126.04019999999996</v>
      </c>
      <c r="AK44" s="13">
        <f t="shared" si="35"/>
        <v>33.079725051468074</v>
      </c>
      <c r="AL44" s="20">
        <f t="shared" si="4"/>
        <v>277.13386946464016</v>
      </c>
      <c r="AM44" s="59">
        <f t="shared" si="5"/>
        <v>570.46720279797341</v>
      </c>
      <c r="AN44" s="59">
        <f ca="1">AVERAGE(OFFSET($AM$3,0,0,'Données projet'!$E$10+1,1))-AVERAGE(OFFSET($H$3,0,0,'Données projet'!$E$10+1,1))</f>
        <v>324.30660429578262</v>
      </c>
      <c r="AO44" s="59">
        <f t="shared" si="36"/>
        <v>197.04549436738586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2.5658128233037183</v>
      </c>
      <c r="AW44" s="21">
        <f>EXP(-LN(2)/2)*AW43+(1-EXP(-LN(2)/2))/(LN(2)/2)*AQ44*AT44*VLOOKUP('Données projet'!$B$10,Paramètres!$A$1:$I$89,3,0)*0.475*44/12</f>
        <v>0.15327286612837751</v>
      </c>
      <c r="AX44" s="21">
        <f t="shared" si="6"/>
        <v>2.7190856894320956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11.499999999999996</v>
      </c>
      <c r="BD44" s="12">
        <f>IF('Données projet'!$A$88&gt;35,BD43+BC44-BL43,IF(A44&lt;'Données projet'!$A$88,$BA$205^A44,IF(A44='Données projet'!$A$88,'Données projet'!$B$88,BD43+BC44-BL43)))</f>
        <v>219.6999999999999</v>
      </c>
      <c r="BE44" s="13">
        <f>BD44*VLOOKUP('Données projet'!$B$11,Paramètres!$A$1:$I$89,3,0)*VLOOKUP('Données projet'!$B$11,Paramètres!$A$1:$I$89,5,0)</f>
        <v>102.81959999999995</v>
      </c>
      <c r="BF44" s="13">
        <f t="shared" si="37"/>
        <v>27.632637448562328</v>
      </c>
      <c r="BG44" s="20">
        <f t="shared" si="7"/>
        <v>227.20431355624598</v>
      </c>
      <c r="BH44" s="59">
        <f t="shared" si="8"/>
        <v>520.53764688957926</v>
      </c>
      <c r="BI44" s="59">
        <f ca="1">AVERAGE(OFFSET($BH$3,0,0,'Données projet'!$E$11+1,1))-AVERAGE(OFFSET($H$3,0,0,'Données projet'!$E$11+1,1))</f>
        <v>252.98248842635206</v>
      </c>
      <c r="BJ44" s="59">
        <f t="shared" si="38"/>
        <v>207.11938580878308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2.5209843695478997</v>
      </c>
      <c r="BQ44" s="21">
        <f>EXP(-LN(2)/25)*BQ43+(1-EXP(-LN(2)/25))/(LN(2)/25)*Calculateur!BL44*Calculateur!BN44*VLOOKUP('Données projet'!$B$11,Paramètres!$A$1:$I$89,3,0)*0.475*44/12</f>
        <v>5.7905346423098703</v>
      </c>
      <c r="BR44" s="21">
        <f>EXP(-LN(2)/2)*BR43+(1-EXP(-LN(2)/2))/(LN(2)/2)*BL44*BO44*VLOOKUP('Données projet'!$B$11,Paramètres!$A$1:$I$89,3,0)*0.475*44/12</f>
        <v>0.21726245822000553</v>
      </c>
      <c r="BS44" s="22">
        <f t="shared" si="9"/>
        <v>8.5287814700777762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18.899999999999999</v>
      </c>
      <c r="BY44" s="12">
        <f>IF('Données projet'!$A$114&gt;35,BY43+BX44-CG43,IF(A44&lt;'Données projet'!$A$114,$BV$205^A44,IF(A44='Données projet'!$A$114,'Données projet'!$B$114,BY43+BX44-CG43)))</f>
        <v>341.89999999999969</v>
      </c>
      <c r="BZ44" s="13">
        <f>BY44*VLOOKUP('Données projet'!$B$12,Paramètres!$A$1:$I$89,3,0)*VLOOKUP('Données projet'!$B$12,Paramètres!$A$1:$I$89,5,0)</f>
        <v>204.45619999999982</v>
      </c>
      <c r="CA44" s="13">
        <f t="shared" si="39"/>
        <v>50.722246056554653</v>
      </c>
      <c r="CB44" s="20">
        <f t="shared" si="10"/>
        <v>444.43579354849908</v>
      </c>
      <c r="CC44" s="59">
        <f t="shared" si="11"/>
        <v>737.76912688183234</v>
      </c>
      <c r="CD44" s="59">
        <f ca="1">AVERAGE(OFFSET($CC$3,0,0,'Données projet'!$E$12+1,1))-AVERAGE(OFFSET($H$3,0,0,'Données projet'!$E$12+1,1))</f>
        <v>392.08740055894992</v>
      </c>
      <c r="CE44" s="59">
        <f t="shared" si="40"/>
        <v>395.10797100415783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3.215515813010196</v>
      </c>
      <c r="CL44" s="21">
        <f>EXP(-LN(2)/25)*CL43+(1-EXP(-LN(2)/25))/(LN(2)/25)*Calculateur!CG44*Calculateur!CI44*VLOOKUP('Données projet'!$B$12,Paramètres!$A$1:$I$89,3,0)*0.475*44/12</f>
        <v>19.169253843341277</v>
      </c>
      <c r="CM44" s="21">
        <f>EXP(-LN(2)/2)*CM43+(1-EXP(-LN(2)/2))/(LN(2)/2)*CG44*CJ44*VLOOKUP('Données projet'!$B$12,Paramètres!$A$1:$I$89,3,0)*0.475*44/12</f>
        <v>0.76808001100014167</v>
      </c>
      <c r="CN44" s="22">
        <f t="shared" si="12"/>
        <v>23.152849667351614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8.3000000000000007</v>
      </c>
      <c r="N45" s="13">
        <f>IF('Données projet'!$A$36&gt;35,N44+M45-V44,IF(A45&lt;'Données projet'!$A$36,$K$205^A45,IF(A45='Données projet'!$A$36,'Données projet'!$B$36,N44+M45-V44)))</f>
        <v>132.59999999999997</v>
      </c>
      <c r="O45" s="13">
        <f>N45*VLOOKUP('Données projet'!$B$9,Paramètres!$A$1:$I$89,3,0)*VLOOKUP('Données projet'!$B$9,Paramètres!$A$1:$I$89,5,0)</f>
        <v>119.97647999999997</v>
      </c>
      <c r="P45" s="13">
        <f t="shared" si="33"/>
        <v>31.669513577784763</v>
      </c>
      <c r="Q45" s="20">
        <f t="shared" si="53"/>
        <v>264.11677214797504</v>
      </c>
      <c r="R45" s="59">
        <f t="shared" si="0"/>
        <v>557.45010548130836</v>
      </c>
      <c r="S45" s="59">
        <f ca="1">AVERAGE(OFFSET($R$3,0,0,'Données projet'!$E$9+1,1))-AVERAGE(OFFSET($H$3,0,0,'Données projet'!$E$9+1,1))</f>
        <v>282.32472952059817</v>
      </c>
      <c r="T45" s="59">
        <f t="shared" si="34"/>
        <v>172.32171001882176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2.2268881712272965</v>
      </c>
      <c r="AB45" s="21">
        <f>EXP(-LN(2)/2)*AB44+(1-EXP(-LN(2)/2))/(LN(2)/2)*V45*Y45*VLOOKUP('Données projet'!$B$9,Paramètres!$A$1:$I$89,3,0)*0.475*44/12</f>
        <v>9.6708560225444176E-2</v>
      </c>
      <c r="AC45" s="22">
        <f t="shared" si="3"/>
        <v>2.3235967314527408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8.3000000000000007</v>
      </c>
      <c r="AI45" s="13">
        <f>IF('Données projet'!$A$62&gt;35,AI44+AH45-AQ44,IF(A45&lt;'Données projet'!$A$62,$AF$205^A45,IF(A45='Données projet'!$A$62,'Données projet'!$B$62,AI44+AH45-AQ44)))</f>
        <v>132.59999999999997</v>
      </c>
      <c r="AJ45" s="13">
        <f>AI45*VLOOKUP('Données projet'!$B$10,Paramètres!$A$1:$I$89,3,0)*VLOOKUP('Données projet'!$B$10,Paramètres!$A$1:$I$89,5,0)</f>
        <v>134.45639999999997</v>
      </c>
      <c r="AK45" s="13">
        <f t="shared" si="35"/>
        <v>35.024073835162383</v>
      </c>
      <c r="AL45" s="20">
        <f t="shared" si="4"/>
        <v>295.17849192957436</v>
      </c>
      <c r="AM45" s="59">
        <f t="shared" si="5"/>
        <v>588.51182526290768</v>
      </c>
      <c r="AN45" s="59">
        <f ca="1">AVERAGE(OFFSET($AM$3,0,0,'Données projet'!$E$10+1,1))-AVERAGE(OFFSET($H$3,0,0,'Données projet'!$E$10+1,1))</f>
        <v>324.30660429578262</v>
      </c>
      <c r="AO45" s="59">
        <f t="shared" si="36"/>
        <v>197.04549436738586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2.4956505367202459</v>
      </c>
      <c r="AW45" s="21">
        <f>EXP(-LN(2)/2)*AW44+(1-EXP(-LN(2)/2))/(LN(2)/2)*AQ45*AT45*VLOOKUP('Données projet'!$B$10,Paramètres!$A$1:$I$89,3,0)*0.475*44/12</f>
        <v>0.10838028301127363</v>
      </c>
      <c r="AX45" s="21">
        <f t="shared" si="6"/>
        <v>2.6040308197315194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11.499999999999996</v>
      </c>
      <c r="BD45" s="12">
        <f>IF('Données projet'!$A$88&gt;35,BD44+BC45-BL44,IF(A45&lt;'Données projet'!$A$88,$BA$205^A45,IF(A45='Données projet'!$A$88,'Données projet'!$B$88,BD44+BC45-BL44)))</f>
        <v>231.1999999999999</v>
      </c>
      <c r="BE45" s="13">
        <f>BD45*VLOOKUP('Données projet'!$B$11,Paramètres!$A$1:$I$89,3,0)*VLOOKUP('Données projet'!$B$11,Paramètres!$A$1:$I$89,5,0)</f>
        <v>108.20159999999994</v>
      </c>
      <c r="BF45" s="13">
        <f t="shared" si="37"/>
        <v>28.906861857161235</v>
      </c>
      <c r="BG45" s="20">
        <f t="shared" si="7"/>
        <v>238.79723773455569</v>
      </c>
      <c r="BH45" s="59">
        <f t="shared" si="8"/>
        <v>532.13057106788904</v>
      </c>
      <c r="BI45" s="59">
        <f ca="1">AVERAGE(OFFSET($BH$3,0,0,'Données projet'!$E$11+1,1))-AVERAGE(OFFSET($H$3,0,0,'Données projet'!$E$11+1,1))</f>
        <v>252.98248842635206</v>
      </c>
      <c r="BJ45" s="59">
        <f t="shared" si="38"/>
        <v>207.11938580878308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2.4715494037097008</v>
      </c>
      <c r="BQ45" s="21">
        <f>EXP(-LN(2)/25)*BQ44+(1-EXP(-LN(2)/25))/(LN(2)/25)*Calculateur!BL45*Calculateur!BN45*VLOOKUP('Données projet'!$B$11,Paramètres!$A$1:$I$89,3,0)*0.475*44/12</f>
        <v>5.6321921680049245</v>
      </c>
      <c r="BR45" s="21">
        <f>EXP(-LN(2)/2)*BR44+(1-EXP(-LN(2)/2))/(LN(2)/2)*BL45*BO45*VLOOKUP('Données projet'!$B$11,Paramètres!$A$1:$I$89,3,0)*0.475*44/12</f>
        <v>0.15362775750462487</v>
      </c>
      <c r="BS45" s="22">
        <f t="shared" si="9"/>
        <v>8.2573693292192498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18.899999999999999</v>
      </c>
      <c r="BY45" s="12">
        <f>IF('Données projet'!$A$114&gt;35,BY44+BX45-CG44,IF(A45&lt;'Données projet'!$A$114,$BV$205^A45,IF(A45='Données projet'!$A$114,'Données projet'!$B$114,BY44+BX45-CG44)))</f>
        <v>360.79999999999967</v>
      </c>
      <c r="BZ45" s="13">
        <f>BY45*VLOOKUP('Données projet'!$B$12,Paramètres!$A$1:$I$89,3,0)*VLOOKUP('Données projet'!$B$12,Paramètres!$A$1:$I$89,5,0)</f>
        <v>215.7583999999998</v>
      </c>
      <c r="CA45" s="13">
        <f t="shared" si="39"/>
        <v>53.191952969002173</v>
      </c>
      <c r="CB45" s="20">
        <f t="shared" si="10"/>
        <v>468.42186475434511</v>
      </c>
      <c r="CC45" s="59">
        <f t="shared" si="11"/>
        <v>761.75519808767842</v>
      </c>
      <c r="CD45" s="59">
        <f ca="1">AVERAGE(OFFSET($CC$3,0,0,'Données projet'!$E$12+1,1))-AVERAGE(OFFSET($H$3,0,0,'Données projet'!$E$12+1,1))</f>
        <v>392.08740055894992</v>
      </c>
      <c r="CE45" s="59">
        <f t="shared" si="40"/>
        <v>395.10797100415783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3.1524615091880523</v>
      </c>
      <c r="CL45" s="21">
        <f>EXP(-LN(2)/25)*CL44+(1-EXP(-LN(2)/25))/(LN(2)/25)*Calculateur!CG45*Calculateur!CI45*VLOOKUP('Données projet'!$B$12,Paramètres!$A$1:$I$89,3,0)*0.475*44/12</f>
        <v>18.645069588927861</v>
      </c>
      <c r="CM45" s="21">
        <f>EXP(-LN(2)/2)*CM44+(1-EXP(-LN(2)/2))/(LN(2)/2)*CG45*CJ45*VLOOKUP('Données projet'!$B$12,Paramètres!$A$1:$I$89,3,0)*0.475*44/12</f>
        <v>0.54311458427203818</v>
      </c>
      <c r="CN45" s="22">
        <f t="shared" si="12"/>
        <v>22.340645682387951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8.3000000000000007</v>
      </c>
      <c r="N46" s="13">
        <f>IF('Données projet'!$A$36&gt;35,N45+M46-V45,IF(A46&lt;'Données projet'!$A$36,$K$205^A46,IF(A46='Données projet'!$A$36,'Données projet'!$B$36,N45+M46-V45)))</f>
        <v>140.89999999999998</v>
      </c>
      <c r="O46" s="13">
        <f>N46*VLOOKUP('Données projet'!$B$9,Paramètres!$A$1:$I$89,3,0)*VLOOKUP('Données projet'!$B$9,Paramètres!$A$1:$I$89,5,0)</f>
        <v>127.48631999999998</v>
      </c>
      <c r="P46" s="13">
        <f t="shared" si="33"/>
        <v>33.414863287066048</v>
      </c>
      <c r="Q46" s="20">
        <f t="shared" si="53"/>
        <v>280.23622755830667</v>
      </c>
      <c r="R46" s="59">
        <f t="shared" si="0"/>
        <v>573.56956089163998</v>
      </c>
      <c r="S46" s="59">
        <f ca="1">AVERAGE(OFFSET($R$3,0,0,'Données projet'!$E$9+1,1))-AVERAGE(OFFSET($H$3,0,0,'Données projet'!$E$9+1,1))</f>
        <v>282.32472952059817</v>
      </c>
      <c r="T46" s="59">
        <f t="shared" si="34"/>
        <v>172.32171001882176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2.1659937970781269</v>
      </c>
      <c r="AB46" s="21">
        <f>EXP(-LN(2)/2)*AB45+(1-EXP(-LN(2)/2))/(LN(2)/2)*V46*Y46*VLOOKUP('Données projet'!$B$9,Paramètres!$A$1:$I$89,3,0)*0.475*44/12</f>
        <v>6.8383278734199207E-2</v>
      </c>
      <c r="AC46" s="22">
        <f t="shared" si="3"/>
        <v>2.234377075812326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8.3000000000000007</v>
      </c>
      <c r="AI46" s="13">
        <f>IF('Données projet'!$A$62&gt;35,AI45+AH46-AQ45,IF(A46&lt;'Données projet'!$A$62,$AF$205^A46,IF(A46='Données projet'!$A$62,'Données projet'!$B$62,AI45+AH46-AQ45)))</f>
        <v>140.89999999999998</v>
      </c>
      <c r="AJ46" s="13">
        <f>AI46*VLOOKUP('Données projet'!$B$10,Paramètres!$A$1:$I$89,3,0)*VLOOKUP('Données projet'!$B$10,Paramètres!$A$1:$I$89,5,0)</f>
        <v>142.87260000000001</v>
      </c>
      <c r="AK46" s="13">
        <f t="shared" si="35"/>
        <v>36.954297895468954</v>
      </c>
      <c r="AL46" s="20">
        <f t="shared" si="4"/>
        <v>313.19851383460843</v>
      </c>
      <c r="AM46" s="59">
        <f t="shared" si="5"/>
        <v>606.53184716794181</v>
      </c>
      <c r="AN46" s="59">
        <f ca="1">AVERAGE(OFFSET($AM$3,0,0,'Données projet'!$E$10+1,1))-AVERAGE(OFFSET($H$3,0,0,'Données projet'!$E$10+1,1))</f>
        <v>324.30660429578262</v>
      </c>
      <c r="AO46" s="59">
        <f t="shared" si="36"/>
        <v>197.04549436738586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2.427406841553073</v>
      </c>
      <c r="AW46" s="21">
        <f>EXP(-LN(2)/2)*AW45+(1-EXP(-LN(2)/2))/(LN(2)/2)*AQ46*AT46*VLOOKUP('Données projet'!$B$10,Paramètres!$A$1:$I$89,3,0)*0.475*44/12</f>
        <v>7.6636433064188755E-2</v>
      </c>
      <c r="AX46" s="21">
        <f t="shared" si="6"/>
        <v>2.5040432746172616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11.499999999999996</v>
      </c>
      <c r="BD46" s="12">
        <f>IF('Données projet'!$A$88&gt;35,BD45+BC46-BL45,IF(A46&lt;'Données projet'!$A$88,$BA$205^A46,IF(A46='Données projet'!$A$88,'Données projet'!$B$88,BD45+BC46-BL45)))</f>
        <v>242.6999999999999</v>
      </c>
      <c r="BE46" s="13">
        <f>BD46*VLOOKUP('Données projet'!$B$11,Paramètres!$A$1:$I$89,3,0)*VLOOKUP('Données projet'!$B$11,Paramètres!$A$1:$I$89,5,0)</f>
        <v>113.58359999999995</v>
      </c>
      <c r="BF46" s="13">
        <f t="shared" si="37"/>
        <v>30.17372688298952</v>
      </c>
      <c r="BG46" s="20">
        <f t="shared" si="7"/>
        <v>250.37734432120666</v>
      </c>
      <c r="BH46" s="59">
        <f t="shared" si="8"/>
        <v>543.71067765453995</v>
      </c>
      <c r="BI46" s="59">
        <f ca="1">AVERAGE(OFFSET($BH$3,0,0,'Données projet'!$E$11+1,1))-AVERAGE(OFFSET($H$3,0,0,'Données projet'!$E$11+1,1))</f>
        <v>252.98248842635206</v>
      </c>
      <c r="BJ46" s="59">
        <f t="shared" si="38"/>
        <v>207.11938580878308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2.4230838273992368</v>
      </c>
      <c r="BQ46" s="21">
        <f>EXP(-LN(2)/25)*BQ45+(1-EXP(-LN(2)/25))/(LN(2)/25)*Calculateur!BL46*Calculateur!BN46*VLOOKUP('Données projet'!$B$11,Paramètres!$A$1:$I$89,3,0)*0.475*44/12</f>
        <v>5.4781795769867161</v>
      </c>
      <c r="BR46" s="21">
        <f>EXP(-LN(2)/2)*BR45+(1-EXP(-LN(2)/2))/(LN(2)/2)*BL46*BO46*VLOOKUP('Données projet'!$B$11,Paramètres!$A$1:$I$89,3,0)*0.475*44/12</f>
        <v>0.10863122911000277</v>
      </c>
      <c r="BS46" s="22">
        <f t="shared" si="9"/>
        <v>8.0098946334959553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18.899999999999999</v>
      </c>
      <c r="BY46" s="12">
        <f>IF('Données projet'!$A$114&gt;35,BY45+BX46-CG45,IF(A46&lt;'Données projet'!$A$114,$BV$205^A46,IF(A46='Données projet'!$A$114,'Données projet'!$B$114,BY45+BX46-CG45)))</f>
        <v>379.69999999999965</v>
      </c>
      <c r="BZ46" s="13">
        <f>BY46*VLOOKUP('Données projet'!$B$12,Paramètres!$A$1:$I$89,3,0)*VLOOKUP('Données projet'!$B$12,Paramètres!$A$1:$I$89,5,0)</f>
        <v>227.06059999999979</v>
      </c>
      <c r="CA46" s="13">
        <f t="shared" si="39"/>
        <v>55.64663953218794</v>
      </c>
      <c r="CB46" s="20">
        <f t="shared" si="10"/>
        <v>492.38177551856029</v>
      </c>
      <c r="CC46" s="59">
        <f t="shared" si="11"/>
        <v>785.71510885189355</v>
      </c>
      <c r="CD46" s="59">
        <f ca="1">AVERAGE(OFFSET($CC$3,0,0,'Données projet'!$E$12+1,1))-AVERAGE(OFFSET($H$3,0,0,'Données projet'!$E$12+1,1))</f>
        <v>392.08740055894992</v>
      </c>
      <c r="CE46" s="59">
        <f t="shared" si="40"/>
        <v>395.10797100415783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3.0906436618045334</v>
      </c>
      <c r="CL46" s="21">
        <f>EXP(-LN(2)/25)*CL45+(1-EXP(-LN(2)/25))/(LN(2)/25)*Calculateur!CG46*Calculateur!CI46*VLOOKUP('Données projet'!$B$12,Paramètres!$A$1:$I$89,3,0)*0.475*44/12</f>
        <v>18.135219180517034</v>
      </c>
      <c r="CM46" s="21">
        <f>EXP(-LN(2)/2)*CM45+(1-EXP(-LN(2)/2))/(LN(2)/2)*CG46*CJ46*VLOOKUP('Données projet'!$B$12,Paramètres!$A$1:$I$89,3,0)*0.475*44/12</f>
        <v>0.38404000550007084</v>
      </c>
      <c r="CN46" s="22">
        <f t="shared" si="12"/>
        <v>21.60990284782164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8.3000000000000007</v>
      </c>
      <c r="N47" s="13">
        <f>IF('Données projet'!$A$36&gt;35,N46+M47-V46,IF(A47&lt;'Données projet'!$A$36,$K$205^A47,IF(A47='Données projet'!$A$36,'Données projet'!$B$36,N46+M47-V46)))</f>
        <v>149.19999999999999</v>
      </c>
      <c r="O47" s="13">
        <f>N47*VLOOKUP('Données projet'!$B$9,Paramètres!$A$1:$I$89,3,0)*VLOOKUP('Données projet'!$B$9,Paramètres!$A$1:$I$89,5,0)</f>
        <v>134.99615999999997</v>
      </c>
      <c r="P47" s="13">
        <f t="shared" si="33"/>
        <v>35.148279172043118</v>
      </c>
      <c r="Q47" s="20">
        <f t="shared" si="53"/>
        <v>296.33489822464168</v>
      </c>
      <c r="R47" s="59">
        <f t="shared" si="0"/>
        <v>589.66823155797499</v>
      </c>
      <c r="S47" s="59">
        <f ca="1">AVERAGE(OFFSET($R$3,0,0,'Données projet'!$E$9+1,1))-AVERAGE(OFFSET($H$3,0,0,'Données projet'!$E$9+1,1))</f>
        <v>282.32472952059817</v>
      </c>
      <c r="T47" s="59">
        <f t="shared" si="34"/>
        <v>172.32171001882176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2.106764582792362</v>
      </c>
      <c r="AB47" s="21">
        <f>EXP(-LN(2)/2)*AB46+(1-EXP(-LN(2)/2))/(LN(2)/2)*V47*Y47*VLOOKUP('Données projet'!$B$9,Paramètres!$A$1:$I$89,3,0)*0.475*44/12</f>
        <v>4.8354280112722088E-2</v>
      </c>
      <c r="AC47" s="22">
        <f t="shared" si="3"/>
        <v>2.1551188629050841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8.3000000000000007</v>
      </c>
      <c r="AI47" s="13">
        <f>IF('Données projet'!$A$62&gt;35,AI46+AH47-AQ46,IF(A47&lt;'Données projet'!$A$62,$AF$205^A47,IF(A47='Données projet'!$A$62,'Données projet'!$B$62,AI46+AH47-AQ46)))</f>
        <v>149.19999999999999</v>
      </c>
      <c r="AJ47" s="13">
        <f>AI47*VLOOKUP('Données projet'!$B$10,Paramètres!$A$1:$I$89,3,0)*VLOOKUP('Données projet'!$B$10,Paramètres!$A$1:$I$89,5,0)</f>
        <v>151.28879999999998</v>
      </c>
      <c r="AK47" s="13">
        <f t="shared" si="35"/>
        <v>38.871324053555178</v>
      </c>
      <c r="AL47" s="20">
        <f t="shared" si="4"/>
        <v>331.19554939327526</v>
      </c>
      <c r="AM47" s="59">
        <f t="shared" si="5"/>
        <v>624.52888272660857</v>
      </c>
      <c r="AN47" s="59">
        <f ca="1">AVERAGE(OFFSET($AM$3,0,0,'Données projet'!$E$10+1,1))-AVERAGE(OFFSET($H$3,0,0,'Données projet'!$E$10+1,1))</f>
        <v>324.30660429578262</v>
      </c>
      <c r="AO47" s="59">
        <f t="shared" si="36"/>
        <v>197.04549436738586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2.3610292738190264</v>
      </c>
      <c r="AW47" s="21">
        <f>EXP(-LN(2)/2)*AW46+(1-EXP(-LN(2)/2))/(LN(2)/2)*AQ47*AT47*VLOOKUP('Données projet'!$B$10,Paramètres!$A$1:$I$89,3,0)*0.475*44/12</f>
        <v>5.4190141505636814E-2</v>
      </c>
      <c r="AX47" s="21">
        <f t="shared" si="6"/>
        <v>2.4152194153246631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11.499999999999996</v>
      </c>
      <c r="BD47" s="12">
        <f>IF('Données projet'!$A$88&gt;35,BD46+BC47-BL46,IF(A47&lt;'Données projet'!$A$88,$BA$205^A47,IF(A47='Données projet'!$A$88,'Données projet'!$B$88,BD46+BC47-BL46)))</f>
        <v>254.1999999999999</v>
      </c>
      <c r="BE47" s="13">
        <f>BD47*VLOOKUP('Données projet'!$B$11,Paramètres!$A$1:$I$89,3,0)*VLOOKUP('Données projet'!$B$11,Paramètres!$A$1:$I$89,5,0)</f>
        <v>118.96559999999995</v>
      </c>
      <c r="BF47" s="13">
        <f t="shared" si="37"/>
        <v>31.433621056182272</v>
      </c>
      <c r="BG47" s="20">
        <f t="shared" si="7"/>
        <v>261.945310006184</v>
      </c>
      <c r="BH47" s="59">
        <f t="shared" si="8"/>
        <v>555.27864333951732</v>
      </c>
      <c r="BI47" s="59">
        <f ca="1">AVERAGE(OFFSET($BH$3,0,0,'Données projet'!$E$11+1,1))-AVERAGE(OFFSET($H$3,0,0,'Données projet'!$E$11+1,1))</f>
        <v>252.98248842635206</v>
      </c>
      <c r="BJ47" s="59">
        <f t="shared" si="38"/>
        <v>207.11938580878308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2.3755686314791387</v>
      </c>
      <c r="BQ47" s="21">
        <f>EXP(-LN(2)/25)*BQ46+(1-EXP(-LN(2)/25))/(LN(2)/25)*Calculateur!BL47*Calculateur!BN47*VLOOKUP('Données projet'!$B$11,Paramètres!$A$1:$I$89,3,0)*0.475*44/12</f>
        <v>5.3283784683690714</v>
      </c>
      <c r="BR47" s="21">
        <f>EXP(-LN(2)/2)*BR46+(1-EXP(-LN(2)/2))/(LN(2)/2)*BL47*BO47*VLOOKUP('Données projet'!$B$11,Paramètres!$A$1:$I$89,3,0)*0.475*44/12</f>
        <v>7.6813878752312437E-2</v>
      </c>
      <c r="BS47" s="22">
        <f t="shared" si="9"/>
        <v>7.7807609786005223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18.899999999999999</v>
      </c>
      <c r="BY47" s="12">
        <f>IF('Données projet'!$A$114&gt;35,BY46+BX47-CG46,IF(A47&lt;'Données projet'!$A$114,$BV$205^A47,IF(A47='Données projet'!$A$114,'Données projet'!$B$114,BY46+BX47-CG46)))</f>
        <v>398.59999999999962</v>
      </c>
      <c r="BZ47" s="13">
        <f>BY47*VLOOKUP('Données projet'!$B$12,Paramètres!$A$1:$I$89,3,0)*VLOOKUP('Données projet'!$B$12,Paramètres!$A$1:$I$89,5,0)</f>
        <v>238.36279999999977</v>
      </c>
      <c r="CA47" s="13">
        <f t="shared" si="39"/>
        <v>58.087138719197618</v>
      </c>
      <c r="CB47" s="20">
        <f t="shared" si="10"/>
        <v>516.31697660260215</v>
      </c>
      <c r="CC47" s="59">
        <f t="shared" si="11"/>
        <v>809.65030993593541</v>
      </c>
      <c r="CD47" s="59">
        <f ca="1">AVERAGE(OFFSET($CC$3,0,0,'Données projet'!$E$12+1,1))-AVERAGE(OFFSET($H$3,0,0,'Données projet'!$E$12+1,1))</f>
        <v>392.08740055894992</v>
      </c>
      <c r="CE47" s="59">
        <f t="shared" si="40"/>
        <v>395.10797100415783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3.0300380247030416</v>
      </c>
      <c r="CL47" s="21">
        <f>EXP(-LN(2)/25)*CL46+(1-EXP(-LN(2)/25))/(LN(2)/25)*Calculateur!CG47*Calculateur!CI47*VLOOKUP('Données projet'!$B$12,Paramètres!$A$1:$I$89,3,0)*0.475*44/12</f>
        <v>17.639310658336068</v>
      </c>
      <c r="CM47" s="21">
        <f>EXP(-LN(2)/2)*CM46+(1-EXP(-LN(2)/2))/(LN(2)/2)*CG47*CJ47*VLOOKUP('Données projet'!$B$12,Paramètres!$A$1:$I$89,3,0)*0.475*44/12</f>
        <v>0.27155729213601909</v>
      </c>
      <c r="CN47" s="22">
        <f t="shared" si="12"/>
        <v>20.940905975175131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8.3000000000000007</v>
      </c>
      <c r="N48" s="13">
        <f>IF('Données projet'!$A$36&gt;35,N47+M48-V47,IF(A48&lt;'Données projet'!$A$36,$K$205^A48,IF(A48='Données projet'!$A$36,'Données projet'!$B$36,N47+M48-V47)))</f>
        <v>157.5</v>
      </c>
      <c r="O48" s="13">
        <f>N48*VLOOKUP('Données projet'!$B$9,Paramètres!$A$1:$I$89,3,0)*VLOOKUP('Données projet'!$B$9,Paramètres!$A$1:$I$89,5,0)</f>
        <v>142.506</v>
      </c>
      <c r="P48" s="13">
        <f t="shared" si="33"/>
        <v>36.870500776307537</v>
      </c>
      <c r="Q48" s="20">
        <f t="shared" si="53"/>
        <v>312.41407218540223</v>
      </c>
      <c r="R48" s="59">
        <f t="shared" si="0"/>
        <v>605.7474055187356</v>
      </c>
      <c r="S48" s="59">
        <f ca="1">AVERAGE(OFFSET($R$3,0,0,'Données projet'!$E$9+1,1))-AVERAGE(OFFSET($H$3,0,0,'Données projet'!$E$9+1,1))</f>
        <v>282.32472952059817</v>
      </c>
      <c r="T48" s="59">
        <f t="shared" si="34"/>
        <v>172.32171001882176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2.0491549944859706</v>
      </c>
      <c r="AB48" s="21">
        <f>EXP(-LN(2)/2)*AB47+(1-EXP(-LN(2)/2))/(LN(2)/2)*V48*Y48*VLOOKUP('Données projet'!$B$9,Paramètres!$A$1:$I$89,3,0)*0.475*44/12</f>
        <v>3.4191639367099604E-2</v>
      </c>
      <c r="AC48" s="22">
        <f t="shared" si="3"/>
        <v>2.0833466338530702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8.3000000000000007</v>
      </c>
      <c r="AI48" s="13">
        <f>IF('Données projet'!$A$62&gt;35,AI47+AH48-AQ47,IF(A48&lt;'Données projet'!$A$62,$AF$205^A48,IF(A48='Données projet'!$A$62,'Données projet'!$B$62,AI47+AH48-AQ47)))</f>
        <v>157.5</v>
      </c>
      <c r="AJ48" s="13">
        <f>AI48*VLOOKUP('Données projet'!$B$10,Paramètres!$A$1:$I$89,3,0)*VLOOKUP('Données projet'!$B$10,Paramètres!$A$1:$I$89,5,0)</f>
        <v>159.70500000000001</v>
      </c>
      <c r="AK48" s="13">
        <f t="shared" si="35"/>
        <v>40.775970188397643</v>
      </c>
      <c r="AL48" s="20">
        <f t="shared" si="4"/>
        <v>349.17102307812593</v>
      </c>
      <c r="AM48" s="59">
        <f t="shared" si="5"/>
        <v>642.50435641145918</v>
      </c>
      <c r="AN48" s="59">
        <f ca="1">AVERAGE(OFFSET($AM$3,0,0,'Données projet'!$E$10+1,1))-AVERAGE(OFFSET($H$3,0,0,'Données projet'!$E$10+1,1))</f>
        <v>324.30660429578262</v>
      </c>
      <c r="AO48" s="59">
        <f t="shared" si="36"/>
        <v>197.04549436738586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2.2964668041653118</v>
      </c>
      <c r="AW48" s="21">
        <f>EXP(-LN(2)/2)*AW47+(1-EXP(-LN(2)/2))/(LN(2)/2)*AQ48*AT48*VLOOKUP('Données projet'!$B$10,Paramètres!$A$1:$I$89,3,0)*0.475*44/12</f>
        <v>3.8318216532094378E-2</v>
      </c>
      <c r="AX48" s="21">
        <f t="shared" si="6"/>
        <v>2.3347850206974061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11.499999999999996</v>
      </c>
      <c r="BD48" s="12">
        <f>IF('Données projet'!$A$88&gt;35,BD47+BC48-BL47,IF(A48&lt;'Données projet'!$A$88,$BA$205^A48,IF(A48='Données projet'!$A$88,'Données projet'!$B$88,BD47+BC48-BL47)))</f>
        <v>265.69999999999987</v>
      </c>
      <c r="BE48" s="13">
        <f>BD48*VLOOKUP('Données projet'!$B$11,Paramètres!$A$1:$I$89,3,0)*VLOOKUP('Données projet'!$B$11,Paramètres!$A$1:$I$89,5,0)</f>
        <v>124.34759999999994</v>
      </c>
      <c r="BF48" s="13">
        <f t="shared" si="37"/>
        <v>32.68689576547478</v>
      </c>
      <c r="BG48" s="20">
        <f t="shared" si="7"/>
        <v>273.50174679153514</v>
      </c>
      <c r="BH48" s="59">
        <f t="shared" si="8"/>
        <v>566.83508012486845</v>
      </c>
      <c r="BI48" s="59">
        <f ca="1">AVERAGE(OFFSET($BH$3,0,0,'Données projet'!$E$11+1,1))-AVERAGE(OFFSET($H$3,0,0,'Données projet'!$E$11+1,1))</f>
        <v>252.98248842635206</v>
      </c>
      <c r="BJ48" s="59">
        <f t="shared" si="38"/>
        <v>207.11938580878308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2.3289851795696257</v>
      </c>
      <c r="BQ48" s="21">
        <f>EXP(-LN(2)/25)*BQ47+(1-EXP(-LN(2)/25))/(LN(2)/25)*Calculateur!BL48*Calculateur!BN48*VLOOKUP('Données projet'!$B$11,Paramètres!$A$1:$I$89,3,0)*0.475*44/12</f>
        <v>5.1826736789442736</v>
      </c>
      <c r="BR48" s="21">
        <f>EXP(-LN(2)/2)*BR47+(1-EXP(-LN(2)/2))/(LN(2)/2)*BL48*BO48*VLOOKUP('Données projet'!$B$11,Paramètres!$A$1:$I$89,3,0)*0.475*44/12</f>
        <v>5.4315614555001383E-2</v>
      </c>
      <c r="BS48" s="22">
        <f t="shared" si="9"/>
        <v>7.5659744730689003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18.899999999999999</v>
      </c>
      <c r="BY48" s="12">
        <f>IF('Données projet'!$A$114&gt;35,BY47+BX48-CG47,IF(A48&lt;'Données projet'!$A$114,$BV$205^A48,IF(A48='Données projet'!$A$114,'Données projet'!$B$114,BY47+BX48-CG47)))</f>
        <v>417.4999999999996</v>
      </c>
      <c r="BZ48" s="13">
        <f>BY48*VLOOKUP('Données projet'!$B$12,Paramètres!$A$1:$I$89,3,0)*VLOOKUP('Données projet'!$B$12,Paramètres!$A$1:$I$89,5,0)</f>
        <v>249.66499999999976</v>
      </c>
      <c r="CA48" s="13">
        <f t="shared" si="39"/>
        <v>60.514200047035871</v>
      </c>
      <c r="CB48" s="20">
        <f t="shared" si="10"/>
        <v>540.22877341525373</v>
      </c>
      <c r="CC48" s="59">
        <f t="shared" si="11"/>
        <v>833.56210674858698</v>
      </c>
      <c r="CD48" s="59">
        <f ca="1">AVERAGE(OFFSET($CC$3,0,0,'Données projet'!$E$12+1,1))-AVERAGE(OFFSET($H$3,0,0,'Données projet'!$E$12+1,1))</f>
        <v>392.08740055894992</v>
      </c>
      <c r="CE48" s="59">
        <f t="shared" si="40"/>
        <v>395.10797100415783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2.9706208271793213</v>
      </c>
      <c r="CL48" s="21">
        <f>EXP(-LN(2)/25)*CL47+(1-EXP(-LN(2)/25))/(LN(2)/25)*Calculateur!CG48*Calculateur!CI48*VLOOKUP('Données projet'!$B$12,Paramètres!$A$1:$I$89,3,0)*0.475*44/12</f>
        <v>17.156962780772837</v>
      </c>
      <c r="CM48" s="21">
        <f>EXP(-LN(2)/2)*CM47+(1-EXP(-LN(2)/2))/(LN(2)/2)*CG48*CJ48*VLOOKUP('Données projet'!$B$12,Paramètres!$A$1:$I$89,3,0)*0.475*44/12</f>
        <v>0.19202000275003542</v>
      </c>
      <c r="CN48" s="22">
        <f t="shared" si="12"/>
        <v>20.319603610702192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8.3000000000000007</v>
      </c>
      <c r="N49" s="13">
        <f>IF('Données projet'!$A$36&gt;35,N48+M49-V48,IF(A49&lt;'Données projet'!$A$36,$K$205^A49,IF(A49='Données projet'!$A$36,'Données projet'!$B$36,N48+M49-V48)))</f>
        <v>165.8</v>
      </c>
      <c r="O49" s="13">
        <f>N49*VLOOKUP('Données projet'!$B$9,Paramètres!$A$1:$I$89,3,0)*VLOOKUP('Données projet'!$B$9,Paramètres!$A$1:$I$89,5,0)</f>
        <v>150.01584</v>
      </c>
      <c r="P49" s="13">
        <f t="shared" si="33"/>
        <v>38.582185295570788</v>
      </c>
      <c r="Q49" s="20">
        <f t="shared" si="53"/>
        <v>328.47489405645246</v>
      </c>
      <c r="R49" s="59">
        <f t="shared" si="0"/>
        <v>621.80822738978577</v>
      </c>
      <c r="S49" s="59">
        <f ca="1">AVERAGE(OFFSET($R$3,0,0,'Données projet'!$E$9+1,1))-AVERAGE(OFFSET($H$3,0,0,'Données projet'!$E$9+1,1))</f>
        <v>282.32472952059817</v>
      </c>
      <c r="T49" s="59">
        <f t="shared" si="34"/>
        <v>172.32171001882176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1.993120743401374</v>
      </c>
      <c r="AB49" s="21">
        <f>EXP(-LN(2)/2)*AB48+(1-EXP(-LN(2)/2))/(LN(2)/2)*V49*Y49*VLOOKUP('Données projet'!$B$9,Paramètres!$A$1:$I$89,3,0)*0.475*44/12</f>
        <v>2.4177140056361044E-2</v>
      </c>
      <c r="AC49" s="22">
        <f t="shared" si="3"/>
        <v>2.0172978834577351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8.3000000000000007</v>
      </c>
      <c r="AI49" s="13">
        <f>IF('Données projet'!$A$62&gt;35,AI48+AH49-AQ48,IF(A49&lt;'Données projet'!$A$62,$AF$205^A49,IF(A49='Données projet'!$A$62,'Données projet'!$B$62,AI48+AH49-AQ48)))</f>
        <v>165.8</v>
      </c>
      <c r="AJ49" s="13">
        <f>AI49*VLOOKUP('Données projet'!$B$10,Paramètres!$A$1:$I$89,3,0)*VLOOKUP('Données projet'!$B$10,Paramètres!$A$1:$I$89,5,0)</f>
        <v>168.12120000000002</v>
      </c>
      <c r="AK49" s="13">
        <f t="shared" si="35"/>
        <v>42.668963108479424</v>
      </c>
      <c r="AL49" s="20">
        <f t="shared" si="4"/>
        <v>367.12620074726834</v>
      </c>
      <c r="AM49" s="59">
        <f t="shared" si="5"/>
        <v>660.45953408060166</v>
      </c>
      <c r="AN49" s="59">
        <f ca="1">AVERAGE(OFFSET($AM$3,0,0,'Données projet'!$E$10+1,1))-AVERAGE(OFFSET($H$3,0,0,'Données projet'!$E$10+1,1))</f>
        <v>324.30660429578262</v>
      </c>
      <c r="AO49" s="59">
        <f t="shared" si="36"/>
        <v>197.04549436738586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2.2336697986394709</v>
      </c>
      <c r="AW49" s="21">
        <f>EXP(-LN(2)/2)*AW48+(1-EXP(-LN(2)/2))/(LN(2)/2)*AQ49*AT49*VLOOKUP('Données projet'!$B$10,Paramètres!$A$1:$I$89,3,0)*0.475*44/12</f>
        <v>2.7095070752818407E-2</v>
      </c>
      <c r="AX49" s="21">
        <f t="shared" si="6"/>
        <v>2.2607648693922893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11.499999999999996</v>
      </c>
      <c r="BD49" s="12">
        <f>IF('Données projet'!$A$88&gt;35,BD48+BC49-BL48,IF(A49&lt;'Données projet'!$A$88,$BA$205^A49,IF(A49='Données projet'!$A$88,'Données projet'!$B$88,BD48+BC49-BL48)))</f>
        <v>277.19999999999987</v>
      </c>
      <c r="BE49" s="13">
        <f>BD49*VLOOKUP('Données projet'!$B$11,Paramètres!$A$1:$I$89,3,0)*VLOOKUP('Données projet'!$B$11,Paramètres!$A$1:$I$89,5,0)</f>
        <v>129.72959999999992</v>
      </c>
      <c r="BF49" s="13">
        <f t="shared" si="37"/>
        <v>33.933870261867483</v>
      </c>
      <c r="BG49" s="20">
        <f t="shared" si="7"/>
        <v>285.04721070608576</v>
      </c>
      <c r="BH49" s="59">
        <f t="shared" si="8"/>
        <v>578.38054403941908</v>
      </c>
      <c r="BI49" s="59">
        <f ca="1">AVERAGE(OFFSET($BH$3,0,0,'Données projet'!$E$11+1,1))-AVERAGE(OFFSET($H$3,0,0,'Données projet'!$E$11+1,1))</f>
        <v>252.98248842635206</v>
      </c>
      <c r="BJ49" s="59">
        <f t="shared" si="38"/>
        <v>207.11938580878308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2.2833152007389583</v>
      </c>
      <c r="BQ49" s="21">
        <f>EXP(-LN(2)/25)*BQ48+(1-EXP(-LN(2)/25))/(LN(2)/25)*Calculateur!BL49*Calculateur!BN49*VLOOKUP('Données projet'!$B$11,Paramètres!$A$1:$I$89,3,0)*0.475*44/12</f>
        <v>5.040953194648579</v>
      </c>
      <c r="BR49" s="21">
        <f>EXP(-LN(2)/2)*BR48+(1-EXP(-LN(2)/2))/(LN(2)/2)*BL49*BO49*VLOOKUP('Données projet'!$B$11,Paramètres!$A$1:$I$89,3,0)*0.475*44/12</f>
        <v>3.8406939376156218E-2</v>
      </c>
      <c r="BS49" s="22">
        <f t="shared" si="9"/>
        <v>7.3626753347636944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18.899999999999999</v>
      </c>
      <c r="BY49" s="12">
        <f>IF('Données projet'!$A$114&gt;35,BY48+BX49-CG48,IF(A49&lt;'Données projet'!$A$114,$BV$205^A49,IF(A49='Données projet'!$A$114,'Données projet'!$B$114,BY48+BX49-CG48)))</f>
        <v>436.39999999999958</v>
      </c>
      <c r="BZ49" s="13">
        <f>BY49*VLOOKUP('Données projet'!$B$12,Paramètres!$A$1:$I$89,3,0)*VLOOKUP('Données projet'!$B$12,Paramètres!$A$1:$I$89,5,0)</f>
        <v>260.96719999999976</v>
      </c>
      <c r="CA49" s="13">
        <f t="shared" si="39"/>
        <v>62.928501336208789</v>
      </c>
      <c r="CB49" s="20">
        <f t="shared" si="10"/>
        <v>564.11834649389664</v>
      </c>
      <c r="CC49" s="59">
        <f t="shared" si="11"/>
        <v>857.45167982723001</v>
      </c>
      <c r="CD49" s="59">
        <f ca="1">AVERAGE(OFFSET($CC$3,0,0,'Données projet'!$E$12+1,1))-AVERAGE(OFFSET($H$3,0,0,'Données projet'!$E$12+1,1))</f>
        <v>392.08740055894992</v>
      </c>
      <c r="CE49" s="59">
        <f t="shared" si="40"/>
        <v>395.10797100415783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2.9123687646581291</v>
      </c>
      <c r="CL49" s="21">
        <f>EXP(-LN(2)/25)*CL48+(1-EXP(-LN(2)/25))/(LN(2)/25)*Calculateur!CG49*Calculateur!CI49*VLOOKUP('Données projet'!$B$12,Paramètres!$A$1:$I$89,3,0)*0.475*44/12</f>
        <v>16.687804731287144</v>
      </c>
      <c r="CM49" s="21">
        <f>EXP(-LN(2)/2)*CM48+(1-EXP(-LN(2)/2))/(LN(2)/2)*CG49*CJ49*VLOOKUP('Données projet'!$B$12,Paramètres!$A$1:$I$89,3,0)*0.475*44/12</f>
        <v>0.13577864606800955</v>
      </c>
      <c r="CN49" s="22">
        <f t="shared" si="12"/>
        <v>19.735952142013282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8.3000000000000007</v>
      </c>
      <c r="N50" s="13">
        <f>IF('Données projet'!$A$36&gt;35,N49+M50-V49,IF(A50&lt;'Données projet'!$A$36,$K$205^A50,IF(A50='Données projet'!$A$36,'Données projet'!$B$36,N49+M50-V49)))</f>
        <v>174.10000000000002</v>
      </c>
      <c r="O50" s="13">
        <f>N50*VLOOKUP('Données projet'!$B$9,Paramètres!$A$1:$I$89,3,0)*VLOOKUP('Données projet'!$B$9,Paramètres!$A$1:$I$89,5,0)</f>
        <v>157.52568000000002</v>
      </c>
      <c r="P50" s="13">
        <f t="shared" si="33"/>
        <v>40.283920409774808</v>
      </c>
      <c r="Q50" s="20">
        <f t="shared" si="53"/>
        <v>344.51838738035781</v>
      </c>
      <c r="R50" s="59">
        <f t="shared" si="0"/>
        <v>637.85172071369107</v>
      </c>
      <c r="S50" s="59">
        <f ca="1">AVERAGE(OFFSET($R$3,0,0,'Données projet'!$E$9+1,1))-AVERAGE(OFFSET($H$3,0,0,'Données projet'!$E$9+1,1))</f>
        <v>282.32472952059817</v>
      </c>
      <c r="T50" s="59">
        <f t="shared" si="34"/>
        <v>172.32171001882176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1.9386187518593989</v>
      </c>
      <c r="AB50" s="21">
        <f>EXP(-LN(2)/2)*AB49+(1-EXP(-LN(2)/2))/(LN(2)/2)*V50*Y50*VLOOKUP('Données projet'!$B$9,Paramètres!$A$1:$I$89,3,0)*0.475*44/12</f>
        <v>1.7095819683549802E-2</v>
      </c>
      <c r="AC50" s="22">
        <f t="shared" si="3"/>
        <v>1.9557145715429487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8.3000000000000007</v>
      </c>
      <c r="AI50" s="13">
        <f>IF('Données projet'!$A$62&gt;35,AI49+AH50-AQ49,IF(A50&lt;'Données projet'!$A$62,$AF$205^A50,IF(A50='Données projet'!$A$62,'Données projet'!$B$62,AI49+AH50-AQ49)))</f>
        <v>174.10000000000002</v>
      </c>
      <c r="AJ50" s="13">
        <f>AI50*VLOOKUP('Données projet'!$B$10,Paramètres!$A$1:$I$89,3,0)*VLOOKUP('Données projet'!$B$10,Paramètres!$A$1:$I$89,5,0)</f>
        <v>176.53740000000005</v>
      </c>
      <c r="AK50" s="13">
        <f t="shared" si="35"/>
        <v>44.550952743128576</v>
      </c>
      <c r="AL50" s="20">
        <f t="shared" si="4"/>
        <v>385.06221436094899</v>
      </c>
      <c r="AM50" s="59">
        <f t="shared" si="5"/>
        <v>678.3955476942823</v>
      </c>
      <c r="AN50" s="59">
        <f ca="1">AVERAGE(OFFSET($AM$3,0,0,'Données projet'!$E$10+1,1))-AVERAGE(OFFSET($H$3,0,0,'Données projet'!$E$10+1,1))</f>
        <v>324.30660429578262</v>
      </c>
      <c r="AO50" s="59">
        <f t="shared" si="36"/>
        <v>197.04549436738586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2.1725899805320852</v>
      </c>
      <c r="AW50" s="21">
        <f>EXP(-LN(2)/2)*AW49+(1-EXP(-LN(2)/2))/(LN(2)/2)*AQ50*AT50*VLOOKUP('Données projet'!$B$10,Paramètres!$A$1:$I$89,3,0)*0.475*44/12</f>
        <v>1.9159108266047189E-2</v>
      </c>
      <c r="AX50" s="21">
        <f t="shared" si="6"/>
        <v>2.1917490887981326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11.499999999999996</v>
      </c>
      <c r="BD50" s="12">
        <f>IF('Données projet'!$A$88&gt;35,BD49+BC50-BL49,IF(A50&lt;'Données projet'!$A$88,$BA$205^A50,IF(A50='Données projet'!$A$88,'Données projet'!$B$88,BD49+BC50-BL49)))</f>
        <v>288.69999999999987</v>
      </c>
      <c r="BE50" s="13">
        <f>BD50*VLOOKUP('Données projet'!$B$11,Paramètres!$A$1:$I$89,3,0)*VLOOKUP('Données projet'!$B$11,Paramètres!$A$1:$I$89,5,0)</f>
        <v>135.11159999999992</v>
      </c>
      <c r="BF50" s="13">
        <f t="shared" si="37"/>
        <v>35.174835808562257</v>
      </c>
      <c r="BG50" s="20">
        <f t="shared" si="7"/>
        <v>296.58220903324576</v>
      </c>
      <c r="BH50" s="59">
        <f t="shared" si="8"/>
        <v>589.91554236657907</v>
      </c>
      <c r="BI50" s="59">
        <f ca="1">AVERAGE(OFFSET($BH$3,0,0,'Données projet'!$E$11+1,1))-AVERAGE(OFFSET($H$3,0,0,'Données projet'!$E$11+1,1))</f>
        <v>252.98248842635206</v>
      </c>
      <c r="BJ50" s="59">
        <f t="shared" si="38"/>
        <v>207.11938580878308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2.2385407823372234</v>
      </c>
      <c r="BQ50" s="21">
        <f>EXP(-LN(2)/25)*BQ49+(1-EXP(-LN(2)/25))/(LN(2)/25)*Calculateur!BL50*Calculateur!BN50*VLOOKUP('Données projet'!$B$11,Paramètres!$A$1:$I$89,3,0)*0.475*44/12</f>
        <v>4.9031080644487064</v>
      </c>
      <c r="BR50" s="21">
        <f>EXP(-LN(2)/2)*BR49+(1-EXP(-LN(2)/2))/(LN(2)/2)*BL50*BO50*VLOOKUP('Données projet'!$B$11,Paramètres!$A$1:$I$89,3,0)*0.475*44/12</f>
        <v>2.7157807277500692E-2</v>
      </c>
      <c r="BS50" s="22">
        <f t="shared" si="9"/>
        <v>7.168806654063431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18.899999999999999</v>
      </c>
      <c r="BY50" s="12">
        <f>IF('Données projet'!$A$114&gt;35,BY49+BX50-CG49,IF(A50&lt;'Données projet'!$A$114,$BV$205^A50,IF(A50='Données projet'!$A$114,'Données projet'!$B$114,BY49+BX50-CG49)))</f>
        <v>455.29999999999956</v>
      </c>
      <c r="BZ50" s="13">
        <f>BY50*VLOOKUP('Données projet'!$B$12,Paramètres!$A$1:$I$89,3,0)*VLOOKUP('Données projet'!$B$12,Paramètres!$A$1:$I$89,5,0)</f>
        <v>272.26939999999979</v>
      </c>
      <c r="CA50" s="13">
        <f t="shared" si="39"/>
        <v>65.330658375654735</v>
      </c>
      <c r="CB50" s="20">
        <f t="shared" si="10"/>
        <v>587.98676833759816</v>
      </c>
      <c r="CC50" s="59">
        <f t="shared" si="11"/>
        <v>881.32010167093154</v>
      </c>
      <c r="CD50" s="59">
        <f ca="1">AVERAGE(OFFSET($CC$3,0,0,'Données projet'!$E$12+1,1))-AVERAGE(OFFSET($H$3,0,0,'Données projet'!$E$12+1,1))</f>
        <v>392.08740055894992</v>
      </c>
      <c r="CE50" s="59">
        <f t="shared" si="40"/>
        <v>395.10797100415783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2.8552589895527278</v>
      </c>
      <c r="CL50" s="21">
        <f>EXP(-LN(2)/25)*CL49+(1-EXP(-LN(2)/25))/(LN(2)/25)*Calculateur!CG50*Calculateur!CI50*VLOOKUP('Données projet'!$B$12,Paramètres!$A$1:$I$89,3,0)*0.475*44/12</f>
        <v>16.231475833336589</v>
      </c>
      <c r="CM50" s="21">
        <f>EXP(-LN(2)/2)*CM49+(1-EXP(-LN(2)/2))/(LN(2)/2)*CG50*CJ50*VLOOKUP('Données projet'!$B$12,Paramètres!$A$1:$I$89,3,0)*0.475*44/12</f>
        <v>9.6010001375017709E-2</v>
      </c>
      <c r="CN50" s="22">
        <f t="shared" si="12"/>
        <v>19.182744824264333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8.3000000000000007</v>
      </c>
      <c r="N51" s="13">
        <f>IF('Données projet'!$A$36&gt;35,N50+M51-V50,IF(A51&lt;'Données projet'!$A$36,$K$205^A51,IF(A51='Données projet'!$A$36,'Données projet'!$B$36,N50+M51-V50)))</f>
        <v>182.40000000000003</v>
      </c>
      <c r="O51" s="13">
        <f>N51*VLOOKUP('Données projet'!$B$9,Paramètres!$A$1:$I$89,3,0)*VLOOKUP('Données projet'!$B$9,Paramètres!$A$1:$I$89,5,0)</f>
        <v>165.03552000000002</v>
      </c>
      <c r="P51" s="13">
        <f t="shared" si="33"/>
        <v>41.976234598846517</v>
      </c>
      <c r="Q51" s="20">
        <f t="shared" si="53"/>
        <v>360.54547259299108</v>
      </c>
      <c r="R51" s="59">
        <f t="shared" si="0"/>
        <v>653.87880592632439</v>
      </c>
      <c r="S51" s="59">
        <f ca="1">AVERAGE(OFFSET($R$3,0,0,'Données projet'!$E$9+1,1))-AVERAGE(OFFSET($H$3,0,0,'Données projet'!$E$9+1,1))</f>
        <v>282.32472952059817</v>
      </c>
      <c r="T51" s="59">
        <f t="shared" si="34"/>
        <v>172.32171001882176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1.8856071201422742</v>
      </c>
      <c r="AB51" s="21">
        <f>EXP(-LN(2)/2)*AB50+(1-EXP(-LN(2)/2))/(LN(2)/2)*V51*Y51*VLOOKUP('Données projet'!$B$9,Paramètres!$A$1:$I$89,3,0)*0.475*44/12</f>
        <v>1.2088570028180522E-2</v>
      </c>
      <c r="AC51" s="22">
        <f t="shared" si="3"/>
        <v>1.8976956901704547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8.3000000000000007</v>
      </c>
      <c r="AI51" s="13">
        <f>IF('Données projet'!$A$62&gt;35,AI50+AH51-AQ50,IF(A51&lt;'Données projet'!$A$62,$AF$205^A51,IF(A51='Données projet'!$A$62,'Données projet'!$B$62,AI50+AH51-AQ50)))</f>
        <v>182.40000000000003</v>
      </c>
      <c r="AJ51" s="13">
        <f>AI51*VLOOKUP('Données projet'!$B$10,Paramètres!$A$1:$I$89,3,0)*VLOOKUP('Données projet'!$B$10,Paramètres!$A$1:$I$89,5,0)</f>
        <v>184.95360000000005</v>
      </c>
      <c r="AK51" s="13">
        <f t="shared" si="35"/>
        <v>46.42252355095799</v>
      </c>
      <c r="AL51" s="20">
        <f t="shared" si="4"/>
        <v>402.9800818512519</v>
      </c>
      <c r="AM51" s="59">
        <f t="shared" si="5"/>
        <v>696.31341518458521</v>
      </c>
      <c r="AN51" s="59">
        <f ca="1">AVERAGE(OFFSET($AM$3,0,0,'Données projet'!$E$10+1,1))-AVERAGE(OFFSET($H$3,0,0,'Données projet'!$E$10+1,1))</f>
        <v>324.30660429578262</v>
      </c>
      <c r="AO51" s="59">
        <f t="shared" si="36"/>
        <v>197.04549436738586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2.1131803932628936</v>
      </c>
      <c r="AW51" s="21">
        <f>EXP(-LN(2)/2)*AW50+(1-EXP(-LN(2)/2))/(LN(2)/2)*AQ51*AT51*VLOOKUP('Données projet'!$B$10,Paramètres!$A$1:$I$89,3,0)*0.475*44/12</f>
        <v>1.3547535376409204E-2</v>
      </c>
      <c r="AX51" s="21">
        <f t="shared" si="6"/>
        <v>2.126727928639303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11.499999999999996</v>
      </c>
      <c r="BD51" s="12">
        <f>IF('Données projet'!$A$88&gt;35,BD50+BC51-BL50,IF(A51&lt;'Données projet'!$A$88,$BA$205^A51,IF(A51='Données projet'!$A$88,'Données projet'!$B$88,BD50+BC51-BL50)))</f>
        <v>300.19999999999987</v>
      </c>
      <c r="BE51" s="13">
        <f>BD51*VLOOKUP('Données projet'!$B$11,Paramètres!$A$1:$I$89,3,0)*VLOOKUP('Données projet'!$B$11,Paramètres!$A$1:$I$89,5,0)</f>
        <v>140.49359999999993</v>
      </c>
      <c r="BF51" s="13">
        <f t="shared" si="37"/>
        <v>36.410059151057915</v>
      </c>
      <c r="BG51" s="20">
        <f t="shared" si="7"/>
        <v>308.10720635475906</v>
      </c>
      <c r="BH51" s="59">
        <f t="shared" si="8"/>
        <v>601.44053968809237</v>
      </c>
      <c r="BI51" s="59">
        <f ca="1">AVERAGE(OFFSET($BH$3,0,0,'Données projet'!$E$11+1,1))-AVERAGE(OFFSET($H$3,0,0,'Données projet'!$E$11+1,1))</f>
        <v>252.98248842635206</v>
      </c>
      <c r="BJ51" s="59">
        <f t="shared" si="38"/>
        <v>207.11938580878308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2.194644362970648</v>
      </c>
      <c r="BQ51" s="21">
        <f>EXP(-LN(2)/25)*BQ50+(1-EXP(-LN(2)/25))/(LN(2)/25)*Calculateur!BL51*Calculateur!BN51*VLOOKUP('Données projet'!$B$11,Paramètres!$A$1:$I$89,3,0)*0.475*44/12</f>
        <v>4.7690323165831092</v>
      </c>
      <c r="BR51" s="21">
        <f>EXP(-LN(2)/2)*BR50+(1-EXP(-LN(2)/2))/(LN(2)/2)*BL51*BO51*VLOOKUP('Données projet'!$B$11,Paramètres!$A$1:$I$89,3,0)*0.475*44/12</f>
        <v>1.9203469688078109E-2</v>
      </c>
      <c r="BS51" s="22">
        <f t="shared" si="9"/>
        <v>6.9828801492418346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18.899999999999999</v>
      </c>
      <c r="BY51" s="12">
        <f>IF('Données projet'!$A$114&gt;35,BY50+BX51-CG50,IF(A51&lt;'Données projet'!$A$114,$BV$205^A51,IF(A51='Données projet'!$A$114,'Données projet'!$B$114,BY50+BX51-CG50)))</f>
        <v>474.19999999999953</v>
      </c>
      <c r="BZ51" s="13">
        <f>BY51*VLOOKUP('Données projet'!$B$12,Paramètres!$A$1:$I$89,3,0)*VLOOKUP('Données projet'!$B$12,Paramètres!$A$1:$I$89,5,0)</f>
        <v>283.57159999999976</v>
      </c>
      <c r="CA51" s="13">
        <f t="shared" si="39"/>
        <v>67.721232937650598</v>
      </c>
      <c r="CB51" s="20">
        <f t="shared" si="10"/>
        <v>611.83501736640767</v>
      </c>
      <c r="CC51" s="59">
        <f t="shared" si="11"/>
        <v>905.16835069974104</v>
      </c>
      <c r="CD51" s="59">
        <f ca="1">AVERAGE(OFFSET($CC$3,0,0,'Données projet'!$E$12+1,1))-AVERAGE(OFFSET($H$3,0,0,'Données projet'!$E$12+1,1))</f>
        <v>392.08740055894992</v>
      </c>
      <c r="CE51" s="59">
        <f t="shared" si="40"/>
        <v>395.10797100415783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2.79926910230362</v>
      </c>
      <c r="CL51" s="21">
        <f>EXP(-LN(2)/25)*CL50+(1-EXP(-LN(2)/25))/(LN(2)/25)*Calculateur!CG51*Calculateur!CI51*VLOOKUP('Données projet'!$B$12,Paramètres!$A$1:$I$89,3,0)*0.475*44/12</f>
        <v>15.787625273097783</v>
      </c>
      <c r="CM51" s="21">
        <f>EXP(-LN(2)/2)*CM50+(1-EXP(-LN(2)/2))/(LN(2)/2)*CG51*CJ51*VLOOKUP('Données projet'!$B$12,Paramètres!$A$1:$I$89,3,0)*0.475*44/12</f>
        <v>6.7889323034004773E-2</v>
      </c>
      <c r="CN51" s="22">
        <f t="shared" si="12"/>
        <v>18.654783698435409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8.3000000000000007</v>
      </c>
      <c r="N52" s="13">
        <f>IF('Données projet'!$A$36&gt;35,N51+M52-V51,IF(A52&lt;'Données projet'!$A$36,$K$205^A52,IF(A52='Données projet'!$A$36,'Données projet'!$B$36,N51+M52-V51)))</f>
        <v>190.70000000000005</v>
      </c>
      <c r="O52" s="13">
        <f>N52*VLOOKUP('Données projet'!$B$9,Paramètres!$A$1:$I$89,3,0)*VLOOKUP('Données projet'!$B$9,Paramètres!$A$1:$I$89,5,0)</f>
        <v>172.54536000000004</v>
      </c>
      <c r="P52" s="13">
        <f t="shared" si="33"/>
        <v>43.65960552772448</v>
      </c>
      <c r="Q52" s="20">
        <f t="shared" si="53"/>
        <v>376.55698162745358</v>
      </c>
      <c r="R52" s="59">
        <f t="shared" si="0"/>
        <v>669.8903149607869</v>
      </c>
      <c r="S52" s="59">
        <f ca="1">AVERAGE(OFFSET($R$3,0,0,'Données projet'!$E$9+1,1))-AVERAGE(OFFSET($H$3,0,0,'Données projet'!$E$9+1,1))</f>
        <v>282.32472952059817</v>
      </c>
      <c r="T52" s="59">
        <f t="shared" si="34"/>
        <v>172.32171001882176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1.8340450942822148</v>
      </c>
      <c r="AB52" s="21">
        <f>EXP(-LN(2)/2)*AB51+(1-EXP(-LN(2)/2))/(LN(2)/2)*V52*Y52*VLOOKUP('Données projet'!$B$9,Paramètres!$A$1:$I$89,3,0)*0.475*44/12</f>
        <v>8.5479098417749009E-3</v>
      </c>
      <c r="AC52" s="22">
        <f t="shared" si="3"/>
        <v>1.8425930041239897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8.3000000000000007</v>
      </c>
      <c r="AI52" s="13">
        <f>IF('Données projet'!$A$62&gt;35,AI51+AH52-AQ51,IF(A52&lt;'Données projet'!$A$62,$AF$205^A52,IF(A52='Données projet'!$A$62,'Données projet'!$B$62,AI51+AH52-AQ51)))</f>
        <v>190.70000000000005</v>
      </c>
      <c r="AJ52" s="13">
        <f>AI52*VLOOKUP('Données projet'!$B$10,Paramètres!$A$1:$I$89,3,0)*VLOOKUP('Données projet'!$B$10,Paramètres!$A$1:$I$89,5,0)</f>
        <v>193.36980000000005</v>
      </c>
      <c r="AK52" s="13">
        <f t="shared" si="35"/>
        <v>48.284203793067718</v>
      </c>
      <c r="AL52" s="20">
        <f t="shared" si="4"/>
        <v>420.88072327292639</v>
      </c>
      <c r="AM52" s="59">
        <f t="shared" si="5"/>
        <v>714.21405660625965</v>
      </c>
      <c r="AN52" s="59">
        <f ca="1">AVERAGE(OFFSET($AM$3,0,0,'Données projet'!$E$10+1,1))-AVERAGE(OFFSET($H$3,0,0,'Données projet'!$E$10+1,1))</f>
        <v>324.30660429578262</v>
      </c>
      <c r="AO52" s="59">
        <f t="shared" si="36"/>
        <v>197.04549436738586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2.0553953642817926</v>
      </c>
      <c r="AW52" s="21">
        <f>EXP(-LN(2)/2)*AW51+(1-EXP(-LN(2)/2))/(LN(2)/2)*AQ52*AT52*VLOOKUP('Données projet'!$B$10,Paramètres!$A$1:$I$89,3,0)*0.475*44/12</f>
        <v>9.5795541330235944E-3</v>
      </c>
      <c r="AX52" s="21">
        <f t="shared" si="6"/>
        <v>2.0649749184148161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11.499999999999996</v>
      </c>
      <c r="BD52" s="12">
        <f>IF('Données projet'!$A$88&gt;35,BD51+BC52-BL51,IF(A52&lt;'Données projet'!$A$88,$BA$205^A52,IF(A52='Données projet'!$A$88,'Données projet'!$B$88,BD51+BC52-BL51)))</f>
        <v>311.69999999999987</v>
      </c>
      <c r="BE52" s="13">
        <f>BD52*VLOOKUP('Données projet'!$B$11,Paramètres!$A$1:$I$89,3,0)*VLOOKUP('Données projet'!$B$11,Paramètres!$A$1:$I$89,5,0)</f>
        <v>145.87559999999993</v>
      </c>
      <c r="BF52" s="13">
        <f t="shared" si="37"/>
        <v>37.639785440563628</v>
      </c>
      <c r="BG52" s="20">
        <f t="shared" si="7"/>
        <v>319.62262964231485</v>
      </c>
      <c r="BH52" s="59">
        <f t="shared" si="8"/>
        <v>612.95596297564816</v>
      </c>
      <c r="BI52" s="59">
        <f ca="1">AVERAGE(OFFSET($BH$3,0,0,'Données projet'!$E$11+1,1))-AVERAGE(OFFSET($H$3,0,0,'Données projet'!$E$11+1,1))</f>
        <v>252.98248842635206</v>
      </c>
      <c r="BJ52" s="59">
        <f t="shared" si="38"/>
        <v>207.11938580878308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2.1516087256136793</v>
      </c>
      <c r="BQ52" s="21">
        <f>EXP(-LN(2)/25)*BQ51+(1-EXP(-LN(2)/25))/(LN(2)/25)*Calculateur!BL52*Calculateur!BN52*VLOOKUP('Données projet'!$B$11,Paramètres!$A$1:$I$89,3,0)*0.475*44/12</f>
        <v>4.638622877093634</v>
      </c>
      <c r="BR52" s="21">
        <f>EXP(-LN(2)/2)*BR51+(1-EXP(-LN(2)/2))/(LN(2)/2)*BL52*BO52*VLOOKUP('Données projet'!$B$11,Paramètres!$A$1:$I$89,3,0)*0.475*44/12</f>
        <v>1.3578903638750346E-2</v>
      </c>
      <c r="BS52" s="22">
        <f t="shared" si="9"/>
        <v>6.8038105063460641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18.899999999999999</v>
      </c>
      <c r="BY52" s="12">
        <f>IF('Données projet'!$A$114&gt;35,BY51+BX52-CG51,IF(A52&lt;'Données projet'!$A$114,$BV$205^A52,IF(A52='Données projet'!$A$114,'Données projet'!$B$114,BY51+BX52-CG51)))</f>
        <v>493.09999999999951</v>
      </c>
      <c r="BZ52" s="13">
        <f>BY52*VLOOKUP('Données projet'!$B$12,Paramètres!$A$1:$I$89,3,0)*VLOOKUP('Données projet'!$B$12,Paramètres!$A$1:$I$89,5,0)</f>
        <v>294.87379999999973</v>
      </c>
      <c r="CA52" s="13">
        <f t="shared" si="39"/>
        <v>70.100739478966432</v>
      </c>
      <c r="CB52" s="20">
        <f t="shared" si="10"/>
        <v>635.66398959253263</v>
      </c>
      <c r="CC52" s="59">
        <f t="shared" si="11"/>
        <v>928.997322925866</v>
      </c>
      <c r="CD52" s="59">
        <f ca="1">AVERAGE(OFFSET($CC$3,0,0,'Données projet'!$E$12+1,1))-AVERAGE(OFFSET($H$3,0,0,'Données projet'!$E$12+1,1))</f>
        <v>392.08740055894992</v>
      </c>
      <c r="CE52" s="59">
        <f t="shared" si="40"/>
        <v>395.10797100415783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2.7443771425930081</v>
      </c>
      <c r="CL52" s="21">
        <f>EXP(-LN(2)/25)*CL51+(1-EXP(-LN(2)/25))/(LN(2)/25)*Calculateur!CG52*Calculateur!CI52*VLOOKUP('Données projet'!$B$12,Paramètres!$A$1:$I$89,3,0)*0.475*44/12</f>
        <v>15.355911829769793</v>
      </c>
      <c r="CM52" s="21">
        <f>EXP(-LN(2)/2)*CM51+(1-EXP(-LN(2)/2))/(LN(2)/2)*CG52*CJ52*VLOOKUP('Données projet'!$B$12,Paramètres!$A$1:$I$89,3,0)*0.475*44/12</f>
        <v>4.8005000687508854E-2</v>
      </c>
      <c r="CN52" s="22">
        <f t="shared" si="12"/>
        <v>18.148293973050311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199</v>
      </c>
      <c r="L53" s="12">
        <f>VLOOKUP(A53,'Données projet'!$A$35:$I$55,9,0)</f>
        <v>8.3000000000000007</v>
      </c>
      <c r="M53" s="12">
        <f t="array" ref="M53">INDEX(L:L,MIN(IF(ISNUMBER(L53:L249),ROW(L53:L249),"")))</f>
        <v>8.3000000000000007</v>
      </c>
      <c r="N53" s="13">
        <f>IF('Données projet'!$A$36&gt;35,N52+M53-V52,IF(A53&lt;'Données projet'!$A$36,$K$205^A53,IF(A53='Données projet'!$A$36,'Données projet'!$B$36,N52+M53-V52)))</f>
        <v>199.00000000000006</v>
      </c>
      <c r="O53" s="13">
        <f>N53*VLOOKUP('Données projet'!$B$9,Paramètres!$A$1:$I$89,3,0)*VLOOKUP('Données projet'!$B$9,Paramètres!$A$1:$I$89,5,0)</f>
        <v>180.05520000000004</v>
      </c>
      <c r="P53" s="13">
        <f t="shared" si="33"/>
        <v>45.334466930398399</v>
      </c>
      <c r="Q53" s="20">
        <f t="shared" si="53"/>
        <v>392.55366990377729</v>
      </c>
      <c r="R53" s="59">
        <f t="shared" si="0"/>
        <v>685.88700323711055</v>
      </c>
      <c r="S53" s="59">
        <f ca="1">AVERAGE(OFFSET($R$3,0,0,'Données projet'!$E$9+1,1))-AVERAGE(OFFSET($H$3,0,0,'Données projet'!$E$9+1,1))</f>
        <v>282.32472952059817</v>
      </c>
      <c r="T53" s="59">
        <f t="shared" si="34"/>
        <v>172.32171001882176</v>
      </c>
      <c r="U53" s="15">
        <f>IF(ISNA(VLOOKUP(A53,'Données projet'!$A$35:$I$55,3,0)),0,VLOOKUP(A53,'Données projet'!$A$35:$I$55,3,0))</f>
        <v>3</v>
      </c>
      <c r="V53" s="15">
        <f>IF(ISNA(VLOOKUP(A53,'Données projet'!$A$35:$I$55,4,0)),0,VLOOKUP(A53,'Données projet'!$A$35:$I$55,4,0))</f>
        <v>42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1.7838930347308279</v>
      </c>
      <c r="AB53" s="21">
        <f>EXP(-LN(2)/2)*AB52+(1-EXP(-LN(2)/2))/(LN(2)/2)*V53*Y53*VLOOKUP('Données projet'!$B$9,Paramètres!$A$1:$I$89,3,0)*0.475*44/12</f>
        <v>6.044285014090261E-3</v>
      </c>
      <c r="AC53" s="22">
        <f t="shared" si="3"/>
        <v>1.7899373197449182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199</v>
      </c>
      <c r="AG53" s="12">
        <f>VLOOKUP(A53,'Données projet'!$A$61:$I$81,9,0)</f>
        <v>8.3000000000000007</v>
      </c>
      <c r="AH53" s="12">
        <f t="array" ref="AH53">INDEX(AG:AG,MIN(IF(ISNUMBER(AG53:AG249),ROW(AG53:AG249),"")))</f>
        <v>8.3000000000000007</v>
      </c>
      <c r="AI53" s="13">
        <f>IF('Données projet'!$A$62&gt;35,AI52+AH53-AQ52,IF(A53&lt;'Données projet'!$A$62,$AF$205^A53,IF(A53='Données projet'!$A$62,'Données projet'!$B$62,AI52+AH53-AQ52)))</f>
        <v>199.00000000000006</v>
      </c>
      <c r="AJ53" s="13">
        <f>AI53*VLOOKUP('Données projet'!$B$10,Paramètres!$A$1:$I$89,3,0)*VLOOKUP('Données projet'!$B$10,Paramètres!$A$1:$I$89,5,0)</f>
        <v>201.78600000000009</v>
      </c>
      <c r="AK53" s="13">
        <f t="shared" si="35"/>
        <v>50.136473146268756</v>
      </c>
      <c r="AL53" s="20">
        <f t="shared" si="4"/>
        <v>438.76497406308482</v>
      </c>
      <c r="AM53" s="59">
        <f t="shared" si="5"/>
        <v>732.09830739641814</v>
      </c>
      <c r="AN53" s="59">
        <f ca="1">AVERAGE(OFFSET($AM$3,0,0,'Données projet'!$E$10+1,1))-AVERAGE(OFFSET($H$3,0,0,'Données projet'!$E$10+1,1))</f>
        <v>324.30660429578262</v>
      </c>
      <c r="AO53" s="59">
        <f t="shared" si="36"/>
        <v>197.04549436738586</v>
      </c>
      <c r="AP53" s="15">
        <f>IF(ISNA(VLOOKUP(A53,'Données projet'!$A$61:$I$81,3,0)),0,VLOOKUP(A53,'Données projet'!$A$61:$I$81,3,0))</f>
        <v>3</v>
      </c>
      <c r="AQ53" s="15">
        <f>IF(ISNA(VLOOKUP(A53,'Données projet'!$A$61:$I$81,4,0)),0,VLOOKUP(A53,'Données projet'!$A$61:$I$81,4,0))</f>
        <v>42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1.9991904699569625</v>
      </c>
      <c r="AW53" s="21">
        <f>EXP(-LN(2)/2)*AW52+(1-EXP(-LN(2)/2))/(LN(2)/2)*AQ53*AT53*VLOOKUP('Données projet'!$B$10,Paramètres!$A$1:$I$89,3,0)*0.475*44/12</f>
        <v>6.7737676882046018E-3</v>
      </c>
      <c r="AX53" s="21">
        <f t="shared" si="6"/>
        <v>2.0059642376451672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323.2</v>
      </c>
      <c r="BB53" s="12">
        <f>VLOOKUP(A53,'Données projet'!$A$87:$I$107,9,0)</f>
        <v>11.499999999999996</v>
      </c>
      <c r="BC53" s="12">
        <f t="array" ref="BC53">INDEX(BB:BB,MIN(IF(ISNUMBER(BB53:BB249),ROW(BB53:BB249),"")))</f>
        <v>11.499999999999996</v>
      </c>
      <c r="BD53" s="12">
        <f>IF('Données projet'!$A$88&gt;35,BD52+BC53-BL52,IF(A53&lt;'Données projet'!$A$88,$BA$205^A53,IF(A53='Données projet'!$A$88,'Données projet'!$B$88,BD52+BC53-BL52)))</f>
        <v>323.19999999999987</v>
      </c>
      <c r="BE53" s="13">
        <f>BD53*VLOOKUP('Données projet'!$B$11,Paramètres!$A$1:$I$89,3,0)*VLOOKUP('Données projet'!$B$11,Paramètres!$A$1:$I$89,5,0)</f>
        <v>151.25759999999994</v>
      </c>
      <c r="BF53" s="13">
        <f t="shared" si="37"/>
        <v>38.864240713854024</v>
      </c>
      <c r="BG53" s="20">
        <f t="shared" si="7"/>
        <v>331.12887257662896</v>
      </c>
      <c r="BH53" s="59">
        <f t="shared" si="8"/>
        <v>624.46220590996222</v>
      </c>
      <c r="BI53" s="59">
        <f ca="1">AVERAGE(OFFSET($BH$3,0,0,'Données projet'!$E$11+1,1))-AVERAGE(OFFSET($H$3,0,0,'Données projet'!$E$11+1,1))</f>
        <v>252.98248842635206</v>
      </c>
      <c r="BJ53" s="59">
        <f t="shared" si="38"/>
        <v>207.11938580878308</v>
      </c>
      <c r="BK53" s="15">
        <f>IF(ISNA(VLOOKUP(A53,'Données projet'!$A$87:$I$107,3,0)),0,VLOOKUP(A53,'Données projet'!$A$87:$I$107,3,0))</f>
        <v>4</v>
      </c>
      <c r="BL53" s="15">
        <f>IF(ISNA(VLOOKUP(A53,'Données projet'!$A$87:$I$107,4,0)),0,VLOOKUP(A53,'Données projet'!$A$87:$I$107,4,0))</f>
        <v>83.4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2.1094169908561335</v>
      </c>
      <c r="BQ53" s="21">
        <f>EXP(-LN(2)/25)*BQ52+(1-EXP(-LN(2)/25))/(LN(2)/25)*Calculateur!BL53*Calculateur!BN53*VLOOKUP('Données projet'!$B$11,Paramètres!$A$1:$I$89,3,0)*0.475*44/12</f>
        <v>4.5117794905849333</v>
      </c>
      <c r="BR53" s="21">
        <f>EXP(-LN(2)/2)*BR52+(1-EXP(-LN(2)/2))/(LN(2)/2)*BL53*BO53*VLOOKUP('Données projet'!$B$11,Paramètres!$A$1:$I$89,3,0)*0.475*44/12</f>
        <v>9.6017348440390546E-3</v>
      </c>
      <c r="BS53" s="22">
        <f t="shared" si="9"/>
        <v>6.6307982162851058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512</v>
      </c>
      <c r="BW53" s="12">
        <f>VLOOKUP(A53,'Données projet'!$A$113:$I$133,9,0)</f>
        <v>18.899999999999999</v>
      </c>
      <c r="BX53" s="12">
        <f t="array" ref="BX53">INDEX(BW:BW,MIN(IF(ISNUMBER(BW53:BW249),ROW(BW53:BW249),"")))</f>
        <v>18.899999999999999</v>
      </c>
      <c r="BY53" s="12">
        <f>IF('Données projet'!$A$114&gt;35,BY52+BX53-CG52,IF(A53&lt;'Données projet'!$A$114,$BV$205^A53,IF(A53='Données projet'!$A$114,'Données projet'!$B$114,BY52+BX53-CG52)))</f>
        <v>511.99999999999949</v>
      </c>
      <c r="BZ53" s="13">
        <f>BY53*VLOOKUP('Données projet'!$B$12,Paramètres!$A$1:$I$89,3,0)*VLOOKUP('Données projet'!$B$12,Paramètres!$A$1:$I$89,5,0)</f>
        <v>306.1759999999997</v>
      </c>
      <c r="CA53" s="13">
        <f t="shared" si="39"/>
        <v>72.469650785730309</v>
      </c>
      <c r="CB53" s="20">
        <f t="shared" si="10"/>
        <v>659.47450845181311</v>
      </c>
      <c r="CC53" s="59">
        <f t="shared" si="11"/>
        <v>952.80784178514637</v>
      </c>
      <c r="CD53" s="59">
        <f ca="1">AVERAGE(OFFSET($CC$3,0,0,'Données projet'!$E$12+1,1))-AVERAGE(OFFSET($H$3,0,0,'Données projet'!$E$12+1,1))</f>
        <v>392.08740055894992</v>
      </c>
      <c r="CE53" s="59">
        <f t="shared" si="40"/>
        <v>395.10797100415783</v>
      </c>
      <c r="CF53" s="15">
        <f>IF(ISNA(VLOOKUP(A53,'Données projet'!$A$113:$I$133,3,0)),0,VLOOKUP(A53,'Données projet'!$A$113:$I$133,3,0))</f>
        <v>4</v>
      </c>
      <c r="CG53" s="15">
        <f>IF(ISNA(VLOOKUP(A53,'Données projet'!$A$113:$I$133,4,0)),0,VLOOKUP(A53,'Données projet'!$A$113:$I$133,4,0))</f>
        <v>103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2.690561580731532</v>
      </c>
      <c r="CL53" s="21">
        <f>EXP(-LN(2)/25)*CL52+(1-EXP(-LN(2)/25))/(LN(2)/25)*Calculateur!CG53*Calculateur!CI53*VLOOKUP('Données projet'!$B$12,Paramètres!$A$1:$I$89,3,0)*0.475*44/12</f>
        <v>14.936003613252431</v>
      </c>
      <c r="CM53" s="21">
        <f>EXP(-LN(2)/2)*CM52+(1-EXP(-LN(2)/2))/(LN(2)/2)*CG53*CJ53*VLOOKUP('Données projet'!$B$12,Paramètres!$A$1:$I$89,3,0)*0.475*44/12</f>
        <v>3.3944661517002386E-2</v>
      </c>
      <c r="CN53" s="22">
        <f t="shared" si="12"/>
        <v>17.660509855500965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7.8</v>
      </c>
      <c r="N54" s="13">
        <f>IF('Données projet'!$A$36&gt;35,N53+M54-V53,IF(A54&lt;'Données projet'!$A$36,$K$205^A54,IF(A54='Données projet'!$A$36,'Données projet'!$B$36,N53+M54-V53)))</f>
        <v>164.80000000000007</v>
      </c>
      <c r="O54" s="13">
        <f>N54*VLOOKUP('Données projet'!$B$9,Paramètres!$A$1:$I$89,3,0)*VLOOKUP('Données projet'!$B$9,Paramètres!$A$1:$I$89,5,0)</f>
        <v>149.11104000000006</v>
      </c>
      <c r="P54" s="13">
        <f t="shared" si="33"/>
        <v>38.376496436982386</v>
      </c>
      <c r="Q54" s="20">
        <f t="shared" si="53"/>
        <v>326.54079262774445</v>
      </c>
      <c r="R54" s="59">
        <f t="shared" si="0"/>
        <v>619.87412596107777</v>
      </c>
      <c r="S54" s="59">
        <f ca="1">AVERAGE(OFFSET($R$3,0,0,'Données projet'!$E$9+1,1))-AVERAGE(OFFSET($H$3,0,0,'Données projet'!$E$9+1,1))</f>
        <v>282.32472952059817</v>
      </c>
      <c r="T54" s="59">
        <f t="shared" si="34"/>
        <v>172.32171001882176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1.735112385885256</v>
      </c>
      <c r="AB54" s="21">
        <f>EXP(-LN(2)/2)*AB53+(1-EXP(-LN(2)/2))/(LN(2)/2)*V54*Y54*VLOOKUP('Données projet'!$B$9,Paramètres!$A$1:$I$89,3,0)*0.475*44/12</f>
        <v>4.2739549208874504E-3</v>
      </c>
      <c r="AC54" s="22">
        <f t="shared" si="3"/>
        <v>1.7393863408061434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7.8</v>
      </c>
      <c r="AI54" s="13">
        <f>IF('Données projet'!$A$62&gt;35,AI53+AH54-AQ53,IF(A54&lt;'Données projet'!$A$62,$AF$205^A54,IF(A54='Données projet'!$A$62,'Données projet'!$B$62,AI53+AH54-AQ53)))</f>
        <v>164.80000000000007</v>
      </c>
      <c r="AJ54" s="13">
        <f>AI54*VLOOKUP('Données projet'!$B$10,Paramètres!$A$1:$I$89,3,0)*VLOOKUP('Données projet'!$B$10,Paramètres!$A$1:$I$89,5,0)</f>
        <v>167.10720000000009</v>
      </c>
      <c r="AK54" s="13">
        <f t="shared" si="35"/>
        <v>42.441486871669696</v>
      </c>
      <c r="AL54" s="20">
        <f t="shared" si="4"/>
        <v>364.96396296815823</v>
      </c>
      <c r="AM54" s="59">
        <f t="shared" si="5"/>
        <v>658.29729630149154</v>
      </c>
      <c r="AN54" s="59">
        <f ca="1">AVERAGE(OFFSET($AM$3,0,0,'Données projet'!$E$10+1,1))-AVERAGE(OFFSET($H$3,0,0,'Données projet'!$E$10+1,1))</f>
        <v>324.30660429578262</v>
      </c>
      <c r="AO54" s="59">
        <f t="shared" si="36"/>
        <v>197.04549436738586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1.9445225014231318</v>
      </c>
      <c r="AW54" s="21">
        <f>EXP(-LN(2)/2)*AW53+(1-EXP(-LN(2)/2))/(LN(2)/2)*AQ54*AT54*VLOOKUP('Données projet'!$B$10,Paramètres!$A$1:$I$89,3,0)*0.475*44/12</f>
        <v>4.7897770665117972E-3</v>
      </c>
      <c r="AX54" s="21">
        <f t="shared" si="6"/>
        <v>1.9493122784896435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13.499999999999996</v>
      </c>
      <c r="BD54" s="12">
        <f>IF('Données projet'!$A$88&gt;35,BD53+BC54-BL53,IF(A54&lt;'Données projet'!$A$88,$BA$205^A54,IF(A54='Données projet'!$A$88,'Données projet'!$B$88,BD53+BC54-BL53)))</f>
        <v>253.29999999999987</v>
      </c>
      <c r="BE54" s="13">
        <f>BD54*VLOOKUP('Données projet'!$B$11,Paramètres!$A$1:$I$89,3,0)*VLOOKUP('Données projet'!$B$11,Paramètres!$A$1:$I$89,5,0)</f>
        <v>118.54439999999994</v>
      </c>
      <c r="BF54" s="13">
        <f t="shared" si="37"/>
        <v>31.3352637371359</v>
      </c>
      <c r="BG54" s="20">
        <f t="shared" si="7"/>
        <v>261.04041434217822</v>
      </c>
      <c r="BH54" s="59">
        <f t="shared" si="8"/>
        <v>554.37374767551159</v>
      </c>
      <c r="BI54" s="59">
        <f ca="1">AVERAGE(OFFSET($BH$3,0,0,'Données projet'!$E$11+1,1))-AVERAGE(OFFSET($H$3,0,0,'Données projet'!$E$11+1,1))</f>
        <v>252.98248842635206</v>
      </c>
      <c r="BJ54" s="59">
        <f t="shared" si="38"/>
        <v>207.11938580878308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2.0680526102827663</v>
      </c>
      <c r="BQ54" s="21">
        <f>EXP(-LN(2)/25)*BQ53+(1-EXP(-LN(2)/25))/(LN(2)/25)*Calculateur!BL54*Calculateur!BN54*VLOOKUP('Données projet'!$B$11,Paramètres!$A$1:$I$89,3,0)*0.475*44/12</f>
        <v>4.3884046431507171</v>
      </c>
      <c r="BR54" s="21">
        <f>EXP(-LN(2)/2)*BR53+(1-EXP(-LN(2)/2))/(LN(2)/2)*BL54*BO54*VLOOKUP('Données projet'!$B$11,Paramètres!$A$1:$I$89,3,0)*0.475*44/12</f>
        <v>6.7894518193751729E-3</v>
      </c>
      <c r="BS54" s="22">
        <f t="shared" si="9"/>
        <v>6.4632467052528586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16.100000000000001</v>
      </c>
      <c r="BY54" s="12">
        <f>IF('Données projet'!$A$114&gt;35,BY53+BX54-CG53,IF(A54&lt;'Données projet'!$A$114,$BV$205^A54,IF(A54='Données projet'!$A$114,'Données projet'!$B$114,BY53+BX54-CG53)))</f>
        <v>425.09999999999945</v>
      </c>
      <c r="BZ54" s="13">
        <f>BY54*VLOOKUP('Données projet'!$B$12,Paramètres!$A$1:$I$89,3,0)*VLOOKUP('Données projet'!$B$12,Paramètres!$A$1:$I$89,5,0)</f>
        <v>254.20979999999972</v>
      </c>
      <c r="CA54" s="13">
        <f t="shared" si="39"/>
        <v>61.486528176159879</v>
      </c>
      <c r="CB54" s="20">
        <f t="shared" si="10"/>
        <v>549.83777157347788</v>
      </c>
      <c r="CC54" s="59">
        <f t="shared" si="11"/>
        <v>843.17110490681125</v>
      </c>
      <c r="CD54" s="59">
        <f ca="1">AVERAGE(OFFSET($CC$3,0,0,'Données projet'!$E$12+1,1))-AVERAGE(OFFSET($H$3,0,0,'Données projet'!$E$12+1,1))</f>
        <v>392.08740055894992</v>
      </c>
      <c r="CE54" s="59">
        <f t="shared" si="40"/>
        <v>395.10797100415783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2.6378013092139074</v>
      </c>
      <c r="CL54" s="21">
        <f>EXP(-LN(2)/25)*CL53+(1-EXP(-LN(2)/25))/(LN(2)/25)*Calculateur!CG54*Calculateur!CI54*VLOOKUP('Données projet'!$B$12,Paramètres!$A$1:$I$89,3,0)*0.475*44/12</f>
        <v>14.52757780899775</v>
      </c>
      <c r="CM54" s="21">
        <f>EXP(-LN(2)/2)*CM53+(1-EXP(-LN(2)/2))/(LN(2)/2)*CG54*CJ54*VLOOKUP('Données projet'!$B$12,Paramètres!$A$1:$I$89,3,0)*0.475*44/12</f>
        <v>2.4002500343754427E-2</v>
      </c>
      <c r="CN54" s="22">
        <f t="shared" si="12"/>
        <v>17.189381618555412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7.8</v>
      </c>
      <c r="N55" s="13">
        <f>IF('Données projet'!$A$36&gt;35,N54+M55-V54,IF(A55&lt;'Données projet'!$A$36,$K$205^A55,IF(A55='Données projet'!$A$36,'Données projet'!$B$36,N54+M55-V54)))</f>
        <v>172.60000000000008</v>
      </c>
      <c r="O55" s="13">
        <f>N55*VLOOKUP('Données projet'!$B$9,Paramètres!$A$1:$I$89,3,0)*VLOOKUP('Données projet'!$B$9,Paramètres!$A$1:$I$89,5,0)</f>
        <v>156.16848000000005</v>
      </c>
      <c r="P55" s="13">
        <f t="shared" si="33"/>
        <v>39.977090041212335</v>
      </c>
      <c r="Q55" s="20">
        <f t="shared" si="53"/>
        <v>341.62020115511154</v>
      </c>
      <c r="R55" s="59">
        <f t="shared" si="0"/>
        <v>634.9535344884448</v>
      </c>
      <c r="S55" s="59">
        <f ca="1">AVERAGE(OFFSET($R$3,0,0,'Données projet'!$E$9+1,1))-AVERAGE(OFFSET($H$3,0,0,'Données projet'!$E$9+1,1))</f>
        <v>282.32472952059817</v>
      </c>
      <c r="T55" s="59">
        <f t="shared" si="34"/>
        <v>172.32171001882176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1.687665646447629</v>
      </c>
      <c r="AB55" s="21">
        <f>EXP(-LN(2)/2)*AB54+(1-EXP(-LN(2)/2))/(LN(2)/2)*V55*Y55*VLOOKUP('Données projet'!$B$9,Paramètres!$A$1:$I$89,3,0)*0.475*44/12</f>
        <v>3.0221425070451305E-3</v>
      </c>
      <c r="AC55" s="22">
        <f t="shared" si="3"/>
        <v>1.6906877889546741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7.8</v>
      </c>
      <c r="AI55" s="13">
        <f>IF('Données projet'!$A$62&gt;35,AI54+AH55-AQ54,IF(A55&lt;'Données projet'!$A$62,$AF$205^A55,IF(A55='Données projet'!$A$62,'Données projet'!$B$62,AI54+AH55-AQ54)))</f>
        <v>172.60000000000008</v>
      </c>
      <c r="AJ55" s="13">
        <f>AI55*VLOOKUP('Données projet'!$B$10,Paramètres!$A$1:$I$89,3,0)*VLOOKUP('Données projet'!$B$10,Paramètres!$A$1:$I$89,5,0)</f>
        <v>175.01640000000009</v>
      </c>
      <c r="AK55" s="13">
        <f t="shared" si="35"/>
        <v>44.211621687190231</v>
      </c>
      <c r="AL55" s="20">
        <f t="shared" si="4"/>
        <v>381.82213777185649</v>
      </c>
      <c r="AM55" s="59">
        <f t="shared" si="5"/>
        <v>675.1554711051898</v>
      </c>
      <c r="AN55" s="59">
        <f ca="1">AVERAGE(OFFSET($AM$3,0,0,'Données projet'!$E$10+1,1))-AVERAGE(OFFSET($H$3,0,0,'Données projet'!$E$10+1,1))</f>
        <v>324.30660429578262</v>
      </c>
      <c r="AO55" s="59">
        <f t="shared" si="36"/>
        <v>197.04549436738586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1.8913494313637222</v>
      </c>
      <c r="AW55" s="21">
        <f>EXP(-LN(2)/2)*AW54+(1-EXP(-LN(2)/2))/(LN(2)/2)*AQ55*AT55*VLOOKUP('Données projet'!$B$10,Paramètres!$A$1:$I$89,3,0)*0.475*44/12</f>
        <v>3.3868838441023009E-3</v>
      </c>
      <c r="AX55" s="21">
        <f t="shared" si="6"/>
        <v>1.8947363152078245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13.499999999999996</v>
      </c>
      <c r="BD55" s="12">
        <f>IF('Données projet'!$A$88&gt;35,BD54+BC55-BL54,IF(A55&lt;'Données projet'!$A$88,$BA$205^A55,IF(A55='Données projet'!$A$88,'Données projet'!$B$88,BD54+BC55-BL54)))</f>
        <v>266.79999999999984</v>
      </c>
      <c r="BE55" s="13">
        <f>BD55*VLOOKUP('Données projet'!$B$11,Paramètres!$A$1:$I$89,3,0)*VLOOKUP('Données projet'!$B$11,Paramètres!$A$1:$I$89,5,0)</f>
        <v>124.86239999999994</v>
      </c>
      <c r="BF55" s="13">
        <f t="shared" si="37"/>
        <v>32.80643928056157</v>
      </c>
      <c r="BG55" s="20">
        <f t="shared" si="7"/>
        <v>274.60656174697795</v>
      </c>
      <c r="BH55" s="59">
        <f t="shared" si="8"/>
        <v>567.93989508031132</v>
      </c>
      <c r="BI55" s="59">
        <f ca="1">AVERAGE(OFFSET($BH$3,0,0,'Données projet'!$E$11+1,1))-AVERAGE(OFFSET($H$3,0,0,'Données projet'!$E$11+1,1))</f>
        <v>252.98248842635206</v>
      </c>
      <c r="BJ55" s="59">
        <f t="shared" si="38"/>
        <v>207.11938580878308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2.0274993599826621</v>
      </c>
      <c r="BQ55" s="21">
        <f>EXP(-LN(2)/25)*BQ54+(1-EXP(-LN(2)/25))/(LN(2)/25)*Calculateur!BL55*Calculateur!BN55*VLOOKUP('Données projet'!$B$11,Paramètres!$A$1:$I$89,3,0)*0.475*44/12</f>
        <v>4.26840348740759</v>
      </c>
      <c r="BR55" s="21">
        <f>EXP(-LN(2)/2)*BR54+(1-EXP(-LN(2)/2))/(LN(2)/2)*BL55*BO55*VLOOKUP('Données projet'!$B$11,Paramètres!$A$1:$I$89,3,0)*0.475*44/12</f>
        <v>4.8008674220195273E-3</v>
      </c>
      <c r="BS55" s="22">
        <f t="shared" si="9"/>
        <v>6.300703714812272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16.100000000000001</v>
      </c>
      <c r="BY55" s="12">
        <f>IF('Données projet'!$A$114&gt;35,BY54+BX55-CG54,IF(A55&lt;'Données projet'!$A$114,$BV$205^A55,IF(A55='Données projet'!$A$114,'Données projet'!$B$114,BY54+BX55-CG54)))</f>
        <v>441.19999999999948</v>
      </c>
      <c r="BZ55" s="13">
        <f>BY55*VLOOKUP('Données projet'!$B$12,Paramètres!$A$1:$I$89,3,0)*VLOOKUP('Données projet'!$B$12,Paramètres!$A$1:$I$89,5,0)</f>
        <v>263.83759999999972</v>
      </c>
      <c r="CA55" s="13">
        <f t="shared" si="39"/>
        <v>63.539700318692574</v>
      </c>
      <c r="CB55" s="20">
        <f t="shared" si="10"/>
        <v>570.18213138838905</v>
      </c>
      <c r="CC55" s="59">
        <f t="shared" si="11"/>
        <v>863.51546472172231</v>
      </c>
      <c r="CD55" s="59">
        <f ca="1">AVERAGE(OFFSET($CC$3,0,0,'Données projet'!$E$12+1,1))-AVERAGE(OFFSET($H$3,0,0,'Données projet'!$E$12+1,1))</f>
        <v>392.08740055894992</v>
      </c>
      <c r="CE55" s="59">
        <f t="shared" si="40"/>
        <v>395.10797100415783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2.5860756344401556</v>
      </c>
      <c r="CL55" s="21">
        <f>EXP(-LN(2)/25)*CL54+(1-EXP(-LN(2)/25))/(LN(2)/25)*Calculateur!CG55*Calculateur!CI55*VLOOKUP('Données projet'!$B$12,Paramètres!$A$1:$I$89,3,0)*0.475*44/12</f>
        <v>14.130320429838592</v>
      </c>
      <c r="CM55" s="21">
        <f>EXP(-LN(2)/2)*CM54+(1-EXP(-LN(2)/2))/(LN(2)/2)*CG55*CJ55*VLOOKUP('Données projet'!$B$12,Paramètres!$A$1:$I$89,3,0)*0.475*44/12</f>
        <v>1.6972330758501193E-2</v>
      </c>
      <c r="CN55" s="22">
        <f t="shared" si="12"/>
        <v>16.73336839503725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7.8</v>
      </c>
      <c r="N56" s="13">
        <f>IF('Données projet'!$A$36&gt;35,N55+M56-V55,IF(A56&lt;'Données projet'!$A$36,$K$205^A56,IF(A56='Données projet'!$A$36,'Données projet'!$B$36,N55+M56-V55)))</f>
        <v>180.40000000000009</v>
      </c>
      <c r="O56" s="13">
        <f>N56*VLOOKUP('Données projet'!$B$9,Paramètres!$A$1:$I$89,3,0)*VLOOKUP('Données projet'!$B$9,Paramètres!$A$1:$I$89,5,0)</f>
        <v>163.22592000000009</v>
      </c>
      <c r="P56" s="13">
        <f t="shared" si="33"/>
        <v>41.569283201466128</v>
      </c>
      <c r="Q56" s="20">
        <f t="shared" si="53"/>
        <v>356.68497890922026</v>
      </c>
      <c r="R56" s="59">
        <f t="shared" si="0"/>
        <v>650.01831224255352</v>
      </c>
      <c r="S56" s="59">
        <f ca="1">AVERAGE(OFFSET($R$3,0,0,'Données projet'!$E$9+1,1))-AVERAGE(OFFSET($H$3,0,0,'Données projet'!$E$9+1,1))</f>
        <v>282.32472952059817</v>
      </c>
      <c r="T56" s="59">
        <f t="shared" si="34"/>
        <v>172.32171001882176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1.6415163405950395</v>
      </c>
      <c r="AB56" s="21">
        <f>EXP(-LN(2)/2)*AB55+(1-EXP(-LN(2)/2))/(LN(2)/2)*V56*Y56*VLOOKUP('Données projet'!$B$9,Paramètres!$A$1:$I$89,3,0)*0.475*44/12</f>
        <v>2.1369774604437252E-3</v>
      </c>
      <c r="AC56" s="22">
        <f t="shared" si="3"/>
        <v>1.6436533180554833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7.8</v>
      </c>
      <c r="AI56" s="13">
        <f>IF('Données projet'!$A$62&gt;35,AI55+AH56-AQ55,IF(A56&lt;'Données projet'!$A$62,$AF$205^A56,IF(A56='Données projet'!$A$62,'Données projet'!$B$62,AI55+AH56-AQ55)))</f>
        <v>180.40000000000009</v>
      </c>
      <c r="AJ56" s="13">
        <f>AI56*VLOOKUP('Données projet'!$B$10,Paramètres!$A$1:$I$89,3,0)*VLOOKUP('Données projet'!$B$10,Paramètres!$A$1:$I$89,5,0)</f>
        <v>182.92560000000012</v>
      </c>
      <c r="AK56" s="13">
        <f t="shared" si="35"/>
        <v>45.97246625045144</v>
      </c>
      <c r="AL56" s="20">
        <f t="shared" si="4"/>
        <v>398.66413205286977</v>
      </c>
      <c r="AM56" s="59">
        <f t="shared" si="5"/>
        <v>691.99746538620309</v>
      </c>
      <c r="AN56" s="59">
        <f ca="1">AVERAGE(OFFSET($AM$3,0,0,'Données projet'!$E$10+1,1))-AVERAGE(OFFSET($H$3,0,0,'Données projet'!$E$10+1,1))</f>
        <v>324.30660429578262</v>
      </c>
      <c r="AO56" s="59">
        <f t="shared" si="36"/>
        <v>197.04549436738586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1.8396303817013373</v>
      </c>
      <c r="AW56" s="21">
        <f>EXP(-LN(2)/2)*AW55+(1-EXP(-LN(2)/2))/(LN(2)/2)*AQ56*AT56*VLOOKUP('Données projet'!$B$10,Paramètres!$A$1:$I$89,3,0)*0.475*44/12</f>
        <v>2.3948885332558986E-3</v>
      </c>
      <c r="AX56" s="21">
        <f t="shared" si="6"/>
        <v>1.8420252702345932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13.499999999999996</v>
      </c>
      <c r="BD56" s="12">
        <f>IF('Données projet'!$A$88&gt;35,BD55+BC56-BL55,IF(A56&lt;'Données projet'!$A$88,$BA$205^A56,IF(A56='Données projet'!$A$88,'Données projet'!$B$88,BD55+BC56-BL55)))</f>
        <v>280.29999999999984</v>
      </c>
      <c r="BE56" s="13">
        <f>BD56*VLOOKUP('Données projet'!$B$11,Paramètres!$A$1:$I$89,3,0)*VLOOKUP('Données projet'!$B$11,Paramètres!$A$1:$I$89,5,0)</f>
        <v>131.18039999999993</v>
      </c>
      <c r="BF56" s="13">
        <f t="shared" si="37"/>
        <v>34.268971460239172</v>
      </c>
      <c r="BG56" s="20">
        <f t="shared" si="7"/>
        <v>288.15765529324972</v>
      </c>
      <c r="BH56" s="59">
        <f t="shared" si="8"/>
        <v>581.49098862658298</v>
      </c>
      <c r="BI56" s="59">
        <f ca="1">AVERAGE(OFFSET($BH$3,0,0,'Données projet'!$E$11+1,1))-AVERAGE(OFFSET($H$3,0,0,'Données projet'!$E$11+1,1))</f>
        <v>252.98248842635206</v>
      </c>
      <c r="BJ56" s="59">
        <f t="shared" si="38"/>
        <v>207.11938580878308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1.9877413341859023</v>
      </c>
      <c r="BQ56" s="21">
        <f>EXP(-LN(2)/25)*BQ55+(1-EXP(-LN(2)/25))/(LN(2)/25)*Calculateur!BL56*Calculateur!BN56*VLOOKUP('Données projet'!$B$11,Paramètres!$A$1:$I$89,3,0)*0.475*44/12</f>
        <v>4.1516837695788453</v>
      </c>
      <c r="BR56" s="21">
        <f>EXP(-LN(2)/2)*BR55+(1-EXP(-LN(2)/2))/(LN(2)/2)*BL56*BO56*VLOOKUP('Données projet'!$B$11,Paramètres!$A$1:$I$89,3,0)*0.475*44/12</f>
        <v>3.3947259096875865E-3</v>
      </c>
      <c r="BS56" s="22">
        <f t="shared" si="9"/>
        <v>6.1428198296744343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16.100000000000001</v>
      </c>
      <c r="BY56" s="12">
        <f>IF('Données projet'!$A$114&gt;35,BY55+BX56-CG55,IF(A56&lt;'Données projet'!$A$114,$BV$205^A56,IF(A56='Données projet'!$A$114,'Données projet'!$B$114,BY55+BX56-CG55)))</f>
        <v>457.2999999999995</v>
      </c>
      <c r="BZ56" s="13">
        <f>BY56*VLOOKUP('Données projet'!$B$12,Paramètres!$A$1:$I$89,3,0)*VLOOKUP('Données projet'!$B$12,Paramètres!$A$1:$I$89,5,0)</f>
        <v>273.4653999999997</v>
      </c>
      <c r="CA56" s="13">
        <f t="shared" si="39"/>
        <v>65.584167867374916</v>
      </c>
      <c r="CB56" s="20">
        <f t="shared" si="10"/>
        <v>590.51133070234414</v>
      </c>
      <c r="CC56" s="59">
        <f t="shared" si="11"/>
        <v>883.8446640356774</v>
      </c>
      <c r="CD56" s="59">
        <f ca="1">AVERAGE(OFFSET($CC$3,0,0,'Données projet'!$E$12+1,1))-AVERAGE(OFFSET($H$3,0,0,'Données projet'!$E$12+1,1))</f>
        <v>392.08740055894992</v>
      </c>
      <c r="CE56" s="59">
        <f t="shared" si="40"/>
        <v>395.10797100415783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2.5353642685991709</v>
      </c>
      <c r="CL56" s="21">
        <f>EXP(-LN(2)/25)*CL55+(1-EXP(-LN(2)/25))/(LN(2)/25)*Calculateur!CG56*Calculateur!CI56*VLOOKUP('Données projet'!$B$12,Paramètres!$A$1:$I$89,3,0)*0.475*44/12</f>
        <v>13.743926074603401</v>
      </c>
      <c r="CM56" s="21">
        <f>EXP(-LN(2)/2)*CM55+(1-EXP(-LN(2)/2))/(LN(2)/2)*CG56*CJ56*VLOOKUP('Données projet'!$B$12,Paramètres!$A$1:$I$89,3,0)*0.475*44/12</f>
        <v>1.2001250171877214E-2</v>
      </c>
      <c r="CN56" s="22">
        <f t="shared" si="12"/>
        <v>16.291291593374449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7.8</v>
      </c>
      <c r="N57" s="13">
        <f>IF('Données projet'!$A$36&gt;35,N56+M57-V56,IF(A57&lt;'Données projet'!$A$36,$K$205^A57,IF(A57='Données projet'!$A$36,'Données projet'!$B$36,N56+M57-V56)))</f>
        <v>188.2000000000001</v>
      </c>
      <c r="O57" s="13">
        <f>N57*VLOOKUP('Données projet'!$B$9,Paramètres!$A$1:$I$89,3,0)*VLOOKUP('Données projet'!$B$9,Paramètres!$A$1:$I$89,5,0)</f>
        <v>170.28336000000007</v>
      </c>
      <c r="P57" s="13">
        <f t="shared" si="33"/>
        <v>43.153480646462619</v>
      </c>
      <c r="Q57" s="20">
        <f t="shared" si="53"/>
        <v>371.73583079258918</v>
      </c>
      <c r="R57" s="59">
        <f t="shared" si="0"/>
        <v>665.0691641259225</v>
      </c>
      <c r="S57" s="59">
        <f ca="1">AVERAGE(OFFSET($R$3,0,0,'Données projet'!$E$9+1,1))-AVERAGE(OFFSET($H$3,0,0,'Données projet'!$E$9+1,1))</f>
        <v>282.32472952059817</v>
      </c>
      <c r="T57" s="59">
        <f t="shared" si="34"/>
        <v>172.32171001882176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1.5966289899378756</v>
      </c>
      <c r="AB57" s="21">
        <f>EXP(-LN(2)/2)*AB56+(1-EXP(-LN(2)/2))/(LN(2)/2)*V57*Y57*VLOOKUP('Données projet'!$B$9,Paramètres!$A$1:$I$89,3,0)*0.475*44/12</f>
        <v>1.5110712535225653E-3</v>
      </c>
      <c r="AC57" s="22">
        <f t="shared" si="3"/>
        <v>1.5981400611913981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7.8</v>
      </c>
      <c r="AI57" s="13">
        <f>IF('Données projet'!$A$62&gt;35,AI56+AH57-AQ56,IF(A57&lt;'Données projet'!$A$62,$AF$205^A57,IF(A57='Données projet'!$A$62,'Données projet'!$B$62,AI56+AH57-AQ56)))</f>
        <v>188.2000000000001</v>
      </c>
      <c r="AJ57" s="13">
        <f>AI57*VLOOKUP('Données projet'!$B$10,Paramètres!$A$1:$I$89,3,0)*VLOOKUP('Données projet'!$B$10,Paramètres!$A$1:$I$89,5,0)</f>
        <v>190.83480000000012</v>
      </c>
      <c r="AK57" s="13">
        <f t="shared" si="35"/>
        <v>47.724468160640392</v>
      </c>
      <c r="AL57" s="20">
        <f t="shared" si="4"/>
        <v>415.49072537978219</v>
      </c>
      <c r="AM57" s="59">
        <f t="shared" si="5"/>
        <v>708.82405871311551</v>
      </c>
      <c r="AN57" s="59">
        <f ca="1">AVERAGE(OFFSET($AM$3,0,0,'Données projet'!$E$10+1,1))-AVERAGE(OFFSET($H$3,0,0,'Données projet'!$E$10+1,1))</f>
        <v>324.30660429578262</v>
      </c>
      <c r="AO57" s="59">
        <f t="shared" si="36"/>
        <v>197.04549436738586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1.789325592171757</v>
      </c>
      <c r="AW57" s="21">
        <f>EXP(-LN(2)/2)*AW56+(1-EXP(-LN(2)/2))/(LN(2)/2)*AQ57*AT57*VLOOKUP('Données projet'!$B$10,Paramètres!$A$1:$I$89,3,0)*0.475*44/12</f>
        <v>1.6934419220511504E-3</v>
      </c>
      <c r="AX57" s="21">
        <f t="shared" si="6"/>
        <v>1.7910190340938081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13.499999999999996</v>
      </c>
      <c r="BD57" s="12">
        <f>IF('Données projet'!$A$88&gt;35,BD56+BC57-BL56,IF(A57&lt;'Données projet'!$A$88,$BA$205^A57,IF(A57='Données projet'!$A$88,'Données projet'!$B$88,BD56+BC57-BL56)))</f>
        <v>293.79999999999984</v>
      </c>
      <c r="BE57" s="13">
        <f>BD57*VLOOKUP('Données projet'!$B$11,Paramètres!$A$1:$I$89,3,0)*VLOOKUP('Données projet'!$B$11,Paramètres!$A$1:$I$89,5,0)</f>
        <v>137.49839999999992</v>
      </c>
      <c r="BF57" s="13">
        <f t="shared" si="37"/>
        <v>35.723324086274197</v>
      </c>
      <c r="BG57" s="20">
        <f t="shared" si="7"/>
        <v>301.69450278359409</v>
      </c>
      <c r="BH57" s="59">
        <f t="shared" si="8"/>
        <v>595.02783611692735</v>
      </c>
      <c r="BI57" s="59">
        <f ca="1">AVERAGE(OFFSET($BH$3,0,0,'Données projet'!$E$11+1,1))-AVERAGE(OFFSET($H$3,0,0,'Données projet'!$E$11+1,1))</f>
        <v>252.98248842635206</v>
      </c>
      <c r="BJ57" s="59">
        <f t="shared" si="38"/>
        <v>207.11938580878308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1.9487629390250159</v>
      </c>
      <c r="BQ57" s="21">
        <f>EXP(-LN(2)/25)*BQ56+(1-EXP(-LN(2)/25))/(LN(2)/25)*Calculateur!BL57*Calculateur!BN57*VLOOKUP('Données projet'!$B$11,Paramètres!$A$1:$I$89,3,0)*0.475*44/12</f>
        <v>4.0381557585721515</v>
      </c>
      <c r="BR57" s="21">
        <f>EXP(-LN(2)/2)*BR56+(1-EXP(-LN(2)/2))/(LN(2)/2)*BL57*BO57*VLOOKUP('Données projet'!$B$11,Paramètres!$A$1:$I$89,3,0)*0.475*44/12</f>
        <v>2.4004337110097636E-3</v>
      </c>
      <c r="BS57" s="22">
        <f t="shared" si="9"/>
        <v>5.9893191313081768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16.100000000000001</v>
      </c>
      <c r="BY57" s="12">
        <f>IF('Données projet'!$A$114&gt;35,BY56+BX57-CG56,IF(A57&lt;'Données projet'!$A$114,$BV$205^A57,IF(A57='Données projet'!$A$114,'Données projet'!$B$114,BY56+BX57-CG56)))</f>
        <v>473.39999999999952</v>
      </c>
      <c r="BZ57" s="13">
        <f>BY57*VLOOKUP('Données projet'!$B$12,Paramètres!$A$1:$I$89,3,0)*VLOOKUP('Données projet'!$B$12,Paramètres!$A$1:$I$89,5,0)</f>
        <v>283.09319999999974</v>
      </c>
      <c r="CA57" s="13">
        <f t="shared" si="39"/>
        <v>67.620272397048609</v>
      </c>
      <c r="CB57" s="20">
        <f t="shared" si="10"/>
        <v>610.82596442485919</v>
      </c>
      <c r="CC57" s="59">
        <f t="shared" si="11"/>
        <v>904.15929775819245</v>
      </c>
      <c r="CD57" s="59">
        <f ca="1">AVERAGE(OFFSET($CC$3,0,0,'Données projet'!$E$12+1,1))-AVERAGE(OFFSET($H$3,0,0,'Données projet'!$E$12+1,1))</f>
        <v>392.08740055894992</v>
      </c>
      <c r="CE57" s="59">
        <f t="shared" si="40"/>
        <v>395.10797100415783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2.4856473217114488</v>
      </c>
      <c r="CL57" s="21">
        <f>EXP(-LN(2)/25)*CL56+(1-EXP(-LN(2)/25))/(LN(2)/25)*Calculateur!CG57*Calculateur!CI57*VLOOKUP('Données projet'!$B$12,Paramètres!$A$1:$I$89,3,0)*0.475*44/12</f>
        <v>13.368097693331711</v>
      </c>
      <c r="CM57" s="21">
        <f>EXP(-LN(2)/2)*CM56+(1-EXP(-LN(2)/2))/(LN(2)/2)*CG57*CJ57*VLOOKUP('Données projet'!$B$12,Paramètres!$A$1:$I$89,3,0)*0.475*44/12</f>
        <v>8.4861653792505966E-3</v>
      </c>
      <c r="CN57" s="22">
        <f t="shared" si="12"/>
        <v>15.862231180422411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7.8</v>
      </c>
      <c r="N58" s="13">
        <f>IF('Données projet'!$A$36&gt;35,N57+M58-V57,IF(A58&lt;'Données projet'!$A$36,$K$205^A58,IF(A58='Données projet'!$A$36,'Données projet'!$B$36,N57+M58-V57)))</f>
        <v>196.00000000000011</v>
      </c>
      <c r="O58" s="13">
        <f>N58*VLOOKUP('Données projet'!$B$9,Paramètres!$A$1:$I$89,3,0)*VLOOKUP('Données projet'!$B$9,Paramètres!$A$1:$I$89,5,0)</f>
        <v>177.34080000000012</v>
      </c>
      <c r="P58" s="13">
        <f t="shared" si="33"/>
        <v>44.730051658603102</v>
      </c>
      <c r="Q58" s="20">
        <f t="shared" si="53"/>
        <v>386.77339997206718</v>
      </c>
      <c r="R58" s="59">
        <f t="shared" si="0"/>
        <v>680.10673330540044</v>
      </c>
      <c r="S58" s="59">
        <f ca="1">AVERAGE(OFFSET($R$3,0,0,'Données projet'!$E$9+1,1))-AVERAGE(OFFSET($H$3,0,0,'Données projet'!$E$9+1,1))</f>
        <v>282.32472952059817</v>
      </c>
      <c r="T58" s="59">
        <f t="shared" si="34"/>
        <v>172.32171001882176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1.552969086244955</v>
      </c>
      <c r="AB58" s="21">
        <f>EXP(-LN(2)/2)*AB57+(1-EXP(-LN(2)/2))/(LN(2)/2)*V58*Y58*VLOOKUP('Données projet'!$B$9,Paramètres!$A$1:$I$89,3,0)*0.475*44/12</f>
        <v>1.0684887302218626E-3</v>
      </c>
      <c r="AC58" s="22">
        <f t="shared" si="3"/>
        <v>1.5540375749751769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7.8</v>
      </c>
      <c r="AI58" s="13">
        <f>IF('Données projet'!$A$62&gt;35,AI57+AH58-AQ57,IF(A58&lt;'Données projet'!$A$62,$AF$205^A58,IF(A58='Données projet'!$A$62,'Données projet'!$B$62,AI57+AH58-AQ57)))</f>
        <v>196.00000000000011</v>
      </c>
      <c r="AJ58" s="13">
        <f>AI58*VLOOKUP('Données projet'!$B$10,Paramètres!$A$1:$I$89,3,0)*VLOOKUP('Données projet'!$B$10,Paramètres!$A$1:$I$89,5,0)</f>
        <v>198.74400000000011</v>
      </c>
      <c r="AK58" s="13">
        <f t="shared" si="35"/>
        <v>49.468035816012197</v>
      </c>
      <c r="AL58" s="20">
        <f t="shared" si="4"/>
        <v>432.3026290462214</v>
      </c>
      <c r="AM58" s="59">
        <f t="shared" si="5"/>
        <v>725.63596237955471</v>
      </c>
      <c r="AN58" s="59">
        <f ca="1">AVERAGE(OFFSET($AM$3,0,0,'Données projet'!$E$10+1,1))-AVERAGE(OFFSET($H$3,0,0,'Données projet'!$E$10+1,1))</f>
        <v>324.30660429578262</v>
      </c>
      <c r="AO58" s="59">
        <f t="shared" si="36"/>
        <v>197.04549436738586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1.740396389757277</v>
      </c>
      <c r="AW58" s="21">
        <f>EXP(-LN(2)/2)*AW57+(1-EXP(-LN(2)/2))/(LN(2)/2)*AQ58*AT58*VLOOKUP('Données projet'!$B$10,Paramètres!$A$1:$I$89,3,0)*0.475*44/12</f>
        <v>1.1974442666279493E-3</v>
      </c>
      <c r="AX58" s="21">
        <f t="shared" si="6"/>
        <v>1.741593834023905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13.499999999999996</v>
      </c>
      <c r="BD58" s="12">
        <f>IF('Données projet'!$A$88&gt;35,BD57+BC58-BL57,IF(A58&lt;'Données projet'!$A$88,$BA$205^A58,IF(A58='Données projet'!$A$88,'Données projet'!$B$88,BD57+BC58-BL57)))</f>
        <v>307.29999999999984</v>
      </c>
      <c r="BE58" s="13">
        <f>BD58*VLOOKUP('Données projet'!$B$11,Paramètres!$A$1:$I$89,3,0)*VLOOKUP('Données projet'!$B$11,Paramètres!$A$1:$I$89,5,0)</f>
        <v>143.81639999999993</v>
      </c>
      <c r="BF58" s="13">
        <f t="shared" si="37"/>
        <v>37.169915935828818</v>
      </c>
      <c r="BG58" s="20">
        <f t="shared" si="7"/>
        <v>315.21783358823507</v>
      </c>
      <c r="BH58" s="59">
        <f t="shared" si="8"/>
        <v>608.55116692156844</v>
      </c>
      <c r="BI58" s="59">
        <f ca="1">AVERAGE(OFFSET($BH$3,0,0,'Données projet'!$E$11+1,1))-AVERAGE(OFFSET($H$3,0,0,'Données projet'!$E$11+1,1))</f>
        <v>252.98248842635206</v>
      </c>
      <c r="BJ58" s="59">
        <f t="shared" si="38"/>
        <v>207.11938580878308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1.9105488864187608</v>
      </c>
      <c r="BQ58" s="21">
        <f>EXP(-LN(2)/25)*BQ57+(1-EXP(-LN(2)/25))/(LN(2)/25)*Calculateur!BL58*Calculateur!BN58*VLOOKUP('Données projet'!$B$11,Paramètres!$A$1:$I$89,3,0)*0.475*44/12</f>
        <v>3.927732176996614</v>
      </c>
      <c r="BR58" s="21">
        <f>EXP(-LN(2)/2)*BR57+(1-EXP(-LN(2)/2))/(LN(2)/2)*BL58*BO58*VLOOKUP('Données projet'!$B$11,Paramètres!$A$1:$I$89,3,0)*0.475*44/12</f>
        <v>1.6973629548437932E-3</v>
      </c>
      <c r="BS58" s="22">
        <f t="shared" si="9"/>
        <v>5.8399784263702186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16.100000000000001</v>
      </c>
      <c r="BY58" s="12">
        <f>IF('Données projet'!$A$114&gt;35,BY57+BX58-CG57,IF(A58&lt;'Données projet'!$A$114,$BV$205^A58,IF(A58='Données projet'!$A$114,'Données projet'!$B$114,BY57+BX58-CG57)))</f>
        <v>489.49999999999955</v>
      </c>
      <c r="BZ58" s="13">
        <f>BY58*VLOOKUP('Données projet'!$B$12,Paramètres!$A$1:$I$89,3,0)*VLOOKUP('Données projet'!$B$12,Paramètres!$A$1:$I$89,5,0)</f>
        <v>292.72099999999972</v>
      </c>
      <c r="CA58" s="13">
        <f t="shared" si="39"/>
        <v>69.648330931127731</v>
      </c>
      <c r="CB58" s="20">
        <f t="shared" si="10"/>
        <v>631.12658470504709</v>
      </c>
      <c r="CC58" s="59">
        <f t="shared" si="11"/>
        <v>924.45991803838047</v>
      </c>
      <c r="CD58" s="59">
        <f ca="1">AVERAGE(OFFSET($CC$3,0,0,'Données projet'!$E$12+1,1))-AVERAGE(OFFSET($H$3,0,0,'Données projet'!$E$12+1,1))</f>
        <v>392.08740055894992</v>
      </c>
      <c r="CE58" s="59">
        <f t="shared" si="40"/>
        <v>395.10797100415783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2.4369052938278517</v>
      </c>
      <c r="CL58" s="21">
        <f>EXP(-LN(2)/25)*CL57+(1-EXP(-LN(2)/25))/(LN(2)/25)*Calculateur!CG58*Calculateur!CI58*VLOOKUP('Données projet'!$B$12,Paramètres!$A$1:$I$89,3,0)*0.475*44/12</f>
        <v>13.00254635890985</v>
      </c>
      <c r="CM58" s="21">
        <f>EXP(-LN(2)/2)*CM57+(1-EXP(-LN(2)/2))/(LN(2)/2)*CG58*CJ58*VLOOKUP('Données projet'!$B$12,Paramètres!$A$1:$I$89,3,0)*0.475*44/12</f>
        <v>6.0006250859386068E-3</v>
      </c>
      <c r="CN58" s="22">
        <f t="shared" si="12"/>
        <v>15.445452277823641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7.8</v>
      </c>
      <c r="N59" s="13">
        <f>IF('Données projet'!$A$36&gt;35,N58+M59-V58,IF(A59&lt;'Données projet'!$A$36,$K$205^A59,IF(A59='Données projet'!$A$36,'Données projet'!$B$36,N58+M59-V58)))</f>
        <v>203.80000000000013</v>
      </c>
      <c r="O59" s="13">
        <f>N59*VLOOKUP('Données projet'!$B$9,Paramètres!$A$1:$I$89,3,0)*VLOOKUP('Données projet'!$B$9,Paramètres!$A$1:$I$89,5,0)</f>
        <v>184.3982400000001</v>
      </c>
      <c r="P59" s="13">
        <f t="shared" si="33"/>
        <v>46.299334464645959</v>
      </c>
      <c r="Q59" s="20">
        <f t="shared" si="53"/>
        <v>401.79827552592519</v>
      </c>
      <c r="R59" s="59">
        <f t="shared" si="0"/>
        <v>695.13160885925845</v>
      </c>
      <c r="S59" s="59">
        <f ca="1">AVERAGE(OFFSET($R$3,0,0,'Données projet'!$E$9+1,1))-AVERAGE(OFFSET($H$3,0,0,'Données projet'!$E$9+1,1))</f>
        <v>282.32472952059817</v>
      </c>
      <c r="T59" s="59">
        <f t="shared" si="34"/>
        <v>172.32171001882176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1.5105030649144917</v>
      </c>
      <c r="AB59" s="21">
        <f>EXP(-LN(2)/2)*AB58+(1-EXP(-LN(2)/2))/(LN(2)/2)*V59*Y59*VLOOKUP('Données projet'!$B$9,Paramètres!$A$1:$I$89,3,0)*0.475*44/12</f>
        <v>7.5553562676128263E-4</v>
      </c>
      <c r="AC59" s="22">
        <f t="shared" si="3"/>
        <v>1.5112586005412529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7.8</v>
      </c>
      <c r="AI59" s="13">
        <f>IF('Données projet'!$A$62&gt;35,AI58+AH59-AQ58,IF(A59&lt;'Données projet'!$A$62,$AF$205^A59,IF(A59='Données projet'!$A$62,'Données projet'!$B$62,AI58+AH59-AQ58)))</f>
        <v>203.80000000000013</v>
      </c>
      <c r="AJ59" s="13">
        <f>AI59*VLOOKUP('Données projet'!$B$10,Paramètres!$A$1:$I$89,3,0)*VLOOKUP('Données projet'!$B$10,Paramètres!$A$1:$I$89,5,0)</f>
        <v>206.65320000000014</v>
      </c>
      <c r="AK59" s="13">
        <f t="shared" si="35"/>
        <v>51.20354326964263</v>
      </c>
      <c r="AL59" s="20">
        <f t="shared" si="4"/>
        <v>449.10049452796119</v>
      </c>
      <c r="AM59" s="59">
        <f t="shared" si="5"/>
        <v>742.4338278612945</v>
      </c>
      <c r="AN59" s="59">
        <f ca="1">AVERAGE(OFFSET($AM$3,0,0,'Données projet'!$E$10+1,1))-AVERAGE(OFFSET($H$3,0,0,'Données projet'!$E$10+1,1))</f>
        <v>324.30660429578262</v>
      </c>
      <c r="AO59" s="59">
        <f t="shared" si="36"/>
        <v>197.04549436738586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1.6928051589558959</v>
      </c>
      <c r="AW59" s="21">
        <f>EXP(-LN(2)/2)*AW58+(1-EXP(-LN(2)/2))/(LN(2)/2)*AQ59*AT59*VLOOKUP('Données projet'!$B$10,Paramètres!$A$1:$I$89,3,0)*0.475*44/12</f>
        <v>8.4672096102557522E-4</v>
      </c>
      <c r="AX59" s="21">
        <f t="shared" si="6"/>
        <v>1.6936518799169216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13.499999999999996</v>
      </c>
      <c r="BD59" s="12">
        <f>IF('Données projet'!$A$88&gt;35,BD58+BC59-BL58,IF(A59&lt;'Données projet'!$A$88,$BA$205^A59,IF(A59='Données projet'!$A$88,'Données projet'!$B$88,BD58+BC59-BL58)))</f>
        <v>320.79999999999984</v>
      </c>
      <c r="BE59" s="13">
        <f>BD59*VLOOKUP('Données projet'!$B$11,Paramètres!$A$1:$I$89,3,0)*VLOOKUP('Données projet'!$B$11,Paramètres!$A$1:$I$89,5,0)</f>
        <v>150.13439999999994</v>
      </c>
      <c r="BF59" s="13">
        <f t="shared" si="37"/>
        <v>38.609126910934812</v>
      </c>
      <c r="BG59" s="20">
        <f t="shared" si="7"/>
        <v>328.72830936987799</v>
      </c>
      <c r="BH59" s="59">
        <f t="shared" si="8"/>
        <v>622.06164270321131</v>
      </c>
      <c r="BI59" s="59">
        <f ca="1">AVERAGE(OFFSET($BH$3,0,0,'Données projet'!$E$11+1,1))-AVERAGE(OFFSET($H$3,0,0,'Données projet'!$E$11+1,1))</f>
        <v>252.98248842635206</v>
      </c>
      <c r="BJ59" s="59">
        <f t="shared" si="38"/>
        <v>207.11938580878308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1.8730841880758438</v>
      </c>
      <c r="BQ59" s="21">
        <f>EXP(-LN(2)/25)*BQ58+(1-EXP(-LN(2)/25))/(LN(2)/25)*Calculateur!BL59*Calculateur!BN59*VLOOKUP('Données projet'!$B$11,Paramètres!$A$1:$I$89,3,0)*0.475*44/12</f>
        <v>3.8203281340661834</v>
      </c>
      <c r="BR59" s="21">
        <f>EXP(-LN(2)/2)*BR58+(1-EXP(-LN(2)/2))/(LN(2)/2)*BL59*BO59*VLOOKUP('Données projet'!$B$11,Paramètres!$A$1:$I$89,3,0)*0.475*44/12</f>
        <v>1.2002168555048818E-3</v>
      </c>
      <c r="BS59" s="22">
        <f t="shared" si="9"/>
        <v>5.6946125389975322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16.100000000000001</v>
      </c>
      <c r="BY59" s="12">
        <f>IF('Données projet'!$A$114&gt;35,BY58+BX59-CG58,IF(A59&lt;'Données projet'!$A$114,$BV$205^A59,IF(A59='Données projet'!$A$114,'Données projet'!$B$114,BY58+BX59-CG58)))</f>
        <v>505.59999999999957</v>
      </c>
      <c r="BZ59" s="13">
        <f>BY59*VLOOKUP('Données projet'!$B$12,Paramètres!$A$1:$I$89,3,0)*VLOOKUP('Données projet'!$B$12,Paramètres!$A$1:$I$89,5,0)</f>
        <v>302.34879999999976</v>
      </c>
      <c r="CA59" s="13">
        <f t="shared" si="39"/>
        <v>71.668638455174801</v>
      </c>
      <c r="CB59" s="20">
        <f t="shared" si="10"/>
        <v>651.41370530942902</v>
      </c>
      <c r="CC59" s="59">
        <f t="shared" si="11"/>
        <v>944.74703864276239</v>
      </c>
      <c r="CD59" s="59">
        <f ca="1">AVERAGE(OFFSET($CC$3,0,0,'Données projet'!$E$12+1,1))-AVERAGE(OFFSET($H$3,0,0,'Données projet'!$E$12+1,1))</f>
        <v>392.08740055894992</v>
      </c>
      <c r="CE59" s="59">
        <f t="shared" si="40"/>
        <v>395.10797100415783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2.3891190673813503</v>
      </c>
      <c r="CL59" s="21">
        <f>EXP(-LN(2)/25)*CL58+(1-EXP(-LN(2)/25))/(LN(2)/25)*Calculateur!CG59*Calculateur!CI59*VLOOKUP('Données projet'!$B$12,Paramètres!$A$1:$I$89,3,0)*0.475*44/12</f>
        <v>12.646991044951266</v>
      </c>
      <c r="CM59" s="21">
        <f>EXP(-LN(2)/2)*CM58+(1-EXP(-LN(2)/2))/(LN(2)/2)*CG59*CJ59*VLOOKUP('Données projet'!$B$12,Paramètres!$A$1:$I$89,3,0)*0.475*44/12</f>
        <v>4.2430826896252983E-3</v>
      </c>
      <c r="CN59" s="22">
        <f t="shared" si="12"/>
        <v>15.04035319502224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7.8</v>
      </c>
      <c r="N60" s="13">
        <f>IF('Données projet'!$A$36&gt;35,N59+M60-V59,IF(A60&lt;'Données projet'!$A$36,$K$205^A60,IF(A60='Données projet'!$A$36,'Données projet'!$B$36,N59+M60-V59)))</f>
        <v>211.60000000000014</v>
      </c>
      <c r="O60" s="13">
        <f>N60*VLOOKUP('Données projet'!$B$9,Paramètres!$A$1:$I$89,3,0)*VLOOKUP('Données projet'!$B$9,Paramètres!$A$1:$I$89,5,0)</f>
        <v>191.45568000000011</v>
      </c>
      <c r="P60" s="13">
        <f t="shared" si="33"/>
        <v>47.861639935303188</v>
      </c>
      <c r="Q60" s="20">
        <f t="shared" si="53"/>
        <v>416.81099888731995</v>
      </c>
      <c r="R60" s="59">
        <f t="shared" si="0"/>
        <v>710.14433222065327</v>
      </c>
      <c r="S60" s="59">
        <f ca="1">AVERAGE(OFFSET($R$3,0,0,'Données projet'!$E$9+1,1))-AVERAGE(OFFSET($H$3,0,0,'Données projet'!$E$9+1,1))</f>
        <v>282.32472952059817</v>
      </c>
      <c r="T60" s="59">
        <f t="shared" si="34"/>
        <v>172.32171001882176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1.4691982791705009</v>
      </c>
      <c r="AB60" s="21">
        <f>EXP(-LN(2)/2)*AB59+(1-EXP(-LN(2)/2))/(LN(2)/2)*V60*Y60*VLOOKUP('Données projet'!$B$9,Paramètres!$A$1:$I$89,3,0)*0.475*44/12</f>
        <v>5.3424436511093131E-4</v>
      </c>
      <c r="AC60" s="22">
        <f t="shared" si="3"/>
        <v>1.4697325235356118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7.8</v>
      </c>
      <c r="AI60" s="13">
        <f>IF('Données projet'!$A$62&gt;35,AI59+AH60-AQ59,IF(A60&lt;'Données projet'!$A$62,$AF$205^A60,IF(A60='Données projet'!$A$62,'Données projet'!$B$62,AI59+AH60-AQ59)))</f>
        <v>211.60000000000014</v>
      </c>
      <c r="AJ60" s="13">
        <f>AI60*VLOOKUP('Données projet'!$B$10,Paramètres!$A$1:$I$89,3,0)*VLOOKUP('Données projet'!$B$10,Paramètres!$A$1:$I$89,5,0)</f>
        <v>214.56240000000017</v>
      </c>
      <c r="AK60" s="13">
        <f t="shared" si="35"/>
        <v>52.931334320900255</v>
      </c>
      <c r="AL60" s="20">
        <f t="shared" si="4"/>
        <v>465.88492060890161</v>
      </c>
      <c r="AM60" s="59">
        <f t="shared" si="5"/>
        <v>759.21825394223492</v>
      </c>
      <c r="AN60" s="59">
        <f ca="1">AVERAGE(OFFSET($AM$3,0,0,'Données projet'!$E$10+1,1))-AVERAGE(OFFSET($H$3,0,0,'Données projet'!$E$10+1,1))</f>
        <v>324.30660429578262</v>
      </c>
      <c r="AO60" s="59">
        <f t="shared" si="36"/>
        <v>197.04549436738586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1.6465153128634926</v>
      </c>
      <c r="AW60" s="21">
        <f>EXP(-LN(2)/2)*AW59+(1-EXP(-LN(2)/2))/(LN(2)/2)*AQ60*AT60*VLOOKUP('Données projet'!$B$10,Paramètres!$A$1:$I$89,3,0)*0.475*44/12</f>
        <v>5.9872213331397465E-4</v>
      </c>
      <c r="AX60" s="21">
        <f t="shared" si="6"/>
        <v>1.6471140349968065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13.499999999999996</v>
      </c>
      <c r="BD60" s="12">
        <f>IF('Données projet'!$A$88&gt;35,BD59+BC60-BL59,IF(A60&lt;'Données projet'!$A$88,$BA$205^A60,IF(A60='Données projet'!$A$88,'Données projet'!$B$88,BD59+BC60-BL59)))</f>
        <v>334.29999999999984</v>
      </c>
      <c r="BE60" s="13">
        <f>BD60*VLOOKUP('Données projet'!$B$11,Paramètres!$A$1:$I$89,3,0)*VLOOKUP('Données projet'!$B$11,Paramètres!$A$1:$I$89,5,0)</f>
        <v>156.45239999999993</v>
      </c>
      <c r="BF60" s="13">
        <f t="shared" si="37"/>
        <v>40.041303130551007</v>
      </c>
      <c r="BG60" s="20">
        <f t="shared" si="7"/>
        <v>342.2265329523762</v>
      </c>
      <c r="BH60" s="59">
        <f t="shared" si="8"/>
        <v>635.55986628570952</v>
      </c>
      <c r="BI60" s="59">
        <f ca="1">AVERAGE(OFFSET($BH$3,0,0,'Données projet'!$E$11+1,1))-AVERAGE(OFFSET($H$3,0,0,'Données projet'!$E$11+1,1))</f>
        <v>252.98248842635206</v>
      </c>
      <c r="BJ60" s="59">
        <f t="shared" si="38"/>
        <v>207.11938580878308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1.8363541496162219</v>
      </c>
      <c r="BQ60" s="21">
        <f>EXP(-LN(2)/25)*BQ59+(1-EXP(-LN(2)/25))/(LN(2)/25)*Calculateur!BL60*Calculateur!BN60*VLOOKUP('Données projet'!$B$11,Paramètres!$A$1:$I$89,3,0)*0.475*44/12</f>
        <v>3.7158610603378186</v>
      </c>
      <c r="BR60" s="21">
        <f>EXP(-LN(2)/2)*BR59+(1-EXP(-LN(2)/2))/(LN(2)/2)*BL60*BO60*VLOOKUP('Données projet'!$B$11,Paramètres!$A$1:$I$89,3,0)*0.475*44/12</f>
        <v>8.4868147742189661E-4</v>
      </c>
      <c r="BS60" s="22">
        <f t="shared" si="9"/>
        <v>5.5530638914314618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16.100000000000001</v>
      </c>
      <c r="BY60" s="12">
        <f>IF('Données projet'!$A$114&gt;35,BY59+BX60-CG59,IF(A60&lt;'Données projet'!$A$114,$BV$205^A60,IF(A60='Données projet'!$A$114,'Données projet'!$B$114,BY59+BX60-CG59)))</f>
        <v>521.69999999999959</v>
      </c>
      <c r="BZ60" s="13">
        <f>BY60*VLOOKUP('Données projet'!$B$12,Paramètres!$A$1:$I$89,3,0)*VLOOKUP('Données projet'!$B$12,Paramètres!$A$1:$I$89,5,0)</f>
        <v>311.97659999999979</v>
      </c>
      <c r="CA60" s="13">
        <f t="shared" si="39"/>
        <v>73.681470101320386</v>
      </c>
      <c r="CB60" s="20">
        <f t="shared" si="10"/>
        <v>671.68780542646584</v>
      </c>
      <c r="CC60" s="59">
        <f t="shared" si="11"/>
        <v>965.02113875979921</v>
      </c>
      <c r="CD60" s="59">
        <f ca="1">AVERAGE(OFFSET($CC$3,0,0,'Données projet'!$E$12+1,1))-AVERAGE(OFFSET($H$3,0,0,'Données projet'!$E$12+1,1))</f>
        <v>392.08740055894992</v>
      </c>
      <c r="CE60" s="59">
        <f t="shared" si="40"/>
        <v>395.10797100415783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2.3422698996887448</v>
      </c>
      <c r="CL60" s="21">
        <f>EXP(-LN(2)/25)*CL59+(1-EXP(-LN(2)/25))/(LN(2)/25)*Calculateur!CG60*Calculateur!CI60*VLOOKUP('Données projet'!$B$12,Paramètres!$A$1:$I$89,3,0)*0.475*44/12</f>
        <v>12.30115840975072</v>
      </c>
      <c r="CM60" s="21">
        <f>EXP(-LN(2)/2)*CM59+(1-EXP(-LN(2)/2))/(LN(2)/2)*CG60*CJ60*VLOOKUP('Données projet'!$B$12,Paramètres!$A$1:$I$89,3,0)*0.475*44/12</f>
        <v>3.0003125429693034E-3</v>
      </c>
      <c r="CN60" s="22">
        <f t="shared" si="12"/>
        <v>14.646428621982434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7.8</v>
      </c>
      <c r="N61" s="13">
        <f>IF('Données projet'!$A$36&gt;35,N60+M61-V60,IF(A61&lt;'Données projet'!$A$36,$K$205^A61,IF(A61='Données projet'!$A$36,'Données projet'!$B$36,N60+M61-V60)))</f>
        <v>219.40000000000015</v>
      </c>
      <c r="O61" s="13">
        <f>N61*VLOOKUP('Données projet'!$B$9,Paramètres!$A$1:$I$89,3,0)*VLOOKUP('Données projet'!$B$9,Paramètres!$A$1:$I$89,5,0)</f>
        <v>198.51312000000013</v>
      </c>
      <c r="P61" s="13">
        <f t="shared" si="33"/>
        <v>49.417254724004458</v>
      </c>
      <c r="Q61" s="20">
        <f t="shared" si="53"/>
        <v>431.81206931097466</v>
      </c>
      <c r="R61" s="59">
        <f t="shared" si="0"/>
        <v>725.14540264430798</v>
      </c>
      <c r="S61" s="59">
        <f ca="1">AVERAGE(OFFSET($R$3,0,0,'Données projet'!$E$9+1,1))-AVERAGE(OFFSET($H$3,0,0,'Données projet'!$E$9+1,1))</f>
        <v>282.32472952059817</v>
      </c>
      <c r="T61" s="59">
        <f t="shared" si="34"/>
        <v>172.32171001882176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1.429022974964804</v>
      </c>
      <c r="AB61" s="21">
        <f>EXP(-LN(2)/2)*AB60+(1-EXP(-LN(2)/2))/(LN(2)/2)*V61*Y61*VLOOKUP('Données projet'!$B$9,Paramètres!$A$1:$I$89,3,0)*0.475*44/12</f>
        <v>3.7776781338064131E-4</v>
      </c>
      <c r="AC61" s="22">
        <f t="shared" si="3"/>
        <v>1.4294007427781847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7.8</v>
      </c>
      <c r="AI61" s="13">
        <f>IF('Données projet'!$A$62&gt;35,AI60+AH61-AQ60,IF(A61&lt;'Données projet'!$A$62,$AF$205^A61,IF(A61='Données projet'!$A$62,'Données projet'!$B$62,AI60+AH61-AQ60)))</f>
        <v>219.40000000000015</v>
      </c>
      <c r="AJ61" s="13">
        <f>AI61*VLOOKUP('Données projet'!$B$10,Paramètres!$A$1:$I$89,3,0)*VLOOKUP('Données projet'!$B$10,Paramètres!$A$1:$I$89,5,0)</f>
        <v>222.47160000000017</v>
      </c>
      <c r="AK61" s="13">
        <f t="shared" si="35"/>
        <v>54.651725986680781</v>
      </c>
      <c r="AL61" s="20">
        <f t="shared" si="4"/>
        <v>482.65645942680254</v>
      </c>
      <c r="AM61" s="59">
        <f t="shared" si="5"/>
        <v>775.98979276013586</v>
      </c>
      <c r="AN61" s="59">
        <f ca="1">AVERAGE(OFFSET($AM$3,0,0,'Données projet'!$E$10+1,1))-AVERAGE(OFFSET($H$3,0,0,'Données projet'!$E$10+1,1))</f>
        <v>324.30660429578262</v>
      </c>
      <c r="AO61" s="59">
        <f t="shared" si="36"/>
        <v>197.04549436738586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1.6014912650467632</v>
      </c>
      <c r="AW61" s="21">
        <f>EXP(-LN(2)/2)*AW60+(1-EXP(-LN(2)/2))/(LN(2)/2)*AQ61*AT61*VLOOKUP('Données projet'!$B$10,Paramètres!$A$1:$I$89,3,0)*0.475*44/12</f>
        <v>4.2336048051278761E-4</v>
      </c>
      <c r="AX61" s="21">
        <f t="shared" si="6"/>
        <v>1.601914625527276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13.499999999999996</v>
      </c>
      <c r="BD61" s="12">
        <f>IF('Données projet'!$A$88&gt;35,BD60+BC61-BL60,IF(A61&lt;'Données projet'!$A$88,$BA$205^A61,IF(A61='Données projet'!$A$88,'Données projet'!$B$88,BD60+BC61-BL60)))</f>
        <v>347.79999999999984</v>
      </c>
      <c r="BE61" s="13">
        <f>BD61*VLOOKUP('Données projet'!$B$11,Paramètres!$A$1:$I$89,3,0)*VLOOKUP('Données projet'!$B$11,Paramètres!$A$1:$I$89,5,0)</f>
        <v>162.77039999999994</v>
      </c>
      <c r="BF61" s="13">
        <f t="shared" si="37"/>
        <v>41.466761176934256</v>
      </c>
      <c r="BG61" s="20">
        <f t="shared" si="7"/>
        <v>355.71305571649367</v>
      </c>
      <c r="BH61" s="59">
        <f t="shared" si="8"/>
        <v>649.04638904982698</v>
      </c>
      <c r="BI61" s="59">
        <f ca="1">AVERAGE(OFFSET($BH$3,0,0,'Données projet'!$E$11+1,1))-AVERAGE(OFFSET($H$3,0,0,'Données projet'!$E$11+1,1))</f>
        <v>252.98248842635206</v>
      </c>
      <c r="BJ61" s="59">
        <f t="shared" si="38"/>
        <v>207.11938580878308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1.8003443648076818</v>
      </c>
      <c r="BQ61" s="21">
        <f>EXP(-LN(2)/25)*BQ60+(1-EXP(-LN(2)/25))/(LN(2)/25)*Calculateur!BL61*Calculateur!BN61*VLOOKUP('Données projet'!$B$11,Paramètres!$A$1:$I$89,3,0)*0.475*44/12</f>
        <v>3.6142506442342404</v>
      </c>
      <c r="BR61" s="21">
        <f>EXP(-LN(2)/2)*BR60+(1-EXP(-LN(2)/2))/(LN(2)/2)*BL61*BO61*VLOOKUP('Données projet'!$B$11,Paramètres!$A$1:$I$89,3,0)*0.475*44/12</f>
        <v>6.0010842775244091E-4</v>
      </c>
      <c r="BS61" s="22">
        <f t="shared" si="9"/>
        <v>5.4151951174696746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16.100000000000001</v>
      </c>
      <c r="BY61" s="12">
        <f>IF('Données projet'!$A$114&gt;35,BY60+BX61-CG60,IF(A61&lt;'Données projet'!$A$114,$BV$205^A61,IF(A61='Données projet'!$A$114,'Données projet'!$B$114,BY60+BX61-CG60)))</f>
        <v>537.79999999999961</v>
      </c>
      <c r="BZ61" s="13">
        <f>BY61*VLOOKUP('Données projet'!$B$12,Paramètres!$A$1:$I$89,3,0)*VLOOKUP('Données projet'!$B$12,Paramètres!$A$1:$I$89,5,0)</f>
        <v>321.60439999999977</v>
      </c>
      <c r="CA61" s="13">
        <f t="shared" si="39"/>
        <v>75.687083055456625</v>
      </c>
      <c r="CB61" s="20">
        <f t="shared" si="10"/>
        <v>691.94933298825333</v>
      </c>
      <c r="CC61" s="59">
        <f t="shared" si="11"/>
        <v>985.2826663215867</v>
      </c>
      <c r="CD61" s="59">
        <f ca="1">AVERAGE(OFFSET($CC$3,0,0,'Données projet'!$E$12+1,1))-AVERAGE(OFFSET($H$3,0,0,'Données projet'!$E$12+1,1))</f>
        <v>392.08740055894992</v>
      </c>
      <c r="CE61" s="59">
        <f t="shared" si="40"/>
        <v>395.10797100415783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2.2963394155994203</v>
      </c>
      <c r="CL61" s="21">
        <f>EXP(-LN(2)/25)*CL60+(1-EXP(-LN(2)/25))/(LN(2)/25)*Calculateur!CG61*Calculateur!CI61*VLOOKUP('Données projet'!$B$12,Paramètres!$A$1:$I$89,3,0)*0.475*44/12</f>
        <v>11.96478258614628</v>
      </c>
      <c r="CM61" s="21">
        <f>EXP(-LN(2)/2)*CM60+(1-EXP(-LN(2)/2))/(LN(2)/2)*CG61*CJ61*VLOOKUP('Données projet'!$B$12,Paramètres!$A$1:$I$89,3,0)*0.475*44/12</f>
        <v>2.1215413448126491E-3</v>
      </c>
      <c r="CN61" s="22">
        <f t="shared" si="12"/>
        <v>14.263243543090514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7.8</v>
      </c>
      <c r="N62" s="13">
        <f>IF('Données projet'!$A$36&gt;35,N61+M62-V61,IF(A62&lt;'Données projet'!$A$36,$K$205^A62,IF(A62='Données projet'!$A$36,'Données projet'!$B$36,N61+M62-V61)))</f>
        <v>227.20000000000016</v>
      </c>
      <c r="O62" s="13">
        <f>N62*VLOOKUP('Données projet'!$B$9,Paramètres!$A$1:$I$89,3,0)*VLOOKUP('Données projet'!$B$9,Paramètres!$A$1:$I$89,5,0)</f>
        <v>205.57056000000014</v>
      </c>
      <c r="P62" s="13">
        <f t="shared" si="33"/>
        <v>50.966443946767434</v>
      </c>
      <c r="Q62" s="20">
        <f t="shared" si="53"/>
        <v>446.80194854062023</v>
      </c>
      <c r="R62" s="59">
        <f t="shared" si="0"/>
        <v>740.13528187395355</v>
      </c>
      <c r="S62" s="59">
        <f ca="1">AVERAGE(OFFSET($R$3,0,0,'Données projet'!$E$9+1,1))-AVERAGE(OFFSET($H$3,0,0,'Données projet'!$E$9+1,1))</f>
        <v>282.32472952059817</v>
      </c>
      <c r="T62" s="59">
        <f t="shared" si="34"/>
        <v>172.32171001882176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1.3899462665653393</v>
      </c>
      <c r="AB62" s="21">
        <f>EXP(-LN(2)/2)*AB61+(1-EXP(-LN(2)/2))/(LN(2)/2)*V62*Y62*VLOOKUP('Données projet'!$B$9,Paramètres!$A$1:$I$89,3,0)*0.475*44/12</f>
        <v>2.6712218255546565E-4</v>
      </c>
      <c r="AC62" s="22">
        <f t="shared" si="3"/>
        <v>1.3902133887478947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7.8</v>
      </c>
      <c r="AI62" s="13">
        <f>IF('Données projet'!$A$62&gt;35,AI61+AH62-AQ61,IF(A62&lt;'Données projet'!$A$62,$AF$205^A62,IF(A62='Données projet'!$A$62,'Données projet'!$B$62,AI61+AH62-AQ61)))</f>
        <v>227.20000000000016</v>
      </c>
      <c r="AJ62" s="13">
        <f>AI62*VLOOKUP('Données projet'!$B$10,Paramètres!$A$1:$I$89,3,0)*VLOOKUP('Données projet'!$B$10,Paramètres!$A$1:$I$89,5,0)</f>
        <v>230.38080000000019</v>
      </c>
      <c r="AK62" s="13">
        <f t="shared" si="35"/>
        <v>56.365011465140029</v>
      </c>
      <c r="AL62" s="20">
        <f t="shared" si="4"/>
        <v>499.41562163511918</v>
      </c>
      <c r="AM62" s="59">
        <f t="shared" si="5"/>
        <v>792.74895496845249</v>
      </c>
      <c r="AN62" s="59">
        <f ca="1">AVERAGE(OFFSET($AM$3,0,0,'Données projet'!$E$10+1,1))-AVERAGE(OFFSET($H$3,0,0,'Données projet'!$E$10+1,1))</f>
        <v>324.30660429578262</v>
      </c>
      <c r="AO62" s="59">
        <f t="shared" si="36"/>
        <v>197.04549436738586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1.557698402185294</v>
      </c>
      <c r="AW62" s="21">
        <f>EXP(-LN(2)/2)*AW61+(1-EXP(-LN(2)/2))/(LN(2)/2)*AQ62*AT62*VLOOKUP('Données projet'!$B$10,Paramètres!$A$1:$I$89,3,0)*0.475*44/12</f>
        <v>2.9936106665698733E-4</v>
      </c>
      <c r="AX62" s="21">
        <f t="shared" si="6"/>
        <v>1.5579977632519511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13.499999999999996</v>
      </c>
      <c r="BD62" s="12">
        <f>IF('Données projet'!$A$88&gt;35,BD61+BC62-BL61,IF(A62&lt;'Données projet'!$A$88,$BA$205^A62,IF(A62='Données projet'!$A$88,'Données projet'!$B$88,BD61+BC62-BL61)))</f>
        <v>361.29999999999984</v>
      </c>
      <c r="BE62" s="13">
        <f>BD62*VLOOKUP('Données projet'!$B$11,Paramètres!$A$1:$I$89,3,0)*VLOOKUP('Données projet'!$B$11,Paramètres!$A$1:$I$89,5,0)</f>
        <v>169.08839999999992</v>
      </c>
      <c r="BF62" s="13">
        <f t="shared" si="37"/>
        <v>42.885791664164614</v>
      </c>
      <c r="BG62" s="20">
        <f t="shared" si="7"/>
        <v>369.18838381508658</v>
      </c>
      <c r="BH62" s="59">
        <f t="shared" si="8"/>
        <v>662.52171714841984</v>
      </c>
      <c r="BI62" s="59">
        <f ca="1">AVERAGE(OFFSET($BH$3,0,0,'Données projet'!$E$11+1,1))-AVERAGE(OFFSET($H$3,0,0,'Données projet'!$E$11+1,1))</f>
        <v>252.98248842635206</v>
      </c>
      <c r="BJ62" s="59">
        <f t="shared" si="38"/>
        <v>207.11938580878308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1.765040709915437</v>
      </c>
      <c r="BQ62" s="21">
        <f>EXP(-LN(2)/25)*BQ61+(1-EXP(-LN(2)/25))/(LN(2)/25)*Calculateur!BL62*Calculateur!BN62*VLOOKUP('Données projet'!$B$11,Paramètres!$A$1:$I$89,3,0)*0.475*44/12</f>
        <v>3.5154187703024742</v>
      </c>
      <c r="BR62" s="21">
        <f>EXP(-LN(2)/2)*BR61+(1-EXP(-LN(2)/2))/(LN(2)/2)*BL62*BO62*VLOOKUP('Données projet'!$B$11,Paramètres!$A$1:$I$89,3,0)*0.475*44/12</f>
        <v>4.2434073871094831E-4</v>
      </c>
      <c r="BS62" s="22">
        <f t="shared" si="9"/>
        <v>5.280883820956622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16.100000000000001</v>
      </c>
      <c r="BY62" s="12">
        <f>IF('Données projet'!$A$114&gt;35,BY61+BX62-CG61,IF(A62&lt;'Données projet'!$A$114,$BV$205^A62,IF(A62='Données projet'!$A$114,'Données projet'!$B$114,BY61+BX62-CG61)))</f>
        <v>553.89999999999964</v>
      </c>
      <c r="BZ62" s="13">
        <f>BY62*VLOOKUP('Données projet'!$B$12,Paramètres!$A$1:$I$89,3,0)*VLOOKUP('Données projet'!$B$12,Paramètres!$A$1:$I$89,5,0)</f>
        <v>331.23219999999981</v>
      </c>
      <c r="CA62" s="13">
        <f t="shared" si="39"/>
        <v>77.68571822963294</v>
      </c>
      <c r="CB62" s="20">
        <f t="shared" si="10"/>
        <v>712.19870758327704</v>
      </c>
      <c r="CC62" s="59">
        <f t="shared" si="11"/>
        <v>1005.5320409166104</v>
      </c>
      <c r="CD62" s="59">
        <f ca="1">AVERAGE(OFFSET($CC$3,0,0,'Données projet'!$E$12+1,1))-AVERAGE(OFFSET($H$3,0,0,'Données projet'!$E$12+1,1))</f>
        <v>392.08740055894992</v>
      </c>
      <c r="CE62" s="59">
        <f t="shared" si="40"/>
        <v>395.10797100415783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2.2513096002882587</v>
      </c>
      <c r="CL62" s="21">
        <f>EXP(-LN(2)/25)*CL61+(1-EXP(-LN(2)/25))/(LN(2)/25)*Calculateur!CG62*Calculateur!CI62*VLOOKUP('Données projet'!$B$12,Paramètres!$A$1:$I$89,3,0)*0.475*44/12</f>
        <v>11.637604977127539</v>
      </c>
      <c r="CM62" s="21">
        <f>EXP(-LN(2)/2)*CM61+(1-EXP(-LN(2)/2))/(LN(2)/2)*CG62*CJ62*VLOOKUP('Données projet'!$B$12,Paramètres!$A$1:$I$89,3,0)*0.475*44/12</f>
        <v>1.5001562714846517E-3</v>
      </c>
      <c r="CN62" s="22">
        <f t="shared" si="12"/>
        <v>13.890414733687283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235</v>
      </c>
      <c r="L63" s="12">
        <f>VLOOKUP(A63,'Données projet'!$A$35:$I$55,9,0)</f>
        <v>7.8</v>
      </c>
      <c r="M63" s="12">
        <f t="array" ref="M63">INDEX(L:L,MIN(IF(ISNUMBER(L63:L259),ROW(L63:L259),"")))</f>
        <v>7.8</v>
      </c>
      <c r="N63" s="13">
        <f>IF('Données projet'!$A$36&gt;35,N62+M63-V62,IF(A63&lt;'Données projet'!$A$36,$K$205^A63,IF(A63='Données projet'!$A$36,'Données projet'!$B$36,N62+M63-V62)))</f>
        <v>235.00000000000017</v>
      </c>
      <c r="O63" s="13">
        <f>N63*VLOOKUP('Données projet'!$B$9,Paramètres!$A$1:$I$89,3,0)*VLOOKUP('Données projet'!$B$9,Paramètres!$A$1:$I$89,5,0)</f>
        <v>212.62800000000016</v>
      </c>
      <c r="P63" s="13">
        <f t="shared" si="33"/>
        <v>52.509453483719085</v>
      </c>
      <c r="Q63" s="20">
        <f t="shared" si="53"/>
        <v>461.78106481747767</v>
      </c>
      <c r="R63" s="59">
        <f t="shared" si="0"/>
        <v>755.11439815081098</v>
      </c>
      <c r="S63" s="59">
        <f ca="1">AVERAGE(OFFSET($R$3,0,0,'Données projet'!$E$9+1,1))-AVERAGE(OFFSET($H$3,0,0,'Données projet'!$E$9+1,1))</f>
        <v>282.32472952059817</v>
      </c>
      <c r="T63" s="59">
        <f t="shared" si="34"/>
        <v>172.32171001882176</v>
      </c>
      <c r="U63" s="15">
        <f>IF(ISNA(VLOOKUP(A63,'Données projet'!$A$35:$I$55,3,0)),0,VLOOKUP(A63,'Données projet'!$A$35:$I$55,3,0))</f>
        <v>4</v>
      </c>
      <c r="V63" s="15">
        <f>IF(ISNA(VLOOKUP(A63,'Données projet'!$A$35:$I$55,4,0)),0,VLOOKUP(A63,'Données projet'!$A$35:$I$55,4,0))</f>
        <v>42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1.3519381128120127</v>
      </c>
      <c r="AB63" s="21">
        <f>EXP(-LN(2)/2)*AB62+(1-EXP(-LN(2)/2))/(LN(2)/2)*V63*Y63*VLOOKUP('Données projet'!$B$9,Paramètres!$A$1:$I$89,3,0)*0.475*44/12</f>
        <v>1.8888390669032066E-4</v>
      </c>
      <c r="AC63" s="22">
        <f t="shared" si="3"/>
        <v>1.3521269967187031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235</v>
      </c>
      <c r="AG63" s="12">
        <f>VLOOKUP(A63,'Données projet'!$A$61:$I$81,9,0)</f>
        <v>7.8</v>
      </c>
      <c r="AH63" s="12">
        <f t="array" ref="AH63">INDEX(AG:AG,MIN(IF(ISNUMBER(AG63:AG259),ROW(AG63:AG259),"")))</f>
        <v>7.8</v>
      </c>
      <c r="AI63" s="13">
        <f>IF('Données projet'!$A$62&gt;35,AI62+AH63-AQ62,IF(A63&lt;'Données projet'!$A$62,$AF$205^A63,IF(A63='Données projet'!$A$62,'Données projet'!$B$62,AI62+AH63-AQ62)))</f>
        <v>235.00000000000017</v>
      </c>
      <c r="AJ63" s="13">
        <f>AI63*VLOOKUP('Données projet'!$B$10,Paramètres!$A$1:$I$89,3,0)*VLOOKUP('Données projet'!$B$10,Paramètres!$A$1:$I$89,5,0)</f>
        <v>238.29000000000019</v>
      </c>
      <c r="AK63" s="13">
        <f t="shared" si="35"/>
        <v>58.071462681001563</v>
      </c>
      <c r="AL63" s="20">
        <f t="shared" si="4"/>
        <v>516.16288083607799</v>
      </c>
      <c r="AM63" s="59">
        <f t="shared" si="5"/>
        <v>809.49621416941136</v>
      </c>
      <c r="AN63" s="59">
        <f ca="1">AVERAGE(OFFSET($AM$3,0,0,'Données projet'!$E$10+1,1))-AVERAGE(OFFSET($H$3,0,0,'Données projet'!$E$10+1,1))</f>
        <v>324.30660429578262</v>
      </c>
      <c r="AO63" s="59">
        <f t="shared" si="36"/>
        <v>197.04549436738586</v>
      </c>
      <c r="AP63" s="15">
        <f>IF(ISNA(VLOOKUP(A63,'Données projet'!$A$61:$I$81,3,0)),0,VLOOKUP(A63,'Données projet'!$A$61:$I$81,3,0))</f>
        <v>4</v>
      </c>
      <c r="AQ63" s="15">
        <f>IF(ISNA(VLOOKUP(A63,'Données projet'!$A$61:$I$81,4,0)),0,VLOOKUP(A63,'Données projet'!$A$61:$I$81,4,0))</f>
        <v>42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1.5151030574617383</v>
      </c>
      <c r="AW63" s="21">
        <f>EXP(-LN(2)/2)*AW62+(1-EXP(-LN(2)/2))/(LN(2)/2)*AQ63*AT63*VLOOKUP('Données projet'!$B$10,Paramètres!$A$1:$I$89,3,0)*0.475*44/12</f>
        <v>2.1168024025639381E-4</v>
      </c>
      <c r="AX63" s="21">
        <f t="shared" si="6"/>
        <v>1.5153147377019947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374.79999999999995</v>
      </c>
      <c r="BB63" s="12">
        <f>VLOOKUP(A63,'Données projet'!$A$87:$I$107,9,0)</f>
        <v>13.499999999999996</v>
      </c>
      <c r="BC63" s="12">
        <f t="array" ref="BC63">INDEX(BB:BB,MIN(IF(ISNUMBER(BB63:BB259),ROW(BB63:BB259),"")))</f>
        <v>13.499999999999996</v>
      </c>
      <c r="BD63" s="12">
        <f>IF('Données projet'!$A$88&gt;35,BD62+BC63-BL62,IF(A63&lt;'Données projet'!$A$88,$BA$205^A63,IF(A63='Données projet'!$A$88,'Données projet'!$B$88,BD62+BC63-BL62)))</f>
        <v>374.79999999999984</v>
      </c>
      <c r="BE63" s="13">
        <f>BD63*VLOOKUP('Données projet'!$B$11,Paramètres!$A$1:$I$89,3,0)*VLOOKUP('Données projet'!$B$11,Paramètres!$A$1:$I$89,5,0)</f>
        <v>175.40639999999993</v>
      </c>
      <c r="BF63" s="13">
        <f t="shared" si="37"/>
        <v>44.298662258322672</v>
      </c>
      <c r="BG63" s="20">
        <f t="shared" si="7"/>
        <v>382.65298343324525</v>
      </c>
      <c r="BH63" s="59">
        <f t="shared" si="8"/>
        <v>675.98631676657851</v>
      </c>
      <c r="BI63" s="59">
        <f ca="1">AVERAGE(OFFSET($BH$3,0,0,'Données projet'!$E$11+1,1))-AVERAGE(OFFSET($H$3,0,0,'Données projet'!$E$11+1,1))</f>
        <v>252.98248842635206</v>
      </c>
      <c r="BJ63" s="59">
        <f t="shared" si="38"/>
        <v>207.11938580878308</v>
      </c>
      <c r="BK63" s="15">
        <f>IF(ISNA(VLOOKUP(A63,'Données projet'!$A$87:$I$107,3,0)),0,VLOOKUP(A63,'Données projet'!$A$87:$I$107,3,0))</f>
        <v>5</v>
      </c>
      <c r="BL63" s="15">
        <f>IF(ISNA(VLOOKUP(A63,'Données projet'!$A$87:$I$107,4,0)),0,VLOOKUP(A63,'Données projet'!$A$87:$I$107,4,0))</f>
        <v>83.4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1.730429338162526</v>
      </c>
      <c r="BQ63" s="21">
        <f>EXP(-LN(2)/25)*BQ62+(1-EXP(-LN(2)/25))/(LN(2)/25)*Calculateur!BL63*Calculateur!BN63*VLOOKUP('Données projet'!$B$11,Paramètres!$A$1:$I$89,3,0)*0.475*44/12</f>
        <v>3.4192894591607144</v>
      </c>
      <c r="BR63" s="21">
        <f>EXP(-LN(2)/2)*BR62+(1-EXP(-LN(2)/2))/(LN(2)/2)*BL63*BO63*VLOOKUP('Données projet'!$B$11,Paramètres!$A$1:$I$89,3,0)*0.475*44/12</f>
        <v>3.0005421387622046E-4</v>
      </c>
      <c r="BS63" s="22">
        <f t="shared" si="9"/>
        <v>5.1500188515371166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570</v>
      </c>
      <c r="BW63" s="12">
        <f>VLOOKUP(A63,'Données projet'!$A$113:$I$133,9,0)</f>
        <v>16.100000000000001</v>
      </c>
      <c r="BX63" s="12">
        <f t="array" ref="BX63">INDEX(BW:BW,MIN(IF(ISNUMBER(BW63:BW259),ROW(BW63:BW259),"")))</f>
        <v>16.100000000000001</v>
      </c>
      <c r="BY63" s="12">
        <f>IF('Données projet'!$A$114&gt;35,BY62+BX63-CG62,IF(A63&lt;'Données projet'!$A$114,$BV$205^A63,IF(A63='Données projet'!$A$114,'Données projet'!$B$114,BY62+BX63-CG62)))</f>
        <v>569.99999999999966</v>
      </c>
      <c r="BZ63" s="13">
        <f>BY63*VLOOKUP('Données projet'!$B$12,Paramètres!$A$1:$I$89,3,0)*VLOOKUP('Données projet'!$B$12,Paramètres!$A$1:$I$89,5,0)</f>
        <v>340.85999999999984</v>
      </c>
      <c r="CA63" s="13">
        <f t="shared" si="39"/>
        <v>79.677601734543444</v>
      </c>
      <c r="CB63" s="20">
        <f t="shared" si="10"/>
        <v>732.43632302099616</v>
      </c>
      <c r="CC63" s="59">
        <f t="shared" si="11"/>
        <v>1025.7696563543295</v>
      </c>
      <c r="CD63" s="59">
        <f ca="1">AVERAGE(OFFSET($CC$3,0,0,'Données projet'!$E$12+1,1))-AVERAGE(OFFSET($H$3,0,0,'Données projet'!$E$12+1,1))</f>
        <v>392.08740055894992</v>
      </c>
      <c r="CE63" s="59">
        <f t="shared" si="40"/>
        <v>395.10797100415783</v>
      </c>
      <c r="CF63" s="15">
        <f>IF(ISNA(VLOOKUP(A63,'Données projet'!$A$113:$I$133,3,0)),0,VLOOKUP(A63,'Données projet'!$A$113:$I$133,3,0))</f>
        <v>5</v>
      </c>
      <c r="CG63" s="15">
        <f>IF(ISNA(VLOOKUP(A63,'Données projet'!$A$113:$I$133,4,0)),0,VLOOKUP(A63,'Données projet'!$A$113:$I$133,4,0))</f>
        <v>78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2.2071627921898735</v>
      </c>
      <c r="CL63" s="21">
        <f>EXP(-LN(2)/25)*CL62+(1-EXP(-LN(2)/25))/(LN(2)/25)*Calculateur!CG63*Calculateur!CI63*VLOOKUP('Données projet'!$B$12,Paramètres!$A$1:$I$89,3,0)*0.475*44/12</f>
        <v>11.31937405703294</v>
      </c>
      <c r="CM63" s="21">
        <f>EXP(-LN(2)/2)*CM62+(1-EXP(-LN(2)/2))/(LN(2)/2)*CG63*CJ63*VLOOKUP('Données projet'!$B$12,Paramètres!$A$1:$I$89,3,0)*0.475*44/12</f>
        <v>1.0607706724063246E-3</v>
      </c>
      <c r="CN63" s="22">
        <f t="shared" si="12"/>
        <v>13.52759761989522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7</v>
      </c>
      <c r="N64" s="13">
        <f>IF('Données projet'!$A$36&gt;35,N63+M64-V63,IF(A64&lt;'Données projet'!$A$36,$K$205^A64,IF(A64='Données projet'!$A$36,'Données projet'!$B$36,N63+M64-V63)))</f>
        <v>200.00000000000017</v>
      </c>
      <c r="O64" s="13">
        <f>N64*VLOOKUP('Données projet'!$B$9,Paramètres!$A$1:$I$89,3,0)*VLOOKUP('Données projet'!$B$9,Paramètres!$A$1:$I$89,5,0)</f>
        <v>180.96000000000015</v>
      </c>
      <c r="P64" s="13">
        <f t="shared" si="33"/>
        <v>45.535702314871806</v>
      </c>
      <c r="Q64" s="20">
        <f t="shared" si="53"/>
        <v>394.48001486506865</v>
      </c>
      <c r="R64" s="59">
        <f t="shared" si="0"/>
        <v>687.81334819840197</v>
      </c>
      <c r="S64" s="59">
        <f ca="1">AVERAGE(OFFSET($R$3,0,0,'Données projet'!$E$9+1,1))-AVERAGE(OFFSET($H$3,0,0,'Données projet'!$E$9+1,1))</f>
        <v>282.32472952059817</v>
      </c>
      <c r="T64" s="59">
        <f t="shared" si="34"/>
        <v>172.32171001882176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1.3149692940218327</v>
      </c>
      <c r="AB64" s="21">
        <f>EXP(-LN(2)/2)*AB63+(1-EXP(-LN(2)/2))/(LN(2)/2)*V64*Y64*VLOOKUP('Données projet'!$B$9,Paramètres!$A$1:$I$89,3,0)*0.475*44/12</f>
        <v>1.3356109127773283E-4</v>
      </c>
      <c r="AC64" s="22">
        <f t="shared" si="3"/>
        <v>1.3151028551131105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7</v>
      </c>
      <c r="AI64" s="13">
        <f>IF('Données projet'!$A$62&gt;35,AI63+AH64-AQ63,IF(A64&lt;'Données projet'!$A$62,$AF$205^A64,IF(A64='Données projet'!$A$62,'Données projet'!$B$62,AI63+AH64-AQ63)))</f>
        <v>200.00000000000017</v>
      </c>
      <c r="AJ64" s="13">
        <f>AI64*VLOOKUP('Données projet'!$B$10,Paramètres!$A$1:$I$89,3,0)*VLOOKUP('Données projet'!$B$10,Paramètres!$A$1:$I$89,5,0)</f>
        <v>202.80000000000018</v>
      </c>
      <c r="AK64" s="13">
        <f t="shared" si="35"/>
        <v>50.359024179354016</v>
      </c>
      <c r="AL64" s="20">
        <f t="shared" si="4"/>
        <v>440.91863377904184</v>
      </c>
      <c r="AM64" s="59">
        <f t="shared" si="5"/>
        <v>734.25196711237516</v>
      </c>
      <c r="AN64" s="59">
        <f ca="1">AVERAGE(OFFSET($AM$3,0,0,'Données projet'!$E$10+1,1))-AVERAGE(OFFSET($H$3,0,0,'Données projet'!$E$10+1,1))</f>
        <v>324.30660429578262</v>
      </c>
      <c r="AO64" s="59">
        <f t="shared" si="36"/>
        <v>197.04549436738586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1.4736724846796401</v>
      </c>
      <c r="AW64" s="21">
        <f>EXP(-LN(2)/2)*AW63+(1-EXP(-LN(2)/2))/(LN(2)/2)*AQ64*AT64*VLOOKUP('Données projet'!$B$10,Paramètres!$A$1:$I$89,3,0)*0.475*44/12</f>
        <v>1.4968053332849366E-4</v>
      </c>
      <c r="AX64" s="21">
        <f t="shared" si="6"/>
        <v>1.4738221652129686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15.5</v>
      </c>
      <c r="BD64" s="12">
        <f>IF('Données projet'!$A$88&gt;35,BD63+BC64-BL63,IF(A64&lt;'Données projet'!$A$88,$BA$205^A64,IF(A64='Données projet'!$A$88,'Données projet'!$B$88,BD63+BC64-BL63)))</f>
        <v>306.89999999999986</v>
      </c>
      <c r="BE64" s="13">
        <f>BD64*VLOOKUP('Données projet'!$B$11,Paramètres!$A$1:$I$89,3,0)*VLOOKUP('Données projet'!$B$11,Paramètres!$A$1:$I$89,5,0)</f>
        <v>143.62919999999994</v>
      </c>
      <c r="BF64" s="13">
        <f t="shared" si="37"/>
        <v>37.127161849234348</v>
      </c>
      <c r="BG64" s="20">
        <f t="shared" si="7"/>
        <v>314.81733022074968</v>
      </c>
      <c r="BH64" s="59">
        <f t="shared" si="8"/>
        <v>608.15066355408294</v>
      </c>
      <c r="BI64" s="59">
        <f ca="1">AVERAGE(OFFSET($BH$3,0,0,'Données projet'!$E$11+1,1))-AVERAGE(OFFSET($H$3,0,0,'Données projet'!$E$11+1,1))</f>
        <v>252.98248842635206</v>
      </c>
      <c r="BJ64" s="59">
        <f t="shared" si="38"/>
        <v>207.11938580878308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1.6964966742988374</v>
      </c>
      <c r="BQ64" s="21">
        <f>EXP(-LN(2)/25)*BQ63+(1-EXP(-LN(2)/25))/(LN(2)/25)*Calculateur!BL64*Calculateur!BN64*VLOOKUP('Données projet'!$B$11,Paramètres!$A$1:$I$89,3,0)*0.475*44/12</f>
        <v>3.3257888090873466</v>
      </c>
      <c r="BR64" s="21">
        <f>EXP(-LN(2)/2)*BR63+(1-EXP(-LN(2)/2))/(LN(2)/2)*BL64*BO64*VLOOKUP('Données projet'!$B$11,Paramètres!$A$1:$I$89,3,0)*0.475*44/12</f>
        <v>2.1217036935547415E-4</v>
      </c>
      <c r="BS64" s="22">
        <f t="shared" si="9"/>
        <v>5.0224976537555399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13.4</v>
      </c>
      <c r="BY64" s="12">
        <f>IF('Données projet'!$A$114&gt;35,BY63+BX64-CG63,IF(A64&lt;'Données projet'!$A$114,$BV$205^A64,IF(A64='Données projet'!$A$114,'Données projet'!$B$114,BY63+BX64-CG63)))</f>
        <v>505.39999999999964</v>
      </c>
      <c r="BZ64" s="13">
        <f>BY64*VLOOKUP('Données projet'!$B$12,Paramètres!$A$1:$I$89,3,0)*VLOOKUP('Données projet'!$B$12,Paramètres!$A$1:$I$89,5,0)</f>
        <v>302.22919999999982</v>
      </c>
      <c r="CA64" s="13">
        <f t="shared" si="39"/>
        <v>71.643587874848905</v>
      </c>
      <c r="CB64" s="20">
        <f t="shared" si="10"/>
        <v>651.16177221536145</v>
      </c>
      <c r="CC64" s="59">
        <f t="shared" si="11"/>
        <v>944.49510554869471</v>
      </c>
      <c r="CD64" s="59">
        <f ca="1">AVERAGE(OFFSET($CC$3,0,0,'Données projet'!$E$12+1,1))-AVERAGE(OFFSET($H$3,0,0,'Données projet'!$E$12+1,1))</f>
        <v>392.08740055894992</v>
      </c>
      <c r="CE64" s="59">
        <f t="shared" si="40"/>
        <v>395.10797100415783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2.1638816760714037</v>
      </c>
      <c r="CL64" s="21">
        <f>EXP(-LN(2)/25)*CL63+(1-EXP(-LN(2)/25))/(LN(2)/25)*Calculateur!CG64*Calculateur!CI64*VLOOKUP('Données projet'!$B$12,Paramètres!$A$1:$I$89,3,0)*0.475*44/12</f>
        <v>11.009845178183364</v>
      </c>
      <c r="CM64" s="21">
        <f>EXP(-LN(2)/2)*CM63+(1-EXP(-LN(2)/2))/(LN(2)/2)*CG64*CJ64*VLOOKUP('Données projet'!$B$12,Paramètres!$A$1:$I$89,3,0)*0.475*44/12</f>
        <v>7.5007813574232585E-4</v>
      </c>
      <c r="CN64" s="22">
        <f t="shared" si="12"/>
        <v>13.174476932390508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7</v>
      </c>
      <c r="N65" s="13">
        <f>IF('Données projet'!$A$36&gt;35,N64+M65-V64,IF(A65&lt;'Données projet'!$A$36,$K$205^A65,IF(A65='Données projet'!$A$36,'Données projet'!$B$36,N64+M65-V64)))</f>
        <v>207.00000000000017</v>
      </c>
      <c r="O65" s="13">
        <f>N65*VLOOKUP('Données projet'!$B$9,Paramètres!$A$1:$I$89,3,0)*VLOOKUP('Données projet'!$B$9,Paramètres!$A$1:$I$89,5,0)</f>
        <v>187.29360000000014</v>
      </c>
      <c r="P65" s="13">
        <f t="shared" si="33"/>
        <v>46.941107550760456</v>
      </c>
      <c r="Q65" s="20">
        <f t="shared" si="53"/>
        <v>407.95878231757462</v>
      </c>
      <c r="R65" s="59">
        <f t="shared" si="0"/>
        <v>701.29211565090793</v>
      </c>
      <c r="S65" s="59">
        <f ca="1">AVERAGE(OFFSET($R$3,0,0,'Données projet'!$E$9+1,1))-AVERAGE(OFFSET($H$3,0,0,'Données projet'!$E$9+1,1))</f>
        <v>282.32472952059817</v>
      </c>
      <c r="T65" s="59">
        <f t="shared" si="34"/>
        <v>172.32171001882176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1.2790113895255759</v>
      </c>
      <c r="AB65" s="21">
        <f>EXP(-LN(2)/2)*AB64+(1-EXP(-LN(2)/2))/(LN(2)/2)*V65*Y65*VLOOKUP('Données projet'!$B$9,Paramètres!$A$1:$I$89,3,0)*0.475*44/12</f>
        <v>9.4441953345160328E-5</v>
      </c>
      <c r="AC65" s="22">
        <f t="shared" si="3"/>
        <v>1.279105831478921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7</v>
      </c>
      <c r="AI65" s="13">
        <f>IF('Données projet'!$A$62&gt;35,AI64+AH65-AQ64,IF(A65&lt;'Données projet'!$A$62,$AF$205^A65,IF(A65='Données projet'!$A$62,'Données projet'!$B$62,AI64+AH65-AQ64)))</f>
        <v>207.00000000000017</v>
      </c>
      <c r="AJ65" s="13">
        <f>AI65*VLOOKUP('Données projet'!$B$10,Paramètres!$A$1:$I$89,3,0)*VLOOKUP('Données projet'!$B$10,Paramètres!$A$1:$I$89,5,0)</f>
        <v>209.8980000000002</v>
      </c>
      <c r="AK65" s="13">
        <f t="shared" si="35"/>
        <v>51.913295501810261</v>
      </c>
      <c r="AL65" s="20">
        <f t="shared" si="4"/>
        <v>455.9880063323198</v>
      </c>
      <c r="AM65" s="59">
        <f t="shared" si="5"/>
        <v>749.32133966565311</v>
      </c>
      <c r="AN65" s="59">
        <f ca="1">AVERAGE(OFFSET($AM$3,0,0,'Données projet'!$E$10+1,1))-AVERAGE(OFFSET($H$3,0,0,'Données projet'!$E$10+1,1))</f>
        <v>324.30660429578262</v>
      </c>
      <c r="AO65" s="59">
        <f t="shared" si="36"/>
        <v>197.04549436738586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1.4333748330890075</v>
      </c>
      <c r="AW65" s="21">
        <f>EXP(-LN(2)/2)*AW64+(1-EXP(-LN(2)/2))/(LN(2)/2)*AQ65*AT65*VLOOKUP('Données projet'!$B$10,Paramètres!$A$1:$I$89,3,0)*0.475*44/12</f>
        <v>1.058401201281969E-4</v>
      </c>
      <c r="AX65" s="21">
        <f t="shared" si="6"/>
        <v>1.4334806732091356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15.5</v>
      </c>
      <c r="BD65" s="12">
        <f>IF('Données projet'!$A$88&gt;35,BD64+BC65-BL64,IF(A65&lt;'Données projet'!$A$88,$BA$205^A65,IF(A65='Données projet'!$A$88,'Données projet'!$B$88,BD64+BC65-BL64)))</f>
        <v>322.39999999999986</v>
      </c>
      <c r="BE65" s="13">
        <f>BD65*VLOOKUP('Données projet'!$B$11,Paramètres!$A$1:$I$89,3,0)*VLOOKUP('Données projet'!$B$11,Paramètres!$A$1:$I$89,5,0)</f>
        <v>150.88319999999993</v>
      </c>
      <c r="BF65" s="13">
        <f t="shared" si="37"/>
        <v>38.779227360583164</v>
      </c>
      <c r="BG65" s="20">
        <f t="shared" si="7"/>
        <v>330.32872765301551</v>
      </c>
      <c r="BH65" s="59">
        <f t="shared" si="8"/>
        <v>623.66206098634882</v>
      </c>
      <c r="BI65" s="59">
        <f ca="1">AVERAGE(OFFSET($BH$3,0,0,'Données projet'!$E$11+1,1))-AVERAGE(OFFSET($H$3,0,0,'Données projet'!$E$11+1,1))</f>
        <v>252.98248842635206</v>
      </c>
      <c r="BJ65" s="59">
        <f t="shared" si="38"/>
        <v>207.11938580878308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1.6632294092766344</v>
      </c>
      <c r="BQ65" s="21">
        <f>EXP(-LN(2)/25)*BQ64+(1-EXP(-LN(2)/25))/(LN(2)/25)*Calculateur!BL65*Calculateur!BN65*VLOOKUP('Données projet'!$B$11,Paramètres!$A$1:$I$89,3,0)*0.475*44/12</f>
        <v>3.2348449392072207</v>
      </c>
      <c r="BR65" s="21">
        <f>EXP(-LN(2)/2)*BR64+(1-EXP(-LN(2)/2))/(LN(2)/2)*BL65*BO65*VLOOKUP('Données projet'!$B$11,Paramètres!$A$1:$I$89,3,0)*0.475*44/12</f>
        <v>1.5002710693811023E-4</v>
      </c>
      <c r="BS65" s="22">
        <f t="shared" si="9"/>
        <v>4.898224375590793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13.4</v>
      </c>
      <c r="BY65" s="12">
        <f>IF('Données projet'!$A$114&gt;35,BY64+BX65-CG64,IF(A65&lt;'Données projet'!$A$114,$BV$205^A65,IF(A65='Données projet'!$A$114,'Données projet'!$B$114,BY64+BX65-CG64)))</f>
        <v>518.79999999999961</v>
      </c>
      <c r="BZ65" s="13">
        <f>BY65*VLOOKUP('Données projet'!$B$12,Paramètres!$A$1:$I$89,3,0)*VLOOKUP('Données projet'!$B$12,Paramètres!$A$1:$I$89,5,0)</f>
        <v>310.2423999999998</v>
      </c>
      <c r="CA65" s="13">
        <f t="shared" si="39"/>
        <v>73.319450636462932</v>
      </c>
      <c r="CB65" s="20">
        <f t="shared" si="10"/>
        <v>668.0368898585059</v>
      </c>
      <c r="CC65" s="59">
        <f t="shared" si="11"/>
        <v>961.37022319183916</v>
      </c>
      <c r="CD65" s="59">
        <f ca="1">AVERAGE(OFFSET($CC$3,0,0,'Données projet'!$E$12+1,1))-AVERAGE(OFFSET($H$3,0,0,'Données projet'!$E$12+1,1))</f>
        <v>392.08740055894992</v>
      </c>
      <c r="CE65" s="59">
        <f t="shared" si="40"/>
        <v>395.10797100415783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2.1214492762411425</v>
      </c>
      <c r="CL65" s="21">
        <f>EXP(-LN(2)/25)*CL64+(1-EXP(-LN(2)/25))/(LN(2)/25)*Calculateur!CG65*Calculateur!CI65*VLOOKUP('Données projet'!$B$12,Paramètres!$A$1:$I$89,3,0)*0.475*44/12</f>
        <v>10.708780382803345</v>
      </c>
      <c r="CM65" s="21">
        <f>EXP(-LN(2)/2)*CM64+(1-EXP(-LN(2)/2))/(LN(2)/2)*CG65*CJ65*VLOOKUP('Données projet'!$B$12,Paramètres!$A$1:$I$89,3,0)*0.475*44/12</f>
        <v>5.3038533620316229E-4</v>
      </c>
      <c r="CN65" s="22">
        <f t="shared" si="12"/>
        <v>12.830760044380691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7</v>
      </c>
      <c r="N66" s="13">
        <f>IF('Données projet'!$A$36&gt;35,N65+M66-V65,IF(A66&lt;'Données projet'!$A$36,$K$205^A66,IF(A66='Données projet'!$A$36,'Données projet'!$B$36,N65+M66-V65)))</f>
        <v>214.00000000000017</v>
      </c>
      <c r="O66" s="13">
        <f>N66*VLOOKUP('Données projet'!$B$9,Paramètres!$A$1:$I$89,3,0)*VLOOKUP('Données projet'!$B$9,Paramètres!$A$1:$I$89,5,0)</f>
        <v>193.62720000000016</v>
      </c>
      <c r="P66" s="13">
        <f t="shared" si="33"/>
        <v>48.340990547231236</v>
      </c>
      <c r="Q66" s="20">
        <f t="shared" si="53"/>
        <v>421.42793186976132</v>
      </c>
      <c r="R66" s="59">
        <f t="shared" si="0"/>
        <v>714.76126520309458</v>
      </c>
      <c r="S66" s="59">
        <f ca="1">AVERAGE(OFFSET($R$3,0,0,'Données projet'!$E$9+1,1))-AVERAGE(OFFSET($H$3,0,0,'Données projet'!$E$9+1,1))</f>
        <v>282.32472952059817</v>
      </c>
      <c r="T66" s="59">
        <f t="shared" si="34"/>
        <v>172.32171001882176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0</v>
      </c>
      <c r="AA66" s="21">
        <f>EXP(-LN(2)/25)*AA65+(1-EXP(-LN(2)/25))/(LN(2)/25)*Calculateur!V66*Calculateur!X66*VLOOKUP('Données projet'!$B$9,Paramètres!$A$1:$I$89,3,0)*0.475*44/12</f>
        <v>1.2440367558187133</v>
      </c>
      <c r="AB66" s="21">
        <f>EXP(-LN(2)/2)*AB65+(1-EXP(-LN(2)/2))/(LN(2)/2)*V66*Y66*VLOOKUP('Données projet'!$B$9,Paramètres!$A$1:$I$89,3,0)*0.475*44/12</f>
        <v>6.6780545638866413E-5</v>
      </c>
      <c r="AC66" s="22">
        <f t="shared" si="3"/>
        <v>1.2441035363643522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7</v>
      </c>
      <c r="AI66" s="13">
        <f>IF('Données projet'!$A$62&gt;35,AI65+AH66-AQ65,IF(A66&lt;'Données projet'!$A$62,$AF$205^A66,IF(A66='Données projet'!$A$62,'Données projet'!$B$62,AI65+AH66-AQ65)))</f>
        <v>214.00000000000017</v>
      </c>
      <c r="AJ66" s="13">
        <f>AI66*VLOOKUP('Données projet'!$B$10,Paramètres!$A$1:$I$89,3,0)*VLOOKUP('Données projet'!$B$10,Paramètres!$A$1:$I$89,5,0)</f>
        <v>216.99600000000018</v>
      </c>
      <c r="AK66" s="13">
        <f t="shared" si="35"/>
        <v>53.461459647386967</v>
      </c>
      <c r="AL66" s="20">
        <f t="shared" si="4"/>
        <v>471.0467422191993</v>
      </c>
      <c r="AM66" s="59">
        <f t="shared" si="5"/>
        <v>764.38007555253262</v>
      </c>
      <c r="AN66" s="59">
        <f ca="1">AVERAGE(OFFSET($AM$3,0,0,'Données projet'!$E$10+1,1))-AVERAGE(OFFSET($H$3,0,0,'Données projet'!$E$10+1,1))</f>
        <v>324.30660429578262</v>
      </c>
      <c r="AO66" s="59">
        <f t="shared" si="36"/>
        <v>197.04549436738586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1.3941791229002822</v>
      </c>
      <c r="AW66" s="21">
        <f>EXP(-LN(2)/2)*AW65+(1-EXP(-LN(2)/2))/(LN(2)/2)*AQ66*AT66*VLOOKUP('Données projet'!$B$10,Paramètres!$A$1:$I$89,3,0)*0.475*44/12</f>
        <v>7.4840266664246831E-5</v>
      </c>
      <c r="AX66" s="21">
        <f t="shared" si="6"/>
        <v>1.3942539631669464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15.5</v>
      </c>
      <c r="BD66" s="12">
        <f>IF('Données projet'!$A$88&gt;35,BD65+BC66-BL65,IF(A66&lt;'Données projet'!$A$88,$BA$205^A66,IF(A66='Données projet'!$A$88,'Données projet'!$B$88,BD65+BC66-BL65)))</f>
        <v>337.89999999999986</v>
      </c>
      <c r="BE66" s="13">
        <f>BD66*VLOOKUP('Données projet'!$B$11,Paramètres!$A$1:$I$89,3,0)*VLOOKUP('Données projet'!$B$11,Paramètres!$A$1:$I$89,5,0)</f>
        <v>158.13719999999995</v>
      </c>
      <c r="BF66" s="13">
        <f t="shared" si="37"/>
        <v>40.422069728367696</v>
      </c>
      <c r="BG66" s="20">
        <f t="shared" si="7"/>
        <v>345.82406144357361</v>
      </c>
      <c r="BH66" s="59">
        <f t="shared" si="8"/>
        <v>639.15739477690693</v>
      </c>
      <c r="BI66" s="59">
        <f ca="1">AVERAGE(OFFSET($BH$3,0,0,'Données projet'!$E$11+1,1))-AVERAGE(OFFSET($H$3,0,0,'Données projet'!$E$11+1,1))</f>
        <v>252.98248842635206</v>
      </c>
      <c r="BJ66" s="59">
        <f t="shared" si="38"/>
        <v>207.11938580878308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1.6306144950304886</v>
      </c>
      <c r="BQ66" s="21">
        <f>EXP(-LN(2)/25)*BQ65+(1-EXP(-LN(2)/25))/(LN(2)/25)*Calculateur!BL66*Calculateur!BN66*VLOOKUP('Données projet'!$B$11,Paramètres!$A$1:$I$89,3,0)*0.475*44/12</f>
        <v>3.1463879342314973</v>
      </c>
      <c r="BR66" s="21">
        <f>EXP(-LN(2)/2)*BR65+(1-EXP(-LN(2)/2))/(LN(2)/2)*BL66*BO66*VLOOKUP('Données projet'!$B$11,Paramètres!$A$1:$I$89,3,0)*0.475*44/12</f>
        <v>1.0608518467773708E-4</v>
      </c>
      <c r="BS66" s="22">
        <f t="shared" si="9"/>
        <v>4.7771085144466632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13.4</v>
      </c>
      <c r="BY66" s="12">
        <f>IF('Données projet'!$A$114&gt;35,BY65+BX66-CG65,IF(A66&lt;'Données projet'!$A$114,$BV$205^A66,IF(A66='Données projet'!$A$114,'Données projet'!$B$114,BY65+BX66-CG65)))</f>
        <v>532.19999999999959</v>
      </c>
      <c r="BZ66" s="13">
        <f>BY66*VLOOKUP('Données projet'!$B$12,Paramètres!$A$1:$I$89,3,0)*VLOOKUP('Données projet'!$B$12,Paramètres!$A$1:$I$89,5,0)</f>
        <v>318.25559999999979</v>
      </c>
      <c r="CA66" s="13">
        <f t="shared" si="39"/>
        <v>74.990281931282567</v>
      </c>
      <c r="CB66" s="20">
        <f t="shared" si="10"/>
        <v>684.90324436365006</v>
      </c>
      <c r="CC66" s="59">
        <f t="shared" si="11"/>
        <v>978.23657769698343</v>
      </c>
      <c r="CD66" s="59">
        <f ca="1">AVERAGE(OFFSET($CC$3,0,0,'Données projet'!$E$12+1,1))-AVERAGE(OFFSET($H$3,0,0,'Données projet'!$E$12+1,1))</f>
        <v>392.08740055894992</v>
      </c>
      <c r="CE66" s="59">
        <f t="shared" si="40"/>
        <v>395.10797100415783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2.0798489498903447</v>
      </c>
      <c r="CL66" s="21">
        <f>EXP(-LN(2)/25)*CL65+(1-EXP(-LN(2)/25))/(LN(2)/25)*Calculateur!CG66*Calculateur!CI66*VLOOKUP('Données projet'!$B$12,Paramètres!$A$1:$I$89,3,0)*0.475*44/12</f>
        <v>10.415948220085303</v>
      </c>
      <c r="CM66" s="21">
        <f>EXP(-LN(2)/2)*CM65+(1-EXP(-LN(2)/2))/(LN(2)/2)*CG66*CJ66*VLOOKUP('Données projet'!$B$12,Paramètres!$A$1:$I$89,3,0)*0.475*44/12</f>
        <v>3.7503906787116293E-4</v>
      </c>
      <c r="CN66" s="22">
        <f t="shared" si="12"/>
        <v>12.496172209043518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7</v>
      </c>
      <c r="N67" s="13">
        <f>IF('Données projet'!$A$36&gt;35,N66+M67-V66,IF(A67&lt;'Données projet'!$A$36,$K$205^A67,IF(A67='Données projet'!$A$36,'Données projet'!$B$36,N66+M67-V66)))</f>
        <v>221.00000000000017</v>
      </c>
      <c r="O67" s="13">
        <f>N67*VLOOKUP('Données projet'!$B$9,Paramètres!$A$1:$I$89,3,0)*VLOOKUP('Données projet'!$B$9,Paramètres!$A$1:$I$89,5,0)</f>
        <v>199.96080000000015</v>
      </c>
      <c r="P67" s="13">
        <f t="shared" si="33"/>
        <v>49.735552653569265</v>
      </c>
      <c r="Q67" s="20">
        <f t="shared" ref="Q67:Q98" si="54">(O67+P67)*0.475*44/12</f>
        <v>434.88781420496679</v>
      </c>
      <c r="R67" s="59">
        <f t="shared" ref="R67:R130" si="55">Q67+(I67+J67)*44/12</f>
        <v>728.2211475383001</v>
      </c>
      <c r="S67" s="59">
        <f ca="1">AVERAGE(OFFSET($R$3,0,0,'Données projet'!$E$9+1,1))-AVERAGE(OFFSET($H$3,0,0,'Données projet'!$E$9+1,1))</f>
        <v>282.32472952059817</v>
      </c>
      <c r="T67" s="59">
        <f t="shared" si="34"/>
        <v>172.32171001882176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0</v>
      </c>
      <c r="AA67" s="21">
        <f>EXP(-LN(2)/25)*AA66+(1-EXP(-LN(2)/25))/(LN(2)/25)*Calculateur!V67*Calculateur!X67*VLOOKUP('Données projet'!$B$9,Paramètres!$A$1:$I$89,3,0)*0.475*44/12</f>
        <v>1.2100185053098009</v>
      </c>
      <c r="AB67" s="21">
        <f>EXP(-LN(2)/2)*AB66+(1-EXP(-LN(2)/2))/(LN(2)/2)*V67*Y67*VLOOKUP('Données projet'!$B$9,Paramètres!$A$1:$I$89,3,0)*0.475*44/12</f>
        <v>4.7220976672580164E-5</v>
      </c>
      <c r="AC67" s="22">
        <f t="shared" si="3"/>
        <v>1.2100657262864736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7</v>
      </c>
      <c r="AI67" s="13">
        <f>IF('Données projet'!$A$62&gt;35,AI66+AH67-AQ66,IF(A67&lt;'Données projet'!$A$62,$AF$205^A67,IF(A67='Données projet'!$A$62,'Données projet'!$B$62,AI66+AH67-AQ66)))</f>
        <v>221.00000000000017</v>
      </c>
      <c r="AJ67" s="13">
        <f>AI67*VLOOKUP('Données projet'!$B$10,Paramètres!$A$1:$I$89,3,0)*VLOOKUP('Données projet'!$B$10,Paramètres!$A$1:$I$89,5,0)</f>
        <v>224.09400000000019</v>
      </c>
      <c r="AK67" s="13">
        <f t="shared" si="35"/>
        <v>55.003739293082717</v>
      </c>
      <c r="AL67" s="20">
        <f t="shared" si="4"/>
        <v>486.095229268786</v>
      </c>
      <c r="AM67" s="59">
        <f t="shared" si="5"/>
        <v>779.42856260211931</v>
      </c>
      <c r="AN67" s="59">
        <f ca="1">AVERAGE(OFFSET($AM$3,0,0,'Données projet'!$E$10+1,1))-AVERAGE(OFFSET($H$3,0,0,'Données projet'!$E$10+1,1))</f>
        <v>324.30660429578262</v>
      </c>
      <c r="AO67" s="59">
        <f t="shared" si="36"/>
        <v>197.04549436738586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1.3560552214678805</v>
      </c>
      <c r="AW67" s="21">
        <f>EXP(-LN(2)/2)*AW66+(1-EXP(-LN(2)/2))/(LN(2)/2)*AQ67*AT67*VLOOKUP('Données projet'!$B$10,Paramètres!$A$1:$I$89,3,0)*0.475*44/12</f>
        <v>5.2920060064098452E-5</v>
      </c>
      <c r="AX67" s="21">
        <f t="shared" si="6"/>
        <v>1.3561081415279446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15.5</v>
      </c>
      <c r="BD67" s="12">
        <f>IF('Données projet'!$A$88&gt;35,BD66+BC67-BL66,IF(A67&lt;'Données projet'!$A$88,$BA$205^A67,IF(A67='Données projet'!$A$88,'Données projet'!$B$88,BD66+BC67-BL66)))</f>
        <v>353.39999999999986</v>
      </c>
      <c r="BE67" s="13">
        <f>BD67*VLOOKUP('Données projet'!$B$11,Paramètres!$A$1:$I$89,3,0)*VLOOKUP('Données projet'!$B$11,Paramètres!$A$1:$I$89,5,0)</f>
        <v>165.39119999999994</v>
      </c>
      <c r="BF67" s="13">
        <f t="shared" si="37"/>
        <v>42.056160358234834</v>
      </c>
      <c r="BG67" s="20">
        <f t="shared" si="7"/>
        <v>361.30415262392557</v>
      </c>
      <c r="BH67" s="59">
        <f t="shared" si="8"/>
        <v>654.63748595725883</v>
      </c>
      <c r="BI67" s="59">
        <f ca="1">AVERAGE(OFFSET($BH$3,0,0,'Données projet'!$E$11+1,1))-AVERAGE(OFFSET($H$3,0,0,'Données projet'!$E$11+1,1))</f>
        <v>252.98248842635206</v>
      </c>
      <c r="BJ67" s="59">
        <f t="shared" si="38"/>
        <v>207.11938580878308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1.5986391393595765</v>
      </c>
      <c r="BQ67" s="21">
        <f>EXP(-LN(2)/25)*BQ66+(1-EXP(-LN(2)/25))/(LN(2)/25)*Calculateur!BL67*Calculateur!BN67*VLOOKUP('Données projet'!$B$11,Paramètres!$A$1:$I$89,3,0)*0.475*44/12</f>
        <v>3.0603497907085866</v>
      </c>
      <c r="BR67" s="21">
        <f>EXP(-LN(2)/2)*BR66+(1-EXP(-LN(2)/2))/(LN(2)/2)*BL67*BO67*VLOOKUP('Données projet'!$B$11,Paramètres!$A$1:$I$89,3,0)*0.475*44/12</f>
        <v>7.5013553469055114E-5</v>
      </c>
      <c r="BS67" s="22">
        <f t="shared" si="9"/>
        <v>4.6590639436216321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13.4</v>
      </c>
      <c r="BY67" s="12">
        <f>IF('Données projet'!$A$114&gt;35,BY66+BX67-CG66,IF(A67&lt;'Données projet'!$A$114,$BV$205^A67,IF(A67='Données projet'!$A$114,'Données projet'!$B$114,BY66+BX67-CG66)))</f>
        <v>545.59999999999957</v>
      </c>
      <c r="BZ67" s="13">
        <f>BY67*VLOOKUP('Données projet'!$B$12,Paramètres!$A$1:$I$89,3,0)*VLOOKUP('Données projet'!$B$12,Paramètres!$A$1:$I$89,5,0)</f>
        <v>326.26879999999977</v>
      </c>
      <c r="CA67" s="13">
        <f t="shared" si="39"/>
        <v>76.656223013374756</v>
      </c>
      <c r="CB67" s="20">
        <f t="shared" si="10"/>
        <v>701.76108174829403</v>
      </c>
      <c r="CC67" s="59">
        <f t="shared" si="11"/>
        <v>995.0944150816274</v>
      </c>
      <c r="CD67" s="59">
        <f ca="1">AVERAGE(OFFSET($CC$3,0,0,'Données projet'!$E$12+1,1))-AVERAGE(OFFSET($H$3,0,0,'Données projet'!$E$12+1,1))</f>
        <v>392.08740055894992</v>
      </c>
      <c r="CE67" s="59">
        <f t="shared" si="40"/>
        <v>395.10797100415783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2.0390643805655926</v>
      </c>
      <c r="CL67" s="21">
        <f>EXP(-LN(2)/25)*CL66+(1-EXP(-LN(2)/25))/(LN(2)/25)*Calculateur!CG67*Calculateur!CI67*VLOOKUP('Données projet'!$B$12,Paramètres!$A$1:$I$89,3,0)*0.475*44/12</f>
        <v>10.131123568256159</v>
      </c>
      <c r="CM67" s="21">
        <f>EXP(-LN(2)/2)*CM66+(1-EXP(-LN(2)/2))/(LN(2)/2)*CG67*CJ67*VLOOKUP('Données projet'!$B$12,Paramètres!$A$1:$I$89,3,0)*0.475*44/12</f>
        <v>2.6519266810158114E-4</v>
      </c>
      <c r="CN67" s="22">
        <f t="shared" si="12"/>
        <v>12.170453141489853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7</v>
      </c>
      <c r="N68" s="13">
        <f>IF('Données projet'!$A$36&gt;35,N67+M68-V67,IF(A68&lt;'Données projet'!$A$36,$K$205^A68,IF(A68='Données projet'!$A$36,'Données projet'!$B$36,N67+M68-V67)))</f>
        <v>228.00000000000017</v>
      </c>
      <c r="O68" s="13">
        <f>N68*VLOOKUP('Données projet'!$B$9,Paramètres!$A$1:$I$89,3,0)*VLOOKUP('Données projet'!$B$9,Paramètres!$A$1:$I$89,5,0)</f>
        <v>206.29440000000017</v>
      </c>
      <c r="P68" s="13">
        <f t="shared" si="33"/>
        <v>51.124981739560774</v>
      </c>
      <c r="Q68" s="20">
        <f t="shared" si="54"/>
        <v>448.33875652973529</v>
      </c>
      <c r="R68" s="59">
        <f t="shared" si="55"/>
        <v>741.67208986306855</v>
      </c>
      <c r="S68" s="59">
        <f ca="1">AVERAGE(OFFSET($R$3,0,0,'Données projet'!$E$9+1,1))-AVERAGE(OFFSET($H$3,0,0,'Données projet'!$E$9+1,1))</f>
        <v>282.32472952059817</v>
      </c>
      <c r="T68" s="59">
        <f t="shared" si="34"/>
        <v>172.32171001882176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0</v>
      </c>
      <c r="AA68" s="21">
        <f>EXP(-LN(2)/25)*AA67+(1-EXP(-LN(2)/25))/(LN(2)/25)*Calculateur!V68*Calculateur!X68*VLOOKUP('Données projet'!$B$9,Paramètres!$A$1:$I$89,3,0)*0.475*44/12</f>
        <v>1.1769304856499967</v>
      </c>
      <c r="AB68" s="21">
        <f>EXP(-LN(2)/2)*AB67+(1-EXP(-LN(2)/2))/(LN(2)/2)*V68*Y68*VLOOKUP('Données projet'!$B$9,Paramètres!$A$1:$I$89,3,0)*0.475*44/12</f>
        <v>3.3390272819433207E-5</v>
      </c>
      <c r="AC68" s="22">
        <f t="shared" ref="AC68:AC131" si="57">SUM(Z68:AB68)</f>
        <v>1.176963875922816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7</v>
      </c>
      <c r="AI68" s="13">
        <f>IF('Données projet'!$A$62&gt;35,AI67+AH68-AQ67,IF(A68&lt;'Données projet'!$A$62,$AF$205^A68,IF(A68='Données projet'!$A$62,'Données projet'!$B$62,AI67+AH68-AQ67)))</f>
        <v>228.00000000000017</v>
      </c>
      <c r="AJ68" s="13">
        <f>AI68*VLOOKUP('Données projet'!$B$10,Paramètres!$A$1:$I$89,3,0)*VLOOKUP('Données projet'!$B$10,Paramètres!$A$1:$I$89,5,0)</f>
        <v>231.19200000000018</v>
      </c>
      <c r="AK68" s="13">
        <f t="shared" si="35"/>
        <v>56.540342208595277</v>
      </c>
      <c r="AL68" s="20">
        <f t="shared" ref="AL68:AL131" si="58">(AJ68+AK68)*0.475*44/12</f>
        <v>501.13382934663713</v>
      </c>
      <c r="AM68" s="59">
        <f t="shared" ref="AM68:AM131" si="59">AL68+(AD68+AE68)*44/12</f>
        <v>794.46716267997044</v>
      </c>
      <c r="AN68" s="59">
        <f ca="1">AVERAGE(OFFSET($AM$3,0,0,'Données projet'!$E$10+1,1))-AVERAGE(OFFSET($H$3,0,0,'Données projet'!$E$10+1,1))</f>
        <v>324.30660429578262</v>
      </c>
      <c r="AO68" s="59">
        <f t="shared" si="36"/>
        <v>197.04549436738586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1.3189738201249965</v>
      </c>
      <c r="AW68" s="21">
        <f>EXP(-LN(2)/2)*AW67+(1-EXP(-LN(2)/2))/(LN(2)/2)*AQ68*AT68*VLOOKUP('Données projet'!$B$10,Paramètres!$A$1:$I$89,3,0)*0.475*44/12</f>
        <v>3.7420133332123416E-5</v>
      </c>
      <c r="AX68" s="21">
        <f t="shared" ref="AX68:AX131" si="60">SUM(AU68:AW68)</f>
        <v>1.3190112402583287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15.5</v>
      </c>
      <c r="BD68" s="12">
        <f>IF('Données projet'!$A$88&gt;35,BD67+BC68-BL67,IF(A68&lt;'Données projet'!$A$88,$BA$205^A68,IF(A68='Données projet'!$A$88,'Données projet'!$B$88,BD67+BC68-BL67)))</f>
        <v>368.89999999999986</v>
      </c>
      <c r="BE68" s="13">
        <f>BD68*VLOOKUP('Données projet'!$B$11,Paramètres!$A$1:$I$89,3,0)*VLOOKUP('Données projet'!$B$11,Paramètres!$A$1:$I$89,5,0)</f>
        <v>172.64519999999993</v>
      </c>
      <c r="BF68" s="13">
        <f t="shared" si="37"/>
        <v>43.681926966241704</v>
      </c>
      <c r="BG68" s="20">
        <f t="shared" ref="BG68:BG131" si="61">(BE68+BF68)*0.475*44/12</f>
        <v>376.76974613287081</v>
      </c>
      <c r="BH68" s="59">
        <f t="shared" ref="BH68:BH131" si="62">BG68+(AY68+AZ68)*44/12</f>
        <v>670.10307946620412</v>
      </c>
      <c r="BI68" s="59">
        <f ca="1">AVERAGE(OFFSET($BH$3,0,0,'Données projet'!$E$11+1,1))-AVERAGE(OFFSET($H$3,0,0,'Données projet'!$E$11+1,1))</f>
        <v>252.98248842635206</v>
      </c>
      <c r="BJ68" s="59">
        <f t="shared" si="38"/>
        <v>207.11938580878308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1.5672908009103297</v>
      </c>
      <c r="BQ68" s="21">
        <f>EXP(-LN(2)/25)*BQ67+(1-EXP(-LN(2)/25))/(LN(2)/25)*Calculateur!BL68*Calculateur!BN68*VLOOKUP('Données projet'!$B$11,Paramètres!$A$1:$I$89,3,0)*0.475*44/12</f>
        <v>2.9766643647448592</v>
      </c>
      <c r="BR68" s="21">
        <f>EXP(-LN(2)/2)*BR67+(1-EXP(-LN(2)/2))/(LN(2)/2)*BL68*BO68*VLOOKUP('Données projet'!$B$11,Paramètres!$A$1:$I$89,3,0)*0.475*44/12</f>
        <v>5.3042592338868538E-5</v>
      </c>
      <c r="BS68" s="22">
        <f t="shared" ref="BS68:BS131" si="63">SUM(BP68:BR68)</f>
        <v>4.5440082082475275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13.4</v>
      </c>
      <c r="BY68" s="12">
        <f>IF('Données projet'!$A$114&gt;35,BY67+BX68-CG67,IF(A68&lt;'Données projet'!$A$114,$BV$205^A68,IF(A68='Données projet'!$A$114,'Données projet'!$B$114,BY67+BX68-CG67)))</f>
        <v>558.99999999999955</v>
      </c>
      <c r="BZ68" s="13">
        <f>BY68*VLOOKUP('Données projet'!$B$12,Paramètres!$A$1:$I$89,3,0)*VLOOKUP('Données projet'!$B$12,Paramètres!$A$1:$I$89,5,0)</f>
        <v>334.28199999999975</v>
      </c>
      <c r="CA68" s="13">
        <f t="shared" si="39"/>
        <v>78.317407802819943</v>
      </c>
      <c r="CB68" s="20">
        <f t="shared" ref="CB68:CB131" si="64">(BZ68+CA68)*0.475*44/12</f>
        <v>718.61063525657755</v>
      </c>
      <c r="CC68" s="59">
        <f t="shared" ref="CC68:CC131" si="65">CB68+(BT68+BU68)*44/12</f>
        <v>1011.9439685899108</v>
      </c>
      <c r="CD68" s="59">
        <f ca="1">AVERAGE(OFFSET($CC$3,0,0,'Données projet'!$E$12+1,1))-AVERAGE(OFFSET($H$3,0,0,'Données projet'!$E$12+1,1))</f>
        <v>392.08740055894992</v>
      </c>
      <c r="CE68" s="59">
        <f t="shared" si="40"/>
        <v>395.10797100415783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1.9990795717691676</v>
      </c>
      <c r="CL68" s="21">
        <f>EXP(-LN(2)/25)*CL67+(1-EXP(-LN(2)/25))/(LN(2)/25)*Calculateur!CG68*Calculateur!CI68*VLOOKUP('Données projet'!$B$12,Paramètres!$A$1:$I$89,3,0)*0.475*44/12</f>
        <v>9.8540874615095611</v>
      </c>
      <c r="CM68" s="21">
        <f>EXP(-LN(2)/2)*CM67+(1-EXP(-LN(2)/2))/(LN(2)/2)*CG68*CJ68*VLOOKUP('Données projet'!$B$12,Paramètres!$A$1:$I$89,3,0)*0.475*44/12</f>
        <v>1.8751953393558146E-4</v>
      </c>
      <c r="CN68" s="22">
        <f t="shared" ref="CN68:CN131" si="66">SUM(CK68:CM68)</f>
        <v>11.853354552812664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7</v>
      </c>
      <c r="N69" s="13">
        <f>IF('Données projet'!$A$36&gt;35,N68+M69-V68,IF(A69&lt;'Données projet'!$A$36,$K$205^A69,IF(A69='Données projet'!$A$36,'Données projet'!$B$36,N68+M69-V68)))</f>
        <v>235.00000000000017</v>
      </c>
      <c r="O69" s="13">
        <f>N69*VLOOKUP('Données projet'!$B$9,Paramètres!$A$1:$I$89,3,0)*VLOOKUP('Données projet'!$B$9,Paramètres!$A$1:$I$89,5,0)</f>
        <v>212.62800000000016</v>
      </c>
      <c r="P69" s="13">
        <f t="shared" ref="P69:P132" si="87">EXP(-1.0587+0.8836*LN(O69)+0.284)</f>
        <v>52.509453483719085</v>
      </c>
      <c r="Q69" s="20">
        <f t="shared" si="54"/>
        <v>461.78106481747767</v>
      </c>
      <c r="R69" s="59">
        <f t="shared" si="55"/>
        <v>755.11439815081098</v>
      </c>
      <c r="S69" s="59">
        <f ca="1">AVERAGE(OFFSET($R$3,0,0,'Données projet'!$E$9+1,1))-AVERAGE(OFFSET($H$3,0,0,'Données projet'!$E$9+1,1))</f>
        <v>282.32472952059817</v>
      </c>
      <c r="T69" s="59">
        <f t="shared" ref="T69:T132" si="88">$T$3</f>
        <v>172.32171001882176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0</v>
      </c>
      <c r="AA69" s="21">
        <f>EXP(-LN(2)/25)*AA68+(1-EXP(-LN(2)/25))/(LN(2)/25)*Calculateur!V69*Calculateur!X69*VLOOKUP('Données projet'!$B$9,Paramètres!$A$1:$I$89,3,0)*0.475*44/12</f>
        <v>1.1447472596278132</v>
      </c>
      <c r="AB69" s="21">
        <f>EXP(-LN(2)/2)*AB68+(1-EXP(-LN(2)/2))/(LN(2)/2)*V69*Y69*VLOOKUP('Données projet'!$B$9,Paramètres!$A$1:$I$89,3,0)*0.475*44/12</f>
        <v>2.3610488336290082E-5</v>
      </c>
      <c r="AC69" s="22">
        <f t="shared" si="57"/>
        <v>1.1447708701161494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7</v>
      </c>
      <c r="AI69" s="13">
        <f>IF('Données projet'!$A$62&gt;35,AI68+AH69-AQ68,IF(A69&lt;'Données projet'!$A$62,$AF$205^A69,IF(A69='Données projet'!$A$62,'Données projet'!$B$62,AI68+AH69-AQ68)))</f>
        <v>235.00000000000017</v>
      </c>
      <c r="AJ69" s="13">
        <f>AI69*VLOOKUP('Données projet'!$B$10,Paramètres!$A$1:$I$89,3,0)*VLOOKUP('Données projet'!$B$10,Paramètres!$A$1:$I$89,5,0)</f>
        <v>238.29000000000019</v>
      </c>
      <c r="AK69" s="13">
        <f t="shared" ref="AK69:AK132" si="89">EXP(-1.0587+0.8836*LN(AJ69)+0.284)</f>
        <v>58.071462681001563</v>
      </c>
      <c r="AL69" s="20">
        <f t="shared" si="58"/>
        <v>516.16288083607799</v>
      </c>
      <c r="AM69" s="59">
        <f t="shared" si="59"/>
        <v>809.49621416941136</v>
      </c>
      <c r="AN69" s="59">
        <f ca="1">AVERAGE(OFFSET($AM$3,0,0,'Données projet'!$E$10+1,1))-AVERAGE(OFFSET($H$3,0,0,'Données projet'!$E$10+1,1))</f>
        <v>324.30660429578262</v>
      </c>
      <c r="AO69" s="59">
        <f t="shared" ref="AO69:AO132" si="90">$AO$3</f>
        <v>197.04549436738586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1.2829064116518598</v>
      </c>
      <c r="AW69" s="21">
        <f>EXP(-LN(2)/2)*AW68+(1-EXP(-LN(2)/2))/(LN(2)/2)*AQ69*AT69*VLOOKUP('Données projet'!$B$10,Paramètres!$A$1:$I$89,3,0)*0.475*44/12</f>
        <v>2.6460030032049226E-5</v>
      </c>
      <c r="AX69" s="21">
        <f t="shared" si="60"/>
        <v>1.282932871681892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15.5</v>
      </c>
      <c r="BD69" s="12">
        <f>IF('Données projet'!$A$88&gt;35,BD68+BC69-BL68,IF(A69&lt;'Données projet'!$A$88,$BA$205^A69,IF(A69='Données projet'!$A$88,'Données projet'!$B$88,BD68+BC69-BL68)))</f>
        <v>384.39999999999986</v>
      </c>
      <c r="BE69" s="13">
        <f>BD69*VLOOKUP('Données projet'!$B$11,Paramètres!$A$1:$I$89,3,0)*VLOOKUP('Données projet'!$B$11,Paramètres!$A$1:$I$89,5,0)</f>
        <v>179.89919999999995</v>
      </c>
      <c r="BF69" s="13">
        <f t="shared" ref="BF69:BF132" si="91">EXP(-1.0587+0.8836*LN(BE69)+0.284)</f>
        <v>45.299759292628586</v>
      </c>
      <c r="BG69" s="20">
        <f t="shared" si="61"/>
        <v>392.22152076799466</v>
      </c>
      <c r="BH69" s="59">
        <f t="shared" si="62"/>
        <v>685.55485410132792</v>
      </c>
      <c r="BI69" s="59">
        <f ca="1">AVERAGE(OFFSET($BH$3,0,0,'Données projet'!$E$11+1,1))-AVERAGE(OFFSET($H$3,0,0,'Données projet'!$E$11+1,1))</f>
        <v>252.98248842635206</v>
      </c>
      <c r="BJ69" s="59">
        <f t="shared" ref="BJ69:BJ132" si="92">$BJ$3</f>
        <v>207.11938580878308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1.5365571842574741</v>
      </c>
      <c r="BQ69" s="21">
        <f>EXP(-LN(2)/25)*BQ68+(1-EXP(-LN(2)/25))/(LN(2)/25)*Calculateur!BL69*Calculateur!BN69*VLOOKUP('Données projet'!$B$11,Paramètres!$A$1:$I$89,3,0)*0.475*44/12</f>
        <v>2.8952673211549351</v>
      </c>
      <c r="BR69" s="21">
        <f>EXP(-LN(2)/2)*BR68+(1-EXP(-LN(2)/2))/(LN(2)/2)*BL69*BO69*VLOOKUP('Données projet'!$B$11,Paramètres!$A$1:$I$89,3,0)*0.475*44/12</f>
        <v>3.7506776734527557E-5</v>
      </c>
      <c r="BS69" s="22">
        <f t="shared" si="63"/>
        <v>4.4318620121891437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13.4</v>
      </c>
      <c r="BY69" s="12">
        <f>IF('Données projet'!$A$114&gt;35,BY68+BX69-CG68,IF(A69&lt;'Données projet'!$A$114,$BV$205^A69,IF(A69='Données projet'!$A$114,'Données projet'!$B$114,BY68+BX69-CG68)))</f>
        <v>572.39999999999952</v>
      </c>
      <c r="BZ69" s="13">
        <f>BY69*VLOOKUP('Données projet'!$B$12,Paramètres!$A$1:$I$89,3,0)*VLOOKUP('Données projet'!$B$12,Paramètres!$A$1:$I$89,5,0)</f>
        <v>342.29519999999974</v>
      </c>
      <c r="CA69" s="13">
        <f t="shared" ref="CA69:CA132" si="93">EXP(-1.0587+0.8836*LN(BZ69)+0.284)</f>
        <v>79.97396343304068</v>
      </c>
      <c r="CB69" s="20">
        <f t="shared" si="64"/>
        <v>735.45212631254537</v>
      </c>
      <c r="CC69" s="59">
        <f t="shared" si="65"/>
        <v>1028.7854596458787</v>
      </c>
      <c r="CD69" s="59">
        <f ca="1">AVERAGE(OFFSET($CC$3,0,0,'Données projet'!$E$12+1,1))-AVERAGE(OFFSET($H$3,0,0,'Données projet'!$E$12+1,1))</f>
        <v>392.08740055894992</v>
      </c>
      <c r="CE69" s="59">
        <f t="shared" ref="CE69:CE132" si="94">$CE$3</f>
        <v>395.10797100415783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1.9598788406849152</v>
      </c>
      <c r="CL69" s="21">
        <f>EXP(-LN(2)/25)*CL68+(1-EXP(-LN(2)/25))/(LN(2)/25)*Calculateur!CG69*Calculateur!CI69*VLOOKUP('Données projet'!$B$12,Paramètres!$A$1:$I$89,3,0)*0.475*44/12</f>
        <v>9.5846269216706439</v>
      </c>
      <c r="CM69" s="21">
        <f>EXP(-LN(2)/2)*CM68+(1-EXP(-LN(2)/2))/(LN(2)/2)*CG69*CJ69*VLOOKUP('Données projet'!$B$12,Paramètres!$A$1:$I$89,3,0)*0.475*44/12</f>
        <v>1.3259633405079057E-4</v>
      </c>
      <c r="CN69" s="22">
        <f t="shared" si="66"/>
        <v>11.54463835868961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7</v>
      </c>
      <c r="N70" s="13">
        <f>IF('Données projet'!$A$36&gt;35,N69+M70-V69,IF(A70&lt;'Données projet'!$A$36,$K$205^A70,IF(A70='Données projet'!$A$36,'Données projet'!$B$36,N69+M70-V69)))</f>
        <v>242.00000000000017</v>
      </c>
      <c r="O70" s="13">
        <f>N70*VLOOKUP('Données projet'!$B$9,Paramètres!$A$1:$I$89,3,0)*VLOOKUP('Données projet'!$B$9,Paramètres!$A$1:$I$89,5,0)</f>
        <v>218.96160000000017</v>
      </c>
      <c r="P70" s="13">
        <f t="shared" si="87"/>
        <v>53.889132503707479</v>
      </c>
      <c r="Q70" s="20">
        <f t="shared" si="54"/>
        <v>475.2150257772908</v>
      </c>
      <c r="R70" s="59">
        <f t="shared" si="55"/>
        <v>768.54835911062412</v>
      </c>
      <c r="S70" s="59">
        <f ca="1">AVERAGE(OFFSET($R$3,0,0,'Données projet'!$E$9+1,1))-AVERAGE(OFFSET($H$3,0,0,'Données projet'!$E$9+1,1))</f>
        <v>282.32472952059817</v>
      </c>
      <c r="T70" s="59">
        <f t="shared" si="88"/>
        <v>172.32171001882176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0</v>
      </c>
      <c r="AA70" s="21">
        <f>EXP(-LN(2)/25)*AA69+(1-EXP(-LN(2)/25))/(LN(2)/25)*Calculateur!V70*Calculateur!X70*VLOOKUP('Données projet'!$B$9,Paramètres!$A$1:$I$89,3,0)*0.475*44/12</f>
        <v>1.1134440856136487</v>
      </c>
      <c r="AB70" s="21">
        <f>EXP(-LN(2)/2)*AB69+(1-EXP(-LN(2)/2))/(LN(2)/2)*V70*Y70*VLOOKUP('Données projet'!$B$9,Paramètres!$A$1:$I$89,3,0)*0.475*44/12</f>
        <v>1.6695136409716603E-5</v>
      </c>
      <c r="AC70" s="22">
        <f t="shared" si="57"/>
        <v>1.1134607807500585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7</v>
      </c>
      <c r="AI70" s="13">
        <f>IF('Données projet'!$A$62&gt;35,AI69+AH70-AQ69,IF(A70&lt;'Données projet'!$A$62,$AF$205^A70,IF(A70='Données projet'!$A$62,'Données projet'!$B$62,AI69+AH70-AQ69)))</f>
        <v>242.00000000000017</v>
      </c>
      <c r="AJ70" s="13">
        <f>AI70*VLOOKUP('Données projet'!$B$10,Paramètres!$A$1:$I$89,3,0)*VLOOKUP('Données projet'!$B$10,Paramètres!$A$1:$I$89,5,0)</f>
        <v>245.3880000000002</v>
      </c>
      <c r="AK70" s="13">
        <f t="shared" si="89"/>
        <v>59.597282764919626</v>
      </c>
      <c r="AL70" s="20">
        <f t="shared" si="58"/>
        <v>531.18270081556864</v>
      </c>
      <c r="AM70" s="59">
        <f t="shared" si="59"/>
        <v>824.51603414890201</v>
      </c>
      <c r="AN70" s="59">
        <f ca="1">AVERAGE(OFFSET($AM$3,0,0,'Données projet'!$E$10+1,1))-AVERAGE(OFFSET($H$3,0,0,'Données projet'!$E$10+1,1))</f>
        <v>324.30660429578262</v>
      </c>
      <c r="AO70" s="59">
        <f t="shared" si="90"/>
        <v>197.04549436738586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1.2478252683601236</v>
      </c>
      <c r="AW70" s="21">
        <f>EXP(-LN(2)/2)*AW69+(1-EXP(-LN(2)/2))/(LN(2)/2)*AQ70*AT70*VLOOKUP('Données projet'!$B$10,Paramètres!$A$1:$I$89,3,0)*0.475*44/12</f>
        <v>1.8710066666061708E-5</v>
      </c>
      <c r="AX70" s="21">
        <f t="shared" si="60"/>
        <v>1.2478439784267896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15.5</v>
      </c>
      <c r="BD70" s="12">
        <f>IF('Données projet'!$A$88&gt;35,BD69+BC70-BL69,IF(A70&lt;'Données projet'!$A$88,$BA$205^A70,IF(A70='Données projet'!$A$88,'Données projet'!$B$88,BD69+BC70-BL69)))</f>
        <v>399.89999999999986</v>
      </c>
      <c r="BE70" s="13">
        <f>BD70*VLOOKUP('Données projet'!$B$11,Paramètres!$A$1:$I$89,3,0)*VLOOKUP('Données projet'!$B$11,Paramètres!$A$1:$I$89,5,0)</f>
        <v>187.15319999999994</v>
      </c>
      <c r="BF70" s="13">
        <f t="shared" si="91"/>
        <v>46.9100138680691</v>
      </c>
      <c r="BG70" s="20">
        <f t="shared" si="61"/>
        <v>407.66009748688685</v>
      </c>
      <c r="BH70" s="59">
        <f t="shared" si="62"/>
        <v>700.99343082022017</v>
      </c>
      <c r="BI70" s="59">
        <f ca="1">AVERAGE(OFFSET($BH$3,0,0,'Données projet'!$E$11+1,1))-AVERAGE(OFFSET($H$3,0,0,'Données projet'!$E$11+1,1))</f>
        <v>252.98248842635206</v>
      </c>
      <c r="BJ70" s="59">
        <f t="shared" si="92"/>
        <v>207.11938580878308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1.5064262350815258</v>
      </c>
      <c r="BQ70" s="21">
        <f>EXP(-LN(2)/25)*BQ69+(1-EXP(-LN(2)/25))/(LN(2)/25)*Calculateur!BL70*Calculateur!BN70*VLOOKUP('Données projet'!$B$11,Paramètres!$A$1:$I$89,3,0)*0.475*44/12</f>
        <v>2.8160960840024623</v>
      </c>
      <c r="BR70" s="21">
        <f>EXP(-LN(2)/2)*BR69+(1-EXP(-LN(2)/2))/(LN(2)/2)*BL70*BO70*VLOOKUP('Données projet'!$B$11,Paramètres!$A$1:$I$89,3,0)*0.475*44/12</f>
        <v>2.6521296169434269E-5</v>
      </c>
      <c r="BS70" s="22">
        <f t="shared" si="63"/>
        <v>4.3225488403801577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13.4</v>
      </c>
      <c r="BY70" s="12">
        <f>IF('Données projet'!$A$114&gt;35,BY69+BX70-CG69,IF(A70&lt;'Données projet'!$A$114,$BV$205^A70,IF(A70='Données projet'!$A$114,'Données projet'!$B$114,BY69+BX70-CG69)))</f>
        <v>585.7999999999995</v>
      </c>
      <c r="BZ70" s="13">
        <f>BY70*VLOOKUP('Données projet'!$B$12,Paramètres!$A$1:$I$89,3,0)*VLOOKUP('Données projet'!$B$12,Paramètres!$A$1:$I$89,5,0)</f>
        <v>350.30839999999972</v>
      </c>
      <c r="CA70" s="13">
        <f t="shared" si="93"/>
        <v>81.626010745433447</v>
      </c>
      <c r="CB70" s="20">
        <f t="shared" si="64"/>
        <v>752.28576538162952</v>
      </c>
      <c r="CC70" s="59">
        <f t="shared" si="65"/>
        <v>1045.6190987149628</v>
      </c>
      <c r="CD70" s="59">
        <f ca="1">AVERAGE(OFFSET($CC$3,0,0,'Données projet'!$E$12+1,1))-AVERAGE(OFFSET($H$3,0,0,'Données projet'!$E$12+1,1))</f>
        <v>392.08740055894992</v>
      </c>
      <c r="CE70" s="59">
        <f t="shared" si="94"/>
        <v>395.10797100415783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1.9214468120271402</v>
      </c>
      <c r="CL70" s="21">
        <f>EXP(-LN(2)/25)*CL69+(1-EXP(-LN(2)/25))/(LN(2)/25)*Calculateur!CG70*Calculateur!CI70*VLOOKUP('Données projet'!$B$12,Paramètres!$A$1:$I$89,3,0)*0.475*44/12</f>
        <v>9.3225347944639356</v>
      </c>
      <c r="CM70" s="21">
        <f>EXP(-LN(2)/2)*CM69+(1-EXP(-LN(2)/2))/(LN(2)/2)*CG70*CJ70*VLOOKUP('Données projet'!$B$12,Paramètres!$A$1:$I$89,3,0)*0.475*44/12</f>
        <v>9.3759766967790731E-5</v>
      </c>
      <c r="CN70" s="22">
        <f t="shared" si="66"/>
        <v>11.244075366258043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7</v>
      </c>
      <c r="N71" s="13">
        <f>IF('Données projet'!$A$36&gt;35,N70+M71-V70,IF(A71&lt;'Données projet'!$A$36,$K$205^A71,IF(A71='Données projet'!$A$36,'Données projet'!$B$36,N70+M71-V70)))</f>
        <v>249.00000000000017</v>
      </c>
      <c r="O71" s="13">
        <f>N71*VLOOKUP('Données projet'!$B$9,Paramètres!$A$1:$I$89,3,0)*VLOOKUP('Données projet'!$B$9,Paramètres!$A$1:$I$89,5,0)</f>
        <v>225.29520000000016</v>
      </c>
      <c r="P71" s="13">
        <f t="shared" si="87"/>
        <v>55.264173352293128</v>
      </c>
      <c r="Q71" s="20">
        <f t="shared" si="54"/>
        <v>488.64090858857736</v>
      </c>
      <c r="R71" s="59">
        <f t="shared" si="55"/>
        <v>781.97424192191068</v>
      </c>
      <c r="S71" s="59">
        <f ca="1">AVERAGE(OFFSET($R$3,0,0,'Données projet'!$E$9+1,1))-AVERAGE(OFFSET($H$3,0,0,'Données projet'!$E$9+1,1))</f>
        <v>282.32472952059817</v>
      </c>
      <c r="T71" s="59">
        <f t="shared" si="88"/>
        <v>172.32171001882176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0</v>
      </c>
      <c r="AA71" s="21">
        <f>EXP(-LN(2)/25)*AA70+(1-EXP(-LN(2)/25))/(LN(2)/25)*Calculateur!V71*Calculateur!X71*VLOOKUP('Données projet'!$B$9,Paramètres!$A$1:$I$89,3,0)*0.475*44/12</f>
        <v>1.0829968985390639</v>
      </c>
      <c r="AB71" s="21">
        <f>EXP(-LN(2)/2)*AB70+(1-EXP(-LN(2)/2))/(LN(2)/2)*V71*Y71*VLOOKUP('Données projet'!$B$9,Paramètres!$A$1:$I$89,3,0)*0.475*44/12</f>
        <v>1.1805244168145041E-5</v>
      </c>
      <c r="AC71" s="22">
        <f t="shared" si="57"/>
        <v>1.0830087037832321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7</v>
      </c>
      <c r="AI71" s="13">
        <f>IF('Données projet'!$A$62&gt;35,AI70+AH71-AQ70,IF(A71&lt;'Données projet'!$A$62,$AF$205^A71,IF(A71='Données projet'!$A$62,'Données projet'!$B$62,AI70+AH71-AQ70)))</f>
        <v>249.00000000000017</v>
      </c>
      <c r="AJ71" s="13">
        <f>AI71*VLOOKUP('Données projet'!$B$10,Paramètres!$A$1:$I$89,3,0)*VLOOKUP('Données projet'!$B$10,Paramètres!$A$1:$I$89,5,0)</f>
        <v>252.48600000000019</v>
      </c>
      <c r="AK71" s="13">
        <f t="shared" si="89"/>
        <v>61.117973383957434</v>
      </c>
      <c r="AL71" s="20">
        <f t="shared" si="58"/>
        <v>546.19358697705945</v>
      </c>
      <c r="AM71" s="59">
        <f t="shared" si="59"/>
        <v>839.52692031039282</v>
      </c>
      <c r="AN71" s="59">
        <f ca="1">AVERAGE(OFFSET($AM$3,0,0,'Données projet'!$E$10+1,1))-AVERAGE(OFFSET($H$3,0,0,'Données projet'!$E$10+1,1))</f>
        <v>324.30660429578262</v>
      </c>
      <c r="AO71" s="59">
        <f t="shared" si="90"/>
        <v>197.04549436738586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1.2137034207765371</v>
      </c>
      <c r="AW71" s="21">
        <f>EXP(-LN(2)/2)*AW70+(1-EXP(-LN(2)/2))/(LN(2)/2)*AQ71*AT71*VLOOKUP('Données projet'!$B$10,Paramètres!$A$1:$I$89,3,0)*0.475*44/12</f>
        <v>1.3230015016024613E-5</v>
      </c>
      <c r="AX71" s="21">
        <f t="shared" si="60"/>
        <v>1.2137166507915531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15.5</v>
      </c>
      <c r="BD71" s="12">
        <f>IF('Données projet'!$A$88&gt;35,BD70+BC71-BL70,IF(A71&lt;'Données projet'!$A$88,$BA$205^A71,IF(A71='Données projet'!$A$88,'Données projet'!$B$88,BD70+BC71-BL70)))</f>
        <v>415.39999999999986</v>
      </c>
      <c r="BE71" s="13">
        <f>BD71*VLOOKUP('Données projet'!$B$11,Paramètres!$A$1:$I$89,3,0)*VLOOKUP('Données projet'!$B$11,Paramètres!$A$1:$I$89,5,0)</f>
        <v>194.40719999999996</v>
      </c>
      <c r="BF71" s="13">
        <f t="shared" si="91"/>
        <v>48.513018020179601</v>
      </c>
      <c r="BG71" s="20">
        <f t="shared" si="61"/>
        <v>423.08604638514606</v>
      </c>
      <c r="BH71" s="59">
        <f t="shared" si="62"/>
        <v>716.41937971847938</v>
      </c>
      <c r="BI71" s="59">
        <f ca="1">AVERAGE(OFFSET($BH$3,0,0,'Données projet'!$E$11+1,1))-AVERAGE(OFFSET($H$3,0,0,'Données projet'!$E$11+1,1))</f>
        <v>252.98248842635206</v>
      </c>
      <c r="BJ71" s="59">
        <f t="shared" si="92"/>
        <v>207.11938580878308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1.4768861354408536</v>
      </c>
      <c r="BQ71" s="21">
        <f>EXP(-LN(2)/25)*BQ70+(1-EXP(-LN(2)/25))/(LN(2)/25)*Calculateur!BL71*Calculateur!BN71*VLOOKUP('Données projet'!$B$11,Paramètres!$A$1:$I$89,3,0)*0.475*44/12</f>
        <v>2.739089788493358</v>
      </c>
      <c r="BR71" s="21">
        <f>EXP(-LN(2)/2)*BR70+(1-EXP(-LN(2)/2))/(LN(2)/2)*BL71*BO71*VLOOKUP('Données projet'!$B$11,Paramètres!$A$1:$I$89,3,0)*0.475*44/12</f>
        <v>1.8753388367263778E-5</v>
      </c>
      <c r="BS71" s="22">
        <f t="shared" si="63"/>
        <v>4.2159946773225787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13.4</v>
      </c>
      <c r="BY71" s="12">
        <f>IF('Données projet'!$A$114&gt;35,BY70+BX71-CG70,IF(A71&lt;'Données projet'!$A$114,$BV$205^A71,IF(A71='Données projet'!$A$114,'Données projet'!$B$114,BY70+BX71-CG70)))</f>
        <v>599.19999999999948</v>
      </c>
      <c r="BZ71" s="13">
        <f>BY71*VLOOKUP('Données projet'!$B$12,Paramètres!$A$1:$I$89,3,0)*VLOOKUP('Données projet'!$B$12,Paramètres!$A$1:$I$89,5,0)</f>
        <v>358.32159999999971</v>
      </c>
      <c r="CA71" s="13">
        <f t="shared" si="93"/>
        <v>83.273664737467598</v>
      </c>
      <c r="CB71" s="20">
        <f t="shared" si="64"/>
        <v>769.11175275108883</v>
      </c>
      <c r="CC71" s="59">
        <f t="shared" si="65"/>
        <v>1062.4450860844222</v>
      </c>
      <c r="CD71" s="59">
        <f ca="1">AVERAGE(OFFSET($CC$3,0,0,'Données projet'!$E$12+1,1))-AVERAGE(OFFSET($H$3,0,0,'Données projet'!$E$12+1,1))</f>
        <v>392.08740055894992</v>
      </c>
      <c r="CE71" s="59">
        <f t="shared" si="94"/>
        <v>395.10797100415783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1.8837684120101212</v>
      </c>
      <c r="CL71" s="21">
        <f>EXP(-LN(2)/25)*CL70+(1-EXP(-LN(2)/25))/(LN(2)/25)*Calculateur!CG71*Calculateur!CI71*VLOOKUP('Données projet'!$B$12,Paramètres!$A$1:$I$89,3,0)*0.475*44/12</f>
        <v>9.0676095902585221</v>
      </c>
      <c r="CM71" s="21">
        <f>EXP(-LN(2)/2)*CM70+(1-EXP(-LN(2)/2))/(LN(2)/2)*CG71*CJ71*VLOOKUP('Données projet'!$B$12,Paramètres!$A$1:$I$89,3,0)*0.475*44/12</f>
        <v>6.6298167025395286E-5</v>
      </c>
      <c r="CN71" s="22">
        <f t="shared" si="66"/>
        <v>10.95144430043567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7</v>
      </c>
      <c r="N72" s="13">
        <f>IF('Données projet'!$A$36&gt;35,N71+M72-V71,IF(A72&lt;'Données projet'!$A$36,$K$205^A72,IF(A72='Données projet'!$A$36,'Données projet'!$B$36,N71+M72-V71)))</f>
        <v>256.00000000000017</v>
      </c>
      <c r="O72" s="13">
        <f>N72*VLOOKUP('Données projet'!$B$9,Paramètres!$A$1:$I$89,3,0)*VLOOKUP('Données projet'!$B$9,Paramètres!$A$1:$I$89,5,0)</f>
        <v>231.62880000000013</v>
      </c>
      <c r="P72" s="13">
        <f t="shared" si="87"/>
        <v>56.63472139815827</v>
      </c>
      <c r="Q72" s="20">
        <f t="shared" si="54"/>
        <v>502.0589664351258</v>
      </c>
      <c r="R72" s="59">
        <f t="shared" si="55"/>
        <v>795.39229976845911</v>
      </c>
      <c r="S72" s="59">
        <f ca="1">AVERAGE(OFFSET($R$3,0,0,'Données projet'!$E$9+1,1))-AVERAGE(OFFSET($H$3,0,0,'Données projet'!$E$9+1,1))</f>
        <v>282.32472952059817</v>
      </c>
      <c r="T72" s="59">
        <f t="shared" si="88"/>
        <v>172.32171001882176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0</v>
      </c>
      <c r="AA72" s="21">
        <f>EXP(-LN(2)/25)*AA71+(1-EXP(-LN(2)/25))/(LN(2)/25)*Calculateur!V72*Calculateur!X72*VLOOKUP('Données projet'!$B$9,Paramètres!$A$1:$I$89,3,0)*0.475*44/12</f>
        <v>1.0533822913961814</v>
      </c>
      <c r="AB72" s="21">
        <f>EXP(-LN(2)/2)*AB71+(1-EXP(-LN(2)/2))/(LN(2)/2)*V72*Y72*VLOOKUP('Données projet'!$B$9,Paramètres!$A$1:$I$89,3,0)*0.475*44/12</f>
        <v>8.3475682048583016E-6</v>
      </c>
      <c r="AC72" s="22">
        <f t="shared" si="57"/>
        <v>1.0533906389643863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7</v>
      </c>
      <c r="AI72" s="13">
        <f>IF('Données projet'!$A$62&gt;35,AI71+AH72-AQ71,IF(A72&lt;'Données projet'!$A$62,$AF$205^A72,IF(A72='Données projet'!$A$62,'Données projet'!$B$62,AI71+AH72-AQ71)))</f>
        <v>256.00000000000017</v>
      </c>
      <c r="AJ72" s="13">
        <f>AI72*VLOOKUP('Données projet'!$B$10,Paramètres!$A$1:$I$89,3,0)*VLOOKUP('Données projet'!$B$10,Paramètres!$A$1:$I$89,5,0)</f>
        <v>259.58400000000017</v>
      </c>
      <c r="AK72" s="13">
        <f t="shared" si="89"/>
        <v>62.63369530482359</v>
      </c>
      <c r="AL72" s="20">
        <f t="shared" si="58"/>
        <v>561.19581932256801</v>
      </c>
      <c r="AM72" s="59">
        <f t="shared" si="59"/>
        <v>854.52915265590127</v>
      </c>
      <c r="AN72" s="59">
        <f ca="1">AVERAGE(OFFSET($AM$3,0,0,'Données projet'!$E$10+1,1))-AVERAGE(OFFSET($H$3,0,0,'Données projet'!$E$10+1,1))</f>
        <v>324.30660429578262</v>
      </c>
      <c r="AO72" s="59">
        <f t="shared" si="90"/>
        <v>197.04549436738586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1.1805146369095139</v>
      </c>
      <c r="AW72" s="21">
        <f>EXP(-LN(2)/2)*AW71+(1-EXP(-LN(2)/2))/(LN(2)/2)*AQ72*AT72*VLOOKUP('Données projet'!$B$10,Paramètres!$A$1:$I$89,3,0)*0.475*44/12</f>
        <v>9.3550333330308539E-6</v>
      </c>
      <c r="AX72" s="21">
        <f t="shared" si="60"/>
        <v>1.180523991942847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15.5</v>
      </c>
      <c r="BD72" s="12">
        <f>IF('Données projet'!$A$88&gt;35,BD71+BC72-BL71,IF(A72&lt;'Données projet'!$A$88,$BA$205^A72,IF(A72='Données projet'!$A$88,'Données projet'!$B$88,BD71+BC72-BL71)))</f>
        <v>430.89999999999986</v>
      </c>
      <c r="BE72" s="13">
        <f>BD72*VLOOKUP('Données projet'!$B$11,Paramètres!$A$1:$I$89,3,0)*VLOOKUP('Données projet'!$B$11,Paramètres!$A$1:$I$89,5,0)</f>
        <v>201.66119999999992</v>
      </c>
      <c r="BF72" s="13">
        <f t="shared" si="91"/>
        <v>50.109073265229782</v>
      </c>
      <c r="BG72" s="20">
        <f t="shared" si="61"/>
        <v>438.49989260360843</v>
      </c>
      <c r="BH72" s="59">
        <f t="shared" si="62"/>
        <v>731.83322593694174</v>
      </c>
      <c r="BI72" s="59">
        <f ca="1">AVERAGE(OFFSET($BH$3,0,0,'Données projet'!$E$11+1,1))-AVERAGE(OFFSET($H$3,0,0,'Données projet'!$E$11+1,1))</f>
        <v>252.98248842635206</v>
      </c>
      <c r="BJ72" s="59">
        <f t="shared" si="92"/>
        <v>207.11938580878308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1.4479252991364533</v>
      </c>
      <c r="BQ72" s="21">
        <f>EXP(-LN(2)/25)*BQ71+(1-EXP(-LN(2)/25))/(LN(2)/25)*Calculateur!BL72*Calculateur!BN72*VLOOKUP('Données projet'!$B$11,Paramètres!$A$1:$I$89,3,0)*0.475*44/12</f>
        <v>2.6641892341845357</v>
      </c>
      <c r="BR72" s="21">
        <f>EXP(-LN(2)/2)*BR71+(1-EXP(-LN(2)/2))/(LN(2)/2)*BL72*BO72*VLOOKUP('Données projet'!$B$11,Paramètres!$A$1:$I$89,3,0)*0.475*44/12</f>
        <v>1.3260648084717135E-5</v>
      </c>
      <c r="BS72" s="22">
        <f t="shared" si="63"/>
        <v>4.1121277939690737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13.4</v>
      </c>
      <c r="BY72" s="12">
        <f>IF('Données projet'!$A$114&gt;35,BY71+BX72-CG71,IF(A72&lt;'Données projet'!$A$114,$BV$205^A72,IF(A72='Données projet'!$A$114,'Données projet'!$B$114,BY71+BX72-CG71)))</f>
        <v>612.59999999999945</v>
      </c>
      <c r="BZ72" s="13">
        <f>BY72*VLOOKUP('Données projet'!$B$12,Paramètres!$A$1:$I$89,3,0)*VLOOKUP('Données projet'!$B$12,Paramètres!$A$1:$I$89,5,0)</f>
        <v>366.33479999999969</v>
      </c>
      <c r="CA72" s="13">
        <f t="shared" si="93"/>
        <v>84.917034969569471</v>
      </c>
      <c r="CB72" s="20">
        <f t="shared" si="64"/>
        <v>785.93027923866612</v>
      </c>
      <c r="CC72" s="59">
        <f t="shared" si="65"/>
        <v>1079.2636125719994</v>
      </c>
      <c r="CD72" s="59">
        <f ca="1">AVERAGE(OFFSET($CC$3,0,0,'Données projet'!$E$12+1,1))-AVERAGE(OFFSET($H$3,0,0,'Données projet'!$E$12+1,1))</f>
        <v>392.08740055894992</v>
      </c>
      <c r="CE72" s="59">
        <f t="shared" si="94"/>
        <v>395.10797100415783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1.8468288624358813</v>
      </c>
      <c r="CL72" s="21">
        <f>EXP(-LN(2)/25)*CL71+(1-EXP(-LN(2)/25))/(LN(2)/25)*Calculateur!CG72*Calculateur!CI72*VLOOKUP('Données projet'!$B$12,Paramètres!$A$1:$I$89,3,0)*0.475*44/12</f>
        <v>8.8196553291680395</v>
      </c>
      <c r="CM72" s="21">
        <f>EXP(-LN(2)/2)*CM71+(1-EXP(-LN(2)/2))/(LN(2)/2)*CG72*CJ72*VLOOKUP('Données projet'!$B$12,Paramètres!$A$1:$I$89,3,0)*0.475*44/12</f>
        <v>4.6879883483895366E-5</v>
      </c>
      <c r="CN72" s="22">
        <f t="shared" si="66"/>
        <v>10.666531071487405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263</v>
      </c>
      <c r="L73" s="12">
        <f>VLOOKUP(A73,'Données projet'!$A$35:$I$55,9,0)</f>
        <v>7</v>
      </c>
      <c r="M73" s="12">
        <f t="array" ref="M73">INDEX(L:L,MIN(IF(ISNUMBER(L73:L269),ROW(L73:L269),"")))</f>
        <v>7</v>
      </c>
      <c r="N73" s="13">
        <f>IF('Données projet'!$A$36&gt;35,N72+M73-V72,IF(A73&lt;'Données projet'!$A$36,$K$205^A73,IF(A73='Données projet'!$A$36,'Données projet'!$B$36,N72+M73-V72)))</f>
        <v>263.00000000000017</v>
      </c>
      <c r="O73" s="13">
        <f>N73*VLOOKUP('Données projet'!$B$9,Paramètres!$A$1:$I$89,3,0)*VLOOKUP('Données projet'!$B$9,Paramètres!$A$1:$I$89,5,0)</f>
        <v>237.96240000000012</v>
      </c>
      <c r="P73" s="13">
        <f t="shared" si="87"/>
        <v>58.000913607663399</v>
      </c>
      <c r="Q73" s="20">
        <f t="shared" si="54"/>
        <v>515.46943786668055</v>
      </c>
      <c r="R73" s="59">
        <f t="shared" si="55"/>
        <v>808.80277120001392</v>
      </c>
      <c r="S73" s="59">
        <f ca="1">AVERAGE(OFFSET($R$3,0,0,'Données projet'!$E$9+1,1))-AVERAGE(OFFSET($H$3,0,0,'Données projet'!$E$9+1,1))</f>
        <v>282.32472952059817</v>
      </c>
      <c r="T73" s="59">
        <f t="shared" si="88"/>
        <v>172.32171001882176</v>
      </c>
      <c r="U73" s="15">
        <f>IF(ISNA(VLOOKUP(A73,'Données projet'!$A$35:$I$55,3,0)),0,VLOOKUP(A73,'Données projet'!$A$35:$I$55,3,0))</f>
        <v>5</v>
      </c>
      <c r="V73" s="15">
        <f>IF(ISNA(VLOOKUP(A73,'Données projet'!$A$35:$I$55,4,0)),0,VLOOKUP(A73,'Données projet'!$A$35:$I$55,4,0))</f>
        <v>42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0</v>
      </c>
      <c r="AA73" s="21">
        <f>EXP(-LN(2)/25)*AA72+(1-EXP(-LN(2)/25))/(LN(2)/25)*Calculateur!V73*Calculateur!X73*VLOOKUP('Données projet'!$B$9,Paramètres!$A$1:$I$89,3,0)*0.475*44/12</f>
        <v>1.0245774972429857</v>
      </c>
      <c r="AB73" s="21">
        <f>EXP(-LN(2)/2)*AB72+(1-EXP(-LN(2)/2))/(LN(2)/2)*V73*Y73*VLOOKUP('Données projet'!$B$9,Paramètres!$A$1:$I$89,3,0)*0.475*44/12</f>
        <v>5.9026220840725205E-6</v>
      </c>
      <c r="AC73" s="22">
        <f t="shared" si="57"/>
        <v>1.0245833998650697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263</v>
      </c>
      <c r="AG73" s="12">
        <f>VLOOKUP(A73,'Données projet'!$A$61:$I$81,9,0)</f>
        <v>7</v>
      </c>
      <c r="AH73" s="12">
        <f t="array" ref="AH73">INDEX(AG:AG,MIN(IF(ISNUMBER(AG73:AG269),ROW(AG73:AG269),"")))</f>
        <v>7</v>
      </c>
      <c r="AI73" s="13">
        <f>IF('Données projet'!$A$62&gt;35,AI72+AH73-AQ72,IF(A73&lt;'Données projet'!$A$62,$AF$205^A73,IF(A73='Données projet'!$A$62,'Données projet'!$B$62,AI72+AH73-AQ72)))</f>
        <v>263.00000000000017</v>
      </c>
      <c r="AJ73" s="13">
        <f>AI73*VLOOKUP('Données projet'!$B$10,Paramètres!$A$1:$I$89,3,0)*VLOOKUP('Données projet'!$B$10,Paramètres!$A$1:$I$89,5,0)</f>
        <v>266.68200000000019</v>
      </c>
      <c r="AK73" s="13">
        <f t="shared" si="89"/>
        <v>64.144600001897828</v>
      </c>
      <c r="AL73" s="20">
        <f t="shared" si="58"/>
        <v>576.18966166997234</v>
      </c>
      <c r="AM73" s="59">
        <f t="shared" si="59"/>
        <v>869.5229950033056</v>
      </c>
      <c r="AN73" s="59">
        <f ca="1">AVERAGE(OFFSET($AM$3,0,0,'Données projet'!$E$10+1,1))-AVERAGE(OFFSET($H$3,0,0,'Données projet'!$E$10+1,1))</f>
        <v>324.30660429578262</v>
      </c>
      <c r="AO73" s="59">
        <f t="shared" si="90"/>
        <v>197.04549436738586</v>
      </c>
      <c r="AP73" s="15">
        <f>IF(ISNA(VLOOKUP(A73,'Données projet'!$A$61:$I$81,3,0)),0,VLOOKUP(A73,'Données projet'!$A$61:$I$81,3,0))</f>
        <v>5</v>
      </c>
      <c r="AQ73" s="15">
        <f>IF(ISNA(VLOOKUP(A73,'Données projet'!$A$61:$I$81,4,0)),0,VLOOKUP(A73,'Données projet'!$A$61:$I$81,4,0))</f>
        <v>42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1.1482334020826566</v>
      </c>
      <c r="AW73" s="21">
        <f>EXP(-LN(2)/2)*AW72+(1-EXP(-LN(2)/2))/(LN(2)/2)*AQ73*AT73*VLOOKUP('Données projet'!$B$10,Paramètres!$A$1:$I$89,3,0)*0.475*44/12</f>
        <v>6.6150075080123064E-6</v>
      </c>
      <c r="AX73" s="21">
        <f t="shared" si="60"/>
        <v>1.1482400170901645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446.4</v>
      </c>
      <c r="BB73" s="12">
        <f>VLOOKUP(A73,'Données projet'!$A$87:$I$107,9,0)</f>
        <v>15.5</v>
      </c>
      <c r="BC73" s="12">
        <f t="array" ref="BC73">INDEX(BB:BB,MIN(IF(ISNUMBER(BB73:BB269),ROW(BB73:BB269),"")))</f>
        <v>15.5</v>
      </c>
      <c r="BD73" s="12">
        <f>IF('Données projet'!$A$88&gt;35,BD72+BC73-BL72,IF(A73&lt;'Données projet'!$A$88,$BA$205^A73,IF(A73='Données projet'!$A$88,'Données projet'!$B$88,BD72+BC73-BL72)))</f>
        <v>446.39999999999986</v>
      </c>
      <c r="BE73" s="13">
        <f>BD73*VLOOKUP('Données projet'!$B$11,Paramètres!$A$1:$I$89,3,0)*VLOOKUP('Données projet'!$B$11,Paramètres!$A$1:$I$89,5,0)</f>
        <v>208.91519999999994</v>
      </c>
      <c r="BF73" s="13">
        <f t="shared" si="91"/>
        <v>51.698458198123326</v>
      </c>
      <c r="BG73" s="20">
        <f t="shared" si="61"/>
        <v>453.90212136173136</v>
      </c>
      <c r="BH73" s="59">
        <f t="shared" si="62"/>
        <v>747.23545469506462</v>
      </c>
      <c r="BI73" s="59">
        <f ca="1">AVERAGE(OFFSET($BH$3,0,0,'Données projet'!$E$11+1,1))-AVERAGE(OFFSET($H$3,0,0,'Données projet'!$E$11+1,1))</f>
        <v>252.98248842635206</v>
      </c>
      <c r="BJ73" s="59">
        <f t="shared" si="92"/>
        <v>207.11938580878308</v>
      </c>
      <c r="BK73" s="15">
        <f>IF(ISNA(VLOOKUP(A73,'Données projet'!$A$87:$I$107,3,0)),0,VLOOKUP(A73,'Données projet'!$A$87:$I$107,3,0))</f>
        <v>6</v>
      </c>
      <c r="BL73" s="15">
        <f>IF(ISNA(VLOOKUP(A73,'Données projet'!$A$87:$I$107,4,0)),0,VLOOKUP(A73,'Données projet'!$A$87:$I$107,4,0))</f>
        <v>83.4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1.4195323671676163</v>
      </c>
      <c r="BQ73" s="21">
        <f>EXP(-LN(2)/25)*BQ72+(1-EXP(-LN(2)/25))/(LN(2)/25)*Calculateur!BL73*Calculateur!BN73*VLOOKUP('Données projet'!$B$11,Paramètres!$A$1:$I$89,3,0)*0.475*44/12</f>
        <v>2.5913368394721368</v>
      </c>
      <c r="BR73" s="21">
        <f>EXP(-LN(2)/2)*BR72+(1-EXP(-LN(2)/2))/(LN(2)/2)*BL73*BO73*VLOOKUP('Données projet'!$B$11,Paramètres!$A$1:$I$89,3,0)*0.475*44/12</f>
        <v>9.3766941836318892E-6</v>
      </c>
      <c r="BS73" s="22">
        <f t="shared" si="63"/>
        <v>4.0108785833339367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626</v>
      </c>
      <c r="BW73" s="12">
        <f>VLOOKUP(A73,'Données projet'!$A$113:$I$133,9,0)</f>
        <v>13.4</v>
      </c>
      <c r="BX73" s="12">
        <f t="array" ref="BX73">INDEX(BW:BW,MIN(IF(ISNUMBER(BW73:BW269),ROW(BW73:BW269),"")))</f>
        <v>13.4</v>
      </c>
      <c r="BY73" s="12">
        <f>IF('Données projet'!$A$114&gt;35,BY72+BX73-CG72,IF(A73&lt;'Données projet'!$A$114,$BV$205^A73,IF(A73='Données projet'!$A$114,'Données projet'!$B$114,BY72+BX73-CG72)))</f>
        <v>625.99999999999943</v>
      </c>
      <c r="BZ73" s="13">
        <f>BY73*VLOOKUP('Données projet'!$B$12,Paramètres!$A$1:$I$89,3,0)*VLOOKUP('Données projet'!$B$12,Paramètres!$A$1:$I$89,5,0)</f>
        <v>374.34799999999967</v>
      </c>
      <c r="CA73" s="13">
        <f t="shared" si="93"/>
        <v>86.556225935402523</v>
      </c>
      <c r="CB73" s="20">
        <f t="shared" si="64"/>
        <v>802.74152683749219</v>
      </c>
      <c r="CC73" s="59">
        <f t="shared" si="65"/>
        <v>1096.0748601708256</v>
      </c>
      <c r="CD73" s="59">
        <f ca="1">AVERAGE(OFFSET($CC$3,0,0,'Données projet'!$E$12+1,1))-AVERAGE(OFFSET($H$3,0,0,'Données projet'!$E$12+1,1))</f>
        <v>392.08740055894992</v>
      </c>
      <c r="CE73" s="59">
        <f t="shared" si="94"/>
        <v>395.10797100415783</v>
      </c>
      <c r="CF73" s="15">
        <f>IF(ISNA(VLOOKUP(A73,'Données projet'!$A$113:$I$133,3,0)),0,VLOOKUP(A73,'Données projet'!$A$113:$I$133,3,0))</f>
        <v>6</v>
      </c>
      <c r="CG73" s="15">
        <f>IF(ISNA(VLOOKUP(A73,'Données projet'!$A$113:$I$133,4,0)),0,VLOOKUP(A73,'Données projet'!$A$113:$I$133,4,0))</f>
        <v>60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1.8106136748978916</v>
      </c>
      <c r="CL73" s="21">
        <f>EXP(-LN(2)/25)*CL72+(1-EXP(-LN(2)/25))/(LN(2)/25)*Calculateur!CG73*Calculateur!CI73*VLOOKUP('Données projet'!$B$12,Paramètres!$A$1:$I$89,3,0)*0.475*44/12</f>
        <v>8.5784813903864237</v>
      </c>
      <c r="CM73" s="21">
        <f>EXP(-LN(2)/2)*CM72+(1-EXP(-LN(2)/2))/(LN(2)/2)*CG73*CJ73*VLOOKUP('Données projet'!$B$12,Paramètres!$A$1:$I$89,3,0)*0.475*44/12</f>
        <v>3.3149083512697643E-5</v>
      </c>
      <c r="CN73" s="22">
        <f t="shared" si="66"/>
        <v>10.389128214367828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6.1</v>
      </c>
      <c r="N74" s="13">
        <f>IF('Données projet'!$A$36&gt;35,N73+M74-V73,IF(A74&lt;'Données projet'!$A$36,$K$205^A74,IF(A74='Données projet'!$A$36,'Données projet'!$B$36,N73+M74-V73)))</f>
        <v>227.10000000000019</v>
      </c>
      <c r="O74" s="13">
        <f>N74*VLOOKUP('Données projet'!$B$9,Paramètres!$A$1:$I$89,3,0)*VLOOKUP('Données projet'!$B$9,Paramètres!$A$1:$I$89,5,0)</f>
        <v>205.48008000000016</v>
      </c>
      <c r="P74" s="13">
        <f t="shared" si="87"/>
        <v>50.94662215818515</v>
      </c>
      <c r="Q74" s="20">
        <f t="shared" si="54"/>
        <v>446.6098395921727</v>
      </c>
      <c r="R74" s="59">
        <f t="shared" si="55"/>
        <v>739.94317292550602</v>
      </c>
      <c r="S74" s="59">
        <f ca="1">AVERAGE(OFFSET($R$3,0,0,'Données projet'!$E$9+1,1))-AVERAGE(OFFSET($H$3,0,0,'Données projet'!$E$9+1,1))</f>
        <v>282.32472952059817</v>
      </c>
      <c r="T74" s="59">
        <f t="shared" si="88"/>
        <v>172.32171001882176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0</v>
      </c>
      <c r="AA74" s="21">
        <f>EXP(-LN(2)/25)*AA73+(1-EXP(-LN(2)/25))/(LN(2)/25)*Calculateur!V74*Calculateur!X74*VLOOKUP('Données projet'!$B$9,Paramètres!$A$1:$I$89,3,0)*0.475*44/12</f>
        <v>0.99656037170068745</v>
      </c>
      <c r="AB74" s="21">
        <f>EXP(-LN(2)/2)*AB73+(1-EXP(-LN(2)/2))/(LN(2)/2)*V74*Y74*VLOOKUP('Données projet'!$B$9,Paramètres!$A$1:$I$89,3,0)*0.475*44/12</f>
        <v>4.1737841024291508E-6</v>
      </c>
      <c r="AC74" s="22">
        <f t="shared" si="57"/>
        <v>0.9965645454847899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6.1</v>
      </c>
      <c r="AI74" s="13">
        <f>IF('Données projet'!$A$62&gt;35,AI73+AH74-AQ73,IF(A74&lt;'Données projet'!$A$62,$AF$205^A74,IF(A74='Données projet'!$A$62,'Données projet'!$B$62,AI73+AH74-AQ73)))</f>
        <v>227.10000000000019</v>
      </c>
      <c r="AJ74" s="13">
        <f>AI74*VLOOKUP('Données projet'!$B$10,Paramètres!$A$1:$I$89,3,0)*VLOOKUP('Données projet'!$B$10,Paramètres!$A$1:$I$89,5,0)</f>
        <v>230.27940000000021</v>
      </c>
      <c r="AK74" s="13">
        <f t="shared" si="89"/>
        <v>56.34309007423694</v>
      </c>
      <c r="AL74" s="20">
        <f t="shared" si="58"/>
        <v>499.20083687929633</v>
      </c>
      <c r="AM74" s="59">
        <f t="shared" si="59"/>
        <v>792.53417021262965</v>
      </c>
      <c r="AN74" s="59">
        <f ca="1">AVERAGE(OFFSET($AM$3,0,0,'Données projet'!$E$10+1,1))-AVERAGE(OFFSET($H$3,0,0,'Données projet'!$E$10+1,1))</f>
        <v>324.30660429578262</v>
      </c>
      <c r="AO74" s="59">
        <f t="shared" si="90"/>
        <v>197.04549436738586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1.1168348993197361</v>
      </c>
      <c r="AW74" s="21">
        <f>EXP(-LN(2)/2)*AW73+(1-EXP(-LN(2)/2))/(LN(2)/2)*AQ74*AT74*VLOOKUP('Données projet'!$B$10,Paramètres!$A$1:$I$89,3,0)*0.475*44/12</f>
        <v>4.677516666515427E-6</v>
      </c>
      <c r="AX74" s="21">
        <f t="shared" si="60"/>
        <v>1.1168395768364026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17</v>
      </c>
      <c r="BD74" s="12">
        <f>IF('Données projet'!$A$88&gt;35,BD73+BC74-BL73,IF(A74&lt;'Données projet'!$A$88,$BA$205^A74,IF(A74='Données projet'!$A$88,'Données projet'!$B$88,BD73+BC74-BL73)))</f>
        <v>379.99999999999989</v>
      </c>
      <c r="BE74" s="13">
        <f>BD74*VLOOKUP('Données projet'!$B$11,Paramètres!$A$1:$I$89,3,0)*VLOOKUP('Données projet'!$B$11,Paramètres!$A$1:$I$89,5,0)</f>
        <v>177.83999999999995</v>
      </c>
      <c r="BF74" s="13">
        <f t="shared" si="91"/>
        <v>44.841288830609102</v>
      </c>
      <c r="BG74" s="20">
        <f t="shared" si="61"/>
        <v>387.83657804664409</v>
      </c>
      <c r="BH74" s="59">
        <f t="shared" si="62"/>
        <v>681.16991137997741</v>
      </c>
      <c r="BI74" s="59">
        <f ca="1">AVERAGE(OFFSET($BH$3,0,0,'Données projet'!$E$11+1,1))-AVERAGE(OFFSET($H$3,0,0,'Données projet'!$E$11+1,1))</f>
        <v>252.98248842635206</v>
      </c>
      <c r="BJ74" s="59">
        <f t="shared" si="92"/>
        <v>207.11938580878308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1.3916962032767097</v>
      </c>
      <c r="BQ74" s="21">
        <f>EXP(-LN(2)/25)*BQ73+(1-EXP(-LN(2)/25))/(LN(2)/25)*Calculateur!BL74*Calculateur!BN74*VLOOKUP('Données projet'!$B$11,Paramètres!$A$1:$I$89,3,0)*0.475*44/12</f>
        <v>2.5204765973242895</v>
      </c>
      <c r="BR74" s="21">
        <f>EXP(-LN(2)/2)*BR73+(1-EXP(-LN(2)/2))/(LN(2)/2)*BL74*BO74*VLOOKUP('Données projet'!$B$11,Paramètres!$A$1:$I$89,3,0)*0.475*44/12</f>
        <v>6.6303240423585673E-6</v>
      </c>
      <c r="BS74" s="22">
        <f t="shared" si="63"/>
        <v>3.9121794309250415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10.5</v>
      </c>
      <c r="BY74" s="12">
        <f>IF('Données projet'!$A$114&gt;35,BY73+BX74-CG73,IF(A74&lt;'Données projet'!$A$114,$BV$205^A74,IF(A74='Données projet'!$A$114,'Données projet'!$B$114,BY73+BX74-CG73)))</f>
        <v>576.49999999999943</v>
      </c>
      <c r="BZ74" s="13">
        <f>BY74*VLOOKUP('Données projet'!$B$12,Paramètres!$A$1:$I$89,3,0)*VLOOKUP('Données projet'!$B$12,Paramètres!$A$1:$I$89,5,0)</f>
        <v>344.74699999999973</v>
      </c>
      <c r="CA74" s="13">
        <f t="shared" si="93"/>
        <v>80.479913846021418</v>
      </c>
      <c r="CB74" s="20">
        <f t="shared" si="64"/>
        <v>740.60354161515352</v>
      </c>
      <c r="CC74" s="59">
        <f t="shared" si="65"/>
        <v>1033.9368749484868</v>
      </c>
      <c r="CD74" s="59">
        <f ca="1">AVERAGE(OFFSET($CC$3,0,0,'Données projet'!$E$12+1,1))-AVERAGE(OFFSET($H$3,0,0,'Données projet'!$E$12+1,1))</f>
        <v>392.08740055894992</v>
      </c>
      <c r="CE74" s="59">
        <f t="shared" si="94"/>
        <v>395.10797100415783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1.7751086450984386</v>
      </c>
      <c r="CL74" s="21">
        <f>EXP(-LN(2)/25)*CL73+(1-EXP(-LN(2)/25))/(LN(2)/25)*Calculateur!CG74*Calculateur!CI74*VLOOKUP('Données projet'!$B$12,Paramètres!$A$1:$I$89,3,0)*0.475*44/12</f>
        <v>8.3439023656435776</v>
      </c>
      <c r="CM74" s="21">
        <f>EXP(-LN(2)/2)*CM73+(1-EXP(-LN(2)/2))/(LN(2)/2)*CG74*CJ74*VLOOKUP('Données projet'!$B$12,Paramètres!$A$1:$I$89,3,0)*0.475*44/12</f>
        <v>2.3439941741947683E-5</v>
      </c>
      <c r="CN74" s="22">
        <f t="shared" si="66"/>
        <v>10.119034450683758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6.1</v>
      </c>
      <c r="N75" s="13">
        <f>IF('Données projet'!$A$36&gt;35,N74+M75-V74,IF(A75&lt;'Données projet'!$A$36,$K$205^A75,IF(A75='Données projet'!$A$36,'Données projet'!$B$36,N74+M75-V74)))</f>
        <v>233.20000000000019</v>
      </c>
      <c r="O75" s="13">
        <f>N75*VLOOKUP('Données projet'!$B$9,Paramètres!$A$1:$I$89,3,0)*VLOOKUP('Données projet'!$B$9,Paramètres!$A$1:$I$89,5,0)</f>
        <v>210.99936000000014</v>
      </c>
      <c r="P75" s="13">
        <f t="shared" si="87"/>
        <v>52.153910623486667</v>
      </c>
      <c r="Q75" s="20">
        <f t="shared" si="54"/>
        <v>458.32527966923953</v>
      </c>
      <c r="R75" s="59">
        <f t="shared" si="55"/>
        <v>751.65861300257279</v>
      </c>
      <c r="S75" s="59">
        <f ca="1">AVERAGE(OFFSET($R$3,0,0,'Données projet'!$E$9+1,1))-AVERAGE(OFFSET($H$3,0,0,'Données projet'!$E$9+1,1))</f>
        <v>282.32472952059817</v>
      </c>
      <c r="T75" s="59">
        <f t="shared" si="88"/>
        <v>172.32171001882176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0</v>
      </c>
      <c r="AA75" s="21">
        <f>EXP(-LN(2)/25)*AA74+(1-EXP(-LN(2)/25))/(LN(2)/25)*Calculateur!V75*Calculateur!X75*VLOOKUP('Données projet'!$B$9,Paramètres!$A$1:$I$89,3,0)*0.475*44/12</f>
        <v>0.9693093759296999</v>
      </c>
      <c r="AB75" s="21">
        <f>EXP(-LN(2)/2)*AB74+(1-EXP(-LN(2)/2))/(LN(2)/2)*V75*Y75*VLOOKUP('Données projet'!$B$9,Paramètres!$A$1:$I$89,3,0)*0.475*44/12</f>
        <v>2.9513110420362603E-6</v>
      </c>
      <c r="AC75" s="22">
        <f t="shared" si="57"/>
        <v>0.9693123272407419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6.1</v>
      </c>
      <c r="AI75" s="13">
        <f>IF('Données projet'!$A$62&gt;35,AI74+AH75-AQ74,IF(A75&lt;'Données projet'!$A$62,$AF$205^A75,IF(A75='Données projet'!$A$62,'Données projet'!$B$62,AI74+AH75-AQ74)))</f>
        <v>233.20000000000019</v>
      </c>
      <c r="AJ75" s="13">
        <f>AI75*VLOOKUP('Données projet'!$B$10,Paramètres!$A$1:$I$89,3,0)*VLOOKUP('Données projet'!$B$10,Paramètres!$A$1:$I$89,5,0)</f>
        <v>236.4648000000002</v>
      </c>
      <c r="AK75" s="13">
        <f t="shared" si="89"/>
        <v>57.678259313423474</v>
      </c>
      <c r="AL75" s="20">
        <f t="shared" si="58"/>
        <v>512.29916163754626</v>
      </c>
      <c r="AM75" s="59">
        <f t="shared" si="59"/>
        <v>805.63249497087963</v>
      </c>
      <c r="AN75" s="59">
        <f ca="1">AVERAGE(OFFSET($AM$3,0,0,'Données projet'!$E$10+1,1))-AVERAGE(OFFSET($H$3,0,0,'Données projet'!$E$10+1,1))</f>
        <v>324.30660429578262</v>
      </c>
      <c r="AO75" s="59">
        <f t="shared" si="90"/>
        <v>197.04549436738586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1.086294990266043</v>
      </c>
      <c r="AW75" s="21">
        <f>EXP(-LN(2)/2)*AW74+(1-EXP(-LN(2)/2))/(LN(2)/2)*AQ75*AT75*VLOOKUP('Données projet'!$B$10,Paramètres!$A$1:$I$89,3,0)*0.475*44/12</f>
        <v>3.3075037540061532E-6</v>
      </c>
      <c r="AX75" s="21">
        <f t="shared" si="60"/>
        <v>1.086298297769797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17</v>
      </c>
      <c r="BD75" s="12">
        <f>IF('Données projet'!$A$88&gt;35,BD74+BC75-BL74,IF(A75&lt;'Données projet'!$A$88,$BA$205^A75,IF(A75='Données projet'!$A$88,'Données projet'!$B$88,BD74+BC75-BL74)))</f>
        <v>396.99999999999989</v>
      </c>
      <c r="BE75" s="13">
        <f>BD75*VLOOKUP('Données projet'!$B$11,Paramètres!$A$1:$I$89,3,0)*VLOOKUP('Données projet'!$B$11,Paramètres!$A$1:$I$89,5,0)</f>
        <v>185.79599999999996</v>
      </c>
      <c r="BF75" s="13">
        <f t="shared" si="91"/>
        <v>46.60930127448345</v>
      </c>
      <c r="BG75" s="20">
        <f t="shared" si="61"/>
        <v>404.77256638639187</v>
      </c>
      <c r="BH75" s="59">
        <f t="shared" si="62"/>
        <v>698.10589971972513</v>
      </c>
      <c r="BI75" s="59">
        <f ca="1">AVERAGE(OFFSET($BH$3,0,0,'Données projet'!$E$11+1,1))-AVERAGE(OFFSET($H$3,0,0,'Données projet'!$E$11+1,1))</f>
        <v>252.98248842635206</v>
      </c>
      <c r="BJ75" s="59">
        <f t="shared" si="92"/>
        <v>207.11938580878308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1.3644058895813205</v>
      </c>
      <c r="BQ75" s="21">
        <f>EXP(-LN(2)/25)*BQ74+(1-EXP(-LN(2)/25))/(LN(2)/25)*Calculateur!BL75*Calculateur!BN75*VLOOKUP('Données projet'!$B$11,Paramètres!$A$1:$I$89,3,0)*0.475*44/12</f>
        <v>2.4515540322243532</v>
      </c>
      <c r="BR75" s="21">
        <f>EXP(-LN(2)/2)*BR74+(1-EXP(-LN(2)/2))/(LN(2)/2)*BL75*BO75*VLOOKUP('Données projet'!$B$11,Paramètres!$A$1:$I$89,3,0)*0.475*44/12</f>
        <v>4.6883470918159446E-6</v>
      </c>
      <c r="BS75" s="22">
        <f t="shared" si="63"/>
        <v>3.8159646101527658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10.5</v>
      </c>
      <c r="BY75" s="12">
        <f>IF('Données projet'!$A$114&gt;35,BY74+BX75-CG74,IF(A75&lt;'Données projet'!$A$114,$BV$205^A75,IF(A75='Données projet'!$A$114,'Données projet'!$B$114,BY74+BX75-CG74)))</f>
        <v>586.99999999999943</v>
      </c>
      <c r="BZ75" s="13">
        <f>BY75*VLOOKUP('Données projet'!$B$12,Paramètres!$A$1:$I$89,3,0)*VLOOKUP('Données projet'!$B$12,Paramètres!$A$1:$I$89,5,0)</f>
        <v>351.02599999999967</v>
      </c>
      <c r="CA75" s="13">
        <f t="shared" si="93"/>
        <v>81.773739289271361</v>
      </c>
      <c r="CB75" s="20">
        <f t="shared" si="64"/>
        <v>753.79287926214704</v>
      </c>
      <c r="CC75" s="59">
        <f t="shared" si="65"/>
        <v>1047.1262125954804</v>
      </c>
      <c r="CD75" s="59">
        <f ca="1">AVERAGE(OFFSET($CC$3,0,0,'Données projet'!$E$12+1,1))-AVERAGE(OFFSET($H$3,0,0,'Données projet'!$E$12+1,1))</f>
        <v>392.08740055894992</v>
      </c>
      <c r="CE75" s="59">
        <f t="shared" si="94"/>
        <v>395.10797100415783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1.7402998472774229</v>
      </c>
      <c r="CL75" s="21">
        <f>EXP(-LN(2)/25)*CL74+(1-EXP(-LN(2)/25))/(LN(2)/25)*Calculateur!CG75*Calculateur!CI75*VLOOKUP('Données projet'!$B$12,Paramètres!$A$1:$I$89,3,0)*0.475*44/12</f>
        <v>8.1157379166682979</v>
      </c>
      <c r="CM75" s="21">
        <f>EXP(-LN(2)/2)*CM74+(1-EXP(-LN(2)/2))/(LN(2)/2)*CG75*CJ75*VLOOKUP('Données projet'!$B$12,Paramètres!$A$1:$I$89,3,0)*0.475*44/12</f>
        <v>1.6574541756348821E-5</v>
      </c>
      <c r="CN75" s="22">
        <f t="shared" si="66"/>
        <v>9.8560543384874784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6.1</v>
      </c>
      <c r="N76" s="13">
        <f>IF('Données projet'!$A$36&gt;35,N75+M76-V75,IF(A76&lt;'Données projet'!$A$36,$K$205^A76,IF(A76='Données projet'!$A$36,'Données projet'!$B$36,N75+M76-V75)))</f>
        <v>239.30000000000018</v>
      </c>
      <c r="O76" s="13">
        <f>N76*VLOOKUP('Données projet'!$B$9,Paramètres!$A$1:$I$89,3,0)*VLOOKUP('Données projet'!$B$9,Paramètres!$A$1:$I$89,5,0)</f>
        <v>216.51864000000015</v>
      </c>
      <c r="P76" s="13">
        <f t="shared" si="87"/>
        <v>53.357528323079173</v>
      </c>
      <c r="Q76" s="20">
        <f t="shared" si="54"/>
        <v>470.03432649602973</v>
      </c>
      <c r="R76" s="59">
        <f t="shared" si="55"/>
        <v>763.36765982936299</v>
      </c>
      <c r="S76" s="59">
        <f ca="1">AVERAGE(OFFSET($R$3,0,0,'Données projet'!$E$9+1,1))-AVERAGE(OFFSET($H$3,0,0,'Données projet'!$E$9+1,1))</f>
        <v>282.32472952059817</v>
      </c>
      <c r="T76" s="59">
        <f t="shared" si="88"/>
        <v>172.32171001882176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0</v>
      </c>
      <c r="AA76" s="21">
        <f>EXP(-LN(2)/25)*AA75+(1-EXP(-LN(2)/25))/(LN(2)/25)*Calculateur!V76*Calculateur!X76*VLOOKUP('Données projet'!$B$9,Paramètres!$A$1:$I$89,3,0)*0.475*44/12</f>
        <v>0.94280356007113753</v>
      </c>
      <c r="AB76" s="21">
        <f>EXP(-LN(2)/2)*AB75+(1-EXP(-LN(2)/2))/(LN(2)/2)*V76*Y76*VLOOKUP('Données projet'!$B$9,Paramètres!$A$1:$I$89,3,0)*0.475*44/12</f>
        <v>2.0868920512145754E-6</v>
      </c>
      <c r="AC76" s="22">
        <f t="shared" si="57"/>
        <v>0.94280564696318869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6.1</v>
      </c>
      <c r="AI76" s="13">
        <f>IF('Données projet'!$A$62&gt;35,AI75+AH76-AQ75,IF(A76&lt;'Données projet'!$A$62,$AF$205^A76,IF(A76='Données projet'!$A$62,'Données projet'!$B$62,AI75+AH76-AQ75)))</f>
        <v>239.30000000000018</v>
      </c>
      <c r="AJ76" s="13">
        <f>AI76*VLOOKUP('Données projet'!$B$10,Paramètres!$A$1:$I$89,3,0)*VLOOKUP('Données projet'!$B$10,Paramètres!$A$1:$I$89,5,0)</f>
        <v>242.65020000000021</v>
      </c>
      <c r="AK76" s="13">
        <f t="shared" si="89"/>
        <v>59.009368964864635</v>
      </c>
      <c r="AL76" s="20">
        <f t="shared" si="58"/>
        <v>525.39041594713956</v>
      </c>
      <c r="AM76" s="59">
        <f t="shared" si="59"/>
        <v>818.72374928047293</v>
      </c>
      <c r="AN76" s="59">
        <f ca="1">AVERAGE(OFFSET($AM$3,0,0,'Données projet'!$E$10+1,1))-AVERAGE(OFFSET($H$3,0,0,'Données projet'!$E$10+1,1))</f>
        <v>324.30660429578262</v>
      </c>
      <c r="AO76" s="59">
        <f t="shared" si="90"/>
        <v>197.04549436738586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1.0565901966314473</v>
      </c>
      <c r="AW76" s="21">
        <f>EXP(-LN(2)/2)*AW75+(1-EXP(-LN(2)/2))/(LN(2)/2)*AQ76*AT76*VLOOKUP('Données projet'!$B$10,Paramètres!$A$1:$I$89,3,0)*0.475*44/12</f>
        <v>2.3387583332577135E-6</v>
      </c>
      <c r="AX76" s="21">
        <f t="shared" si="60"/>
        <v>1.0565925353897805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17</v>
      </c>
      <c r="BD76" s="12">
        <f>IF('Données projet'!$A$88&gt;35,BD75+BC76-BL75,IF(A76&lt;'Données projet'!$A$88,$BA$205^A76,IF(A76='Données projet'!$A$88,'Données projet'!$B$88,BD75+BC76-BL75)))</f>
        <v>413.99999999999989</v>
      </c>
      <c r="BE76" s="13">
        <f>BD76*VLOOKUP('Données projet'!$B$11,Paramètres!$A$1:$I$89,3,0)*VLOOKUP('Données projet'!$B$11,Paramètres!$A$1:$I$89,5,0)</f>
        <v>193.75199999999995</v>
      </c>
      <c r="BF76" s="13">
        <f t="shared" si="91"/>
        <v>48.36852035537607</v>
      </c>
      <c r="BG76" s="20">
        <f t="shared" si="61"/>
        <v>421.69323961894656</v>
      </c>
      <c r="BH76" s="59">
        <f t="shared" si="62"/>
        <v>715.02657295227982</v>
      </c>
      <c r="BI76" s="59">
        <f ca="1">AVERAGE(OFFSET($BH$3,0,0,'Données projet'!$E$11+1,1))-AVERAGE(OFFSET($H$3,0,0,'Données projet'!$E$11+1,1))</f>
        <v>252.98248842635206</v>
      </c>
      <c r="BJ76" s="59">
        <f t="shared" si="92"/>
        <v>207.11938580878308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1.33765072229205</v>
      </c>
      <c r="BQ76" s="21">
        <f>EXP(-LN(2)/25)*BQ75+(1-EXP(-LN(2)/25))/(LN(2)/25)*Calculateur!BL76*Calculateur!BN76*VLOOKUP('Données projet'!$B$11,Paramètres!$A$1:$I$89,3,0)*0.475*44/12</f>
        <v>2.3845161582915546</v>
      </c>
      <c r="BR76" s="21">
        <f>EXP(-LN(2)/2)*BR75+(1-EXP(-LN(2)/2))/(LN(2)/2)*BL76*BO76*VLOOKUP('Données projet'!$B$11,Paramètres!$A$1:$I$89,3,0)*0.475*44/12</f>
        <v>3.3151620211792836E-6</v>
      </c>
      <c r="BS76" s="22">
        <f t="shared" si="63"/>
        <v>3.7221701957456261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10.5</v>
      </c>
      <c r="BY76" s="12">
        <f>IF('Données projet'!$A$114&gt;35,BY75+BX76-CG75,IF(A76&lt;'Données projet'!$A$114,$BV$205^A76,IF(A76='Données projet'!$A$114,'Données projet'!$B$114,BY75+BX76-CG75)))</f>
        <v>597.49999999999943</v>
      </c>
      <c r="BZ76" s="13">
        <f>BY76*VLOOKUP('Données projet'!$B$12,Paramètres!$A$1:$I$89,3,0)*VLOOKUP('Données projet'!$B$12,Paramètres!$A$1:$I$89,5,0)</f>
        <v>357.30499999999967</v>
      </c>
      <c r="CA76" s="13">
        <f t="shared" si="93"/>
        <v>83.064873493297938</v>
      </c>
      <c r="CB76" s="20">
        <f t="shared" si="64"/>
        <v>766.9775296674934</v>
      </c>
      <c r="CC76" s="59">
        <f t="shared" si="65"/>
        <v>1060.3108630008267</v>
      </c>
      <c r="CD76" s="59">
        <f ca="1">AVERAGE(OFFSET($CC$3,0,0,'Données projet'!$E$12+1,1))-AVERAGE(OFFSET($H$3,0,0,'Données projet'!$E$12+1,1))</f>
        <v>392.08740055894992</v>
      </c>
      <c r="CE76" s="59">
        <f t="shared" si="94"/>
        <v>395.10797100415783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1.7061736287504072</v>
      </c>
      <c r="CL76" s="21">
        <f>EXP(-LN(2)/25)*CL75+(1-EXP(-LN(2)/25))/(LN(2)/25)*Calculateur!CG76*Calculateur!CI76*VLOOKUP('Données projet'!$B$12,Paramètres!$A$1:$I$89,3,0)*0.475*44/12</f>
        <v>7.893812636548895</v>
      </c>
      <c r="CM76" s="21">
        <f>EXP(-LN(2)/2)*CM75+(1-EXP(-LN(2)/2))/(LN(2)/2)*CG76*CJ76*VLOOKUP('Données projet'!$B$12,Paramètres!$A$1:$I$89,3,0)*0.475*44/12</f>
        <v>1.1719970870973841E-5</v>
      </c>
      <c r="CN76" s="22">
        <f t="shared" si="66"/>
        <v>9.5999979852701731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6.1</v>
      </c>
      <c r="N77" s="13">
        <f>IF('Données projet'!$A$36&gt;35,N76+M77-V76,IF(A77&lt;'Données projet'!$A$36,$K$205^A77,IF(A77='Données projet'!$A$36,'Données projet'!$B$36,N76+M77-V76)))</f>
        <v>245.40000000000018</v>
      </c>
      <c r="O77" s="13">
        <f>N77*VLOOKUP('Données projet'!$B$9,Paramètres!$A$1:$I$89,3,0)*VLOOKUP('Données projet'!$B$9,Paramètres!$A$1:$I$89,5,0)</f>
        <v>222.03792000000013</v>
      </c>
      <c r="P77" s="13">
        <f t="shared" si="87"/>
        <v>54.5575795882731</v>
      </c>
      <c r="Q77" s="20">
        <f t="shared" si="54"/>
        <v>481.7371617829092</v>
      </c>
      <c r="R77" s="59">
        <f t="shared" si="55"/>
        <v>775.07049511624245</v>
      </c>
      <c r="S77" s="59">
        <f ca="1">AVERAGE(OFFSET($R$3,0,0,'Données projet'!$E$9+1,1))-AVERAGE(OFFSET($H$3,0,0,'Données projet'!$E$9+1,1))</f>
        <v>282.32472952059817</v>
      </c>
      <c r="T77" s="59">
        <f t="shared" si="88"/>
        <v>172.32171001882176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0</v>
      </c>
      <c r="AA77" s="21">
        <f>EXP(-LN(2)/25)*AA76+(1-EXP(-LN(2)/25))/(LN(2)/25)*Calculateur!V77*Calculateur!X77*VLOOKUP('Données projet'!$B$9,Paramètres!$A$1:$I$89,3,0)*0.475*44/12</f>
        <v>0.91702254714110787</v>
      </c>
      <c r="AB77" s="21">
        <f>EXP(-LN(2)/2)*AB76+(1-EXP(-LN(2)/2))/(LN(2)/2)*V77*Y77*VLOOKUP('Données projet'!$B$9,Paramètres!$A$1:$I$89,3,0)*0.475*44/12</f>
        <v>1.4756555210181301E-6</v>
      </c>
      <c r="AC77" s="22">
        <f t="shared" si="57"/>
        <v>0.91702402279662887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6.1</v>
      </c>
      <c r="AI77" s="13">
        <f>IF('Données projet'!$A$62&gt;35,AI76+AH77-AQ76,IF(A77&lt;'Données projet'!$A$62,$AF$205^A77,IF(A77='Données projet'!$A$62,'Données projet'!$B$62,AI76+AH77-AQ76)))</f>
        <v>245.40000000000018</v>
      </c>
      <c r="AJ77" s="13">
        <f>AI77*VLOOKUP('Données projet'!$B$10,Paramètres!$A$1:$I$89,3,0)*VLOOKUP('Données projet'!$B$10,Paramètres!$A$1:$I$89,5,0)</f>
        <v>248.83560000000023</v>
      </c>
      <c r="AK77" s="13">
        <f t="shared" si="89"/>
        <v>60.336534411056299</v>
      </c>
      <c r="AL77" s="20">
        <f t="shared" si="58"/>
        <v>538.47480076592342</v>
      </c>
      <c r="AM77" s="59">
        <f t="shared" si="59"/>
        <v>831.80813409925668</v>
      </c>
      <c r="AN77" s="59">
        <f ca="1">AVERAGE(OFFSET($AM$3,0,0,'Données projet'!$E$10+1,1))-AVERAGE(OFFSET($H$3,0,0,'Données projet'!$E$10+1,1))</f>
        <v>324.30660429578262</v>
      </c>
      <c r="AO77" s="59">
        <f t="shared" si="90"/>
        <v>197.04549436738586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1.0276976821408967</v>
      </c>
      <c r="AW77" s="21">
        <f>EXP(-LN(2)/2)*AW76+(1-EXP(-LN(2)/2))/(LN(2)/2)*AQ77*AT77*VLOOKUP('Données projet'!$B$10,Paramètres!$A$1:$I$89,3,0)*0.475*44/12</f>
        <v>1.6537518770030766E-6</v>
      </c>
      <c r="AX77" s="21">
        <f t="shared" si="60"/>
        <v>1.0276993358927737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17</v>
      </c>
      <c r="BD77" s="12">
        <f>IF('Données projet'!$A$88&gt;35,BD76+BC77-BL76,IF(A77&lt;'Données projet'!$A$88,$BA$205^A77,IF(A77='Données projet'!$A$88,'Données projet'!$B$88,BD76+BC77-BL76)))</f>
        <v>430.99999999999989</v>
      </c>
      <c r="BE77" s="13">
        <f>BD77*VLOOKUP('Données projet'!$B$11,Paramètres!$A$1:$I$89,3,0)*VLOOKUP('Données projet'!$B$11,Paramètres!$A$1:$I$89,5,0)</f>
        <v>201.70799999999994</v>
      </c>
      <c r="BF77" s="13">
        <f t="shared" si="91"/>
        <v>50.119348451854243</v>
      </c>
      <c r="BG77" s="20">
        <f t="shared" si="61"/>
        <v>438.59929855364607</v>
      </c>
      <c r="BH77" s="59">
        <f t="shared" si="62"/>
        <v>731.93263188697938</v>
      </c>
      <c r="BI77" s="59">
        <f ca="1">AVERAGE(OFFSET($BH$3,0,0,'Données projet'!$E$11+1,1))-AVERAGE(OFFSET($H$3,0,0,'Données projet'!$E$11+1,1))</f>
        <v>252.98248842635206</v>
      </c>
      <c r="BJ77" s="59">
        <f t="shared" si="92"/>
        <v>207.11938580878308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1.3114202075142813</v>
      </c>
      <c r="BQ77" s="21">
        <f>EXP(-LN(2)/25)*BQ76+(1-EXP(-LN(2)/25))/(LN(2)/25)*Calculateur!BL77*Calculateur!BN77*VLOOKUP('Données projet'!$B$11,Paramètres!$A$1:$I$89,3,0)*0.475*44/12</f>
        <v>2.319311438546817</v>
      </c>
      <c r="BR77" s="21">
        <f>EXP(-LN(2)/2)*BR76+(1-EXP(-LN(2)/2))/(LN(2)/2)*BL77*BO77*VLOOKUP('Données projet'!$B$11,Paramètres!$A$1:$I$89,3,0)*0.475*44/12</f>
        <v>2.3441735459079723E-6</v>
      </c>
      <c r="BS77" s="22">
        <f t="shared" si="63"/>
        <v>3.6307339902346443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10.5</v>
      </c>
      <c r="BY77" s="12">
        <f>IF('Données projet'!$A$114&gt;35,BY76+BX77-CG76,IF(A77&lt;'Données projet'!$A$114,$BV$205^A77,IF(A77='Données projet'!$A$114,'Données projet'!$B$114,BY76+BX77-CG76)))</f>
        <v>607.99999999999943</v>
      </c>
      <c r="BZ77" s="13">
        <f>BY77*VLOOKUP('Données projet'!$B$12,Paramètres!$A$1:$I$89,3,0)*VLOOKUP('Données projet'!$B$12,Paramètres!$A$1:$I$89,5,0)</f>
        <v>363.58399999999966</v>
      </c>
      <c r="CA77" s="13">
        <f t="shared" si="93"/>
        <v>84.353369208346209</v>
      </c>
      <c r="CB77" s="20">
        <f t="shared" si="64"/>
        <v>780.15758470453568</v>
      </c>
      <c r="CC77" s="59">
        <f t="shared" si="65"/>
        <v>1073.4909180378691</v>
      </c>
      <c r="CD77" s="59">
        <f ca="1">AVERAGE(OFFSET($CC$3,0,0,'Données projet'!$E$12+1,1))-AVERAGE(OFFSET($H$3,0,0,'Données projet'!$E$12+1,1))</f>
        <v>392.08740055894992</v>
      </c>
      <c r="CE77" s="59">
        <f t="shared" si="94"/>
        <v>395.10797100415783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1.6727166045537682</v>
      </c>
      <c r="CL77" s="21">
        <f>EXP(-LN(2)/25)*CL76+(1-EXP(-LN(2)/25))/(LN(2)/25)*Calculateur!CG77*Calculateur!CI77*VLOOKUP('Données projet'!$B$12,Paramètres!$A$1:$I$89,3,0)*0.475*44/12</f>
        <v>7.6779559148849001</v>
      </c>
      <c r="CM77" s="21">
        <f>EXP(-LN(2)/2)*CM76+(1-EXP(-LN(2)/2))/(LN(2)/2)*CG77*CJ77*VLOOKUP('Données projet'!$B$12,Paramètres!$A$1:$I$89,3,0)*0.475*44/12</f>
        <v>8.2872708781744107E-6</v>
      </c>
      <c r="CN77" s="22">
        <f t="shared" si="66"/>
        <v>9.3506808067095459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6.1</v>
      </c>
      <c r="N78" s="13">
        <f>IF('Données projet'!$A$36&gt;35,N77+M78-V77,IF(A78&lt;'Données projet'!$A$36,$K$205^A78,IF(A78='Données projet'!$A$36,'Données projet'!$B$36,N77+M78-V77)))</f>
        <v>251.50000000000017</v>
      </c>
      <c r="O78" s="13">
        <f>N78*VLOOKUP('Données projet'!$B$9,Paramètres!$A$1:$I$89,3,0)*VLOOKUP('Données projet'!$B$9,Paramètres!$A$1:$I$89,5,0)</f>
        <v>227.55720000000014</v>
      </c>
      <c r="P78" s="13">
        <f t="shared" si="87"/>
        <v>55.754163267932753</v>
      </c>
      <c r="Q78" s="20">
        <f t="shared" si="54"/>
        <v>493.43395769164982</v>
      </c>
      <c r="R78" s="59">
        <f t="shared" si="55"/>
        <v>786.76729102498314</v>
      </c>
      <c r="S78" s="59">
        <f ca="1">AVERAGE(OFFSET($R$3,0,0,'Données projet'!$E$9+1,1))-AVERAGE(OFFSET($H$3,0,0,'Données projet'!$E$9+1,1))</f>
        <v>282.32472952059817</v>
      </c>
      <c r="T78" s="59">
        <f t="shared" si="88"/>
        <v>172.32171001882176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0</v>
      </c>
      <c r="AA78" s="21">
        <f>EXP(-LN(2)/25)*AA77+(1-EXP(-LN(2)/25))/(LN(2)/25)*Calculateur!V78*Calculateur!X78*VLOOKUP('Données projet'!$B$9,Paramètres!$A$1:$I$89,3,0)*0.475*44/12</f>
        <v>0.89194651736541442</v>
      </c>
      <c r="AB78" s="21">
        <f>EXP(-LN(2)/2)*AB77+(1-EXP(-LN(2)/2))/(LN(2)/2)*V78*Y78*VLOOKUP('Données projet'!$B$9,Paramètres!$A$1:$I$89,3,0)*0.475*44/12</f>
        <v>1.0434460256072877E-6</v>
      </c>
      <c r="AC78" s="22">
        <f t="shared" si="57"/>
        <v>0.89194756081144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6.1</v>
      </c>
      <c r="AI78" s="13">
        <f>IF('Données projet'!$A$62&gt;35,AI77+AH78-AQ77,IF(A78&lt;'Données projet'!$A$62,$AF$205^A78,IF(A78='Données projet'!$A$62,'Données projet'!$B$62,AI77+AH78-AQ77)))</f>
        <v>251.50000000000017</v>
      </c>
      <c r="AJ78" s="13">
        <f>AI78*VLOOKUP('Données projet'!$B$10,Paramètres!$A$1:$I$89,3,0)*VLOOKUP('Données projet'!$B$10,Paramètres!$A$1:$I$89,5,0)</f>
        <v>255.02100000000019</v>
      </c>
      <c r="AK78" s="13">
        <f t="shared" si="89"/>
        <v>61.659864971325668</v>
      </c>
      <c r="AL78" s="20">
        <f t="shared" si="58"/>
        <v>551.55250649172569</v>
      </c>
      <c r="AM78" s="59">
        <f t="shared" si="59"/>
        <v>844.88583982505907</v>
      </c>
      <c r="AN78" s="59">
        <f ca="1">AVERAGE(OFFSET($AM$3,0,0,'Données projet'!$E$10+1,1))-AVERAGE(OFFSET($H$3,0,0,'Données projet'!$E$10+1,1))</f>
        <v>324.30660429578262</v>
      </c>
      <c r="AO78" s="59">
        <f t="shared" si="90"/>
        <v>197.04549436738586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0.99959523497848168</v>
      </c>
      <c r="AW78" s="21">
        <f>EXP(-LN(2)/2)*AW77+(1-EXP(-LN(2)/2))/(LN(2)/2)*AQ78*AT78*VLOOKUP('Données projet'!$B$10,Paramètres!$A$1:$I$89,3,0)*0.475*44/12</f>
        <v>1.1693791666288567E-6</v>
      </c>
      <c r="AX78" s="21">
        <f t="shared" si="60"/>
        <v>0.99959640435764829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17</v>
      </c>
      <c r="BD78" s="12">
        <f>IF('Données projet'!$A$88&gt;35,BD77+BC78-BL77,IF(A78&lt;'Données projet'!$A$88,$BA$205^A78,IF(A78='Données projet'!$A$88,'Données projet'!$B$88,BD77+BC78-BL77)))</f>
        <v>447.99999999999989</v>
      </c>
      <c r="BE78" s="13">
        <f>BD78*VLOOKUP('Données projet'!$B$11,Paramètres!$A$1:$I$89,3,0)*VLOOKUP('Données projet'!$B$11,Paramètres!$A$1:$I$89,5,0)</f>
        <v>209.66399999999993</v>
      </c>
      <c r="BF78" s="13">
        <f t="shared" si="91"/>
        <v>51.862154403304487</v>
      </c>
      <c r="BG78" s="20">
        <f t="shared" si="61"/>
        <v>455.49138558575515</v>
      </c>
      <c r="BH78" s="59">
        <f t="shared" si="62"/>
        <v>748.82471891908847</v>
      </c>
      <c r="BI78" s="59">
        <f ca="1">AVERAGE(OFFSET($BH$3,0,0,'Données projet'!$E$11+1,1))-AVERAGE(OFFSET($H$3,0,0,'Données projet'!$E$11+1,1))</f>
        <v>252.98248842635206</v>
      </c>
      <c r="BJ78" s="59">
        <f t="shared" si="92"/>
        <v>207.11938580878308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1.2857040571322707</v>
      </c>
      <c r="BQ78" s="21">
        <f>EXP(-LN(2)/25)*BQ77+(1-EXP(-LN(2)/25))/(LN(2)/25)*Calculateur!BL78*Calculateur!BN78*VLOOKUP('Données projet'!$B$11,Paramètres!$A$1:$I$89,3,0)*0.475*44/12</f>
        <v>2.2558897452924667</v>
      </c>
      <c r="BR78" s="21">
        <f>EXP(-LN(2)/2)*BR77+(1-EXP(-LN(2)/2))/(LN(2)/2)*BL78*BO78*VLOOKUP('Données projet'!$B$11,Paramètres!$A$1:$I$89,3,0)*0.475*44/12</f>
        <v>1.6575810105896418E-6</v>
      </c>
      <c r="BS78" s="22">
        <f t="shared" si="63"/>
        <v>3.5415954600057478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10.5</v>
      </c>
      <c r="BY78" s="12">
        <f>IF('Données projet'!$A$114&gt;35,BY77+BX78-CG77,IF(A78&lt;'Données projet'!$A$114,$BV$205^A78,IF(A78='Données projet'!$A$114,'Données projet'!$B$114,BY77+BX78-CG77)))</f>
        <v>618.49999999999943</v>
      </c>
      <c r="BZ78" s="13">
        <f>BY78*VLOOKUP('Données projet'!$B$12,Paramètres!$A$1:$I$89,3,0)*VLOOKUP('Données projet'!$B$12,Paramètres!$A$1:$I$89,5,0)</f>
        <v>369.86299999999972</v>
      </c>
      <c r="CA78" s="13">
        <f t="shared" si="93"/>
        <v>85.639277258307303</v>
      </c>
      <c r="CB78" s="20">
        <f t="shared" si="64"/>
        <v>793.33313289155137</v>
      </c>
      <c r="CC78" s="59">
        <f t="shared" si="65"/>
        <v>1086.6664662248847</v>
      </c>
      <c r="CD78" s="59">
        <f ca="1">AVERAGE(OFFSET($CC$3,0,0,'Données projet'!$E$12+1,1))-AVERAGE(OFFSET($H$3,0,0,'Données projet'!$E$12+1,1))</f>
        <v>392.08740055894992</v>
      </c>
      <c r="CE78" s="59">
        <f t="shared" si="94"/>
        <v>395.10797100415783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1.6399156521948557</v>
      </c>
      <c r="CL78" s="21">
        <f>EXP(-LN(2)/25)*CL77+(1-EXP(-LN(2)/25))/(LN(2)/25)*Calculateur!CG78*Calculateur!CI78*VLOOKUP('Données projet'!$B$12,Paramètres!$A$1:$I$89,3,0)*0.475*44/12</f>
        <v>7.4680018066262193</v>
      </c>
      <c r="CM78" s="21">
        <f>EXP(-LN(2)/2)*CM77+(1-EXP(-LN(2)/2))/(LN(2)/2)*CG78*CJ78*VLOOKUP('Données projet'!$B$12,Paramètres!$A$1:$I$89,3,0)*0.475*44/12</f>
        <v>5.8599854354869207E-6</v>
      </c>
      <c r="CN78" s="22">
        <f t="shared" si="66"/>
        <v>9.1079233188065096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6.1</v>
      </c>
      <c r="N79" s="13">
        <f>IF('Données projet'!$A$36&gt;35,N78+M79-V78,IF(A79&lt;'Données projet'!$A$36,$K$205^A79,IF(A79='Données projet'!$A$36,'Données projet'!$B$36,N78+M79-V78)))</f>
        <v>257.60000000000019</v>
      </c>
      <c r="O79" s="13">
        <f>N79*VLOOKUP('Données projet'!$B$9,Paramètres!$A$1:$I$89,3,0)*VLOOKUP('Données projet'!$B$9,Paramètres!$A$1:$I$89,5,0)</f>
        <v>233.07648000000017</v>
      </c>
      <c r="P79" s="13">
        <f t="shared" si="87"/>
        <v>56.947373142454929</v>
      </c>
      <c r="Q79" s="20">
        <f t="shared" si="54"/>
        <v>505.12487755644264</v>
      </c>
      <c r="R79" s="59">
        <f t="shared" si="55"/>
        <v>798.45821088977596</v>
      </c>
      <c r="S79" s="59">
        <f ca="1">AVERAGE(OFFSET($R$3,0,0,'Données projet'!$E$9+1,1))-AVERAGE(OFFSET($H$3,0,0,'Données projet'!$E$9+1,1))</f>
        <v>282.32472952059817</v>
      </c>
      <c r="T79" s="59">
        <f t="shared" si="88"/>
        <v>172.32171001882176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0</v>
      </c>
      <c r="AA79" s="21">
        <f>EXP(-LN(2)/25)*AA78+(1-EXP(-LN(2)/25))/(LN(2)/25)*Calculateur!V79*Calculateur!X79*VLOOKUP('Données projet'!$B$9,Paramètres!$A$1:$I$89,3,0)*0.475*44/12</f>
        <v>0.86755619294262842</v>
      </c>
      <c r="AB79" s="21">
        <f>EXP(-LN(2)/2)*AB78+(1-EXP(-LN(2)/2))/(LN(2)/2)*V79*Y79*VLOOKUP('Données projet'!$B$9,Paramètres!$A$1:$I$89,3,0)*0.475*44/12</f>
        <v>7.3782776050906506E-7</v>
      </c>
      <c r="AC79" s="22">
        <f t="shared" si="57"/>
        <v>0.86755693077038898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6.1</v>
      </c>
      <c r="AI79" s="13">
        <f>IF('Données projet'!$A$62&gt;35,AI78+AH79-AQ78,IF(A79&lt;'Données projet'!$A$62,$AF$205^A79,IF(A79='Données projet'!$A$62,'Données projet'!$B$62,AI78+AH79-AQ78)))</f>
        <v>257.60000000000019</v>
      </c>
      <c r="AJ79" s="13">
        <f>AI79*VLOOKUP('Données projet'!$B$10,Paramètres!$A$1:$I$89,3,0)*VLOOKUP('Données projet'!$B$10,Paramètres!$A$1:$I$89,5,0)</f>
        <v>261.2064000000002</v>
      </c>
      <c r="AK79" s="13">
        <f t="shared" si="89"/>
        <v>62.979464359660597</v>
      </c>
      <c r="AL79" s="20">
        <f t="shared" si="58"/>
        <v>564.6237137597426</v>
      </c>
      <c r="AM79" s="59">
        <f t="shared" si="59"/>
        <v>857.95704709307597</v>
      </c>
      <c r="AN79" s="59">
        <f ca="1">AVERAGE(OFFSET($AM$3,0,0,'Données projet'!$E$10+1,1))-AVERAGE(OFFSET($H$3,0,0,'Données projet'!$E$10+1,1))</f>
        <v>324.30660429578262</v>
      </c>
      <c r="AO79" s="59">
        <f t="shared" si="90"/>
        <v>197.04549436738586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0.97226125071156633</v>
      </c>
      <c r="AW79" s="21">
        <f>EXP(-LN(2)/2)*AW78+(1-EXP(-LN(2)/2))/(LN(2)/2)*AQ79*AT79*VLOOKUP('Données projet'!$B$10,Paramètres!$A$1:$I$89,3,0)*0.475*44/12</f>
        <v>8.2687593850153831E-7</v>
      </c>
      <c r="AX79" s="21">
        <f t="shared" si="60"/>
        <v>0.97226207758750482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17</v>
      </c>
      <c r="BD79" s="12">
        <f>IF('Données projet'!$A$88&gt;35,BD78+BC79-BL78,IF(A79&lt;'Données projet'!$A$88,$BA$205^A79,IF(A79='Données projet'!$A$88,'Données projet'!$B$88,BD78+BC79-BL78)))</f>
        <v>464.99999999999989</v>
      </c>
      <c r="BE79" s="13">
        <f>BD79*VLOOKUP('Données projet'!$B$11,Paramètres!$A$1:$I$89,3,0)*VLOOKUP('Données projet'!$B$11,Paramètres!$A$1:$I$89,5,0)</f>
        <v>217.61999999999995</v>
      </c>
      <c r="BF79" s="13">
        <f t="shared" si="91"/>
        <v>53.597277471320098</v>
      </c>
      <c r="BG79" s="20">
        <f t="shared" si="61"/>
        <v>472.37009159588234</v>
      </c>
      <c r="BH79" s="59">
        <f t="shared" si="62"/>
        <v>765.70342492921566</v>
      </c>
      <c r="BI79" s="59">
        <f ca="1">AVERAGE(OFFSET($BH$3,0,0,'Données projet'!$E$11+1,1))-AVERAGE(OFFSET($H$3,0,0,'Données projet'!$E$11+1,1))</f>
        <v>252.98248842635206</v>
      </c>
      <c r="BJ79" s="59">
        <f t="shared" si="92"/>
        <v>207.11938580878308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1.2604921847739481</v>
      </c>
      <c r="BQ79" s="21">
        <f>EXP(-LN(2)/25)*BQ78+(1-EXP(-LN(2)/25))/(LN(2)/25)*Calculateur!BL79*Calculateur!BN79*VLOOKUP('Données projet'!$B$11,Paramètres!$A$1:$I$89,3,0)*0.475*44/12</f>
        <v>2.1942023215753585</v>
      </c>
      <c r="BR79" s="21">
        <f>EXP(-LN(2)/2)*BR78+(1-EXP(-LN(2)/2))/(LN(2)/2)*BL79*BO79*VLOOKUP('Données projet'!$B$11,Paramètres!$A$1:$I$89,3,0)*0.475*44/12</f>
        <v>1.1720867729539862E-6</v>
      </c>
      <c r="BS79" s="22">
        <f t="shared" si="63"/>
        <v>3.4546956784360794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10.5</v>
      </c>
      <c r="BY79" s="12">
        <f>IF('Données projet'!$A$114&gt;35,BY78+BX79-CG78,IF(A79&lt;'Données projet'!$A$114,$BV$205^A79,IF(A79='Données projet'!$A$114,'Données projet'!$B$114,BY78+BX79-CG78)))</f>
        <v>628.99999999999943</v>
      </c>
      <c r="BZ79" s="13">
        <f>BY79*VLOOKUP('Données projet'!$B$12,Paramètres!$A$1:$I$89,3,0)*VLOOKUP('Données projet'!$B$12,Paramètres!$A$1:$I$89,5,0)</f>
        <v>376.14199999999971</v>
      </c>
      <c r="CA79" s="13">
        <f t="shared" si="93"/>
        <v>86.922646642552508</v>
      </c>
      <c r="CB79" s="20">
        <f t="shared" si="64"/>
        <v>806.5042595691117</v>
      </c>
      <c r="CC79" s="59">
        <f t="shared" si="65"/>
        <v>1099.8375929024451</v>
      </c>
      <c r="CD79" s="59">
        <f ca="1">AVERAGE(OFFSET($CC$3,0,0,'Données projet'!$E$12+1,1))-AVERAGE(OFFSET($H$3,0,0,'Données projet'!$E$12+1,1))</f>
        <v>392.08740055894992</v>
      </c>
      <c r="CE79" s="59">
        <f t="shared" si="94"/>
        <v>395.10797100415783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1.607757906505096</v>
      </c>
      <c r="CL79" s="21">
        <f>EXP(-LN(2)/25)*CL78+(1-EXP(-LN(2)/25))/(LN(2)/25)*Calculateur!CG79*Calculateur!CI79*VLOOKUP('Données projet'!$B$12,Paramètres!$A$1:$I$89,3,0)*0.475*44/12</f>
        <v>7.2637889044988784</v>
      </c>
      <c r="CM79" s="21">
        <f>EXP(-LN(2)/2)*CM78+(1-EXP(-LN(2)/2))/(LN(2)/2)*CG79*CJ79*VLOOKUP('Données projet'!$B$12,Paramètres!$A$1:$I$89,3,0)*0.475*44/12</f>
        <v>4.1436354390872054E-6</v>
      </c>
      <c r="CN79" s="22">
        <f t="shared" si="66"/>
        <v>8.871550954639412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6.1</v>
      </c>
      <c r="N80" s="13">
        <f>IF('Données projet'!$A$36&gt;35,N79+M80-V79,IF(A80&lt;'Données projet'!$A$36,$K$205^A80,IF(A80='Données projet'!$A$36,'Données projet'!$B$36,N79+M80-V79)))</f>
        <v>263.70000000000022</v>
      </c>
      <c r="O80" s="13">
        <f>N80*VLOOKUP('Données projet'!$B$9,Paramètres!$A$1:$I$89,3,0)*VLOOKUP('Données projet'!$B$9,Paramètres!$A$1:$I$89,5,0)</f>
        <v>238.59576000000018</v>
      </c>
      <c r="P80" s="13">
        <f t="shared" si="87"/>
        <v>58.137298297430824</v>
      </c>
      <c r="Q80" s="20">
        <f t="shared" si="54"/>
        <v>516.81007653469237</v>
      </c>
      <c r="R80" s="59">
        <f t="shared" si="55"/>
        <v>810.14340986802563</v>
      </c>
      <c r="S80" s="59">
        <f ca="1">AVERAGE(OFFSET($R$3,0,0,'Données projet'!$E$9+1,1))-AVERAGE(OFFSET($H$3,0,0,'Données projet'!$E$9+1,1))</f>
        <v>282.32472952059817</v>
      </c>
      <c r="T80" s="59">
        <f t="shared" si="88"/>
        <v>172.32171001882176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0</v>
      </c>
      <c r="AA80" s="21">
        <f>EXP(-LN(2)/25)*AA79+(1-EXP(-LN(2)/25))/(LN(2)/25)*Calculateur!V80*Calculateur!X80*VLOOKUP('Données projet'!$B$9,Paramètres!$A$1:$I$89,3,0)*0.475*44/12</f>
        <v>0.84383282322381492</v>
      </c>
      <c r="AB80" s="21">
        <f>EXP(-LN(2)/2)*AB79+(1-EXP(-LN(2)/2))/(LN(2)/2)*V80*Y80*VLOOKUP('Données projet'!$B$9,Paramètres!$A$1:$I$89,3,0)*0.475*44/12</f>
        <v>5.2172301280364385E-7</v>
      </c>
      <c r="AC80" s="22">
        <f t="shared" si="57"/>
        <v>0.84383334494682771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6.1</v>
      </c>
      <c r="AI80" s="13">
        <f>IF('Données projet'!$A$62&gt;35,AI79+AH80-AQ79,IF(A80&lt;'Données projet'!$A$62,$AF$205^A80,IF(A80='Données projet'!$A$62,'Données projet'!$B$62,AI79+AH80-AQ79)))</f>
        <v>263.70000000000022</v>
      </c>
      <c r="AJ80" s="13">
        <f>AI80*VLOOKUP('Données projet'!$B$10,Paramètres!$A$1:$I$89,3,0)*VLOOKUP('Données projet'!$B$10,Paramètres!$A$1:$I$89,5,0)</f>
        <v>267.39180000000022</v>
      </c>
      <c r="AK80" s="13">
        <f t="shared" si="89"/>
        <v>64.29543109795074</v>
      </c>
      <c r="AL80" s="20">
        <f t="shared" si="58"/>
        <v>577.68859416226462</v>
      </c>
      <c r="AM80" s="59">
        <f t="shared" si="59"/>
        <v>871.02192749559799</v>
      </c>
      <c r="AN80" s="59">
        <f ca="1">AVERAGE(OFFSET($AM$3,0,0,'Données projet'!$E$10+1,1))-AVERAGE(OFFSET($H$3,0,0,'Données projet'!$E$10+1,1))</f>
        <v>324.30660429578262</v>
      </c>
      <c r="AO80" s="59">
        <f t="shared" si="90"/>
        <v>197.04549436738586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0.94567471568186146</v>
      </c>
      <c r="AW80" s="21">
        <f>EXP(-LN(2)/2)*AW79+(1-EXP(-LN(2)/2))/(LN(2)/2)*AQ80*AT80*VLOOKUP('Données projet'!$B$10,Paramètres!$A$1:$I$89,3,0)*0.475*44/12</f>
        <v>5.8468958331442837E-7</v>
      </c>
      <c r="AX80" s="21">
        <f t="shared" si="60"/>
        <v>0.94567530037144476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17</v>
      </c>
      <c r="BD80" s="12">
        <f>IF('Données projet'!$A$88&gt;35,BD79+BC80-BL79,IF(A80&lt;'Données projet'!$A$88,$BA$205^A80,IF(A80='Données projet'!$A$88,'Données projet'!$B$88,BD79+BC80-BL79)))</f>
        <v>481.99999999999989</v>
      </c>
      <c r="BE80" s="13">
        <f>BD80*VLOOKUP('Données projet'!$B$11,Paramètres!$A$1:$I$89,3,0)*VLOOKUP('Données projet'!$B$11,Paramètres!$A$1:$I$89,5,0)</f>
        <v>225.57599999999994</v>
      </c>
      <c r="BF80" s="13">
        <f t="shared" si="91"/>
        <v>55.325030705505945</v>
      </c>
      <c r="BG80" s="20">
        <f t="shared" si="61"/>
        <v>489.23596181208933</v>
      </c>
      <c r="BH80" s="59">
        <f t="shared" si="62"/>
        <v>782.56929514542264</v>
      </c>
      <c r="BI80" s="59">
        <f ca="1">AVERAGE(OFFSET($BH$3,0,0,'Données projet'!$E$11+1,1))-AVERAGE(OFFSET($H$3,0,0,'Données projet'!$E$11+1,1))</f>
        <v>252.98248842635206</v>
      </c>
      <c r="BJ80" s="59">
        <f t="shared" si="92"/>
        <v>207.11938580878308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1.2357747018548486</v>
      </c>
      <c r="BQ80" s="21">
        <f>EXP(-LN(2)/25)*BQ79+(1-EXP(-LN(2)/25))/(LN(2)/25)*Calculateur!BL80*Calculateur!BN80*VLOOKUP('Données projet'!$B$11,Paramètres!$A$1:$I$89,3,0)*0.475*44/12</f>
        <v>2.134201743703795</v>
      </c>
      <c r="BR80" s="21">
        <f>EXP(-LN(2)/2)*BR79+(1-EXP(-LN(2)/2))/(LN(2)/2)*BL80*BO80*VLOOKUP('Données projet'!$B$11,Paramètres!$A$1:$I$89,3,0)*0.475*44/12</f>
        <v>8.2879050529482091E-7</v>
      </c>
      <c r="BS80" s="22">
        <f t="shared" si="63"/>
        <v>3.3699772743491487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10.5</v>
      </c>
      <c r="BY80" s="12">
        <f>IF('Données projet'!$A$114&gt;35,BY79+BX80-CG79,IF(A80&lt;'Données projet'!$A$114,$BV$205^A80,IF(A80='Données projet'!$A$114,'Données projet'!$B$114,BY79+BX80-CG79)))</f>
        <v>639.49999999999943</v>
      </c>
      <c r="BZ80" s="13">
        <f>BY80*VLOOKUP('Données projet'!$B$12,Paramètres!$A$1:$I$89,3,0)*VLOOKUP('Données projet'!$B$12,Paramètres!$A$1:$I$89,5,0)</f>
        <v>382.42099999999965</v>
      </c>
      <c r="CA80" s="13">
        <f t="shared" si="93"/>
        <v>88.203524630774581</v>
      </c>
      <c r="CB80" s="20">
        <f t="shared" si="64"/>
        <v>819.67104706526504</v>
      </c>
      <c r="CC80" s="59">
        <f t="shared" si="65"/>
        <v>1113.0043803985984</v>
      </c>
      <c r="CD80" s="59">
        <f ca="1">AVERAGE(OFFSET($CC$3,0,0,'Données projet'!$E$12+1,1))-AVERAGE(OFFSET($H$3,0,0,'Données projet'!$E$12+1,1))</f>
        <v>392.08740055894992</v>
      </c>
      <c r="CE80" s="59">
        <f t="shared" si="94"/>
        <v>395.10797100415783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1.5762307545940244</v>
      </c>
      <c r="CL80" s="21">
        <f>EXP(-LN(2)/25)*CL79+(1-EXP(-LN(2)/25))/(LN(2)/25)*Calculateur!CG80*Calculateur!CI80*VLOOKUP('Données projet'!$B$12,Paramètres!$A$1:$I$89,3,0)*0.475*44/12</f>
        <v>7.0651602149192998</v>
      </c>
      <c r="CM80" s="21">
        <f>EXP(-LN(2)/2)*CM79+(1-EXP(-LN(2)/2))/(LN(2)/2)*CG80*CJ80*VLOOKUP('Données projet'!$B$12,Paramètres!$A$1:$I$89,3,0)*0.475*44/12</f>
        <v>2.9299927177434604E-6</v>
      </c>
      <c r="CN80" s="22">
        <f t="shared" si="66"/>
        <v>8.641393899506042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6.1</v>
      </c>
      <c r="N81" s="13">
        <f>IF('Données projet'!$A$36&gt;35,N80+M81-V80,IF(A81&lt;'Données projet'!$A$36,$K$205^A81,IF(A81='Données projet'!$A$36,'Données projet'!$B$36,N80+M81-V80)))</f>
        <v>269.80000000000024</v>
      </c>
      <c r="O81" s="13">
        <f>N81*VLOOKUP('Données projet'!$B$9,Paramètres!$A$1:$I$89,3,0)*VLOOKUP('Données projet'!$B$9,Paramètres!$A$1:$I$89,5,0)</f>
        <v>244.11504000000019</v>
      </c>
      <c r="P81" s="13">
        <f t="shared" si="87"/>
        <v>59.324023461759062</v>
      </c>
      <c r="Q81" s="20">
        <f t="shared" si="54"/>
        <v>528.48970219589739</v>
      </c>
      <c r="R81" s="59">
        <f t="shared" si="55"/>
        <v>821.82303552923076</v>
      </c>
      <c r="S81" s="59">
        <f ca="1">AVERAGE(OFFSET($R$3,0,0,'Données projet'!$E$9+1,1))-AVERAGE(OFFSET($H$3,0,0,'Données projet'!$E$9+1,1))</f>
        <v>282.32472952059817</v>
      </c>
      <c r="T81" s="59">
        <f t="shared" si="88"/>
        <v>172.32171001882176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0</v>
      </c>
      <c r="AA81" s="21">
        <f>EXP(-LN(2)/25)*AA80+(1-EXP(-LN(2)/25))/(LN(2)/25)*Calculateur!V81*Calculateur!X81*VLOOKUP('Données projet'!$B$9,Paramètres!$A$1:$I$89,3,0)*0.475*44/12</f>
        <v>0.82075817029752018</v>
      </c>
      <c r="AB81" s="21">
        <f>EXP(-LN(2)/2)*AB80+(1-EXP(-LN(2)/2))/(LN(2)/2)*V81*Y81*VLOOKUP('Données projet'!$B$9,Paramètres!$A$1:$I$89,3,0)*0.475*44/12</f>
        <v>3.6891388025453253E-7</v>
      </c>
      <c r="AC81" s="22">
        <f t="shared" si="57"/>
        <v>0.82075853921140041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6.1</v>
      </c>
      <c r="AI81" s="13">
        <f>IF('Données projet'!$A$62&gt;35,AI80+AH81-AQ80,IF(A81&lt;'Données projet'!$A$62,$AF$205^A81,IF(A81='Données projet'!$A$62,'Données projet'!$B$62,AI80+AH81-AQ80)))</f>
        <v>269.80000000000024</v>
      </c>
      <c r="AJ81" s="13">
        <f>AI81*VLOOKUP('Données projet'!$B$10,Paramètres!$A$1:$I$89,3,0)*VLOOKUP('Données projet'!$B$10,Paramètres!$A$1:$I$89,5,0)</f>
        <v>273.57720000000029</v>
      </c>
      <c r="AK81" s="13">
        <f t="shared" si="89"/>
        <v>65.607858889915164</v>
      </c>
      <c r="AL81" s="20">
        <f t="shared" si="58"/>
        <v>590.747310899936</v>
      </c>
      <c r="AM81" s="59">
        <f t="shared" si="59"/>
        <v>884.08064423326937</v>
      </c>
      <c r="AN81" s="59">
        <f ca="1">AVERAGE(OFFSET($AM$3,0,0,'Données projet'!$E$10+1,1))-AVERAGE(OFFSET($H$3,0,0,'Données projet'!$E$10+1,1))</f>
        <v>324.30660429578262</v>
      </c>
      <c r="AO81" s="59">
        <f t="shared" si="90"/>
        <v>197.04549436738586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</v>
      </c>
      <c r="AV81" s="21">
        <f>EXP(-LN(2)/25)*AV80+(1-EXP(-LN(2)/25))/(LN(2)/25)*Calculateur!AQ81*Calculateur!AS81*VLOOKUP('Données projet'!$B$10,Paramètres!$A$1:$I$89,3,0)*0.475*44/12</f>
        <v>0.91981519085066898</v>
      </c>
      <c r="AW81" s="21">
        <f>EXP(-LN(2)/2)*AW80+(1-EXP(-LN(2)/2))/(LN(2)/2)*AQ81*AT81*VLOOKUP('Données projet'!$B$10,Paramètres!$A$1:$I$89,3,0)*0.475*44/12</f>
        <v>4.1343796925076915E-7</v>
      </c>
      <c r="AX81" s="21">
        <f t="shared" si="60"/>
        <v>0.91981560428863829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17</v>
      </c>
      <c r="BD81" s="12">
        <f>IF('Données projet'!$A$88&gt;35,BD80+BC81-BL80,IF(A81&lt;'Données projet'!$A$88,$BA$205^A81,IF(A81='Données projet'!$A$88,'Données projet'!$B$88,BD80+BC81-BL80)))</f>
        <v>498.99999999999989</v>
      </c>
      <c r="BE81" s="13">
        <f>BD81*VLOOKUP('Données projet'!$B$11,Paramètres!$A$1:$I$89,3,0)*VLOOKUP('Données projet'!$B$11,Paramètres!$A$1:$I$89,5,0)</f>
        <v>233.53199999999995</v>
      </c>
      <c r="BF81" s="13">
        <f t="shared" si="91"/>
        <v>57.04570382109808</v>
      </c>
      <c r="BG81" s="20">
        <f t="shared" si="61"/>
        <v>506.08950082174573</v>
      </c>
      <c r="BH81" s="59">
        <f t="shared" si="62"/>
        <v>799.42283415507904</v>
      </c>
      <c r="BI81" s="59">
        <f ca="1">AVERAGE(OFFSET($BH$3,0,0,'Données projet'!$E$11+1,1))-AVERAGE(OFFSET($H$3,0,0,'Données projet'!$E$11+1,1))</f>
        <v>252.98248842635206</v>
      </c>
      <c r="BJ81" s="59">
        <f t="shared" si="92"/>
        <v>207.11938580878308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1.2115419136996166</v>
      </c>
      <c r="BQ81" s="21">
        <f>EXP(-LN(2)/25)*BQ80+(1-EXP(-LN(2)/25))/(LN(2)/25)*Calculateur!BL81*Calculateur!BN81*VLOOKUP('Données projet'!$B$11,Paramètres!$A$1:$I$89,3,0)*0.475*44/12</f>
        <v>2.0758418847894227</v>
      </c>
      <c r="BR81" s="21">
        <f>EXP(-LN(2)/2)*BR80+(1-EXP(-LN(2)/2))/(LN(2)/2)*BL81*BO81*VLOOKUP('Données projet'!$B$11,Paramètres!$A$1:$I$89,3,0)*0.475*44/12</f>
        <v>5.8604338647699308E-7</v>
      </c>
      <c r="BS81" s="22">
        <f t="shared" si="63"/>
        <v>3.2873843845324258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10.5</v>
      </c>
      <c r="BY81" s="12">
        <f>IF('Données projet'!$A$114&gt;35,BY80+BX81-CG80,IF(A81&lt;'Données projet'!$A$114,$BV$205^A81,IF(A81='Données projet'!$A$114,'Données projet'!$B$114,BY80+BX81-CG80)))</f>
        <v>649.99999999999943</v>
      </c>
      <c r="BZ81" s="13">
        <f>BY81*VLOOKUP('Données projet'!$B$12,Paramètres!$A$1:$I$89,3,0)*VLOOKUP('Données projet'!$B$12,Paramètres!$A$1:$I$89,5,0)</f>
        <v>388.6999999999997</v>
      </c>
      <c r="CA81" s="13">
        <f t="shared" si="93"/>
        <v>89.481956851424115</v>
      </c>
      <c r="CB81" s="20">
        <f t="shared" si="64"/>
        <v>832.83357484956321</v>
      </c>
      <c r="CC81" s="59">
        <f t="shared" si="65"/>
        <v>1126.1669081828966</v>
      </c>
      <c r="CD81" s="59">
        <f ca="1">AVERAGE(OFFSET($CC$3,0,0,'Données projet'!$E$12+1,1))-AVERAGE(OFFSET($H$3,0,0,'Données projet'!$E$12+1,1))</f>
        <v>392.08740055894992</v>
      </c>
      <c r="CE81" s="59">
        <f t="shared" si="94"/>
        <v>395.10797100415783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1.5453218309022649</v>
      </c>
      <c r="CL81" s="21">
        <f>EXP(-LN(2)/25)*CL80+(1-EXP(-LN(2)/25))/(LN(2)/25)*Calculateur!CG81*Calculateur!CI81*VLOOKUP('Données projet'!$B$12,Paramètres!$A$1:$I$89,3,0)*0.475*44/12</f>
        <v>6.8719630373017031</v>
      </c>
      <c r="CM81" s="21">
        <f>EXP(-LN(2)/2)*CM80+(1-EXP(-LN(2)/2))/(LN(2)/2)*CG81*CJ81*VLOOKUP('Données projet'!$B$12,Paramètres!$A$1:$I$89,3,0)*0.475*44/12</f>
        <v>2.0718177195436027E-6</v>
      </c>
      <c r="CN81" s="22">
        <f t="shared" si="66"/>
        <v>8.4172869400216879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6.1</v>
      </c>
      <c r="N82" s="13">
        <f>IF('Données projet'!$A$36&gt;35,N81+M82-V81,IF(A82&lt;'Données projet'!$A$36,$K$205^A82,IF(A82='Données projet'!$A$36,'Données projet'!$B$36,N81+M82-V81)))</f>
        <v>275.90000000000026</v>
      </c>
      <c r="O82" s="13">
        <f>N82*VLOOKUP('Données projet'!$B$9,Paramètres!$A$1:$I$89,3,0)*VLOOKUP('Données projet'!$B$9,Paramètres!$A$1:$I$89,5,0)</f>
        <v>249.63432000000023</v>
      </c>
      <c r="P82" s="13">
        <f t="shared" si="87"/>
        <v>60.507629314318471</v>
      </c>
      <c r="Q82" s="20">
        <f t="shared" si="54"/>
        <v>540.16389505577172</v>
      </c>
      <c r="R82" s="59">
        <f t="shared" si="55"/>
        <v>833.49722838910498</v>
      </c>
      <c r="S82" s="59">
        <f ca="1">AVERAGE(OFFSET($R$3,0,0,'Données projet'!$E$9+1,1))-AVERAGE(OFFSET($H$3,0,0,'Données projet'!$E$9+1,1))</f>
        <v>282.32472952059817</v>
      </c>
      <c r="T82" s="59">
        <f t="shared" si="88"/>
        <v>172.32171001882176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0</v>
      </c>
      <c r="AA82" s="21">
        <f>EXP(-LN(2)/25)*AA81+(1-EXP(-LN(2)/25))/(LN(2)/25)*Calculateur!V82*Calculateur!X82*VLOOKUP('Données projet'!$B$9,Paramètres!$A$1:$I$89,3,0)*0.475*44/12</f>
        <v>0.79831449496893814</v>
      </c>
      <c r="AB82" s="21">
        <f>EXP(-LN(2)/2)*AB81+(1-EXP(-LN(2)/2))/(LN(2)/2)*V82*Y82*VLOOKUP('Données projet'!$B$9,Paramètres!$A$1:$I$89,3,0)*0.475*44/12</f>
        <v>2.6086150640182193E-7</v>
      </c>
      <c r="AC82" s="22">
        <f t="shared" si="57"/>
        <v>0.79831475583044453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6.1</v>
      </c>
      <c r="AI82" s="13">
        <f>IF('Données projet'!$A$62&gt;35,AI81+AH82-AQ81,IF(A82&lt;'Données projet'!$A$62,$AF$205^A82,IF(A82='Données projet'!$A$62,'Données projet'!$B$62,AI81+AH82-AQ81)))</f>
        <v>275.90000000000026</v>
      </c>
      <c r="AJ82" s="13">
        <f>AI82*VLOOKUP('Données projet'!$B$10,Paramètres!$A$1:$I$89,3,0)*VLOOKUP('Données projet'!$B$10,Paramètres!$A$1:$I$89,5,0)</f>
        <v>279.7626000000003</v>
      </c>
      <c r="AK82" s="13">
        <f t="shared" si="89"/>
        <v>66.916836960258763</v>
      </c>
      <c r="AL82" s="20">
        <f t="shared" si="58"/>
        <v>603.80001937245117</v>
      </c>
      <c r="AM82" s="59">
        <f t="shared" si="59"/>
        <v>897.13335270578455</v>
      </c>
      <c r="AN82" s="59">
        <f ca="1">AVERAGE(OFFSET($AM$3,0,0,'Données projet'!$E$10+1,1))-AVERAGE(OFFSET($H$3,0,0,'Données projet'!$E$10+1,1))</f>
        <v>324.30660429578262</v>
      </c>
      <c r="AO82" s="59">
        <f t="shared" si="90"/>
        <v>197.04549436738586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</v>
      </c>
      <c r="AV82" s="21">
        <f>EXP(-LN(2)/25)*AV81+(1-EXP(-LN(2)/25))/(LN(2)/25)*Calculateur!AQ82*Calculateur!AS82*VLOOKUP('Données projet'!$B$10,Paramètres!$A$1:$I$89,3,0)*0.475*44/12</f>
        <v>0.89466279608587884</v>
      </c>
      <c r="AW82" s="21">
        <f>EXP(-LN(2)/2)*AW81+(1-EXP(-LN(2)/2))/(LN(2)/2)*AQ82*AT82*VLOOKUP('Données projet'!$B$10,Paramètres!$A$1:$I$89,3,0)*0.475*44/12</f>
        <v>2.9234479165721419E-7</v>
      </c>
      <c r="AX82" s="21">
        <f t="shared" si="60"/>
        <v>0.89466308843067055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17</v>
      </c>
      <c r="BD82" s="12">
        <f>IF('Données projet'!$A$88&gt;35,BD81+BC82-BL81,IF(A82&lt;'Données projet'!$A$88,$BA$205^A82,IF(A82='Données projet'!$A$88,'Données projet'!$B$88,BD81+BC82-BL81)))</f>
        <v>515.99999999999989</v>
      </c>
      <c r="BE82" s="13">
        <f>BD82*VLOOKUP('Données projet'!$B$11,Paramètres!$A$1:$I$89,3,0)*VLOOKUP('Données projet'!$B$11,Paramètres!$A$1:$I$89,5,0)</f>
        <v>241.48799999999997</v>
      </c>
      <c r="BF82" s="13">
        <f t="shared" si="91"/>
        <v>58.759565673424916</v>
      </c>
      <c r="BG82" s="20">
        <f t="shared" si="61"/>
        <v>522.93117688121504</v>
      </c>
      <c r="BH82" s="59">
        <f t="shared" si="62"/>
        <v>816.26451021454841</v>
      </c>
      <c r="BI82" s="59">
        <f ca="1">AVERAGE(OFFSET($BH$3,0,0,'Données projet'!$E$11+1,1))-AVERAGE(OFFSET($H$3,0,0,'Données projet'!$E$11+1,1))</f>
        <v>252.98248842635206</v>
      </c>
      <c r="BJ82" s="59">
        <f t="shared" si="92"/>
        <v>207.11938580878308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1.1877843157395676</v>
      </c>
      <c r="BQ82" s="21">
        <f>EXP(-LN(2)/25)*BQ81+(1-EXP(-LN(2)/25))/(LN(2)/25)*Calculateur!BL82*Calculateur!BN82*VLOOKUP('Données projet'!$B$11,Paramètres!$A$1:$I$89,3,0)*0.475*44/12</f>
        <v>2.0190778792860757</v>
      </c>
      <c r="BR82" s="21">
        <f>EXP(-LN(2)/2)*BR81+(1-EXP(-LN(2)/2))/(LN(2)/2)*BL82*BO82*VLOOKUP('Données projet'!$B$11,Paramètres!$A$1:$I$89,3,0)*0.475*44/12</f>
        <v>4.1439525264741046E-7</v>
      </c>
      <c r="BS82" s="22">
        <f t="shared" si="63"/>
        <v>3.2068626094208961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10.5</v>
      </c>
      <c r="BY82" s="12">
        <f>IF('Données projet'!$A$114&gt;35,BY81+BX82-CG81,IF(A82&lt;'Données projet'!$A$114,$BV$205^A82,IF(A82='Données projet'!$A$114,'Données projet'!$B$114,BY81+BX82-CG81)))</f>
        <v>660.49999999999943</v>
      </c>
      <c r="BZ82" s="13">
        <f>BY82*VLOOKUP('Données projet'!$B$12,Paramètres!$A$1:$I$89,3,0)*VLOOKUP('Données projet'!$B$12,Paramètres!$A$1:$I$89,5,0)</f>
        <v>394.9789999999997</v>
      </c>
      <c r="CA82" s="13">
        <f t="shared" si="93"/>
        <v>90.757987374269575</v>
      </c>
      <c r="CB82" s="20">
        <f t="shared" si="64"/>
        <v>845.99191967685238</v>
      </c>
      <c r="CC82" s="59">
        <f t="shared" si="65"/>
        <v>1139.3252530101856</v>
      </c>
      <c r="CD82" s="59">
        <f ca="1">AVERAGE(OFFSET($CC$3,0,0,'Données projet'!$E$12+1,1))-AVERAGE(OFFSET($H$3,0,0,'Données projet'!$E$12+1,1))</f>
        <v>392.08740055894992</v>
      </c>
      <c r="CE82" s="59">
        <f t="shared" si="94"/>
        <v>395.10797100415783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1.515019012351519</v>
      </c>
      <c r="CL82" s="21">
        <f>EXP(-LN(2)/25)*CL81+(1-EXP(-LN(2)/25))/(LN(2)/25)*Calculateur!CG82*Calculateur!CI82*VLOOKUP('Données projet'!$B$12,Paramètres!$A$1:$I$89,3,0)*0.475*44/12</f>
        <v>6.6840488466658581</v>
      </c>
      <c r="CM82" s="21">
        <f>EXP(-LN(2)/2)*CM81+(1-EXP(-LN(2)/2))/(LN(2)/2)*CG82*CJ82*VLOOKUP('Données projet'!$B$12,Paramètres!$A$1:$I$89,3,0)*0.475*44/12</f>
        <v>1.4649963588717302E-6</v>
      </c>
      <c r="CN82" s="22">
        <f t="shared" si="66"/>
        <v>8.1990693240137364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282</v>
      </c>
      <c r="L83" s="12">
        <f>VLOOKUP(A83,'Données projet'!$A$35:$I$55,9,0)</f>
        <v>6.1</v>
      </c>
      <c r="M83" s="12">
        <f t="array" ref="M83">INDEX(L:L,MIN(IF(ISNUMBER(L83:L279),ROW(L83:L279),"")))</f>
        <v>6.1</v>
      </c>
      <c r="N83" s="13">
        <f>IF('Données projet'!$A$36&gt;35,N82+M83-V82,IF(A83&lt;'Données projet'!$A$36,$K$205^A83,IF(A83='Données projet'!$A$36,'Données projet'!$B$36,N82+M83-V82)))</f>
        <v>282.00000000000028</v>
      </c>
      <c r="O83" s="13">
        <f>N83*VLOOKUP('Données projet'!$B$9,Paramètres!$A$1:$I$89,3,0)*VLOOKUP('Données projet'!$B$9,Paramètres!$A$1:$I$89,5,0)</f>
        <v>255.15360000000024</v>
      </c>
      <c r="P83" s="13">
        <f t="shared" si="87"/>
        <v>61.688192762754483</v>
      </c>
      <c r="Q83" s="20">
        <f t="shared" si="54"/>
        <v>551.83278906179783</v>
      </c>
      <c r="R83" s="59">
        <f t="shared" si="55"/>
        <v>845.1661223951312</v>
      </c>
      <c r="S83" s="59">
        <f ca="1">AVERAGE(OFFSET($R$3,0,0,'Données projet'!$E$9+1,1))-AVERAGE(OFFSET($H$3,0,0,'Données projet'!$E$9+1,1))</f>
        <v>282.32472952059817</v>
      </c>
      <c r="T83" s="59">
        <f t="shared" si="88"/>
        <v>172.32171001882176</v>
      </c>
      <c r="U83" s="15">
        <f>IF(ISNA(VLOOKUP(A83,'Données projet'!$A$35:$I$55,3,0)),0,VLOOKUP(A83,'Données projet'!$A$35:$I$55,3,0))</f>
        <v>6</v>
      </c>
      <c r="V83" s="15">
        <f>IF(ISNA(VLOOKUP(A83,'Données projet'!$A$35:$I$55,4,0)),0,VLOOKUP(A83,'Données projet'!$A$35:$I$55,4,0))</f>
        <v>42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0</v>
      </c>
      <c r="AA83" s="21">
        <f>EXP(-LN(2)/25)*AA82+(1-EXP(-LN(2)/25))/(LN(2)/25)*Calculateur!V83*Calculateur!X83*VLOOKUP('Données projet'!$B$9,Paramètres!$A$1:$I$89,3,0)*0.475*44/12</f>
        <v>0.77648454312247783</v>
      </c>
      <c r="AB83" s="21">
        <f>EXP(-LN(2)/2)*AB82+(1-EXP(-LN(2)/2))/(LN(2)/2)*V83*Y83*VLOOKUP('Données projet'!$B$9,Paramètres!$A$1:$I$89,3,0)*0.475*44/12</f>
        <v>1.8445694012726627E-7</v>
      </c>
      <c r="AC83" s="22">
        <f t="shared" si="57"/>
        <v>0.776484727579418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282</v>
      </c>
      <c r="AG83" s="12">
        <f>VLOOKUP(A83,'Données projet'!$A$61:$I$81,9,0)</f>
        <v>6.1</v>
      </c>
      <c r="AH83" s="12">
        <f t="array" ref="AH83">INDEX(AG:AG,MIN(IF(ISNUMBER(AG83:AG279),ROW(AG83:AG279),"")))</f>
        <v>6.1</v>
      </c>
      <c r="AI83" s="13">
        <f>IF('Données projet'!$A$62&gt;35,AI82+AH83-AQ82,IF(A83&lt;'Données projet'!$A$62,$AF$205^A83,IF(A83='Données projet'!$A$62,'Données projet'!$B$62,AI82+AH83-AQ82)))</f>
        <v>282.00000000000028</v>
      </c>
      <c r="AJ83" s="13">
        <f>AI83*VLOOKUP('Données projet'!$B$10,Paramètres!$A$1:$I$89,3,0)*VLOOKUP('Données projet'!$B$10,Paramètres!$A$1:$I$89,5,0)</f>
        <v>285.94800000000032</v>
      </c>
      <c r="AK83" s="13">
        <f t="shared" si="89"/>
        <v>68.222450362989434</v>
      </c>
      <c r="AL83" s="20">
        <f t="shared" si="58"/>
        <v>616.8468677155405</v>
      </c>
      <c r="AM83" s="59">
        <f t="shared" si="59"/>
        <v>910.18020104887387</v>
      </c>
      <c r="AN83" s="59">
        <f ca="1">AVERAGE(OFFSET($AM$3,0,0,'Données projet'!$E$10+1,1))-AVERAGE(OFFSET($H$3,0,0,'Données projet'!$E$10+1,1))</f>
        <v>324.30660429578262</v>
      </c>
      <c r="AO83" s="59">
        <f t="shared" si="90"/>
        <v>197.04549436738586</v>
      </c>
      <c r="AP83" s="15">
        <f>IF(ISNA(VLOOKUP(A83,'Données projet'!$A$61:$I$81,3,0)),0,VLOOKUP(A83,'Données projet'!$A$61:$I$81,3,0))</f>
        <v>6</v>
      </c>
      <c r="AQ83" s="15">
        <f>IF(ISNA(VLOOKUP(A83,'Données projet'!$A$61:$I$81,4,0)),0,VLOOKUP(A83,'Données projet'!$A$61:$I$81,4,0))</f>
        <v>42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</v>
      </c>
      <c r="AV83" s="21">
        <f>EXP(-LN(2)/25)*AV82+(1-EXP(-LN(2)/25))/(LN(2)/25)*Calculateur!AQ83*Calculateur!AS83*VLOOKUP('Données projet'!$B$10,Paramètres!$A$1:$I$89,3,0)*0.475*44/12</f>
        <v>0.87019819487863881</v>
      </c>
      <c r="AW83" s="21">
        <f>EXP(-LN(2)/2)*AW82+(1-EXP(-LN(2)/2))/(LN(2)/2)*AQ83*AT83*VLOOKUP('Données projet'!$B$10,Paramètres!$A$1:$I$89,3,0)*0.475*44/12</f>
        <v>2.0671898462538458E-7</v>
      </c>
      <c r="AX83" s="21">
        <f t="shared" si="60"/>
        <v>0.87019840159762341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533</v>
      </c>
      <c r="BB83" s="12">
        <f>VLOOKUP(A83,'Données projet'!$A$87:$I$107,9,0)</f>
        <v>17</v>
      </c>
      <c r="BC83" s="12">
        <f t="array" ref="BC83">INDEX(BB:BB,MIN(IF(ISNUMBER(BB83:BB279),ROW(BB83:BB279),"")))</f>
        <v>17</v>
      </c>
      <c r="BD83" s="12">
        <f>IF('Données projet'!$A$88&gt;35,BD82+BC83-BL82,IF(A83&lt;'Données projet'!$A$88,$BA$205^A83,IF(A83='Données projet'!$A$88,'Données projet'!$B$88,BD82+BC83-BL82)))</f>
        <v>532.99999999999989</v>
      </c>
      <c r="BE83" s="13">
        <f>BD83*VLOOKUP('Données projet'!$B$11,Paramètres!$A$1:$I$89,3,0)*VLOOKUP('Données projet'!$B$11,Paramètres!$A$1:$I$89,5,0)</f>
        <v>249.44399999999993</v>
      </c>
      <c r="BF83" s="13">
        <f t="shared" si="91"/>
        <v>60.466866397117599</v>
      </c>
      <c r="BG83" s="20">
        <f t="shared" si="61"/>
        <v>539.76142564164627</v>
      </c>
      <c r="BH83" s="59">
        <f t="shared" si="62"/>
        <v>833.09475897497964</v>
      </c>
      <c r="BI83" s="59">
        <f ca="1">AVERAGE(OFFSET($BH$3,0,0,'Données projet'!$E$11+1,1))-AVERAGE(OFFSET($H$3,0,0,'Données projet'!$E$11+1,1))</f>
        <v>252.98248842635206</v>
      </c>
      <c r="BJ83" s="59">
        <f t="shared" si="92"/>
        <v>207.11938580878308</v>
      </c>
      <c r="BK83" s="15">
        <f>IF(ISNA(VLOOKUP(A83,'Données projet'!$A$87:$I$107,3,0)),0,VLOOKUP(A83,'Données projet'!$A$87:$I$107,3,0))</f>
        <v>7</v>
      </c>
      <c r="BL83" s="21">
        <f>IF(ISNA(VLOOKUP(A83,'Données projet'!$A$87:$I$107,4,0)),0,VLOOKUP(A83,'Données projet'!$A$87:$I$107,4,0))</f>
        <v>83.4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1.1644925897848111</v>
      </c>
      <c r="BQ83" s="21">
        <f>EXP(-LN(2)/25)*BQ82+(1-EXP(-LN(2)/25))/(LN(2)/25)*Calculateur!BL83*Calculateur!BN83*VLOOKUP('Données projet'!$B$11,Paramètres!$A$1:$I$89,3,0)*0.475*44/12</f>
        <v>1.963866088498307</v>
      </c>
      <c r="BR83" s="21">
        <f>EXP(-LN(2)/2)*BR82+(1-EXP(-LN(2)/2))/(LN(2)/2)*BL83*BO83*VLOOKUP('Données projet'!$B$11,Paramètres!$A$1:$I$89,3,0)*0.475*44/12</f>
        <v>2.9302169323849654E-7</v>
      </c>
      <c r="BS83" s="22">
        <f t="shared" si="63"/>
        <v>3.1283589713048112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671</v>
      </c>
      <c r="BW83" s="12">
        <f>VLOOKUP(A83,'Données projet'!$A$113:$I$133,9,0)</f>
        <v>10.5</v>
      </c>
      <c r="BX83" s="12">
        <f t="array" ref="BX83">INDEX(BW:BW,MIN(IF(ISNUMBER(BW83:BW279),ROW(BW83:BW279),"")))</f>
        <v>10.5</v>
      </c>
      <c r="BY83" s="12">
        <f>IF('Données projet'!$A$114&gt;35,BY82+BX83-CG82,IF(A83&lt;'Données projet'!$A$114,$BV$205^A83,IF(A83='Données projet'!$A$114,'Données projet'!$B$114,BY82+BX83-CG82)))</f>
        <v>670.99999999999943</v>
      </c>
      <c r="BZ83" s="13">
        <f>BY83*VLOOKUP('Données projet'!$B$12,Paramètres!$A$1:$I$89,3,0)*VLOOKUP('Données projet'!$B$12,Paramètres!$A$1:$I$89,5,0)</f>
        <v>401.2579999999997</v>
      </c>
      <c r="CA83" s="13">
        <f t="shared" si="93"/>
        <v>92.03165878755776</v>
      </c>
      <c r="CB83" s="20">
        <f t="shared" si="64"/>
        <v>859.14615572166258</v>
      </c>
      <c r="CC83" s="59">
        <f t="shared" si="65"/>
        <v>1152.4794890549958</v>
      </c>
      <c r="CD83" s="59">
        <f ca="1">AVERAGE(OFFSET($CC$3,0,0,'Données projet'!$E$12+1,1))-AVERAGE(OFFSET($H$3,0,0,'Données projet'!$E$12+1,1))</f>
        <v>392.08740055894992</v>
      </c>
      <c r="CE83" s="59">
        <f t="shared" si="94"/>
        <v>395.10797100415783</v>
      </c>
      <c r="CF83" s="15">
        <f>IF(ISNA(VLOOKUP(A83,'Données projet'!$A$113:$I$133,3,0)),0,VLOOKUP(A83,'Données projet'!$A$113:$I$133,3,0))</f>
        <v>7</v>
      </c>
      <c r="CG83" s="15">
        <f>IF(ISNA(VLOOKUP(A83,'Données projet'!$A$113:$I$133,4,0)),0,VLOOKUP(A83,'Données projet'!$A$113:$I$133,4,0))</f>
        <v>671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1.4853104135896589</v>
      </c>
      <c r="CL83" s="21">
        <f>EXP(-LN(2)/25)*CL82+(1-EXP(-LN(2)/25))/(LN(2)/25)*Calculateur!CG83*Calculateur!CI83*VLOOKUP('Données projet'!$B$12,Paramètres!$A$1:$I$89,3,0)*0.475*44/12</f>
        <v>6.5012731794549277</v>
      </c>
      <c r="CM83" s="21">
        <f>EXP(-LN(2)/2)*CM82+(1-EXP(-LN(2)/2))/(LN(2)/2)*CG83*CJ83*VLOOKUP('Données projet'!$B$12,Paramètres!$A$1:$I$89,3,0)*0.475*44/12</f>
        <v>1.0359088597718013E-6</v>
      </c>
      <c r="CN83" s="22">
        <f t="shared" si="66"/>
        <v>7.9865846289534463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5.6</v>
      </c>
      <c r="N84" s="13">
        <f>IF('Données projet'!$A$36&gt;35,N83+M84-V83,IF(A84&lt;'Données projet'!$A$36,$K$205^A84,IF(A84='Données projet'!$A$36,'Données projet'!$B$36,N83+M84-V83)))</f>
        <v>245.60000000000031</v>
      </c>
      <c r="O84" s="13">
        <f>N84*VLOOKUP('Données projet'!$B$9,Paramètres!$A$1:$I$89,3,0)*VLOOKUP('Données projet'!$B$9,Paramètres!$A$1:$I$89,5,0)</f>
        <v>222.2188800000003</v>
      </c>
      <c r="P84" s="13">
        <f t="shared" si="87"/>
        <v>54.596866296848951</v>
      </c>
      <c r="Q84" s="20">
        <f t="shared" si="54"/>
        <v>482.12075813367898</v>
      </c>
      <c r="R84" s="59">
        <f t="shared" si="55"/>
        <v>775.45409146701229</v>
      </c>
      <c r="S84" s="59">
        <f ca="1">AVERAGE(OFFSET($R$3,0,0,'Données projet'!$E$9+1,1))-AVERAGE(OFFSET($H$3,0,0,'Données projet'!$E$9+1,1))</f>
        <v>282.32472952059817</v>
      </c>
      <c r="T84" s="59">
        <f t="shared" si="88"/>
        <v>172.32171001882176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0</v>
      </c>
      <c r="AA84" s="21">
        <f>EXP(-LN(2)/25)*AA83+(1-EXP(-LN(2)/25))/(LN(2)/25)*Calculateur!V84*Calculateur!X84*VLOOKUP('Données projet'!$B$9,Paramètres!$A$1:$I$89,3,0)*0.475*44/12</f>
        <v>0.75525153245724619</v>
      </c>
      <c r="AB84" s="21">
        <f>EXP(-LN(2)/2)*AB83+(1-EXP(-LN(2)/2))/(LN(2)/2)*V84*Y84*VLOOKUP('Données projet'!$B$9,Paramètres!$A$1:$I$89,3,0)*0.475*44/12</f>
        <v>1.3043075320091096E-7</v>
      </c>
      <c r="AC84" s="22">
        <f t="shared" si="57"/>
        <v>0.75525166288799939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5.6</v>
      </c>
      <c r="AI84" s="13">
        <f>IF('Données projet'!$A$62&gt;35,AI83+AH84-AQ83,IF(A84&lt;'Données projet'!$A$62,$AF$205^A84,IF(A84='Données projet'!$A$62,'Données projet'!$B$62,AI83+AH84-AQ83)))</f>
        <v>245.60000000000031</v>
      </c>
      <c r="AJ84" s="13">
        <f>AI84*VLOOKUP('Données projet'!$B$10,Paramètres!$A$1:$I$89,3,0)*VLOOKUP('Données projet'!$B$10,Paramètres!$A$1:$I$89,5,0)</f>
        <v>249.03840000000034</v>
      </c>
      <c r="AK84" s="13">
        <f t="shared" si="89"/>
        <v>60.379982523340054</v>
      </c>
      <c r="AL84" s="20">
        <f t="shared" si="58"/>
        <v>538.90368289481785</v>
      </c>
      <c r="AM84" s="59">
        <f t="shared" si="59"/>
        <v>832.23701622815111</v>
      </c>
      <c r="AN84" s="59">
        <f ca="1">AVERAGE(OFFSET($AM$3,0,0,'Données projet'!$E$10+1,1))-AVERAGE(OFFSET($H$3,0,0,'Données projet'!$E$10+1,1))</f>
        <v>324.30660429578262</v>
      </c>
      <c r="AO84" s="59">
        <f t="shared" si="90"/>
        <v>197.04549436738586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</v>
      </c>
      <c r="AV84" s="21">
        <f>EXP(-LN(2)/25)*AV83+(1-EXP(-LN(2)/25))/(LN(2)/25)*Calculateur!AQ84*Calculateur!AS84*VLOOKUP('Données projet'!$B$10,Paramètres!$A$1:$I$89,3,0)*0.475*44/12</f>
        <v>0.84640257947794828</v>
      </c>
      <c r="AW84" s="21">
        <f>EXP(-LN(2)/2)*AW83+(1-EXP(-LN(2)/2))/(LN(2)/2)*AQ84*AT84*VLOOKUP('Données projet'!$B$10,Paramètres!$A$1:$I$89,3,0)*0.475*44/12</f>
        <v>1.4617239582860709E-7</v>
      </c>
      <c r="AX84" s="21">
        <f t="shared" si="60"/>
        <v>0.84640272565034413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17.5</v>
      </c>
      <c r="BD84" s="12">
        <f>IF('Données projet'!$A$88&gt;35,BD83+BC84-BL83,IF(A84&lt;'Données projet'!$A$88,$BA$205^A84,IF(A84='Données projet'!$A$88,'Données projet'!$B$88,BD83+BC84-BL83)))</f>
        <v>467.09999999999991</v>
      </c>
      <c r="BE84" s="13">
        <f>BD84*VLOOKUP('Données projet'!$B$11,Paramètres!$A$1:$I$89,3,0)*VLOOKUP('Données projet'!$B$11,Paramètres!$A$1:$I$89,5,0)</f>
        <v>218.60279999999995</v>
      </c>
      <c r="BF84" s="13">
        <f t="shared" si="91"/>
        <v>53.811098692658383</v>
      </c>
      <c r="BG84" s="20">
        <f t="shared" si="61"/>
        <v>474.45420688971325</v>
      </c>
      <c r="BH84" s="59">
        <f t="shared" si="62"/>
        <v>767.78754022304656</v>
      </c>
      <c r="BI84" s="59">
        <f ca="1">AVERAGE(OFFSET($BH$3,0,0,'Données projet'!$E$11+1,1))-AVERAGE(OFFSET($H$3,0,0,'Données projet'!$E$11+1,1))</f>
        <v>252.98248842635206</v>
      </c>
      <c r="BJ84" s="59">
        <f t="shared" si="92"/>
        <v>207.11938580878308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1.1416576003694774</v>
      </c>
      <c r="BQ84" s="21">
        <f>EXP(-LN(2)/25)*BQ83+(1-EXP(-LN(2)/25))/(LN(2)/25)*Calculateur!BL84*Calculateur!BN84*VLOOKUP('Données projet'!$B$11,Paramètres!$A$1:$I$89,3,0)*0.475*44/12</f>
        <v>1.9101640670330917</v>
      </c>
      <c r="BR84" s="21">
        <f>EXP(-LN(2)/2)*BR83+(1-EXP(-LN(2)/2))/(LN(2)/2)*BL84*BO84*VLOOKUP('Données projet'!$B$11,Paramètres!$A$1:$I$89,3,0)*0.475*44/12</f>
        <v>2.0719762632370523E-7</v>
      </c>
      <c r="BS84" s="22">
        <f t="shared" si="63"/>
        <v>3.0518218746001953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-5.6843418860808015E-13</v>
      </c>
      <c r="BZ84" s="13">
        <f>BY84*VLOOKUP('Données projet'!$B$12,Paramètres!$A$1:$I$89,3,0)*VLOOKUP('Données projet'!$B$12,Paramètres!$A$1:$I$89,5,0)</f>
        <v>-3.39923644787632E-13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392.08740055894992</v>
      </c>
      <c r="CE84" s="59">
        <f t="shared" si="94"/>
        <v>395.10797100415783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1.4561843823290628</v>
      </c>
      <c r="CL84" s="21">
        <f>EXP(-LN(2)/25)*CL83+(1-EXP(-LN(2)/25))/(LN(2)/25)*Calculateur!CG84*Calculateur!CI84*VLOOKUP('Données projet'!$B$12,Paramètres!$A$1:$I$89,3,0)*0.475*44/12</f>
        <v>6.3234955224756346</v>
      </c>
      <c r="CM84" s="21">
        <f>EXP(-LN(2)/2)*CM83+(1-EXP(-LN(2)/2))/(LN(2)/2)*CG84*CJ84*VLOOKUP('Données projet'!$B$12,Paramètres!$A$1:$I$89,3,0)*0.475*44/12</f>
        <v>7.3249817943586509E-7</v>
      </c>
      <c r="CN84" s="22">
        <f t="shared" si="66"/>
        <v>7.7796806373028771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5.6</v>
      </c>
      <c r="N85" s="13">
        <f>IF('Données projet'!$A$36&gt;35,N84+M85-V84,IF(A85&lt;'Données projet'!$A$36,$K$205^A85,IF(A85='Données projet'!$A$36,'Données projet'!$B$36,N84+M85-V84)))</f>
        <v>251.2000000000003</v>
      </c>
      <c r="O85" s="13">
        <f>N85*VLOOKUP('Données projet'!$B$9,Paramètres!$A$1:$I$89,3,0)*VLOOKUP('Données projet'!$B$9,Paramètres!$A$1:$I$89,5,0)</f>
        <v>227.28576000000027</v>
      </c>
      <c r="P85" s="13">
        <f t="shared" si="87"/>
        <v>55.695394520076427</v>
      </c>
      <c r="Q85" s="20">
        <f t="shared" si="54"/>
        <v>492.85884412246696</v>
      </c>
      <c r="R85" s="59">
        <f t="shared" si="55"/>
        <v>786.19217745580022</v>
      </c>
      <c r="S85" s="59">
        <f ca="1">AVERAGE(OFFSET($R$3,0,0,'Données projet'!$E$9+1,1))-AVERAGE(OFFSET($H$3,0,0,'Données projet'!$E$9+1,1))</f>
        <v>282.32472952059817</v>
      </c>
      <c r="T85" s="59">
        <f t="shared" si="88"/>
        <v>172.32171001882176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0</v>
      </c>
      <c r="AA85" s="21">
        <f>EXP(-LN(2)/25)*AA84+(1-EXP(-LN(2)/25))/(LN(2)/25)*Calculateur!V85*Calculateur!X85*VLOOKUP('Données projet'!$B$9,Paramètres!$A$1:$I$89,3,0)*0.475*44/12</f>
        <v>0.7345991395852508</v>
      </c>
      <c r="AB85" s="21">
        <f>EXP(-LN(2)/2)*AB84+(1-EXP(-LN(2)/2))/(LN(2)/2)*V85*Y85*VLOOKUP('Données projet'!$B$9,Paramètres!$A$1:$I$89,3,0)*0.475*44/12</f>
        <v>9.2228470063633133E-8</v>
      </c>
      <c r="AC85" s="22">
        <f t="shared" si="57"/>
        <v>0.73459923181372089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5.6</v>
      </c>
      <c r="AI85" s="13">
        <f>IF('Données projet'!$A$62&gt;35,AI84+AH85-AQ84,IF(A85&lt;'Données projet'!$A$62,$AF$205^A85,IF(A85='Données projet'!$A$62,'Données projet'!$B$62,AI84+AH85-AQ84)))</f>
        <v>251.2000000000003</v>
      </c>
      <c r="AJ85" s="13">
        <f>AI85*VLOOKUP('Données projet'!$B$10,Paramètres!$A$1:$I$89,3,0)*VLOOKUP('Données projet'!$B$10,Paramètres!$A$1:$I$89,5,0)</f>
        <v>254.71680000000032</v>
      </c>
      <c r="AK85" s="13">
        <f t="shared" si="89"/>
        <v>61.594871205031644</v>
      </c>
      <c r="AL85" s="20">
        <f t="shared" si="58"/>
        <v>550.9094940154306</v>
      </c>
      <c r="AM85" s="59">
        <f t="shared" si="59"/>
        <v>844.24282734876397</v>
      </c>
      <c r="AN85" s="59">
        <f ca="1">AVERAGE(OFFSET($AM$3,0,0,'Données projet'!$E$10+1,1))-AVERAGE(OFFSET($H$3,0,0,'Données projet'!$E$10+1,1))</f>
        <v>324.30660429578262</v>
      </c>
      <c r="AO85" s="59">
        <f t="shared" si="90"/>
        <v>197.04549436738586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</v>
      </c>
      <c r="AV85" s="21">
        <f>EXP(-LN(2)/25)*AV84+(1-EXP(-LN(2)/25))/(LN(2)/25)*Calculateur!AQ85*Calculateur!AS85*VLOOKUP('Données projet'!$B$10,Paramètres!$A$1:$I$89,3,0)*0.475*44/12</f>
        <v>0.82325765643174664</v>
      </c>
      <c r="AW85" s="21">
        <f>EXP(-LN(2)/2)*AW84+(1-EXP(-LN(2)/2))/(LN(2)/2)*AQ85*AT85*VLOOKUP('Données projet'!$B$10,Paramètres!$A$1:$I$89,3,0)*0.475*44/12</f>
        <v>1.0335949231269229E-7</v>
      </c>
      <c r="AX85" s="21">
        <f t="shared" si="60"/>
        <v>0.82325775979123894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17.5</v>
      </c>
      <c r="BD85" s="12">
        <f>IF('Données projet'!$A$88&gt;35,BD84+BC85-BL84,IF(A85&lt;'Données projet'!$A$88,$BA$205^A85,IF(A85='Données projet'!$A$88,'Données projet'!$B$88,BD84+BC85-BL84)))</f>
        <v>484.59999999999991</v>
      </c>
      <c r="BE85" s="13">
        <f>BD85*VLOOKUP('Données projet'!$B$11,Paramètres!$A$1:$I$89,3,0)*VLOOKUP('Données projet'!$B$11,Paramètres!$A$1:$I$89,5,0)</f>
        <v>226.79279999999994</v>
      </c>
      <c r="BF85" s="13">
        <f t="shared" si="91"/>
        <v>55.588644170072158</v>
      </c>
      <c r="BG85" s="20">
        <f t="shared" si="61"/>
        <v>491.8143485962089</v>
      </c>
      <c r="BH85" s="59">
        <f t="shared" si="62"/>
        <v>785.14768192954216</v>
      </c>
      <c r="BI85" s="59">
        <f ca="1">AVERAGE(OFFSET($BH$3,0,0,'Données projet'!$E$11+1,1))-AVERAGE(OFFSET($H$3,0,0,'Données projet'!$E$11+1,1))</f>
        <v>252.98248842635206</v>
      </c>
      <c r="BJ85" s="59">
        <f t="shared" si="92"/>
        <v>207.11938580878308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1.1192703911686102</v>
      </c>
      <c r="BQ85" s="21">
        <f>EXP(-LN(2)/25)*BQ84+(1-EXP(-LN(2)/25))/(LN(2)/25)*Calculateur!BL85*Calculateur!BN85*VLOOKUP('Données projet'!$B$11,Paramètres!$A$1:$I$89,3,0)*0.475*44/12</f>
        <v>1.8579305301689093</v>
      </c>
      <c r="BR85" s="21">
        <f>EXP(-LN(2)/2)*BR84+(1-EXP(-LN(2)/2))/(LN(2)/2)*BL85*BO85*VLOOKUP('Données projet'!$B$11,Paramètres!$A$1:$I$89,3,0)*0.475*44/12</f>
        <v>1.4651084661924827E-7</v>
      </c>
      <c r="BS85" s="22">
        <f t="shared" si="63"/>
        <v>2.977201067848366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-5.6843418860808015E-13</v>
      </c>
      <c r="BZ85" s="13">
        <f>BY85*VLOOKUP('Données projet'!$B$12,Paramètres!$A$1:$I$89,3,0)*VLOOKUP('Données projet'!$B$12,Paramètres!$A$1:$I$89,5,0)</f>
        <v>-3.39923644787632E-13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392.08740055894992</v>
      </c>
      <c r="CE85" s="59">
        <f t="shared" si="94"/>
        <v>395.10797100415783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1.4276294947763621</v>
      </c>
      <c r="CL85" s="21">
        <f>EXP(-LN(2)/25)*CL84+(1-EXP(-LN(2)/25))/(LN(2)/25)*Calculateur!CG85*Calculateur!CI85*VLOOKUP('Données projet'!$B$12,Paramètres!$A$1:$I$89,3,0)*0.475*44/12</f>
        <v>6.1505792048753616</v>
      </c>
      <c r="CM85" s="21">
        <f>EXP(-LN(2)/2)*CM84+(1-EXP(-LN(2)/2))/(LN(2)/2)*CG85*CJ85*VLOOKUP('Données projet'!$B$12,Paramètres!$A$1:$I$89,3,0)*0.475*44/12</f>
        <v>5.1795442988590067E-7</v>
      </c>
      <c r="CN85" s="22">
        <f t="shared" si="66"/>
        <v>7.5782092176061528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5.6</v>
      </c>
      <c r="N86" s="13">
        <f>IF('Données projet'!$A$36&gt;35,N85+M86-V85,IF(A86&lt;'Données projet'!$A$36,$K$205^A86,IF(A86='Données projet'!$A$36,'Données projet'!$B$36,N85+M86-V85)))</f>
        <v>256.8000000000003</v>
      </c>
      <c r="O86" s="13">
        <f>N86*VLOOKUP('Données projet'!$B$9,Paramètres!$A$1:$I$89,3,0)*VLOOKUP('Données projet'!$B$9,Paramètres!$A$1:$I$89,5,0)</f>
        <v>232.35264000000026</v>
      </c>
      <c r="P86" s="13">
        <f t="shared" si="87"/>
        <v>56.791075613550355</v>
      </c>
      <c r="Q86" s="20">
        <f t="shared" si="54"/>
        <v>503.59197136026728</v>
      </c>
      <c r="R86" s="59">
        <f t="shared" si="55"/>
        <v>796.92530469360054</v>
      </c>
      <c r="S86" s="59">
        <f ca="1">AVERAGE(OFFSET($R$3,0,0,'Données projet'!$E$9+1,1))-AVERAGE(OFFSET($H$3,0,0,'Données projet'!$E$9+1,1))</f>
        <v>282.32472952059817</v>
      </c>
      <c r="T86" s="59">
        <f t="shared" si="88"/>
        <v>172.32171001882176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0</v>
      </c>
      <c r="AA86" s="21">
        <f>EXP(-LN(2)/25)*AA85+(1-EXP(-LN(2)/25))/(LN(2)/25)*Calculateur!V86*Calculateur!X86*VLOOKUP('Données projet'!$B$9,Paramètres!$A$1:$I$89,3,0)*0.475*44/12</f>
        <v>0.71451148748240234</v>
      </c>
      <c r="AB86" s="21">
        <f>EXP(-LN(2)/2)*AB85+(1-EXP(-LN(2)/2))/(LN(2)/2)*V86*Y86*VLOOKUP('Données projet'!$B$9,Paramètres!$A$1:$I$89,3,0)*0.475*44/12</f>
        <v>6.5215376600455482E-8</v>
      </c>
      <c r="AC86" s="22">
        <f t="shared" si="57"/>
        <v>0.714511552697779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5.6</v>
      </c>
      <c r="AI86" s="13">
        <f>IF('Données projet'!$A$62&gt;35,AI85+AH86-AQ85,IF(A86&lt;'Données projet'!$A$62,$AF$205^A86,IF(A86='Données projet'!$A$62,'Données projet'!$B$62,AI85+AH86-AQ85)))</f>
        <v>256.8000000000003</v>
      </c>
      <c r="AJ86" s="13">
        <f>AI86*VLOOKUP('Données projet'!$B$10,Paramètres!$A$1:$I$89,3,0)*VLOOKUP('Données projet'!$B$10,Paramètres!$A$1:$I$89,5,0)</f>
        <v>260.39520000000027</v>
      </c>
      <c r="AK86" s="13">
        <f t="shared" si="89"/>
        <v>62.80661117771438</v>
      </c>
      <c r="AL86" s="20">
        <f t="shared" si="58"/>
        <v>562.90982113451958</v>
      </c>
      <c r="AM86" s="59">
        <f t="shared" si="59"/>
        <v>856.24315446785295</v>
      </c>
      <c r="AN86" s="59">
        <f ca="1">AVERAGE(OFFSET($AM$3,0,0,'Données projet'!$E$10+1,1))-AVERAGE(OFFSET($H$3,0,0,'Données projet'!$E$10+1,1))</f>
        <v>324.30660429578262</v>
      </c>
      <c r="AO86" s="59">
        <f t="shared" si="90"/>
        <v>197.04549436738586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</v>
      </c>
      <c r="AV86" s="21">
        <f>EXP(-LN(2)/25)*AV85+(1-EXP(-LN(2)/25))/(LN(2)/25)*Calculateur!AQ86*Calculateur!AS86*VLOOKUP('Données projet'!$B$10,Paramètres!$A$1:$I$89,3,0)*0.475*44/12</f>
        <v>0.80074563252338193</v>
      </c>
      <c r="AW86" s="21">
        <f>EXP(-LN(2)/2)*AW85+(1-EXP(-LN(2)/2))/(LN(2)/2)*AQ86*AT86*VLOOKUP('Données projet'!$B$10,Paramètres!$A$1:$I$89,3,0)*0.475*44/12</f>
        <v>7.3086197914303546E-8</v>
      </c>
      <c r="AX86" s="21">
        <f t="shared" si="60"/>
        <v>0.80074570560957981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17.5</v>
      </c>
      <c r="BD86" s="12">
        <f>IF('Données projet'!$A$88&gt;35,BD85+BC86-BL85,IF(A86&lt;'Données projet'!$A$88,$BA$205^A86,IF(A86='Données projet'!$A$88,'Données projet'!$B$88,BD85+BC86-BL85)))</f>
        <v>502.09999999999991</v>
      </c>
      <c r="BE86" s="13">
        <f>BD86*VLOOKUP('Données projet'!$B$11,Paramètres!$A$1:$I$89,3,0)*VLOOKUP('Données projet'!$B$11,Paramètres!$A$1:$I$89,5,0)</f>
        <v>234.98279999999997</v>
      </c>
      <c r="BF86" s="13">
        <f t="shared" si="91"/>
        <v>57.358731763746825</v>
      </c>
      <c r="BG86" s="20">
        <f t="shared" si="61"/>
        <v>509.16150115519235</v>
      </c>
      <c r="BH86" s="59">
        <f t="shared" si="62"/>
        <v>802.49483448852561</v>
      </c>
      <c r="BI86" s="59">
        <f ca="1">AVERAGE(OFFSET($BH$3,0,0,'Données projet'!$E$11+1,1))-AVERAGE(OFFSET($H$3,0,0,'Données projet'!$E$11+1,1))</f>
        <v>252.98248842635206</v>
      </c>
      <c r="BJ86" s="59">
        <f t="shared" si="92"/>
        <v>207.11938580878308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1.0973221814853225</v>
      </c>
      <c r="BQ86" s="21">
        <f>EXP(-LN(2)/25)*BQ85+(1-EXP(-LN(2)/25))/(LN(2)/25)*Calculateur!BL86*Calculateur!BN86*VLOOKUP('Données projet'!$B$11,Paramètres!$A$1:$I$89,3,0)*0.475*44/12</f>
        <v>1.8071253221171202</v>
      </c>
      <c r="BR86" s="21">
        <f>EXP(-LN(2)/2)*BR85+(1-EXP(-LN(2)/2))/(LN(2)/2)*BL86*BO86*VLOOKUP('Données projet'!$B$11,Paramètres!$A$1:$I$89,3,0)*0.475*44/12</f>
        <v>1.0359881316185261E-7</v>
      </c>
      <c r="BS86" s="22">
        <f t="shared" si="63"/>
        <v>2.9044476072012557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-5.6843418860808015E-13</v>
      </c>
      <c r="BZ86" s="13">
        <f>BY86*VLOOKUP('Données projet'!$B$12,Paramètres!$A$1:$I$89,3,0)*VLOOKUP('Données projet'!$B$12,Paramètres!$A$1:$I$89,5,0)</f>
        <v>-3.39923644787632E-13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392.08740055894992</v>
      </c>
      <c r="CE86" s="59">
        <f t="shared" si="94"/>
        <v>395.10797100415783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1.3996345511518082</v>
      </c>
      <c r="CL86" s="21">
        <f>EXP(-LN(2)/25)*CL85+(1-EXP(-LN(2)/25))/(LN(2)/25)*Calculateur!CG86*Calculateur!CI86*VLOOKUP('Données projet'!$B$12,Paramètres!$A$1:$I$89,3,0)*0.475*44/12</f>
        <v>5.9823912930731415</v>
      </c>
      <c r="CM86" s="21">
        <f>EXP(-LN(2)/2)*CM85+(1-EXP(-LN(2)/2))/(LN(2)/2)*CG86*CJ86*VLOOKUP('Données projet'!$B$12,Paramètres!$A$1:$I$89,3,0)*0.475*44/12</f>
        <v>3.6624908971793254E-7</v>
      </c>
      <c r="CN86" s="22">
        <f t="shared" si="66"/>
        <v>7.3820262104740397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5.6</v>
      </c>
      <c r="N87" s="13">
        <f>IF('Données projet'!$A$36&gt;35,N86+M87-V86,IF(A87&lt;'Données projet'!$A$36,$K$205^A87,IF(A87='Données projet'!$A$36,'Données projet'!$B$36,N86+M87-V86)))</f>
        <v>262.40000000000032</v>
      </c>
      <c r="O87" s="13">
        <f>N87*VLOOKUP('Données projet'!$B$9,Paramètres!$A$1:$I$89,3,0)*VLOOKUP('Données projet'!$B$9,Paramètres!$A$1:$I$89,5,0)</f>
        <v>237.41952000000029</v>
      </c>
      <c r="P87" s="13">
        <f t="shared" si="87"/>
        <v>57.883978814320969</v>
      </c>
      <c r="Q87" s="20">
        <f t="shared" si="54"/>
        <v>514.32026043494284</v>
      </c>
      <c r="R87" s="59">
        <f t="shared" si="55"/>
        <v>807.6535937682761</v>
      </c>
      <c r="S87" s="59">
        <f ca="1">AVERAGE(OFFSET($R$3,0,0,'Données projet'!$E$9+1,1))-AVERAGE(OFFSET($H$3,0,0,'Données projet'!$E$9+1,1))</f>
        <v>282.32472952059817</v>
      </c>
      <c r="T87" s="59">
        <f t="shared" si="88"/>
        <v>172.32171001882176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0</v>
      </c>
      <c r="AA87" s="21">
        <f>EXP(-LN(2)/25)*AA86+(1-EXP(-LN(2)/25))/(LN(2)/25)*Calculateur!V87*Calculateur!X87*VLOOKUP('Données projet'!$B$9,Paramètres!$A$1:$I$89,3,0)*0.475*44/12</f>
        <v>0.69497313328266996</v>
      </c>
      <c r="AB87" s="21">
        <f>EXP(-LN(2)/2)*AB86+(1-EXP(-LN(2)/2))/(LN(2)/2)*V87*Y87*VLOOKUP('Données projet'!$B$9,Paramètres!$A$1:$I$89,3,0)*0.475*44/12</f>
        <v>4.6114235031816567E-8</v>
      </c>
      <c r="AC87" s="22">
        <f t="shared" si="57"/>
        <v>0.69497317939690495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5.6</v>
      </c>
      <c r="AI87" s="13">
        <f>IF('Données projet'!$A$62&gt;35,AI86+AH87-AQ86,IF(A87&lt;'Données projet'!$A$62,$AF$205^A87,IF(A87='Données projet'!$A$62,'Données projet'!$B$62,AI86+AH87-AQ86)))</f>
        <v>262.40000000000032</v>
      </c>
      <c r="AJ87" s="13">
        <f>AI87*VLOOKUP('Données projet'!$B$10,Paramètres!$A$1:$I$89,3,0)*VLOOKUP('Données projet'!$B$10,Paramètres!$A$1:$I$89,5,0)</f>
        <v>266.07360000000034</v>
      </c>
      <c r="AK87" s="13">
        <f t="shared" si="89"/>
        <v>64.015279012301193</v>
      </c>
      <c r="AL87" s="20">
        <f t="shared" si="58"/>
        <v>574.90479761309177</v>
      </c>
      <c r="AM87" s="59">
        <f t="shared" si="59"/>
        <v>868.23813094642514</v>
      </c>
      <c r="AN87" s="59">
        <f ca="1">AVERAGE(OFFSET($AM$3,0,0,'Données projet'!$E$10+1,1))-AVERAGE(OFFSET($H$3,0,0,'Données projet'!$E$10+1,1))</f>
        <v>324.30660429578262</v>
      </c>
      <c r="AO87" s="59">
        <f t="shared" si="90"/>
        <v>197.04549436738586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</v>
      </c>
      <c r="AV87" s="21">
        <f>EXP(-LN(2)/25)*AV86+(1-EXP(-LN(2)/25))/(LN(2)/25)*Calculateur!AQ87*Calculateur!AS87*VLOOKUP('Données projet'!$B$10,Paramètres!$A$1:$I$89,3,0)*0.475*44/12</f>
        <v>0.77884920109264733</v>
      </c>
      <c r="AW87" s="21">
        <f>EXP(-LN(2)/2)*AW86+(1-EXP(-LN(2)/2))/(LN(2)/2)*AQ87*AT87*VLOOKUP('Données projet'!$B$10,Paramètres!$A$1:$I$89,3,0)*0.475*44/12</f>
        <v>5.1679746156346144E-8</v>
      </c>
      <c r="AX87" s="21">
        <f t="shared" si="60"/>
        <v>0.77884925277239347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17.5</v>
      </c>
      <c r="BD87" s="12">
        <f>IF('Données projet'!$A$88&gt;35,BD86+BC87-BL86,IF(A87&lt;'Données projet'!$A$88,$BA$205^A87,IF(A87='Données projet'!$A$88,'Données projet'!$B$88,BD86+BC87-BL86)))</f>
        <v>519.59999999999991</v>
      </c>
      <c r="BE87" s="13">
        <f>BD87*VLOOKUP('Données projet'!$B$11,Paramètres!$A$1:$I$89,3,0)*VLOOKUP('Données projet'!$B$11,Paramètres!$A$1:$I$89,5,0)</f>
        <v>243.17279999999994</v>
      </c>
      <c r="BF87" s="13">
        <f t="shared" si="91"/>
        <v>59.121651195612671</v>
      </c>
      <c r="BG87" s="20">
        <f t="shared" si="61"/>
        <v>526.49616916569187</v>
      </c>
      <c r="BH87" s="59">
        <f t="shared" si="62"/>
        <v>819.82950249902524</v>
      </c>
      <c r="BI87" s="59">
        <f ca="1">AVERAGE(OFFSET($BH$3,0,0,'Données projet'!$E$11+1,1))-AVERAGE(OFFSET($H$3,0,0,'Données projet'!$E$11+1,1))</f>
        <v>252.98248842635206</v>
      </c>
      <c r="BJ87" s="59">
        <f t="shared" si="92"/>
        <v>207.11938580878308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1.0758043628068381</v>
      </c>
      <c r="BQ87" s="21">
        <f>EXP(-LN(2)/25)*BQ86+(1-EXP(-LN(2)/25))/(LN(2)/25)*Calculateur!BL87*Calculateur!BN87*VLOOKUP('Données projet'!$B$11,Paramètres!$A$1:$I$89,3,0)*0.475*44/12</f>
        <v>1.7577093851512371</v>
      </c>
      <c r="BR87" s="21">
        <f>EXP(-LN(2)/2)*BR86+(1-EXP(-LN(2)/2))/(LN(2)/2)*BL87*BO87*VLOOKUP('Données projet'!$B$11,Paramètres!$A$1:$I$89,3,0)*0.475*44/12</f>
        <v>7.3255423309624135E-8</v>
      </c>
      <c r="BS87" s="22">
        <f t="shared" si="63"/>
        <v>2.8335138212134985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-5.6843418860808015E-13</v>
      </c>
      <c r="BZ87" s="13">
        <f>BY87*VLOOKUP('Données projet'!$B$12,Paramètres!$A$1:$I$89,3,0)*VLOOKUP('Données projet'!$B$12,Paramètres!$A$1:$I$89,5,0)</f>
        <v>-3.39923644787632E-13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392.08740055894992</v>
      </c>
      <c r="CE87" s="59">
        <f t="shared" si="94"/>
        <v>395.10797100415783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1.3721885712965023</v>
      </c>
      <c r="CL87" s="21">
        <f>EXP(-LN(2)/25)*CL86+(1-EXP(-LN(2)/25))/(LN(2)/25)*Calculateur!CG87*Calculateur!CI87*VLOOKUP('Données projet'!$B$12,Paramètres!$A$1:$I$89,3,0)*0.475*44/12</f>
        <v>5.8188024885637715</v>
      </c>
      <c r="CM87" s="21">
        <f>EXP(-LN(2)/2)*CM86+(1-EXP(-LN(2)/2))/(LN(2)/2)*CG87*CJ87*VLOOKUP('Données projet'!$B$12,Paramètres!$A$1:$I$89,3,0)*0.475*44/12</f>
        <v>2.5897721494295034E-7</v>
      </c>
      <c r="CN87" s="22">
        <f t="shared" si="66"/>
        <v>7.1909913188374883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5.6</v>
      </c>
      <c r="N88" s="13">
        <f>IF('Données projet'!$A$36&gt;35,N87+M88-V87,IF(A88&lt;'Données projet'!$A$36,$K$205^A88,IF(A88='Données projet'!$A$36,'Données projet'!$B$36,N87+M88-V87)))</f>
        <v>268.00000000000034</v>
      </c>
      <c r="O88" s="13">
        <f>N88*VLOOKUP('Données projet'!$B$9,Paramètres!$A$1:$I$89,3,0)*VLOOKUP('Données projet'!$B$9,Paramètres!$A$1:$I$89,5,0)</f>
        <v>242.48640000000032</v>
      </c>
      <c r="P88" s="13">
        <f t="shared" si="87"/>
        <v>58.974170235372526</v>
      </c>
      <c r="Q88" s="20">
        <f t="shared" si="54"/>
        <v>525.04382649327442</v>
      </c>
      <c r="R88" s="59">
        <f t="shared" si="55"/>
        <v>818.37715982660779</v>
      </c>
      <c r="S88" s="59">
        <f ca="1">AVERAGE(OFFSET($R$3,0,0,'Données projet'!$E$9+1,1))-AVERAGE(OFFSET($H$3,0,0,'Données projet'!$E$9+1,1))</f>
        <v>282.32472952059817</v>
      </c>
      <c r="T88" s="59">
        <f t="shared" si="88"/>
        <v>172.32171001882176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0</v>
      </c>
      <c r="AA88" s="21">
        <f>EXP(-LN(2)/25)*AA87+(1-EXP(-LN(2)/25))/(LN(2)/25)*Calculateur!V88*Calculateur!X88*VLOOKUP('Données projet'!$B$9,Paramètres!$A$1:$I$89,3,0)*0.475*44/12</f>
        <v>0.67596905640600669</v>
      </c>
      <c r="AB88" s="21">
        <f>EXP(-LN(2)/2)*AB87+(1-EXP(-LN(2)/2))/(LN(2)/2)*V88*Y88*VLOOKUP('Données projet'!$B$9,Paramètres!$A$1:$I$89,3,0)*0.475*44/12</f>
        <v>3.2607688300227741E-8</v>
      </c>
      <c r="AC88" s="22">
        <f t="shared" si="57"/>
        <v>0.67596908901369501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5.6</v>
      </c>
      <c r="AI88" s="13">
        <f>IF('Données projet'!$A$62&gt;35,AI87+AH88-AQ87,IF(A88&lt;'Données projet'!$A$62,$AF$205^A88,IF(A88='Données projet'!$A$62,'Données projet'!$B$62,AI87+AH88-AQ87)))</f>
        <v>268.00000000000034</v>
      </c>
      <c r="AJ88" s="13">
        <f>AI88*VLOOKUP('Données projet'!$B$10,Paramètres!$A$1:$I$89,3,0)*VLOOKUP('Données projet'!$B$10,Paramètres!$A$1:$I$89,5,0)</f>
        <v>271.75200000000035</v>
      </c>
      <c r="AK88" s="13">
        <f t="shared" si="89"/>
        <v>65.220947824725044</v>
      </c>
      <c r="AL88" s="20">
        <f t="shared" si="58"/>
        <v>586.89455079472998</v>
      </c>
      <c r="AM88" s="59">
        <f t="shared" si="59"/>
        <v>880.22788412806335</v>
      </c>
      <c r="AN88" s="59">
        <f ca="1">AVERAGE(OFFSET($AM$3,0,0,'Données projet'!$E$10+1,1))-AVERAGE(OFFSET($H$3,0,0,'Données projet'!$E$10+1,1))</f>
        <v>324.30660429578262</v>
      </c>
      <c r="AO88" s="59">
        <f t="shared" si="90"/>
        <v>197.04549436738586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</v>
      </c>
      <c r="AV88" s="21">
        <f>EXP(-LN(2)/25)*AV87+(1-EXP(-LN(2)/25))/(LN(2)/25)*Calculateur!AQ88*Calculateur!AS88*VLOOKUP('Données projet'!$B$10,Paramètres!$A$1:$I$89,3,0)*0.475*44/12</f>
        <v>0.75755152873086951</v>
      </c>
      <c r="AW88" s="21">
        <f>EXP(-LN(2)/2)*AW87+(1-EXP(-LN(2)/2))/(LN(2)/2)*AQ88*AT88*VLOOKUP('Données projet'!$B$10,Paramètres!$A$1:$I$89,3,0)*0.475*44/12</f>
        <v>3.6543098957151773E-8</v>
      </c>
      <c r="AX88" s="21">
        <f t="shared" si="60"/>
        <v>0.7575515652739685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17.5</v>
      </c>
      <c r="BD88" s="12">
        <f>IF('Données projet'!$A$88&gt;35,BD87+BC88-BL87,IF(A88&lt;'Données projet'!$A$88,$BA$205^A88,IF(A88='Données projet'!$A$88,'Données projet'!$B$88,BD87+BC88-BL87)))</f>
        <v>537.09999999999991</v>
      </c>
      <c r="BE88" s="13">
        <f>BD88*VLOOKUP('Données projet'!$B$11,Paramètres!$A$1:$I$89,3,0)*VLOOKUP('Données projet'!$B$11,Paramètres!$A$1:$I$89,5,0)</f>
        <v>251.36279999999996</v>
      </c>
      <c r="BF88" s="13">
        <f t="shared" si="91"/>
        <v>60.877671564837158</v>
      </c>
      <c r="BG88" s="20">
        <f t="shared" si="61"/>
        <v>543.81882130875795</v>
      </c>
      <c r="BH88" s="59">
        <f t="shared" si="62"/>
        <v>837.15215464209132</v>
      </c>
      <c r="BI88" s="59">
        <f ca="1">AVERAGE(OFFSET($BH$3,0,0,'Données projet'!$E$11+1,1))-AVERAGE(OFFSET($H$3,0,0,'Données projet'!$E$11+1,1))</f>
        <v>252.98248842635206</v>
      </c>
      <c r="BJ88" s="59">
        <f t="shared" si="92"/>
        <v>207.11938580878308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1.0547084954280654</v>
      </c>
      <c r="BQ88" s="21">
        <f>EXP(-LN(2)/25)*BQ87+(1-EXP(-LN(2)/25))/(LN(2)/25)*Calculateur!BL88*Calculateur!BN88*VLOOKUP('Données projet'!$B$11,Paramètres!$A$1:$I$89,3,0)*0.475*44/12</f>
        <v>1.7096447295803572</v>
      </c>
      <c r="BR88" s="21">
        <f>EXP(-LN(2)/2)*BR87+(1-EXP(-LN(2)/2))/(LN(2)/2)*BL88*BO88*VLOOKUP('Données projet'!$B$11,Paramètres!$A$1:$I$89,3,0)*0.475*44/12</f>
        <v>5.1799406580926307E-8</v>
      </c>
      <c r="BS88" s="22">
        <f t="shared" si="63"/>
        <v>2.7643532768078289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-5.6843418860808015E-13</v>
      </c>
      <c r="BZ88" s="13">
        <f>BY88*VLOOKUP('Données projet'!$B$12,Paramètres!$A$1:$I$89,3,0)*VLOOKUP('Données projet'!$B$12,Paramètres!$A$1:$I$89,5,0)</f>
        <v>-3.39923644787632E-13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392.08740055894992</v>
      </c>
      <c r="CE88" s="59">
        <f t="shared" si="94"/>
        <v>395.10797100415783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1.3452807903657642</v>
      </c>
      <c r="CL88" s="21">
        <f>EXP(-LN(2)/25)*CL87+(1-EXP(-LN(2)/25))/(LN(2)/25)*Calculateur!CG88*Calculateur!CI88*VLOOKUP('Données projet'!$B$12,Paramètres!$A$1:$I$89,3,0)*0.475*44/12</f>
        <v>5.6596870285164709</v>
      </c>
      <c r="CM88" s="21">
        <f>EXP(-LN(2)/2)*CM87+(1-EXP(-LN(2)/2))/(LN(2)/2)*CG88*CJ88*VLOOKUP('Données projet'!$B$12,Paramètres!$A$1:$I$89,3,0)*0.475*44/12</f>
        <v>1.8312454485896627E-7</v>
      </c>
      <c r="CN88" s="22">
        <f t="shared" si="66"/>
        <v>7.0049680020067804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5.6</v>
      </c>
      <c r="N89" s="13">
        <f>IF('Données projet'!$A$36&gt;35,N88+M89-V88,IF(A89&lt;'Données projet'!$A$36,$K$205^A89,IF(A89='Données projet'!$A$36,'Données projet'!$B$36,N88+M89-V88)))</f>
        <v>273.60000000000036</v>
      </c>
      <c r="O89" s="13">
        <f>N89*VLOOKUP('Données projet'!$B$9,Paramètres!$A$1:$I$89,3,0)*VLOOKUP('Données projet'!$B$9,Paramètres!$A$1:$I$89,5,0)</f>
        <v>247.55328000000031</v>
      </c>
      <c r="P89" s="13">
        <f t="shared" si="87"/>
        <v>60.061713068870304</v>
      </c>
      <c r="Q89" s="20">
        <f t="shared" si="54"/>
        <v>535.76277959494962</v>
      </c>
      <c r="R89" s="59">
        <f t="shared" si="55"/>
        <v>829.09611292828299</v>
      </c>
      <c r="S89" s="59">
        <f ca="1">AVERAGE(OFFSET($R$3,0,0,'Données projet'!$E$9+1,1))-AVERAGE(OFFSET($H$3,0,0,'Données projet'!$E$9+1,1))</f>
        <v>282.32472952059817</v>
      </c>
      <c r="T89" s="59">
        <f t="shared" si="88"/>
        <v>172.32171001882176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0</v>
      </c>
      <c r="AA89" s="21">
        <f>EXP(-LN(2)/25)*AA88+(1-EXP(-LN(2)/25))/(LN(2)/25)*Calculateur!V89*Calculateur!X89*VLOOKUP('Données projet'!$B$9,Paramètres!$A$1:$I$89,3,0)*0.475*44/12</f>
        <v>0.65748464701091669</v>
      </c>
      <c r="AB89" s="21">
        <f>EXP(-LN(2)/2)*AB88+(1-EXP(-LN(2)/2))/(LN(2)/2)*V89*Y89*VLOOKUP('Données projet'!$B$9,Paramètres!$A$1:$I$89,3,0)*0.475*44/12</f>
        <v>2.3057117515908283E-8</v>
      </c>
      <c r="AC89" s="22">
        <f t="shared" si="57"/>
        <v>0.65748467006803424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5.6</v>
      </c>
      <c r="AI89" s="13">
        <f>IF('Données projet'!$A$62&gt;35,AI88+AH89-AQ88,IF(A89&lt;'Données projet'!$A$62,$AF$205^A89,IF(A89='Données projet'!$A$62,'Données projet'!$B$62,AI88+AH89-AQ88)))</f>
        <v>273.60000000000036</v>
      </c>
      <c r="AJ89" s="13">
        <f>AI89*VLOOKUP('Données projet'!$B$10,Paramètres!$A$1:$I$89,3,0)*VLOOKUP('Données projet'!$B$10,Paramètres!$A$1:$I$89,5,0)</f>
        <v>277.43040000000036</v>
      </c>
      <c r="AK89" s="13">
        <f t="shared" si="89"/>
        <v>66.423687500715801</v>
      </c>
      <c r="AL89" s="20">
        <f t="shared" si="58"/>
        <v>598.87920239708058</v>
      </c>
      <c r="AM89" s="59">
        <f t="shared" si="59"/>
        <v>892.21253573041395</v>
      </c>
      <c r="AN89" s="59">
        <f ca="1">AVERAGE(OFFSET($AM$3,0,0,'Données projet'!$E$10+1,1))-AVERAGE(OFFSET($H$3,0,0,'Données projet'!$E$10+1,1))</f>
        <v>324.30660429578262</v>
      </c>
      <c r="AO89" s="59">
        <f t="shared" si="90"/>
        <v>197.04549436738586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</v>
      </c>
      <c r="AV89" s="21">
        <f>EXP(-LN(2)/25)*AV88+(1-EXP(-LN(2)/25))/(LN(2)/25)*Calculateur!AQ89*Calculateur!AS89*VLOOKUP('Données projet'!$B$10,Paramètres!$A$1:$I$89,3,0)*0.475*44/12</f>
        <v>0.73683624233982037</v>
      </c>
      <c r="AW89" s="21">
        <f>EXP(-LN(2)/2)*AW88+(1-EXP(-LN(2)/2))/(LN(2)/2)*AQ89*AT89*VLOOKUP('Données projet'!$B$10,Paramètres!$A$1:$I$89,3,0)*0.475*44/12</f>
        <v>2.5839873078173072E-8</v>
      </c>
      <c r="AX89" s="21">
        <f t="shared" si="60"/>
        <v>0.7368362681796935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17.5</v>
      </c>
      <c r="BD89" s="12">
        <f>IF('Données projet'!$A$88&gt;35,BD88+BC89-BL88,IF(A89&lt;'Données projet'!$A$88,$BA$205^A89,IF(A89='Données projet'!$A$88,'Données projet'!$B$88,BD88+BC89-BL88)))</f>
        <v>554.59999999999991</v>
      </c>
      <c r="BE89" s="13">
        <f>BD89*VLOOKUP('Données projet'!$B$11,Paramètres!$A$1:$I$89,3,0)*VLOOKUP('Données projet'!$B$11,Paramètres!$A$1:$I$89,5,0)</f>
        <v>259.55279999999993</v>
      </c>
      <c r="BF89" s="13">
        <f t="shared" si="91"/>
        <v>62.627043439399927</v>
      </c>
      <c r="BG89" s="20">
        <f t="shared" si="61"/>
        <v>561.12989399028811</v>
      </c>
      <c r="BH89" s="59">
        <f t="shared" si="62"/>
        <v>854.46322732362137</v>
      </c>
      <c r="BI89" s="59">
        <f ca="1">AVERAGE(OFFSET($BH$3,0,0,'Données projet'!$E$11+1,1))-AVERAGE(OFFSET($H$3,0,0,'Données projet'!$E$11+1,1))</f>
        <v>252.98248842635206</v>
      </c>
      <c r="BJ89" s="59">
        <f t="shared" si="92"/>
        <v>207.11938580878308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1.0340263051413818</v>
      </c>
      <c r="BQ89" s="21">
        <f>EXP(-LN(2)/25)*BQ88+(1-EXP(-LN(2)/25))/(LN(2)/25)*Calculateur!BL89*Calculateur!BN89*VLOOKUP('Données projet'!$B$11,Paramètres!$A$1:$I$89,3,0)*0.475*44/12</f>
        <v>1.6628944045436733</v>
      </c>
      <c r="BR89" s="21">
        <f>EXP(-LN(2)/2)*BR88+(1-EXP(-LN(2)/2))/(LN(2)/2)*BL89*BO89*VLOOKUP('Données projet'!$B$11,Paramètres!$A$1:$I$89,3,0)*0.475*44/12</f>
        <v>3.6627711654812067E-8</v>
      </c>
      <c r="BS89" s="22">
        <f t="shared" si="63"/>
        <v>2.6969207463127667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-5.6843418860808015E-13</v>
      </c>
      <c r="BZ89" s="13">
        <f>BY89*VLOOKUP('Données projet'!$B$12,Paramètres!$A$1:$I$89,3,0)*VLOOKUP('Données projet'!$B$12,Paramètres!$A$1:$I$89,5,0)</f>
        <v>-3.39923644787632E-13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392.08740055894992</v>
      </c>
      <c r="CE89" s="59">
        <f t="shared" si="94"/>
        <v>395.10797100415783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1.3189006546069522</v>
      </c>
      <c r="CL89" s="21">
        <f>EXP(-LN(2)/25)*CL88+(1-EXP(-LN(2)/25))/(LN(2)/25)*Calculateur!CG89*Calculateur!CI89*VLOOKUP('Données projet'!$B$12,Paramètres!$A$1:$I$89,3,0)*0.475*44/12</f>
        <v>5.5049225890916826</v>
      </c>
      <c r="CM89" s="21">
        <f>EXP(-LN(2)/2)*CM88+(1-EXP(-LN(2)/2))/(LN(2)/2)*CG89*CJ89*VLOOKUP('Données projet'!$B$12,Paramètres!$A$1:$I$89,3,0)*0.475*44/12</f>
        <v>1.2948860747147517E-7</v>
      </c>
      <c r="CN89" s="22">
        <f t="shared" si="66"/>
        <v>6.823823373187242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5.6</v>
      </c>
      <c r="N90" s="13">
        <f>IF('Données projet'!$A$36&gt;35,N89+M90-V89,IF(A90&lt;'Données projet'!$A$36,$K$205^A90,IF(A90='Données projet'!$A$36,'Données projet'!$B$36,N89+M90-V89)))</f>
        <v>279.20000000000039</v>
      </c>
      <c r="O90" s="13">
        <f>N90*VLOOKUP('Données projet'!$B$9,Paramètres!$A$1:$I$89,3,0)*VLOOKUP('Données projet'!$B$9,Paramètres!$A$1:$I$89,5,0)</f>
        <v>252.62016000000034</v>
      </c>
      <c r="P90" s="13">
        <f t="shared" si="87"/>
        <v>61.146667772298876</v>
      </c>
      <c r="Q90" s="20">
        <f t="shared" si="54"/>
        <v>546.47722503675448</v>
      </c>
      <c r="R90" s="59">
        <f t="shared" si="55"/>
        <v>839.81055837008785</v>
      </c>
      <c r="S90" s="59">
        <f ca="1">AVERAGE(OFFSET($R$3,0,0,'Données projet'!$E$9+1,1))-AVERAGE(OFFSET($H$3,0,0,'Données projet'!$E$9+1,1))</f>
        <v>282.32472952059817</v>
      </c>
      <c r="T90" s="59">
        <f t="shared" si="88"/>
        <v>172.32171001882176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0</v>
      </c>
      <c r="AA90" s="21">
        <f>EXP(-LN(2)/25)*AA89+(1-EXP(-LN(2)/25))/(LN(2)/25)*Calculateur!V90*Calculateur!X90*VLOOKUP('Données projet'!$B$9,Paramètres!$A$1:$I$89,3,0)*0.475*44/12</f>
        <v>0.63950569476278829</v>
      </c>
      <c r="AB90" s="21">
        <f>EXP(-LN(2)/2)*AB89+(1-EXP(-LN(2)/2))/(LN(2)/2)*V90*Y90*VLOOKUP('Données projet'!$B$9,Paramètres!$A$1:$I$89,3,0)*0.475*44/12</f>
        <v>1.630384415011387E-8</v>
      </c>
      <c r="AC90" s="22">
        <f t="shared" si="57"/>
        <v>0.63950571106663245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5.6</v>
      </c>
      <c r="AI90" s="13">
        <f>IF('Données projet'!$A$62&gt;35,AI89+AH90-AQ89,IF(A90&lt;'Données projet'!$A$62,$AF$205^A90,IF(A90='Données projet'!$A$62,'Données projet'!$B$62,AI89+AH90-AQ89)))</f>
        <v>279.20000000000039</v>
      </c>
      <c r="AJ90" s="13">
        <f>AI90*VLOOKUP('Données projet'!$B$10,Paramètres!$A$1:$I$89,3,0)*VLOOKUP('Données projet'!$B$10,Paramètres!$A$1:$I$89,5,0)</f>
        <v>283.10880000000037</v>
      </c>
      <c r="AK90" s="13">
        <f t="shared" si="89"/>
        <v>67.623564901653921</v>
      </c>
      <c r="AL90" s="20">
        <f t="shared" si="58"/>
        <v>610.85886887038123</v>
      </c>
      <c r="AM90" s="59">
        <f t="shared" si="59"/>
        <v>904.19220220371449</v>
      </c>
      <c r="AN90" s="59">
        <f ca="1">AVERAGE(OFFSET($AM$3,0,0,'Données projet'!$E$10+1,1))-AVERAGE(OFFSET($H$3,0,0,'Données projet'!$E$10+1,1))</f>
        <v>324.30660429578262</v>
      </c>
      <c r="AO90" s="59">
        <f t="shared" si="90"/>
        <v>197.04549436738586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</v>
      </c>
      <c r="AV90" s="21">
        <f>EXP(-LN(2)/25)*AV89+(1-EXP(-LN(2)/25))/(LN(2)/25)*Calculateur!AQ90*Calculateur!AS90*VLOOKUP('Données projet'!$B$10,Paramètres!$A$1:$I$89,3,0)*0.475*44/12</f>
        <v>0.71668741654450407</v>
      </c>
      <c r="AW90" s="21">
        <f>EXP(-LN(2)/2)*AW89+(1-EXP(-LN(2)/2))/(LN(2)/2)*AQ90*AT90*VLOOKUP('Données projet'!$B$10,Paramètres!$A$1:$I$89,3,0)*0.475*44/12</f>
        <v>1.8271549478575887E-8</v>
      </c>
      <c r="AX90" s="21">
        <f t="shared" si="60"/>
        <v>0.71668743481605357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17.5</v>
      </c>
      <c r="BD90" s="12">
        <f>IF('Données projet'!$A$88&gt;35,BD89+BC90-BL89,IF(A90&lt;'Données projet'!$A$88,$BA$205^A90,IF(A90='Données projet'!$A$88,'Données projet'!$B$88,BD89+BC90-BL89)))</f>
        <v>572.09999999999991</v>
      </c>
      <c r="BE90" s="13">
        <f>BD90*VLOOKUP('Données projet'!$B$11,Paramètres!$A$1:$I$89,3,0)*VLOOKUP('Données projet'!$B$11,Paramètres!$A$1:$I$89,5,0)</f>
        <v>267.74279999999993</v>
      </c>
      <c r="BF90" s="13">
        <f t="shared" si="91"/>
        <v>64.370000676259949</v>
      </c>
      <c r="BG90" s="20">
        <f t="shared" si="61"/>
        <v>578.42979451115264</v>
      </c>
      <c r="BH90" s="59">
        <f t="shared" si="62"/>
        <v>871.76312784448601</v>
      </c>
      <c r="BI90" s="59">
        <f ca="1">AVERAGE(OFFSET($BH$3,0,0,'Données projet'!$E$11+1,1))-AVERAGE(OFFSET($H$3,0,0,'Données projet'!$E$11+1,1))</f>
        <v>252.98248842635206</v>
      </c>
      <c r="BJ90" s="59">
        <f t="shared" si="92"/>
        <v>207.11938580878308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1.0137496799913297</v>
      </c>
      <c r="BQ90" s="21">
        <f>EXP(-LN(2)/25)*BQ89+(1-EXP(-LN(2)/25))/(LN(2)/25)*Calculateur!BL90*Calculateur!BN90*VLOOKUP('Données projet'!$B$11,Paramètres!$A$1:$I$89,3,0)*0.475*44/12</f>
        <v>1.6174224696036104</v>
      </c>
      <c r="BR90" s="21">
        <f>EXP(-LN(2)/2)*BR89+(1-EXP(-LN(2)/2))/(LN(2)/2)*BL90*BO90*VLOOKUP('Données projet'!$B$11,Paramètres!$A$1:$I$89,3,0)*0.475*44/12</f>
        <v>2.5899703290463154E-8</v>
      </c>
      <c r="BS90" s="22">
        <f t="shared" si="63"/>
        <v>2.6311721754946436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-5.6843418860808015E-13</v>
      </c>
      <c r="BZ90" s="13">
        <f>BY90*VLOOKUP('Données projet'!$B$12,Paramètres!$A$1:$I$89,3,0)*VLOOKUP('Données projet'!$B$12,Paramètres!$A$1:$I$89,5,0)</f>
        <v>-3.39923644787632E-13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392.08740055894992</v>
      </c>
      <c r="CE90" s="59">
        <f t="shared" si="94"/>
        <v>395.10797100415783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1.2930378172200763</v>
      </c>
      <c r="CL90" s="21">
        <f>EXP(-LN(2)/25)*CL89+(1-EXP(-LN(2)/25))/(LN(2)/25)*Calculateur!CG90*Calculateur!CI90*VLOOKUP('Données projet'!$B$12,Paramètres!$A$1:$I$89,3,0)*0.475*44/12</f>
        <v>5.3543901914016736</v>
      </c>
      <c r="CM90" s="21">
        <f>EXP(-LN(2)/2)*CM89+(1-EXP(-LN(2)/2))/(LN(2)/2)*CG90*CJ90*VLOOKUP('Données projet'!$B$12,Paramètres!$A$1:$I$89,3,0)*0.475*44/12</f>
        <v>9.1562272429483136E-8</v>
      </c>
      <c r="CN90" s="22">
        <f t="shared" si="66"/>
        <v>6.6474281001840225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5.6</v>
      </c>
      <c r="N91" s="13">
        <f>IF('Données projet'!$A$36&gt;35,N90+M91-V90,IF(A91&lt;'Données projet'!$A$36,$K$205^A91,IF(A91='Données projet'!$A$36,'Données projet'!$B$36,N90+M91-V90)))</f>
        <v>284.80000000000041</v>
      </c>
      <c r="O91" s="13">
        <f>N91*VLOOKUP('Données projet'!$B$9,Paramètres!$A$1:$I$89,3,0)*VLOOKUP('Données projet'!$B$9,Paramètres!$A$1:$I$89,5,0)</f>
        <v>257.68704000000037</v>
      </c>
      <c r="P91" s="13">
        <f t="shared" si="87"/>
        <v>62.229092239243457</v>
      </c>
      <c r="Q91" s="20">
        <f t="shared" si="54"/>
        <v>557.18726365001623</v>
      </c>
      <c r="R91" s="59">
        <f t="shared" si="55"/>
        <v>850.52059698334961</v>
      </c>
      <c r="S91" s="59">
        <f ca="1">AVERAGE(OFFSET($R$3,0,0,'Données projet'!$E$9+1,1))-AVERAGE(OFFSET($H$3,0,0,'Données projet'!$E$9+1,1))</f>
        <v>282.32472952059817</v>
      </c>
      <c r="T91" s="59">
        <f t="shared" si="88"/>
        <v>172.32171001882176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0</v>
      </c>
      <c r="AA91" s="21">
        <f>EXP(-LN(2)/25)*AA90+(1-EXP(-LN(2)/25))/(LN(2)/25)*Calculateur!V91*Calculateur!X91*VLOOKUP('Données projet'!$B$9,Paramètres!$A$1:$I$89,3,0)*0.475*44/12</f>
        <v>0.62201837790935699</v>
      </c>
      <c r="AB91" s="21">
        <f>EXP(-LN(2)/2)*AB90+(1-EXP(-LN(2)/2))/(LN(2)/2)*V91*Y91*VLOOKUP('Données projet'!$B$9,Paramètres!$A$1:$I$89,3,0)*0.475*44/12</f>
        <v>1.1528558757954142E-8</v>
      </c>
      <c r="AC91" s="22">
        <f t="shared" si="57"/>
        <v>0.62201838943791576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5.6</v>
      </c>
      <c r="AI91" s="13">
        <f>IF('Données projet'!$A$62&gt;35,AI90+AH91-AQ90,IF(A91&lt;'Données projet'!$A$62,$AF$205^A91,IF(A91='Données projet'!$A$62,'Données projet'!$B$62,AI90+AH91-AQ90)))</f>
        <v>284.80000000000041</v>
      </c>
      <c r="AJ91" s="13">
        <f>AI91*VLOOKUP('Données projet'!$B$10,Paramètres!$A$1:$I$89,3,0)*VLOOKUP('Données projet'!$B$10,Paramètres!$A$1:$I$89,5,0)</f>
        <v>288.78720000000044</v>
      </c>
      <c r="AK91" s="13">
        <f t="shared" si="89"/>
        <v>68.82064405344255</v>
      </c>
      <c r="AL91" s="20">
        <f t="shared" si="58"/>
        <v>622.8336617264132</v>
      </c>
      <c r="AM91" s="59">
        <f t="shared" si="59"/>
        <v>916.16699505974657</v>
      </c>
      <c r="AN91" s="59">
        <f ca="1">AVERAGE(OFFSET($AM$3,0,0,'Données projet'!$E$10+1,1))-AVERAGE(OFFSET($H$3,0,0,'Données projet'!$E$10+1,1))</f>
        <v>324.30660429578262</v>
      </c>
      <c r="AO91" s="59">
        <f t="shared" si="90"/>
        <v>197.04549436738586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</v>
      </c>
      <c r="AV91" s="21">
        <f>EXP(-LN(2)/25)*AV90+(1-EXP(-LN(2)/25))/(LN(2)/25)*Calculateur!AQ91*Calculateur!AS91*VLOOKUP('Données projet'!$B$10,Paramètres!$A$1:$I$89,3,0)*0.475*44/12</f>
        <v>0.69708956145014134</v>
      </c>
      <c r="AW91" s="21">
        <f>EXP(-LN(2)/2)*AW90+(1-EXP(-LN(2)/2))/(LN(2)/2)*AQ91*AT91*VLOOKUP('Données projet'!$B$10,Paramètres!$A$1:$I$89,3,0)*0.475*44/12</f>
        <v>1.2919936539086536E-8</v>
      </c>
      <c r="AX91" s="21">
        <f t="shared" si="60"/>
        <v>0.6970895743700779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17.5</v>
      </c>
      <c r="BD91" s="12">
        <f>IF('Données projet'!$A$88&gt;35,BD90+BC91-BL90,IF(A91&lt;'Données projet'!$A$88,$BA$205^A91,IF(A91='Données projet'!$A$88,'Données projet'!$B$88,BD90+BC91-BL90)))</f>
        <v>589.59999999999991</v>
      </c>
      <c r="BE91" s="13">
        <f>BD91*VLOOKUP('Données projet'!$B$11,Paramètres!$A$1:$I$89,3,0)*VLOOKUP('Données projet'!$B$11,Paramètres!$A$1:$I$89,5,0)</f>
        <v>275.93279999999999</v>
      </c>
      <c r="BF91" s="13">
        <f t="shared" si="91"/>
        <v>66.106762012556132</v>
      </c>
      <c r="BG91" s="20">
        <f t="shared" si="61"/>
        <v>595.7189038385352</v>
      </c>
      <c r="BH91" s="59">
        <f t="shared" si="62"/>
        <v>889.05223717186846</v>
      </c>
      <c r="BI91" s="59">
        <f ca="1">AVERAGE(OFFSET($BH$3,0,0,'Données projet'!$E$11+1,1))-AVERAGE(OFFSET($H$3,0,0,'Données projet'!$E$11+1,1))</f>
        <v>252.98248842635206</v>
      </c>
      <c r="BJ91" s="59">
        <f t="shared" si="92"/>
        <v>207.11938580878308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0.99387066709294991</v>
      </c>
      <c r="BQ91" s="21">
        <f>EXP(-LN(2)/25)*BQ90+(1-EXP(-LN(2)/25))/(LN(2)/25)*Calculateur!BL91*Calculateur!BN91*VLOOKUP('Données projet'!$B$11,Paramètres!$A$1:$I$89,3,0)*0.475*44/12</f>
        <v>1.5731939671157487</v>
      </c>
      <c r="BR91" s="21">
        <f>EXP(-LN(2)/2)*BR90+(1-EXP(-LN(2)/2))/(LN(2)/2)*BL91*BO91*VLOOKUP('Données projet'!$B$11,Paramètres!$A$1:$I$89,3,0)*0.475*44/12</f>
        <v>1.8313855827406034E-8</v>
      </c>
      <c r="BS91" s="22">
        <f t="shared" si="63"/>
        <v>2.5670646525225544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-5.6843418860808015E-13</v>
      </c>
      <c r="BZ91" s="13">
        <f>BY91*VLOOKUP('Données projet'!$B$12,Paramètres!$A$1:$I$89,3,0)*VLOOKUP('Données projet'!$B$12,Paramètres!$A$1:$I$89,5,0)</f>
        <v>-3.39923644787632E-13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392.08740055894992</v>
      </c>
      <c r="CE91" s="59">
        <f t="shared" si="94"/>
        <v>395.10797100415783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1.2676821342995839</v>
      </c>
      <c r="CL91" s="21">
        <f>EXP(-LN(2)/25)*CL90+(1-EXP(-LN(2)/25))/(LN(2)/25)*Calculateur!CG91*Calculateur!CI91*VLOOKUP('Données projet'!$B$12,Paramètres!$A$1:$I$89,3,0)*0.475*44/12</f>
        <v>5.2079741100426524</v>
      </c>
      <c r="CM91" s="21">
        <f>EXP(-LN(2)/2)*CM90+(1-EXP(-LN(2)/2))/(LN(2)/2)*CG91*CJ91*VLOOKUP('Données projet'!$B$12,Paramètres!$A$1:$I$89,3,0)*0.475*44/12</f>
        <v>6.4744303735737584E-8</v>
      </c>
      <c r="CN91" s="22">
        <f t="shared" si="66"/>
        <v>6.4756563090865402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5.6</v>
      </c>
      <c r="N92" s="13">
        <f>IF('Données projet'!$A$36&gt;35,N91+M92-V91,IF(A92&lt;'Données projet'!$A$36,$K$205^A92,IF(A92='Données projet'!$A$36,'Données projet'!$B$36,N91+M92-V91)))</f>
        <v>290.40000000000043</v>
      </c>
      <c r="O92" s="13">
        <f>N92*VLOOKUP('Données projet'!$B$9,Paramètres!$A$1:$I$89,3,0)*VLOOKUP('Données projet'!$B$9,Paramètres!$A$1:$I$89,5,0)</f>
        <v>262.75392000000039</v>
      </c>
      <c r="P92" s="13">
        <f t="shared" si="87"/>
        <v>63.309041956360382</v>
      </c>
      <c r="Q92" s="20">
        <f t="shared" si="54"/>
        <v>567.89299207399495</v>
      </c>
      <c r="R92" s="59">
        <f t="shared" si="55"/>
        <v>861.2263254073282</v>
      </c>
      <c r="S92" s="59">
        <f ca="1">AVERAGE(OFFSET($R$3,0,0,'Données projet'!$E$9+1,1))-AVERAGE(OFFSET($H$3,0,0,'Données projet'!$E$9+1,1))</f>
        <v>282.32472952059817</v>
      </c>
      <c r="T92" s="59">
        <f t="shared" si="88"/>
        <v>172.32171001882176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0</v>
      </c>
      <c r="AA92" s="21">
        <f>EXP(-LN(2)/25)*AA91+(1-EXP(-LN(2)/25))/(LN(2)/25)*Calculateur!V92*Calculateur!X92*VLOOKUP('Données projet'!$B$9,Paramètres!$A$1:$I$89,3,0)*0.475*44/12</f>
        <v>0.6050092526549008</v>
      </c>
      <c r="AB92" s="21">
        <f>EXP(-LN(2)/2)*AB91+(1-EXP(-LN(2)/2))/(LN(2)/2)*V92*Y92*VLOOKUP('Données projet'!$B$9,Paramètres!$A$1:$I$89,3,0)*0.475*44/12</f>
        <v>8.1519220750569352E-9</v>
      </c>
      <c r="AC92" s="22">
        <f t="shared" si="57"/>
        <v>0.60500926080682282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5.6</v>
      </c>
      <c r="AI92" s="13">
        <f>IF('Données projet'!$A$62&gt;35,AI91+AH92-AQ91,IF(A92&lt;'Données projet'!$A$62,$AF$205^A92,IF(A92='Données projet'!$A$62,'Données projet'!$B$62,AI91+AH92-AQ91)))</f>
        <v>290.40000000000043</v>
      </c>
      <c r="AJ92" s="13">
        <f>AI92*VLOOKUP('Données projet'!$B$10,Paramètres!$A$1:$I$89,3,0)*VLOOKUP('Données projet'!$B$10,Paramètres!$A$1:$I$89,5,0)</f>
        <v>294.46560000000045</v>
      </c>
      <c r="AK92" s="13">
        <f t="shared" si="89"/>
        <v>70.014986320104342</v>
      </c>
      <c r="AL92" s="20">
        <f t="shared" si="58"/>
        <v>634.80368784084919</v>
      </c>
      <c r="AM92" s="59">
        <f t="shared" si="59"/>
        <v>928.13702117418256</v>
      </c>
      <c r="AN92" s="59">
        <f ca="1">AVERAGE(OFFSET($AM$3,0,0,'Données projet'!$E$10+1,1))-AVERAGE(OFFSET($H$3,0,0,'Données projet'!$E$10+1,1))</f>
        <v>324.30660429578262</v>
      </c>
      <c r="AO92" s="59">
        <f t="shared" si="90"/>
        <v>197.04549436738586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</v>
      </c>
      <c r="AV92" s="21">
        <f>EXP(-LN(2)/25)*AV91+(1-EXP(-LN(2)/25))/(LN(2)/25)*Calculateur!AQ92*Calculateur!AS92*VLOOKUP('Données projet'!$B$10,Paramètres!$A$1:$I$89,3,0)*0.475*44/12</f>
        <v>0.67802761073394036</v>
      </c>
      <c r="AW92" s="21">
        <f>EXP(-LN(2)/2)*AW91+(1-EXP(-LN(2)/2))/(LN(2)/2)*AQ92*AT92*VLOOKUP('Données projet'!$B$10,Paramètres!$A$1:$I$89,3,0)*0.475*44/12</f>
        <v>9.1357747392879433E-9</v>
      </c>
      <c r="AX92" s="21">
        <f t="shared" si="60"/>
        <v>0.67802761986971505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17.5</v>
      </c>
      <c r="BD92" s="12">
        <f>IF('Données projet'!$A$88&gt;35,BD91+BC92-BL91,IF(A92&lt;'Données projet'!$A$88,$BA$205^A92,IF(A92='Données projet'!$A$88,'Données projet'!$B$88,BD91+BC92-BL91)))</f>
        <v>607.09999999999991</v>
      </c>
      <c r="BE92" s="13">
        <f>BD92*VLOOKUP('Données projet'!$B$11,Paramètres!$A$1:$I$89,3,0)*VLOOKUP('Données projet'!$B$11,Paramètres!$A$1:$I$89,5,0)</f>
        <v>284.12279999999993</v>
      </c>
      <c r="BF92" s="13">
        <f t="shared" si="91"/>
        <v>67.837532462585557</v>
      </c>
      <c r="BG92" s="20">
        <f t="shared" si="61"/>
        <v>612.99757903900297</v>
      </c>
      <c r="BH92" s="59">
        <f t="shared" si="62"/>
        <v>906.33091237233634</v>
      </c>
      <c r="BI92" s="59">
        <f ca="1">AVERAGE(OFFSET($BH$3,0,0,'Données projet'!$E$11+1,1))-AVERAGE(OFFSET($H$3,0,0,'Données projet'!$E$11+1,1))</f>
        <v>252.98248842635206</v>
      </c>
      <c r="BJ92" s="59">
        <f t="shared" si="92"/>
        <v>207.11938580878308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0.9743814695125067</v>
      </c>
      <c r="BQ92" s="21">
        <f>EXP(-LN(2)/25)*BQ91+(1-EXP(-LN(2)/25))/(LN(2)/25)*Calculateur!BL92*Calculateur!BN92*VLOOKUP('Données projet'!$B$11,Paramètres!$A$1:$I$89,3,0)*0.475*44/12</f>
        <v>1.5301748953542933</v>
      </c>
      <c r="BR92" s="21">
        <f>EXP(-LN(2)/2)*BR91+(1-EXP(-LN(2)/2))/(LN(2)/2)*BL92*BO92*VLOOKUP('Données projet'!$B$11,Paramètres!$A$1:$I$89,3,0)*0.475*44/12</f>
        <v>1.2949851645231577E-8</v>
      </c>
      <c r="BS92" s="22">
        <f t="shared" si="63"/>
        <v>2.5045563778166517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-5.6843418860808015E-13</v>
      </c>
      <c r="BZ92" s="13">
        <f>BY92*VLOOKUP('Données projet'!$B$12,Paramètres!$A$1:$I$89,3,0)*VLOOKUP('Données projet'!$B$12,Paramètres!$A$1:$I$89,5,0)</f>
        <v>-3.39923644787632E-13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392.08740055894992</v>
      </c>
      <c r="CE92" s="59">
        <f t="shared" si="94"/>
        <v>395.10797100415783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1.2428236608557228</v>
      </c>
      <c r="CL92" s="21">
        <f>EXP(-LN(2)/25)*CL91+(1-EXP(-LN(2)/25))/(LN(2)/25)*Calculateur!CG92*Calculateur!CI92*VLOOKUP('Données projet'!$B$12,Paramètres!$A$1:$I$89,3,0)*0.475*44/12</f>
        <v>5.0655617841280804</v>
      </c>
      <c r="CM92" s="21">
        <f>EXP(-LN(2)/2)*CM91+(1-EXP(-LN(2)/2))/(LN(2)/2)*CG92*CJ92*VLOOKUP('Données projet'!$B$12,Paramètres!$A$1:$I$89,3,0)*0.475*44/12</f>
        <v>4.5781136214741568E-8</v>
      </c>
      <c r="CN92" s="22">
        <f t="shared" si="66"/>
        <v>6.3083854907649393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296</v>
      </c>
      <c r="L93" s="12">
        <f>VLOOKUP(A93,'Données projet'!$A$35:$I$55,9,0)</f>
        <v>5.6</v>
      </c>
      <c r="M93" s="12">
        <f t="array" ref="M93">INDEX(L:L,MIN(IF(ISNUMBER(L93:L289),ROW(L93:L289),"")))</f>
        <v>5.6</v>
      </c>
      <c r="N93" s="13">
        <f>IF('Données projet'!$A$36&gt;35,N92+M93-V92,IF(A93&lt;'Données projet'!$A$36,$K$205^A93,IF(A93='Données projet'!$A$36,'Données projet'!$B$36,N92+M93-V92)))</f>
        <v>296.00000000000045</v>
      </c>
      <c r="O93" s="13">
        <f>N93*VLOOKUP('Données projet'!$B$9,Paramètres!$A$1:$I$89,3,0)*VLOOKUP('Données projet'!$B$9,Paramètres!$A$1:$I$89,5,0)</f>
        <v>267.82080000000042</v>
      </c>
      <c r="P93" s="13">
        <f t="shared" si="87"/>
        <v>64.38657014789743</v>
      </c>
      <c r="Q93" s="20">
        <f t="shared" si="54"/>
        <v>578.59450300758874</v>
      </c>
      <c r="R93" s="59">
        <f t="shared" si="55"/>
        <v>871.92783634092211</v>
      </c>
      <c r="S93" s="59">
        <f ca="1">AVERAGE(OFFSET($R$3,0,0,'Données projet'!$E$9+1,1))-AVERAGE(OFFSET($H$3,0,0,'Données projet'!$E$9+1,1))</f>
        <v>282.32472952059817</v>
      </c>
      <c r="T93" s="59">
        <f t="shared" si="88"/>
        <v>172.32171001882176</v>
      </c>
      <c r="U93" s="15">
        <f>IF(ISNA(VLOOKUP(A93,'Données projet'!$A$35:$I$55,3,0)),0,VLOOKUP(A93,'Données projet'!$A$35:$I$55,3,0))</f>
        <v>7</v>
      </c>
      <c r="V93" s="15">
        <f>IF(ISNA(VLOOKUP(A93,'Données projet'!$A$35:$I$55,4,0)),0,VLOOKUP(A93,'Données projet'!$A$35:$I$55,4,0))</f>
        <v>42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0</v>
      </c>
      <c r="AA93" s="21">
        <f>EXP(-LN(2)/25)*AA92+(1-EXP(-LN(2)/25))/(LN(2)/25)*Calculateur!V93*Calculateur!X93*VLOOKUP('Données projet'!$B$9,Paramètres!$A$1:$I$89,3,0)*0.475*44/12</f>
        <v>0.58846524282499868</v>
      </c>
      <c r="AB93" s="21">
        <f>EXP(-LN(2)/2)*AB92+(1-EXP(-LN(2)/2))/(LN(2)/2)*V93*Y93*VLOOKUP('Données projet'!$B$9,Paramètres!$A$1:$I$89,3,0)*0.475*44/12</f>
        <v>5.7642793789770708E-9</v>
      </c>
      <c r="AC93" s="22">
        <f t="shared" si="57"/>
        <v>0.58846524858927807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296</v>
      </c>
      <c r="AG93" s="12">
        <f>VLOOKUP(A93,'Données projet'!$A$61:$I$81,9,0)</f>
        <v>5.6</v>
      </c>
      <c r="AH93" s="12">
        <f t="array" ref="AH93">INDEX(AG:AG,MIN(IF(ISNUMBER(AG93:AG289),ROW(AG93:AG289),"")))</f>
        <v>5.6</v>
      </c>
      <c r="AI93" s="13">
        <f>IF('Données projet'!$A$62&gt;35,AI92+AH93-AQ92,IF(A93&lt;'Données projet'!$A$62,$AF$205^A93,IF(A93='Données projet'!$A$62,'Données projet'!$B$62,AI92+AH93-AQ92)))</f>
        <v>296.00000000000045</v>
      </c>
      <c r="AJ93" s="13">
        <f>AI93*VLOOKUP('Données projet'!$B$10,Paramètres!$A$1:$I$89,3,0)*VLOOKUP('Données projet'!$B$10,Paramètres!$A$1:$I$89,5,0)</f>
        <v>300.14400000000046</v>
      </c>
      <c r="AK93" s="13">
        <f t="shared" si="89"/>
        <v>71.206650563609927</v>
      </c>
      <c r="AL93" s="20">
        <f t="shared" si="58"/>
        <v>646.76904973162129</v>
      </c>
      <c r="AM93" s="59">
        <f t="shared" si="59"/>
        <v>940.10238306495467</v>
      </c>
      <c r="AN93" s="59">
        <f ca="1">AVERAGE(OFFSET($AM$3,0,0,'Données projet'!$E$10+1,1))-AVERAGE(OFFSET($H$3,0,0,'Données projet'!$E$10+1,1))</f>
        <v>324.30660429578262</v>
      </c>
      <c r="AO93" s="59">
        <f t="shared" si="90"/>
        <v>197.04549436738586</v>
      </c>
      <c r="AP93" s="15">
        <f>IF(ISNA(VLOOKUP(A93,'Données projet'!$A$61:$I$81,3,0)),0,VLOOKUP(A93,'Données projet'!$A$61:$I$81,3,0))</f>
        <v>7</v>
      </c>
      <c r="AQ93" s="15">
        <f>IF(ISNA(VLOOKUP(A93,'Données projet'!$A$61:$I$81,4,0)),0,VLOOKUP(A93,'Données projet'!$A$61:$I$81,4,0))</f>
        <v>42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</v>
      </c>
      <c r="AV93" s="21">
        <f>EXP(-LN(2)/25)*AV92+(1-EXP(-LN(2)/25))/(LN(2)/25)*Calculateur!AQ93*Calculateur!AS93*VLOOKUP('Données projet'!$B$10,Paramètres!$A$1:$I$89,3,0)*0.475*44/12</f>
        <v>0.65948691006249838</v>
      </c>
      <c r="AW93" s="21">
        <f>EXP(-LN(2)/2)*AW92+(1-EXP(-LN(2)/2))/(LN(2)/2)*AQ93*AT93*VLOOKUP('Données projet'!$B$10,Paramètres!$A$1:$I$89,3,0)*0.475*44/12</f>
        <v>6.459968269543268E-9</v>
      </c>
      <c r="AX93" s="21">
        <f t="shared" si="60"/>
        <v>0.6594869165224666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624.6</v>
      </c>
      <c r="BB93" s="12">
        <f>VLOOKUP(A93,'Données projet'!$A$87:$I$107,9,0)</f>
        <v>17.5</v>
      </c>
      <c r="BC93" s="12">
        <f t="array" ref="BC93">INDEX(BB:BB,MIN(IF(ISNUMBER(BB93:BB289),ROW(BB93:BB289),"")))</f>
        <v>17.5</v>
      </c>
      <c r="BD93" s="12">
        <f>IF('Données projet'!$A$88&gt;35,BD92+BC93-BL92,IF(A93&lt;'Données projet'!$A$88,$BA$205^A93,IF(A93='Données projet'!$A$88,'Données projet'!$B$88,BD92+BC93-BL92)))</f>
        <v>624.59999999999991</v>
      </c>
      <c r="BE93" s="13">
        <f>BD93*VLOOKUP('Données projet'!$B$11,Paramètres!$A$1:$I$89,3,0)*VLOOKUP('Données projet'!$B$11,Paramètres!$A$1:$I$89,5,0)</f>
        <v>292.31279999999998</v>
      </c>
      <c r="BF93" s="13">
        <f t="shared" si="91"/>
        <v>69.562504549179678</v>
      </c>
      <c r="BG93" s="20">
        <f t="shared" si="61"/>
        <v>630.26615542315449</v>
      </c>
      <c r="BH93" s="59">
        <f t="shared" si="62"/>
        <v>923.59948875648774</v>
      </c>
      <c r="BI93" s="59">
        <f ca="1">AVERAGE(OFFSET($BH$3,0,0,'Données projet'!$E$11+1,1))-AVERAGE(OFFSET($H$3,0,0,'Données projet'!$E$11+1,1))</f>
        <v>252.98248842635206</v>
      </c>
      <c r="BJ93" s="59">
        <f t="shared" si="92"/>
        <v>207.11938580878308</v>
      </c>
      <c r="BK93" s="15">
        <f>IF(ISNA(VLOOKUP(A93,'Données projet'!$A$87:$I$107,3,0)),0,VLOOKUP(A93,'Données projet'!$A$87:$I$107,3,0))</f>
        <v>8</v>
      </c>
      <c r="BL93" s="15">
        <f>IF(ISNA(VLOOKUP(A93,'Données projet'!$A$87:$I$107,4,0)),0,VLOOKUP(A93,'Données projet'!$A$87:$I$107,4,0))</f>
        <v>83.4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0.95527444320937926</v>
      </c>
      <c r="BQ93" s="21">
        <f>EXP(-LN(2)/25)*BQ92+(1-EXP(-LN(2)/25))/(LN(2)/25)*Calculateur!BL93*Calculateur!BN93*VLOOKUP('Données projet'!$B$11,Paramètres!$A$1:$I$89,3,0)*0.475*44/12</f>
        <v>1.4883321823724296</v>
      </c>
      <c r="BR93" s="21">
        <f>EXP(-LN(2)/2)*BR92+(1-EXP(-LN(2)/2))/(LN(2)/2)*BL93*BO93*VLOOKUP('Données projet'!$B$11,Paramètres!$A$1:$I$89,3,0)*0.475*44/12</f>
        <v>9.1569279137030168E-9</v>
      </c>
      <c r="BS93" s="22">
        <f t="shared" si="63"/>
        <v>2.4436066347387371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-5.6843418860808015E-13</v>
      </c>
      <c r="BZ93" s="13">
        <f>BY93*VLOOKUP('Données projet'!$B$12,Paramètres!$A$1:$I$89,3,0)*VLOOKUP('Données projet'!$B$12,Paramètres!$A$1:$I$89,5,0)</f>
        <v>-3.39923644787632E-13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392.08740055894992</v>
      </c>
      <c r="CE93" s="59">
        <f t="shared" si="94"/>
        <v>395.10797100415783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1.2184526469139243</v>
      </c>
      <c r="CL93" s="21">
        <f>EXP(-LN(2)/25)*CL92+(1-EXP(-LN(2)/25))/(LN(2)/25)*Calculateur!CG93*Calculateur!CI93*VLOOKUP('Données projet'!$B$12,Paramètres!$A$1:$I$89,3,0)*0.475*44/12</f>
        <v>4.9270437307547814</v>
      </c>
      <c r="CM93" s="21">
        <f>EXP(-LN(2)/2)*CM92+(1-EXP(-LN(2)/2))/(LN(2)/2)*CG93*CJ93*VLOOKUP('Données projet'!$B$12,Paramètres!$A$1:$I$89,3,0)*0.475*44/12</f>
        <v>3.2372151867868792E-8</v>
      </c>
      <c r="CN93" s="22">
        <f t="shared" si="66"/>
        <v>6.1454964100408578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4.9000000000000004</v>
      </c>
      <c r="N94" s="13">
        <f>IF('Données projet'!$A$36&gt;35,N93+M94-V93,IF(A94&lt;'Données projet'!$A$36,$K$205^A94,IF(A94='Données projet'!$A$36,'Données projet'!$B$36,N93+M94-V93)))</f>
        <v>258.90000000000043</v>
      </c>
      <c r="O94" s="13">
        <f>N94*VLOOKUP('Données projet'!$B$9,Paramètres!$A$1:$I$89,3,0)*VLOOKUP('Données projet'!$B$9,Paramètres!$A$1:$I$89,5,0)</f>
        <v>234.25272000000038</v>
      </c>
      <c r="P94" s="13">
        <f t="shared" si="87"/>
        <v>57.2012362311714</v>
      </c>
      <c r="Q94" s="20">
        <f t="shared" si="54"/>
        <v>507.61564043595746</v>
      </c>
      <c r="R94" s="59">
        <f t="shared" si="55"/>
        <v>800.94897376929077</v>
      </c>
      <c r="S94" s="59">
        <f ca="1">AVERAGE(OFFSET($R$3,0,0,'Données projet'!$E$9+1,1))-AVERAGE(OFFSET($H$3,0,0,'Données projet'!$E$9+1,1))</f>
        <v>282.32472952059817</v>
      </c>
      <c r="T94" s="59">
        <f t="shared" si="88"/>
        <v>172.32171001882176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</v>
      </c>
      <c r="AA94" s="21">
        <f>EXP(-LN(2)/25)*AA93+(1-EXP(-LN(2)/25))/(LN(2)/25)*Calculateur!V94*Calculateur!X94*VLOOKUP('Données projet'!$B$9,Paramètres!$A$1:$I$89,3,0)*0.475*44/12</f>
        <v>0.57237362981390694</v>
      </c>
      <c r="AB94" s="21">
        <f>EXP(-LN(2)/2)*AB93+(1-EXP(-LN(2)/2))/(LN(2)/2)*V94*Y94*VLOOKUP('Données projet'!$B$9,Paramètres!$A$1:$I$89,3,0)*0.475*44/12</f>
        <v>4.0759610375284676E-9</v>
      </c>
      <c r="AC94" s="22">
        <f t="shared" si="57"/>
        <v>0.57237363388986795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4.9000000000000004</v>
      </c>
      <c r="AI94" s="13">
        <f>IF('Données projet'!$A$62&gt;35,AI93+AH94-AQ93,IF(A94&lt;'Données projet'!$A$62,$AF$205^A94,IF(A94='Données projet'!$A$62,'Données projet'!$B$62,AI93+AH94-AQ93)))</f>
        <v>258.90000000000043</v>
      </c>
      <c r="AJ94" s="13">
        <f>AI94*VLOOKUP('Données projet'!$B$10,Paramètres!$A$1:$I$89,3,0)*VLOOKUP('Données projet'!$B$10,Paramètres!$A$1:$I$89,5,0)</f>
        <v>262.52460000000042</v>
      </c>
      <c r="AK94" s="13">
        <f t="shared" si="89"/>
        <v>63.2602176317748</v>
      </c>
      <c r="AL94" s="20">
        <f t="shared" si="58"/>
        <v>567.40855737534184</v>
      </c>
      <c r="AM94" s="59">
        <f t="shared" si="59"/>
        <v>860.7418907086751</v>
      </c>
      <c r="AN94" s="59">
        <f ca="1">AVERAGE(OFFSET($AM$3,0,0,'Données projet'!$E$10+1,1))-AVERAGE(OFFSET($H$3,0,0,'Données projet'!$E$10+1,1))</f>
        <v>324.30660429578262</v>
      </c>
      <c r="AO94" s="59">
        <f t="shared" si="90"/>
        <v>197.04549436738586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</v>
      </c>
      <c r="AV94" s="21">
        <f>EXP(-LN(2)/25)*AV93+(1-EXP(-LN(2)/25))/(LN(2)/25)*Calculateur!AQ94*Calculateur!AS94*VLOOKUP('Données projet'!$B$10,Paramètres!$A$1:$I$89,3,0)*0.475*44/12</f>
        <v>0.64145320582593002</v>
      </c>
      <c r="AW94" s="21">
        <f>EXP(-LN(2)/2)*AW93+(1-EXP(-LN(2)/2))/(LN(2)/2)*AQ94*AT94*VLOOKUP('Données projet'!$B$10,Paramètres!$A$1:$I$89,3,0)*0.475*44/12</f>
        <v>4.5678873696439716E-9</v>
      </c>
      <c r="AX94" s="21">
        <f t="shared" si="60"/>
        <v>0.64145321039381742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18.5</v>
      </c>
      <c r="BD94" s="12">
        <f>IF('Données projet'!$A$88&gt;35,BD93+BC94-BL93,IF(A94&lt;'Données projet'!$A$88,$BA$205^A94,IF(A94='Données projet'!$A$88,'Données projet'!$B$88,BD93+BC94-BL93)))</f>
        <v>559.69999999999993</v>
      </c>
      <c r="BE94" s="13">
        <f>BD94*VLOOKUP('Données projet'!$B$11,Paramètres!$A$1:$I$89,3,0)*VLOOKUP('Données projet'!$B$11,Paramètres!$A$1:$I$89,5,0)</f>
        <v>261.93959999999998</v>
      </c>
      <c r="BF94" s="13">
        <f t="shared" si="91"/>
        <v>63.135643285567426</v>
      </c>
      <c r="BG94" s="20">
        <f t="shared" si="61"/>
        <v>566.1727153890298</v>
      </c>
      <c r="BH94" s="59">
        <f t="shared" si="62"/>
        <v>859.50604872236318</v>
      </c>
      <c r="BI94" s="59">
        <f ca="1">AVERAGE(OFFSET($BH$3,0,0,'Données projet'!$E$11+1,1))-AVERAGE(OFFSET($H$3,0,0,'Données projet'!$E$11+1,1))</f>
        <v>252.98248842635206</v>
      </c>
      <c r="BJ94" s="59">
        <f t="shared" si="92"/>
        <v>207.11938580878308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0.93654209403792077</v>
      </c>
      <c r="BQ94" s="21">
        <f>EXP(-LN(2)/25)*BQ93+(1-EXP(-LN(2)/25))/(LN(2)/25)*Calculateur!BL94*Calculateur!BN94*VLOOKUP('Données projet'!$B$11,Paramètres!$A$1:$I$89,3,0)*0.475*44/12</f>
        <v>1.4476336605774676</v>
      </c>
      <c r="BR94" s="21">
        <f>EXP(-LN(2)/2)*BR93+(1-EXP(-LN(2)/2))/(LN(2)/2)*BL94*BO94*VLOOKUP('Données projet'!$B$11,Paramètres!$A$1:$I$89,3,0)*0.475*44/12</f>
        <v>6.4749258226157884E-9</v>
      </c>
      <c r="BS94" s="22">
        <f t="shared" si="63"/>
        <v>2.3841757610903143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-5.6843418860808015E-13</v>
      </c>
      <c r="BZ94" s="13">
        <f>BY94*VLOOKUP('Données projet'!$B$12,Paramètres!$A$1:$I$89,3,0)*VLOOKUP('Données projet'!$B$12,Paramètres!$A$1:$I$89,5,0)</f>
        <v>-3.39923644787632E-13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392.08740055894992</v>
      </c>
      <c r="CE94" s="59">
        <f t="shared" si="94"/>
        <v>395.10797100415783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1.1945595336906736</v>
      </c>
      <c r="CL94" s="21">
        <f>EXP(-LN(2)/25)*CL93+(1-EXP(-LN(2)/25))/(LN(2)/25)*Calculateur!CG94*Calculateur!CI94*VLOOKUP('Données projet'!$B$12,Paramètres!$A$1:$I$89,3,0)*0.475*44/12</f>
        <v>4.7923134608353228</v>
      </c>
      <c r="CM94" s="21">
        <f>EXP(-LN(2)/2)*CM93+(1-EXP(-LN(2)/2))/(LN(2)/2)*CG94*CJ94*VLOOKUP('Données projet'!$B$12,Paramètres!$A$1:$I$89,3,0)*0.475*44/12</f>
        <v>2.2890568107370784E-8</v>
      </c>
      <c r="CN94" s="22">
        <f t="shared" si="66"/>
        <v>5.9868730174165643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4.9000000000000004</v>
      </c>
      <c r="N95" s="13">
        <f>IF('Données projet'!$A$36&gt;35,N94+M95-V94,IF(A95&lt;'Données projet'!$A$36,$K$205^A95,IF(A95='Données projet'!$A$36,'Données projet'!$B$36,N94+M95-V94)))</f>
        <v>263.80000000000041</v>
      </c>
      <c r="O95" s="13">
        <f>N95*VLOOKUP('Données projet'!$B$9,Paramètres!$A$1:$I$89,3,0)*VLOOKUP('Données projet'!$B$9,Paramètres!$A$1:$I$89,5,0)</f>
        <v>238.68624000000034</v>
      </c>
      <c r="P95" s="13">
        <f t="shared" si="87"/>
        <v>58.156778382060978</v>
      </c>
      <c r="Q95" s="20">
        <f t="shared" si="54"/>
        <v>517.00159034875685</v>
      </c>
      <c r="R95" s="59">
        <f t="shared" si="55"/>
        <v>810.33492368209022</v>
      </c>
      <c r="S95" s="59">
        <f ca="1">AVERAGE(OFFSET($R$3,0,0,'Données projet'!$E$9+1,1))-AVERAGE(OFFSET($H$3,0,0,'Données projet'!$E$9+1,1))</f>
        <v>282.32472952059817</v>
      </c>
      <c r="T95" s="59">
        <f t="shared" si="88"/>
        <v>172.32171001882176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</v>
      </c>
      <c r="AA95" s="21">
        <f>EXP(-LN(2)/25)*AA94+(1-EXP(-LN(2)/25))/(LN(2)/25)*Calculateur!V95*Calculateur!X95*VLOOKUP('Données projet'!$B$9,Paramètres!$A$1:$I$89,3,0)*0.475*44/12</f>
        <v>0.55672204280682469</v>
      </c>
      <c r="AB95" s="21">
        <f>EXP(-LN(2)/2)*AB94+(1-EXP(-LN(2)/2))/(LN(2)/2)*V95*Y95*VLOOKUP('Données projet'!$B$9,Paramètres!$A$1:$I$89,3,0)*0.475*44/12</f>
        <v>2.8821396894885354E-9</v>
      </c>
      <c r="AC95" s="22">
        <f t="shared" si="57"/>
        <v>0.55672204568896433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4.9000000000000004</v>
      </c>
      <c r="AI95" s="13">
        <f>IF('Données projet'!$A$62&gt;35,AI94+AH95-AQ94,IF(A95&lt;'Données projet'!$A$62,$AF$205^A95,IF(A95='Données projet'!$A$62,'Données projet'!$B$62,AI94+AH95-AQ94)))</f>
        <v>263.80000000000041</v>
      </c>
      <c r="AJ95" s="13">
        <f>AI95*VLOOKUP('Données projet'!$B$10,Paramètres!$A$1:$I$89,3,0)*VLOOKUP('Données projet'!$B$10,Paramètres!$A$1:$I$89,5,0)</f>
        <v>267.49320000000046</v>
      </c>
      <c r="AK95" s="13">
        <f t="shared" si="89"/>
        <v>64.316974590266341</v>
      </c>
      <c r="AL95" s="20">
        <f t="shared" si="58"/>
        <v>577.90272074471466</v>
      </c>
      <c r="AM95" s="59">
        <f t="shared" si="59"/>
        <v>871.23605407804803</v>
      </c>
      <c r="AN95" s="59">
        <f ca="1">AVERAGE(OFFSET($AM$3,0,0,'Données projet'!$E$10+1,1))-AVERAGE(OFFSET($H$3,0,0,'Données projet'!$E$10+1,1))</f>
        <v>324.30660429578262</v>
      </c>
      <c r="AO95" s="59">
        <f t="shared" si="90"/>
        <v>197.04549436738586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</v>
      </c>
      <c r="AV95" s="21">
        <f>EXP(-LN(2)/25)*AV94+(1-EXP(-LN(2)/25))/(LN(2)/25)*Calculateur!AQ95*Calculateur!AS95*VLOOKUP('Données projet'!$B$10,Paramètres!$A$1:$I$89,3,0)*0.475*44/12</f>
        <v>0.62391263418006193</v>
      </c>
      <c r="AW95" s="21">
        <f>EXP(-LN(2)/2)*AW94+(1-EXP(-LN(2)/2))/(LN(2)/2)*AQ95*AT95*VLOOKUP('Données projet'!$B$10,Paramètres!$A$1:$I$89,3,0)*0.475*44/12</f>
        <v>3.229984134771634E-9</v>
      </c>
      <c r="AX95" s="21">
        <f t="shared" si="60"/>
        <v>0.6239126374100461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18.5</v>
      </c>
      <c r="BD95" s="12">
        <f>IF('Données projet'!$A$88&gt;35,BD94+BC95-BL94,IF(A95&lt;'Données projet'!$A$88,$BA$205^A95,IF(A95='Données projet'!$A$88,'Données projet'!$B$88,BD94+BC95-BL94)))</f>
        <v>578.19999999999993</v>
      </c>
      <c r="BE95" s="13">
        <f>BD95*VLOOKUP('Données projet'!$B$11,Paramètres!$A$1:$I$89,3,0)*VLOOKUP('Données projet'!$B$11,Paramètres!$A$1:$I$89,5,0)</f>
        <v>270.59759999999994</v>
      </c>
      <c r="BF95" s="13">
        <f t="shared" si="91"/>
        <v>64.976078766498532</v>
      </c>
      <c r="BG95" s="20">
        <f t="shared" si="61"/>
        <v>584.45749051831808</v>
      </c>
      <c r="BH95" s="59">
        <f t="shared" si="62"/>
        <v>877.79082385165134</v>
      </c>
      <c r="BI95" s="59">
        <f ca="1">AVERAGE(OFFSET($BH$3,0,0,'Données projet'!$E$11+1,1))-AVERAGE(OFFSET($H$3,0,0,'Données projet'!$E$11+1,1))</f>
        <v>252.98248842635206</v>
      </c>
      <c r="BJ95" s="59">
        <f t="shared" si="92"/>
        <v>207.11938580878308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0.91817707480810984</v>
      </c>
      <c r="BQ95" s="21">
        <f>EXP(-LN(2)/25)*BQ94+(1-EXP(-LN(2)/25))/(LN(2)/25)*Calculateur!BL95*Calculateur!BN95*VLOOKUP('Données projet'!$B$11,Paramètres!$A$1:$I$89,3,0)*0.475*44/12</f>
        <v>1.4080480420012311</v>
      </c>
      <c r="BR95" s="21">
        <f>EXP(-LN(2)/2)*BR94+(1-EXP(-LN(2)/2))/(LN(2)/2)*BL95*BO95*VLOOKUP('Données projet'!$B$11,Paramètres!$A$1:$I$89,3,0)*0.475*44/12</f>
        <v>4.5784639568515084E-9</v>
      </c>
      <c r="BS95" s="22">
        <f t="shared" si="63"/>
        <v>2.3262251213878047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-5.6843418860808015E-13</v>
      </c>
      <c r="BZ95" s="13">
        <f>BY95*VLOOKUP('Données projet'!$B$12,Paramètres!$A$1:$I$89,3,0)*VLOOKUP('Données projet'!$B$12,Paramètres!$A$1:$I$89,5,0)</f>
        <v>-3.39923644787632E-13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392.08740055894992</v>
      </c>
      <c r="CE95" s="59">
        <f t="shared" si="94"/>
        <v>395.10797100415783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1.1711349498443708</v>
      </c>
      <c r="CL95" s="21">
        <f>EXP(-LN(2)/25)*CL94+(1-EXP(-LN(2)/25))/(LN(2)/25)*Calculateur!CG95*Calculateur!CI95*VLOOKUP('Données projet'!$B$12,Paramètres!$A$1:$I$89,3,0)*0.475*44/12</f>
        <v>4.6612673972319687</v>
      </c>
      <c r="CM95" s="21">
        <f>EXP(-LN(2)/2)*CM94+(1-EXP(-LN(2)/2))/(LN(2)/2)*CG95*CJ95*VLOOKUP('Données projet'!$B$12,Paramètres!$A$1:$I$89,3,0)*0.475*44/12</f>
        <v>1.6186075933934396E-8</v>
      </c>
      <c r="CN95" s="22">
        <f t="shared" si="66"/>
        <v>5.8324023632624149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4.9000000000000004</v>
      </c>
      <c r="N96" s="13">
        <f>IF('Données projet'!$A$36&gt;35,N95+M96-V95,IF(A96&lt;'Données projet'!$A$36,$K$205^A96,IF(A96='Données projet'!$A$36,'Données projet'!$B$36,N95+M96-V95)))</f>
        <v>268.70000000000039</v>
      </c>
      <c r="O96" s="13">
        <f>N96*VLOOKUP('Données projet'!$B$9,Paramètres!$A$1:$I$89,3,0)*VLOOKUP('Données projet'!$B$9,Paramètres!$A$1:$I$89,5,0)</f>
        <v>243.11976000000033</v>
      </c>
      <c r="P96" s="13">
        <f t="shared" si="87"/>
        <v>59.110256668778582</v>
      </c>
      <c r="Q96" s="20">
        <f t="shared" si="54"/>
        <v>526.38394569812317</v>
      </c>
      <c r="R96" s="59">
        <f t="shared" si="55"/>
        <v>819.71727903145643</v>
      </c>
      <c r="S96" s="59">
        <f ca="1">AVERAGE(OFFSET($R$3,0,0,'Données projet'!$E$9+1,1))-AVERAGE(OFFSET($H$3,0,0,'Données projet'!$E$9+1,1))</f>
        <v>282.32472952059817</v>
      </c>
      <c r="T96" s="59">
        <f t="shared" si="88"/>
        <v>172.32171001882176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</v>
      </c>
      <c r="AA96" s="21">
        <f>EXP(-LN(2)/25)*AA95+(1-EXP(-LN(2)/25))/(LN(2)/25)*Calculateur!V96*Calculateur!X96*VLOOKUP('Données projet'!$B$9,Paramètres!$A$1:$I$89,3,0)*0.475*44/12</f>
        <v>0.54149844926953228</v>
      </c>
      <c r="AB96" s="21">
        <f>EXP(-LN(2)/2)*AB95+(1-EXP(-LN(2)/2))/(LN(2)/2)*V96*Y96*VLOOKUP('Données projet'!$B$9,Paramètres!$A$1:$I$89,3,0)*0.475*44/12</f>
        <v>2.0379805187642338E-9</v>
      </c>
      <c r="AC96" s="22">
        <f t="shared" si="57"/>
        <v>0.54149845130751284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4.9000000000000004</v>
      </c>
      <c r="AI96" s="13">
        <f>IF('Données projet'!$A$62&gt;35,AI95+AH96-AQ95,IF(A96&lt;'Données projet'!$A$62,$AF$205^A96,IF(A96='Données projet'!$A$62,'Données projet'!$B$62,AI95+AH96-AQ95)))</f>
        <v>268.70000000000039</v>
      </c>
      <c r="AJ96" s="13">
        <f>AI96*VLOOKUP('Données projet'!$B$10,Paramètres!$A$1:$I$89,3,0)*VLOOKUP('Données projet'!$B$10,Paramètres!$A$1:$I$89,5,0)</f>
        <v>272.46180000000044</v>
      </c>
      <c r="AK96" s="13">
        <f t="shared" si="89"/>
        <v>65.371449071922058</v>
      </c>
      <c r="AL96" s="20">
        <f t="shared" si="58"/>
        <v>588.39290880026499</v>
      </c>
      <c r="AM96" s="59">
        <f t="shared" si="59"/>
        <v>881.72624213359836</v>
      </c>
      <c r="AN96" s="59">
        <f ca="1">AVERAGE(OFFSET($AM$3,0,0,'Données projet'!$E$10+1,1))-AVERAGE(OFFSET($H$3,0,0,'Données projet'!$E$10+1,1))</f>
        <v>324.30660429578262</v>
      </c>
      <c r="AO96" s="59">
        <f t="shared" si="90"/>
        <v>197.04549436738586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</v>
      </c>
      <c r="AV96" s="21">
        <f>EXP(-LN(2)/25)*AV95+(1-EXP(-LN(2)/25))/(LN(2)/25)*Calculateur!AQ96*Calculateur!AS96*VLOOKUP('Données projet'!$B$10,Paramètres!$A$1:$I$89,3,0)*0.475*44/12</f>
        <v>0.60685171038826868</v>
      </c>
      <c r="AW96" s="21">
        <f>EXP(-LN(2)/2)*AW95+(1-EXP(-LN(2)/2))/(LN(2)/2)*AQ96*AT96*VLOOKUP('Données projet'!$B$10,Paramètres!$A$1:$I$89,3,0)*0.475*44/12</f>
        <v>2.2839436848219858E-9</v>
      </c>
      <c r="AX96" s="21">
        <f t="shared" si="60"/>
        <v>0.60685171267221238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18.5</v>
      </c>
      <c r="BD96" s="12">
        <f>IF('Données projet'!$A$88&gt;35,BD95+BC96-BL95,IF(A96&lt;'Données projet'!$A$88,$BA$205^A96,IF(A96='Données projet'!$A$88,'Données projet'!$B$88,BD95+BC96-BL95)))</f>
        <v>596.69999999999993</v>
      </c>
      <c r="BE96" s="13">
        <f>BD96*VLOOKUP('Données projet'!$B$11,Paramètres!$A$1:$I$89,3,0)*VLOOKUP('Données projet'!$B$11,Paramètres!$A$1:$I$89,5,0)</f>
        <v>279.25559999999996</v>
      </c>
      <c r="BF96" s="13">
        <f t="shared" si="91"/>
        <v>66.809671397146161</v>
      </c>
      <c r="BG96" s="20">
        <f t="shared" si="61"/>
        <v>602.73034768336277</v>
      </c>
      <c r="BH96" s="59">
        <f t="shared" si="62"/>
        <v>896.06368101669614</v>
      </c>
      <c r="BI96" s="59">
        <f ca="1">AVERAGE(OFFSET($BH$3,0,0,'Données projet'!$E$11+1,1))-AVERAGE(OFFSET($H$3,0,0,'Données projet'!$E$11+1,1))</f>
        <v>252.98248842635206</v>
      </c>
      <c r="BJ96" s="59">
        <f t="shared" si="92"/>
        <v>207.11938580878308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0.90017218240383978</v>
      </c>
      <c r="BQ96" s="21">
        <f>EXP(-LN(2)/25)*BQ95+(1-EXP(-LN(2)/25))/(LN(2)/25)*Calculateur!BL96*Calculateur!BN96*VLOOKUP('Données projet'!$B$11,Paramètres!$A$1:$I$89,3,0)*0.475*44/12</f>
        <v>1.369544894246679</v>
      </c>
      <c r="BR96" s="21">
        <f>EXP(-LN(2)/2)*BR95+(1-EXP(-LN(2)/2))/(LN(2)/2)*BL96*BO96*VLOOKUP('Données projet'!$B$11,Paramètres!$A$1:$I$89,3,0)*0.475*44/12</f>
        <v>3.2374629113078942E-9</v>
      </c>
      <c r="BS96" s="22">
        <f t="shared" si="63"/>
        <v>2.2697170798879815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-5.6843418860808015E-13</v>
      </c>
      <c r="BZ96" s="13">
        <f>BY96*VLOOKUP('Données projet'!$B$12,Paramètres!$A$1:$I$89,3,0)*VLOOKUP('Données projet'!$B$12,Paramètres!$A$1:$I$89,5,0)</f>
        <v>-3.39923644787632E-13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392.08740055894992</v>
      </c>
      <c r="CE96" s="59">
        <f t="shared" si="94"/>
        <v>395.10797100415783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1.1481697077997086</v>
      </c>
      <c r="CL96" s="21">
        <f>EXP(-LN(2)/25)*CL95+(1-EXP(-LN(2)/25))/(LN(2)/25)*Calculateur!CG96*Calculateur!CI96*VLOOKUP('Données projet'!$B$12,Paramètres!$A$1:$I$89,3,0)*0.475*44/12</f>
        <v>4.5338047951292619</v>
      </c>
      <c r="CM96" s="21">
        <f>EXP(-LN(2)/2)*CM95+(1-EXP(-LN(2)/2))/(LN(2)/2)*CG96*CJ96*VLOOKUP('Données projet'!$B$12,Paramètres!$A$1:$I$89,3,0)*0.475*44/12</f>
        <v>1.1445284053685392E-8</v>
      </c>
      <c r="CN96" s="22">
        <f t="shared" si="66"/>
        <v>5.6819745143742546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4.9000000000000004</v>
      </c>
      <c r="N97" s="13">
        <f>IF('Données projet'!$A$36&gt;35,N96+M97-V96,IF(A97&lt;'Données projet'!$A$36,$K$205^A97,IF(A97='Données projet'!$A$36,'Données projet'!$B$36,N96+M97-V96)))</f>
        <v>273.60000000000036</v>
      </c>
      <c r="O97" s="13">
        <f>N97*VLOOKUP('Données projet'!$B$9,Paramètres!$A$1:$I$89,3,0)*VLOOKUP('Données projet'!$B$9,Paramètres!$A$1:$I$89,5,0)</f>
        <v>247.55328000000031</v>
      </c>
      <c r="P97" s="13">
        <f t="shared" si="87"/>
        <v>60.061713068870304</v>
      </c>
      <c r="Q97" s="20">
        <f t="shared" si="54"/>
        <v>535.76277959494962</v>
      </c>
      <c r="R97" s="59">
        <f t="shared" si="55"/>
        <v>829.09611292828299</v>
      </c>
      <c r="S97" s="59">
        <f ca="1">AVERAGE(OFFSET($R$3,0,0,'Données projet'!$E$9+1,1))-AVERAGE(OFFSET($H$3,0,0,'Données projet'!$E$9+1,1))</f>
        <v>282.32472952059817</v>
      </c>
      <c r="T97" s="59">
        <f t="shared" si="88"/>
        <v>172.32171001882176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</v>
      </c>
      <c r="AA97" s="21">
        <f>EXP(-LN(2)/25)*AA96+(1-EXP(-LN(2)/25))/(LN(2)/25)*Calculateur!V97*Calculateur!X97*VLOOKUP('Données projet'!$B$9,Paramètres!$A$1:$I$89,3,0)*0.475*44/12</f>
        <v>0.52669114569809106</v>
      </c>
      <c r="AB97" s="21">
        <f>EXP(-LN(2)/2)*AB96+(1-EXP(-LN(2)/2))/(LN(2)/2)*V97*Y97*VLOOKUP('Données projet'!$B$9,Paramètres!$A$1:$I$89,3,0)*0.475*44/12</f>
        <v>1.4410698447442677E-9</v>
      </c>
      <c r="AC97" s="22">
        <f t="shared" si="57"/>
        <v>0.52669114713916088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4.9000000000000004</v>
      </c>
      <c r="AI97" s="13">
        <f>IF('Données projet'!$A$62&gt;35,AI96+AH97-AQ96,IF(A97&lt;'Données projet'!$A$62,$AF$205^A97,IF(A97='Données projet'!$A$62,'Données projet'!$B$62,AI96+AH97-AQ96)))</f>
        <v>273.60000000000036</v>
      </c>
      <c r="AJ97" s="13">
        <f>AI97*VLOOKUP('Données projet'!$B$10,Paramètres!$A$1:$I$89,3,0)*VLOOKUP('Données projet'!$B$10,Paramètres!$A$1:$I$89,5,0)</f>
        <v>277.43040000000036</v>
      </c>
      <c r="AK97" s="13">
        <f t="shared" si="89"/>
        <v>66.423687500715801</v>
      </c>
      <c r="AL97" s="20">
        <f t="shared" si="58"/>
        <v>598.87920239708058</v>
      </c>
      <c r="AM97" s="59">
        <f t="shared" si="59"/>
        <v>892.21253573041395</v>
      </c>
      <c r="AN97" s="59">
        <f ca="1">AVERAGE(OFFSET($AM$3,0,0,'Données projet'!$E$10+1,1))-AVERAGE(OFFSET($H$3,0,0,'Données projet'!$E$10+1,1))</f>
        <v>324.30660429578262</v>
      </c>
      <c r="AO97" s="59">
        <f t="shared" si="90"/>
        <v>197.04549436738586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</v>
      </c>
      <c r="AV97" s="21">
        <f>EXP(-LN(2)/25)*AV96+(1-EXP(-LN(2)/25))/(LN(2)/25)*Calculateur!AQ97*Calculateur!AS97*VLOOKUP('Données projet'!$B$10,Paramètres!$A$1:$I$89,3,0)*0.475*44/12</f>
        <v>0.59025731845475704</v>
      </c>
      <c r="AW97" s="21">
        <f>EXP(-LN(2)/2)*AW96+(1-EXP(-LN(2)/2))/(LN(2)/2)*AQ97*AT97*VLOOKUP('Données projet'!$B$10,Paramètres!$A$1:$I$89,3,0)*0.475*44/12</f>
        <v>1.614992067385817E-9</v>
      </c>
      <c r="AX97" s="21">
        <f t="shared" si="60"/>
        <v>0.59025732006974907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18.5</v>
      </c>
      <c r="BD97" s="12">
        <f>IF('Données projet'!$A$88&gt;35,BD96+BC97-BL96,IF(A97&lt;'Données projet'!$A$88,$BA$205^A97,IF(A97='Données projet'!$A$88,'Données projet'!$B$88,BD96+BC97-BL96)))</f>
        <v>615.19999999999993</v>
      </c>
      <c r="BE97" s="13">
        <f>BD97*VLOOKUP('Données projet'!$B$11,Paramètres!$A$1:$I$89,3,0)*VLOOKUP('Données projet'!$B$11,Paramètres!$A$1:$I$89,5,0)</f>
        <v>287.91359999999997</v>
      </c>
      <c r="BF97" s="13">
        <f t="shared" si="91"/>
        <v>68.636657677063752</v>
      </c>
      <c r="BG97" s="20">
        <f t="shared" si="61"/>
        <v>620.99169878755254</v>
      </c>
      <c r="BH97" s="59">
        <f t="shared" si="62"/>
        <v>914.32503212088591</v>
      </c>
      <c r="BI97" s="59">
        <f ca="1">AVERAGE(OFFSET($BH$3,0,0,'Données projet'!$E$11+1,1))-AVERAGE(OFFSET($H$3,0,0,'Données projet'!$E$11+1,1))</f>
        <v>252.98248842635206</v>
      </c>
      <c r="BJ97" s="59">
        <f t="shared" si="92"/>
        <v>207.11938580878308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0.88252035495771752</v>
      </c>
      <c r="BQ97" s="21">
        <f>EXP(-LN(2)/25)*BQ96+(1-EXP(-LN(2)/25))/(LN(2)/25)*Calculateur!BL97*Calculateur!BN97*VLOOKUP('Données projet'!$B$11,Paramètres!$A$1:$I$89,3,0)*0.475*44/12</f>
        <v>1.3320946170922678</v>
      </c>
      <c r="BR97" s="21">
        <f>EXP(-LN(2)/2)*BR96+(1-EXP(-LN(2)/2))/(LN(2)/2)*BL97*BO97*VLOOKUP('Données projet'!$B$11,Paramètres!$A$1:$I$89,3,0)*0.475*44/12</f>
        <v>2.2892319784257542E-9</v>
      </c>
      <c r="BS97" s="22">
        <f t="shared" si="63"/>
        <v>2.2146149743392174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-5.6843418860808015E-13</v>
      </c>
      <c r="BZ97" s="13">
        <f>BY97*VLOOKUP('Données projet'!$B$12,Paramètres!$A$1:$I$89,3,0)*VLOOKUP('Données projet'!$B$12,Paramètres!$A$1:$I$89,5,0)</f>
        <v>-3.39923644787632E-13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392.08740055894992</v>
      </c>
      <c r="CE97" s="59">
        <f t="shared" si="94"/>
        <v>395.10797100415783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1.1256548001441278</v>
      </c>
      <c r="CL97" s="21">
        <f>EXP(-LN(2)/25)*CL96+(1-EXP(-LN(2)/25))/(LN(2)/25)*Calculateur!CG97*Calculateur!CI97*VLOOKUP('Données projet'!$B$12,Paramètres!$A$1:$I$89,3,0)*0.475*44/12</f>
        <v>4.4098276645840206</v>
      </c>
      <c r="CM97" s="21">
        <f>EXP(-LN(2)/2)*CM96+(1-EXP(-LN(2)/2))/(LN(2)/2)*CG97*CJ97*VLOOKUP('Données projet'!$B$12,Paramètres!$A$1:$I$89,3,0)*0.475*44/12</f>
        <v>8.093037966967198E-9</v>
      </c>
      <c r="CN97" s="22">
        <f t="shared" si="66"/>
        <v>5.5354824728211867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4.9000000000000004</v>
      </c>
      <c r="N98" s="13">
        <f>IF('Données projet'!$A$36&gt;35,N97+M98-V97,IF(A98&lt;'Données projet'!$A$36,$K$205^A98,IF(A98='Données projet'!$A$36,'Données projet'!$B$36,N97+M98-V97)))</f>
        <v>278.50000000000034</v>
      </c>
      <c r="O98" s="13">
        <f>N98*VLOOKUP('Données projet'!$B$9,Paramètres!$A$1:$I$89,3,0)*VLOOKUP('Données projet'!$B$9,Paramètres!$A$1:$I$89,5,0)</f>
        <v>251.98680000000033</v>
      </c>
      <c r="P98" s="13">
        <f t="shared" si="87"/>
        <v>61.011187970195103</v>
      </c>
      <c r="Q98" s="20">
        <f t="shared" si="54"/>
        <v>545.13816238142374</v>
      </c>
      <c r="R98" s="59">
        <f t="shared" si="55"/>
        <v>838.47149571475711</v>
      </c>
      <c r="S98" s="59">
        <f ca="1">AVERAGE(OFFSET($R$3,0,0,'Données projet'!$E$9+1,1))-AVERAGE(OFFSET($H$3,0,0,'Données projet'!$E$9+1,1))</f>
        <v>282.32472952059817</v>
      </c>
      <c r="T98" s="59">
        <f t="shared" si="88"/>
        <v>172.32171001882176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</v>
      </c>
      <c r="AA98" s="21">
        <f>EXP(-LN(2)/25)*AA97+(1-EXP(-LN(2)/25))/(LN(2)/25)*Calculateur!V98*Calculateur!X98*VLOOKUP('Données projet'!$B$9,Paramètres!$A$1:$I$89,3,0)*0.475*44/12</f>
        <v>0.51228874862149321</v>
      </c>
      <c r="AB98" s="21">
        <f>EXP(-LN(2)/2)*AB97+(1-EXP(-LN(2)/2))/(LN(2)/2)*V98*Y98*VLOOKUP('Données projet'!$B$9,Paramètres!$A$1:$I$89,3,0)*0.475*44/12</f>
        <v>1.0189902593821169E-9</v>
      </c>
      <c r="AC98" s="22">
        <f t="shared" si="57"/>
        <v>0.51228874964048343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4.9000000000000004</v>
      </c>
      <c r="AI98" s="13">
        <f>IF('Données projet'!$A$62&gt;35,AI97+AH98-AQ97,IF(A98&lt;'Données projet'!$A$62,$AF$205^A98,IF(A98='Données projet'!$A$62,'Données projet'!$B$62,AI97+AH98-AQ97)))</f>
        <v>278.50000000000034</v>
      </c>
      <c r="AJ98" s="13">
        <f>AI98*VLOOKUP('Données projet'!$B$10,Paramètres!$A$1:$I$89,3,0)*VLOOKUP('Données projet'!$B$10,Paramètres!$A$1:$I$89,5,0)</f>
        <v>282.3990000000004</v>
      </c>
      <c r="AK98" s="13">
        <f t="shared" si="89"/>
        <v>67.473734542548499</v>
      </c>
      <c r="AL98" s="20">
        <f t="shared" si="58"/>
        <v>609.36167932827254</v>
      </c>
      <c r="AM98" s="59">
        <f t="shared" si="59"/>
        <v>902.69501266160592</v>
      </c>
      <c r="AN98" s="59">
        <f ca="1">AVERAGE(OFFSET($AM$3,0,0,'Données projet'!$E$10+1,1))-AVERAGE(OFFSET($H$3,0,0,'Données projet'!$E$10+1,1))</f>
        <v>324.30660429578262</v>
      </c>
      <c r="AO98" s="59">
        <f t="shared" si="90"/>
        <v>197.04549436738586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</v>
      </c>
      <c r="AV98" s="21">
        <f>EXP(-LN(2)/25)*AV97+(1-EXP(-LN(2)/25))/(LN(2)/25)*Calculateur!AQ98*Calculateur!AS98*VLOOKUP('Données projet'!$B$10,Paramètres!$A$1:$I$89,3,0)*0.475*44/12</f>
        <v>0.57411670104132839</v>
      </c>
      <c r="AW98" s="21">
        <f>EXP(-LN(2)/2)*AW97+(1-EXP(-LN(2)/2))/(LN(2)/2)*AQ98*AT98*VLOOKUP('Données projet'!$B$10,Paramètres!$A$1:$I$89,3,0)*0.475*44/12</f>
        <v>1.1419718424109929E-9</v>
      </c>
      <c r="AX98" s="21">
        <f t="shared" si="60"/>
        <v>0.57411670218330024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18.5</v>
      </c>
      <c r="BD98" s="12">
        <f>IF('Données projet'!$A$88&gt;35,BD97+BC98-BL97,IF(A98&lt;'Données projet'!$A$88,$BA$205^A98,IF(A98='Données projet'!$A$88,'Données projet'!$B$88,BD97+BC98-BL97)))</f>
        <v>633.69999999999993</v>
      </c>
      <c r="BE98" s="13">
        <f>BD98*VLOOKUP('Données projet'!$B$11,Paramètres!$A$1:$I$89,3,0)*VLOOKUP('Données projet'!$B$11,Paramètres!$A$1:$I$89,5,0)</f>
        <v>296.57159999999999</v>
      </c>
      <c r="BF98" s="13">
        <f t="shared" si="91"/>
        <v>70.457259073622822</v>
      </c>
      <c r="BG98" s="20">
        <f t="shared" si="61"/>
        <v>639.24192955322633</v>
      </c>
      <c r="BH98" s="59">
        <f t="shared" si="62"/>
        <v>932.57526288655959</v>
      </c>
      <c r="BI98" s="59">
        <f ca="1">AVERAGE(OFFSET($BH$3,0,0,'Données projet'!$E$11+1,1))-AVERAGE(OFFSET($H$3,0,0,'Données projet'!$E$11+1,1))</f>
        <v>252.98248842635206</v>
      </c>
      <c r="BJ98" s="59">
        <f t="shared" si="92"/>
        <v>207.11938580878308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0.8652146690812621</v>
      </c>
      <c r="BQ98" s="21">
        <f>EXP(-LN(2)/25)*BQ97+(1-EXP(-LN(2)/25))/(LN(2)/25)*Calculateur!BL98*Calculateur!BN98*VLOOKUP('Données projet'!$B$11,Paramètres!$A$1:$I$89,3,0)*0.475*44/12</f>
        <v>1.2956684197360684</v>
      </c>
      <c r="BR98" s="21">
        <f>EXP(-LN(2)/2)*BR97+(1-EXP(-LN(2)/2))/(LN(2)/2)*BL98*BO98*VLOOKUP('Données projet'!$B$11,Paramètres!$A$1:$I$89,3,0)*0.475*44/12</f>
        <v>1.6187314556539471E-9</v>
      </c>
      <c r="BS98" s="22">
        <f t="shared" si="63"/>
        <v>2.1608830904360619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-5.6843418860808015E-13</v>
      </c>
      <c r="BZ98" s="13">
        <f>BY98*VLOOKUP('Données projet'!$B$12,Paramètres!$A$1:$I$89,3,0)*VLOOKUP('Données projet'!$B$12,Paramètres!$A$1:$I$89,5,0)</f>
        <v>-3.39923644787632E-13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392.08740055894992</v>
      </c>
      <c r="CE98" s="59">
        <f t="shared" si="94"/>
        <v>395.10797100415783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1.1035813960949352</v>
      </c>
      <c r="CL98" s="21">
        <f>EXP(-LN(2)/25)*CL97+(1-EXP(-LN(2)/25))/(LN(2)/25)*Calculateur!CG98*Calculateur!CI98*VLOOKUP('Données projet'!$B$12,Paramètres!$A$1:$I$89,3,0)*0.475*44/12</f>
        <v>4.2892406951932127</v>
      </c>
      <c r="CM98" s="21">
        <f>EXP(-LN(2)/2)*CM97+(1-EXP(-LN(2)/2))/(LN(2)/2)*CG98*CJ98*VLOOKUP('Données projet'!$B$12,Paramètres!$A$1:$I$89,3,0)*0.475*44/12</f>
        <v>5.722642026842696E-9</v>
      </c>
      <c r="CN98" s="22">
        <f t="shared" si="66"/>
        <v>5.3928220970107894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4.9000000000000004</v>
      </c>
      <c r="N99" s="13">
        <f>IF('Données projet'!$A$36&gt;35,N98+M99-V98,IF(A99&lt;'Données projet'!$A$36,$K$205^A99,IF(A99='Données projet'!$A$36,'Données projet'!$B$36,N98+M99-V98)))</f>
        <v>283.40000000000032</v>
      </c>
      <c r="O99" s="13">
        <f>N99*VLOOKUP('Données projet'!$B$9,Paramètres!$A$1:$I$89,3,0)*VLOOKUP('Données projet'!$B$9,Paramètres!$A$1:$I$89,5,0)</f>
        <v>256.42032000000029</v>
      </c>
      <c r="P99" s="13">
        <f t="shared" si="87"/>
        <v>61.958720258016967</v>
      </c>
      <c r="Q99" s="20">
        <f t="shared" ref="Q99:Q130" si="107">(O99+P99)*0.475*44/12</f>
        <v>554.51016178271334</v>
      </c>
      <c r="R99" s="59">
        <f t="shared" si="55"/>
        <v>847.8434951160466</v>
      </c>
      <c r="S99" s="59">
        <f ca="1">AVERAGE(OFFSET($R$3,0,0,'Données projet'!$E$9+1,1))-AVERAGE(OFFSET($H$3,0,0,'Données projet'!$E$9+1,1))</f>
        <v>282.32472952059817</v>
      </c>
      <c r="T99" s="59">
        <f t="shared" si="88"/>
        <v>172.32171001882176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</v>
      </c>
      <c r="AA99" s="21">
        <f>EXP(-LN(2)/25)*AA98+(1-EXP(-LN(2)/25))/(LN(2)/25)*Calculateur!V99*Calculateur!X99*VLOOKUP('Données projet'!$B$9,Paramètres!$A$1:$I$89,3,0)*0.475*44/12</f>
        <v>0.49828018585034406</v>
      </c>
      <c r="AB99" s="21">
        <f>EXP(-LN(2)/2)*AB98+(1-EXP(-LN(2)/2))/(LN(2)/2)*V99*Y99*VLOOKUP('Données projet'!$B$9,Paramètres!$A$1:$I$89,3,0)*0.475*44/12</f>
        <v>7.2053492237213385E-10</v>
      </c>
      <c r="AC99" s="22">
        <f t="shared" si="57"/>
        <v>0.49828018657087897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4.9000000000000004</v>
      </c>
      <c r="AI99" s="13">
        <f>IF('Données projet'!$A$62&gt;35,AI98+AH99-AQ98,IF(A99&lt;'Données projet'!$A$62,$AF$205^A99,IF(A99='Données projet'!$A$62,'Données projet'!$B$62,AI98+AH99-AQ98)))</f>
        <v>283.40000000000032</v>
      </c>
      <c r="AJ99" s="13">
        <f>AI99*VLOOKUP('Données projet'!$B$10,Paramètres!$A$1:$I$89,3,0)*VLOOKUP('Données projet'!$B$10,Paramètres!$A$1:$I$89,5,0)</f>
        <v>287.36760000000032</v>
      </c>
      <c r="AK99" s="13">
        <f t="shared" si="89"/>
        <v>68.52163320156518</v>
      </c>
      <c r="AL99" s="20">
        <f t="shared" si="58"/>
        <v>619.84041449272661</v>
      </c>
      <c r="AM99" s="59">
        <f t="shared" si="59"/>
        <v>913.17374782605998</v>
      </c>
      <c r="AN99" s="59">
        <f ca="1">AVERAGE(OFFSET($AM$3,0,0,'Données projet'!$E$10+1,1))-AVERAGE(OFFSET($H$3,0,0,'Données projet'!$E$10+1,1))</f>
        <v>324.30660429578262</v>
      </c>
      <c r="AO99" s="59">
        <f t="shared" si="90"/>
        <v>197.04549436738586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</v>
      </c>
      <c r="AV99" s="21">
        <f>EXP(-LN(2)/25)*AV98+(1-EXP(-LN(2)/25))/(LN(2)/25)*Calculateur!AQ99*Calculateur!AS99*VLOOKUP('Données projet'!$B$10,Paramètres!$A$1:$I$89,3,0)*0.475*44/12</f>
        <v>0.55841744965986817</v>
      </c>
      <c r="AW99" s="21">
        <f>EXP(-LN(2)/2)*AW98+(1-EXP(-LN(2)/2))/(LN(2)/2)*AQ99*AT99*VLOOKUP('Données projet'!$B$10,Paramètres!$A$1:$I$89,3,0)*0.475*44/12</f>
        <v>8.074960336929085E-10</v>
      </c>
      <c r="AX99" s="21">
        <f t="shared" si="60"/>
        <v>0.55841745046736424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18.5</v>
      </c>
      <c r="BD99" s="12">
        <f>IF('Données projet'!$A$88&gt;35,BD98+BC99-BL98,IF(A99&lt;'Données projet'!$A$88,$BA$205^A99,IF(A99='Données projet'!$A$88,'Données projet'!$B$88,BD98+BC99-BL98)))</f>
        <v>652.19999999999993</v>
      </c>
      <c r="BE99" s="13">
        <f>BD99*VLOOKUP('Données projet'!$B$11,Paramètres!$A$1:$I$89,3,0)*VLOOKUP('Données projet'!$B$11,Paramètres!$A$1:$I$89,5,0)</f>
        <v>305.22959999999995</v>
      </c>
      <c r="BF99" s="13">
        <f t="shared" si="91"/>
        <v>72.271683388093081</v>
      </c>
      <c r="BG99" s="20">
        <f t="shared" si="61"/>
        <v>657.48140190092874</v>
      </c>
      <c r="BH99" s="59">
        <f t="shared" si="62"/>
        <v>950.81473523426212</v>
      </c>
      <c r="BI99" s="59">
        <f ca="1">AVERAGE(OFFSET($BH$3,0,0,'Données projet'!$E$11+1,1))-AVERAGE(OFFSET($H$3,0,0,'Données projet'!$E$11+1,1))</f>
        <v>252.98248842635206</v>
      </c>
      <c r="BJ99" s="59">
        <f t="shared" si="92"/>
        <v>207.11938580878308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0.84824833714941783</v>
      </c>
      <c r="BQ99" s="21">
        <f>EXP(-LN(2)/25)*BQ98+(1-EXP(-LN(2)/25))/(LN(2)/25)*Calculateur!BL99*Calculateur!BN99*VLOOKUP('Données projet'!$B$11,Paramètres!$A$1:$I$89,3,0)*0.475*44/12</f>
        <v>1.2602382986621448</v>
      </c>
      <c r="BR99" s="21">
        <f>EXP(-LN(2)/2)*BR98+(1-EXP(-LN(2)/2))/(LN(2)/2)*BL99*BO99*VLOOKUP('Données projet'!$B$11,Paramètres!$A$1:$I$89,3,0)*0.475*44/12</f>
        <v>1.1446159892128771E-9</v>
      </c>
      <c r="BS99" s="22">
        <f t="shared" si="63"/>
        <v>2.1084866369561786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-5.6843418860808015E-13</v>
      </c>
      <c r="BZ99" s="13">
        <f>BY99*VLOOKUP('Données projet'!$B$12,Paramètres!$A$1:$I$89,3,0)*VLOOKUP('Données projet'!$B$12,Paramètres!$A$1:$I$89,5,0)</f>
        <v>-3.39923644787632E-13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392.08740055894992</v>
      </c>
      <c r="CE99" s="59">
        <f t="shared" si="94"/>
        <v>395.10797100415783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1.0819408380357003</v>
      </c>
      <c r="CL99" s="21">
        <f>EXP(-LN(2)/25)*CL98+(1-EXP(-LN(2)/25))/(LN(2)/25)*Calculateur!CG99*Calculateur!CI99*VLOOKUP('Données projet'!$B$12,Paramètres!$A$1:$I$89,3,0)*0.475*44/12</f>
        <v>4.1719511828217897</v>
      </c>
      <c r="CM99" s="21">
        <f>EXP(-LN(2)/2)*CM98+(1-EXP(-LN(2)/2))/(LN(2)/2)*CG99*CJ99*VLOOKUP('Données projet'!$B$12,Paramètres!$A$1:$I$89,3,0)*0.475*44/12</f>
        <v>4.046518983483599E-9</v>
      </c>
      <c r="CN99" s="22">
        <f t="shared" si="66"/>
        <v>5.2538920249040091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4.9000000000000004</v>
      </c>
      <c r="N100" s="13">
        <f>IF('Données projet'!$A$36&gt;35,N99+M100-V99,IF(A100&lt;'Données projet'!$A$36,$K$205^A100,IF(A100='Données projet'!$A$36,'Données projet'!$B$36,N99+M100-V99)))</f>
        <v>288.3000000000003</v>
      </c>
      <c r="O100" s="13">
        <f>N100*VLOOKUP('Données projet'!$B$9,Paramètres!$A$1:$I$89,3,0)*VLOOKUP('Données projet'!$B$9,Paramètres!$A$1:$I$89,5,0)</f>
        <v>260.85384000000028</v>
      </c>
      <c r="P100" s="13">
        <f t="shared" si="87"/>
        <v>62.90434739590382</v>
      </c>
      <c r="Q100" s="20">
        <f t="shared" si="107"/>
        <v>563.87884304786633</v>
      </c>
      <c r="R100" s="59">
        <f t="shared" si="55"/>
        <v>857.2121763811997</v>
      </c>
      <c r="S100" s="59">
        <f ca="1">AVERAGE(OFFSET($R$3,0,0,'Données projet'!$E$9+1,1))-AVERAGE(OFFSET($H$3,0,0,'Données projet'!$E$9+1,1))</f>
        <v>282.32472952059817</v>
      </c>
      <c r="T100" s="59">
        <f t="shared" si="88"/>
        <v>172.32171001882176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</v>
      </c>
      <c r="AA100" s="21">
        <f>EXP(-LN(2)/25)*AA99+(1-EXP(-LN(2)/25))/(LN(2)/25)*Calculateur!V100*Calculateur!X100*VLOOKUP('Données projet'!$B$9,Paramètres!$A$1:$I$89,3,0)*0.475*44/12</f>
        <v>0.48465468796485028</v>
      </c>
      <c r="AB100" s="21">
        <f>EXP(-LN(2)/2)*AB99+(1-EXP(-LN(2)/2))/(LN(2)/2)*V100*Y100*VLOOKUP('Données projet'!$B$9,Paramètres!$A$1:$I$89,3,0)*0.475*44/12</f>
        <v>5.0949512969105845E-10</v>
      </c>
      <c r="AC100" s="22">
        <f t="shared" si="57"/>
        <v>0.4846546884743454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4.9000000000000004</v>
      </c>
      <c r="AI100" s="13">
        <f>IF('Données projet'!$A$62&gt;35,AI99+AH100-AQ99,IF(A100&lt;'Données projet'!$A$62,$AF$205^A100,IF(A100='Données projet'!$A$62,'Données projet'!$B$62,AI99+AH100-AQ99)))</f>
        <v>288.3000000000003</v>
      </c>
      <c r="AJ100" s="13">
        <f>AI100*VLOOKUP('Données projet'!$B$10,Paramètres!$A$1:$I$89,3,0)*VLOOKUP('Données projet'!$B$10,Paramètres!$A$1:$I$89,5,0)</f>
        <v>292.33620000000036</v>
      </c>
      <c r="AK100" s="13">
        <f t="shared" si="89"/>
        <v>69.567424909623327</v>
      </c>
      <c r="AL100" s="20">
        <f t="shared" si="58"/>
        <v>630.31548005092793</v>
      </c>
      <c r="AM100" s="59">
        <f t="shared" si="59"/>
        <v>923.6488133842613</v>
      </c>
      <c r="AN100" s="59">
        <f ca="1">AVERAGE(OFFSET($AM$3,0,0,'Données projet'!$E$10+1,1))-AVERAGE(OFFSET($H$3,0,0,'Données projet'!$E$10+1,1))</f>
        <v>324.30660429578262</v>
      </c>
      <c r="AO100" s="59">
        <f t="shared" si="90"/>
        <v>197.04549436738586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</v>
      </c>
      <c r="AV100" s="21">
        <f>EXP(-LN(2)/25)*AV99+(1-EXP(-LN(2)/25))/(LN(2)/25)*Calculateur!AQ100*Calculateur!AS100*VLOOKUP('Données projet'!$B$10,Paramètres!$A$1:$I$89,3,0)*0.475*44/12</f>
        <v>0.54314749513302163</v>
      </c>
      <c r="AW100" s="21">
        <f>EXP(-LN(2)/2)*AW99+(1-EXP(-LN(2)/2))/(LN(2)/2)*AQ100*AT100*VLOOKUP('Données projet'!$B$10,Paramètres!$A$1:$I$89,3,0)*0.475*44/12</f>
        <v>5.7098592120549646E-10</v>
      </c>
      <c r="AX100" s="21">
        <f t="shared" si="60"/>
        <v>0.54314749570400755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18.5</v>
      </c>
      <c r="BD100" s="12">
        <f>IF('Données projet'!$A$88&gt;35,BD99+BC100-BL99,IF(A100&lt;'Données projet'!$A$88,$BA$205^A100,IF(A100='Données projet'!$A$88,'Données projet'!$B$88,BD99+BC100-BL99)))</f>
        <v>670.69999999999993</v>
      </c>
      <c r="BE100" s="13">
        <f>BD100*VLOOKUP('Données projet'!$B$11,Paramètres!$A$1:$I$89,3,0)*VLOOKUP('Données projet'!$B$11,Paramètres!$A$1:$I$89,5,0)</f>
        <v>313.88759999999996</v>
      </c>
      <c r="BF100" s="13">
        <f t="shared" si="91"/>
        <v>74.080125962367049</v>
      </c>
      <c r="BG100" s="20">
        <f t="shared" si="61"/>
        <v>675.71045605112249</v>
      </c>
      <c r="BH100" s="59">
        <f t="shared" si="62"/>
        <v>969.04378938445575</v>
      </c>
      <c r="BI100" s="59">
        <f ca="1">AVERAGE(OFFSET($BH$3,0,0,'Données projet'!$E$11+1,1))-AVERAGE(OFFSET($H$3,0,0,'Données projet'!$E$11+1,1))</f>
        <v>252.98248842635206</v>
      </c>
      <c r="BJ100" s="59">
        <f t="shared" si="92"/>
        <v>207.11938580878308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0.83161470463831633</v>
      </c>
      <c r="BQ100" s="21">
        <f>EXP(-LN(2)/25)*BQ99+(1-EXP(-LN(2)/25))/(LN(2)/25)*Calculateur!BL100*Calculateur!BN100*VLOOKUP('Données projet'!$B$11,Paramètres!$A$1:$I$89,3,0)*0.475*44/12</f>
        <v>1.2257770161121766</v>
      </c>
      <c r="BR100" s="21">
        <f>EXP(-LN(2)/2)*BR99+(1-EXP(-LN(2)/2))/(LN(2)/2)*BL100*BO100*VLOOKUP('Données projet'!$B$11,Paramètres!$A$1:$I$89,3,0)*0.475*44/12</f>
        <v>8.0936572782697355E-10</v>
      </c>
      <c r="BS100" s="22">
        <f t="shared" si="63"/>
        <v>2.0573917215598589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-5.6843418860808015E-13</v>
      </c>
      <c r="BZ100" s="13">
        <f>BY100*VLOOKUP('Données projet'!$B$12,Paramètres!$A$1:$I$89,3,0)*VLOOKUP('Données projet'!$B$12,Paramètres!$A$1:$I$89,5,0)</f>
        <v>-3.39923644787632E-13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392.08740055894992</v>
      </c>
      <c r="CE100" s="59">
        <f t="shared" si="94"/>
        <v>395.10797100415783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1.0607246381205699</v>
      </c>
      <c r="CL100" s="21">
        <f>EXP(-LN(2)/25)*CL99+(1-EXP(-LN(2)/25))/(LN(2)/25)*Calculateur!CG100*Calculateur!CI100*VLOOKUP('Données projet'!$B$12,Paramètres!$A$1:$I$89,3,0)*0.475*44/12</f>
        <v>4.0578689583341498</v>
      </c>
      <c r="CM100" s="21">
        <f>EXP(-LN(2)/2)*CM99+(1-EXP(-LN(2)/2))/(LN(2)/2)*CG100*CJ100*VLOOKUP('Données projet'!$B$12,Paramètres!$A$1:$I$89,3,0)*0.475*44/12</f>
        <v>2.861321013421348E-9</v>
      </c>
      <c r="CN100" s="22">
        <f t="shared" si="66"/>
        <v>5.118593599316041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4.9000000000000004</v>
      </c>
      <c r="N101" s="13">
        <f>IF('Données projet'!$A$36&gt;35,N100+M101-V100,IF(A101&lt;'Données projet'!$A$36,$K$205^A101,IF(A101='Données projet'!$A$36,'Données projet'!$B$36,N100+M101-V100)))</f>
        <v>293.20000000000027</v>
      </c>
      <c r="O101" s="13">
        <f>N101*VLOOKUP('Données projet'!$B$9,Paramètres!$A$1:$I$89,3,0)*VLOOKUP('Données projet'!$B$9,Paramètres!$A$1:$I$89,5,0)</f>
        <v>265.28736000000026</v>
      </c>
      <c r="P101" s="13">
        <f t="shared" si="87"/>
        <v>63.848105500970064</v>
      </c>
      <c r="Q101" s="20">
        <f t="shared" si="107"/>
        <v>573.24426908085661</v>
      </c>
      <c r="R101" s="59">
        <f t="shared" si="55"/>
        <v>866.57760241418987</v>
      </c>
      <c r="S101" s="59">
        <f ca="1">AVERAGE(OFFSET($R$3,0,0,'Données projet'!$E$9+1,1))-AVERAGE(OFFSET($H$3,0,0,'Données projet'!$E$9+1,1))</f>
        <v>282.32472952059817</v>
      </c>
      <c r="T101" s="59">
        <f t="shared" si="88"/>
        <v>172.32171001882176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</v>
      </c>
      <c r="AA101" s="21">
        <f>EXP(-LN(2)/25)*AA100+(1-EXP(-LN(2)/25))/(LN(2)/25)*Calculateur!V101*Calculateur!X101*VLOOKUP('Données projet'!$B$9,Paramètres!$A$1:$I$89,3,0)*0.475*44/12</f>
        <v>0.4714017800355691</v>
      </c>
      <c r="AB101" s="21">
        <f>EXP(-LN(2)/2)*AB100+(1-EXP(-LN(2)/2))/(LN(2)/2)*V101*Y101*VLOOKUP('Données projet'!$B$9,Paramètres!$A$1:$I$89,3,0)*0.475*44/12</f>
        <v>3.6026746118606693E-10</v>
      </c>
      <c r="AC101" s="22">
        <f t="shared" si="57"/>
        <v>0.47140178039583658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4.9000000000000004</v>
      </c>
      <c r="AI101" s="13">
        <f>IF('Données projet'!$A$62&gt;35,AI100+AH101-AQ100,IF(A101&lt;'Données projet'!$A$62,$AF$205^A101,IF(A101='Données projet'!$A$62,'Données projet'!$B$62,AI100+AH101-AQ100)))</f>
        <v>293.20000000000027</v>
      </c>
      <c r="AJ101" s="13">
        <f>AI101*VLOOKUP('Données projet'!$B$10,Paramètres!$A$1:$I$89,3,0)*VLOOKUP('Données projet'!$B$10,Paramètres!$A$1:$I$89,5,0)</f>
        <v>297.30480000000028</v>
      </c>
      <c r="AK101" s="13">
        <f t="shared" si="89"/>
        <v>70.611149609505034</v>
      </c>
      <c r="AL101" s="20">
        <f t="shared" si="58"/>
        <v>640.78694556988842</v>
      </c>
      <c r="AM101" s="59">
        <f t="shared" si="59"/>
        <v>934.12027890322179</v>
      </c>
      <c r="AN101" s="59">
        <f ca="1">AVERAGE(OFFSET($AM$3,0,0,'Données projet'!$E$10+1,1))-AVERAGE(OFFSET($H$3,0,0,'Données projet'!$E$10+1,1))</f>
        <v>324.30660429578262</v>
      </c>
      <c r="AO101" s="59">
        <f t="shared" si="90"/>
        <v>197.04549436738586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</v>
      </c>
      <c r="AV101" s="21">
        <f>EXP(-LN(2)/25)*AV100+(1-EXP(-LN(2)/25))/(LN(2)/25)*Calculateur!AQ101*Calculateur!AS101*VLOOKUP('Données projet'!$B$10,Paramètres!$A$1:$I$89,3,0)*0.475*44/12</f>
        <v>0.52829509831572374</v>
      </c>
      <c r="AW101" s="21">
        <f>EXP(-LN(2)/2)*AW100+(1-EXP(-LN(2)/2))/(LN(2)/2)*AQ101*AT101*VLOOKUP('Données projet'!$B$10,Paramètres!$A$1:$I$89,3,0)*0.475*44/12</f>
        <v>4.0374801684645425E-10</v>
      </c>
      <c r="AX101" s="21">
        <f t="shared" si="60"/>
        <v>0.52829509871947178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18.5</v>
      </c>
      <c r="BD101" s="12">
        <f>IF('Données projet'!$A$88&gt;35,BD100+BC101-BL100,IF(A101&lt;'Données projet'!$A$88,$BA$205^A101,IF(A101='Données projet'!$A$88,'Données projet'!$B$88,BD100+BC101-BL100)))</f>
        <v>689.19999999999993</v>
      </c>
      <c r="BE101" s="13">
        <f>BD101*VLOOKUP('Données projet'!$B$11,Paramètres!$A$1:$I$89,3,0)*VLOOKUP('Données projet'!$B$11,Paramètres!$A$1:$I$89,5,0)</f>
        <v>322.54559999999998</v>
      </c>
      <c r="BF101" s="13">
        <f t="shared" si="91"/>
        <v>75.882770748800752</v>
      </c>
      <c r="BG101" s="20">
        <f t="shared" si="61"/>
        <v>693.92941238749461</v>
      </c>
      <c r="BH101" s="59">
        <f t="shared" si="62"/>
        <v>987.26274572082798</v>
      </c>
      <c r="BI101" s="59">
        <f ca="1">AVERAGE(OFFSET($BH$3,0,0,'Données projet'!$E$11+1,1))-AVERAGE(OFFSET($H$3,0,0,'Données projet'!$E$11+1,1))</f>
        <v>252.98248842635206</v>
      </c>
      <c r="BJ101" s="59">
        <f t="shared" si="92"/>
        <v>207.11938580878308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0.81530724751524353</v>
      </c>
      <c r="BQ101" s="21">
        <f>EXP(-LN(2)/25)*BQ100+(1-EXP(-LN(2)/25))/(LN(2)/25)*Calculateur!BL101*Calculateur!BN101*VLOOKUP('Données projet'!$B$11,Paramètres!$A$1:$I$89,3,0)*0.475*44/12</f>
        <v>1.1922580791457773</v>
      </c>
      <c r="BR101" s="21">
        <f>EXP(-LN(2)/2)*BR100+(1-EXP(-LN(2)/2))/(LN(2)/2)*BL101*BO101*VLOOKUP('Données projet'!$B$11,Paramètres!$A$1:$I$89,3,0)*0.475*44/12</f>
        <v>5.7230799460643855E-10</v>
      </c>
      <c r="BS101" s="22">
        <f t="shared" si="63"/>
        <v>2.0075653272333289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-5.6843418860808015E-13</v>
      </c>
      <c r="BZ101" s="13">
        <f>BY101*VLOOKUP('Données projet'!$B$12,Paramètres!$A$1:$I$89,3,0)*VLOOKUP('Données projet'!$B$12,Paramètres!$A$1:$I$89,5,0)</f>
        <v>-3.39923644787632E-13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392.08740055894992</v>
      </c>
      <c r="CE101" s="59">
        <f t="shared" si="94"/>
        <v>395.10797100415783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1.039924474945171</v>
      </c>
      <c r="CL101" s="21">
        <f>EXP(-LN(2)/25)*CL100+(1-EXP(-LN(2)/25))/(LN(2)/25)*Calculateur!CG101*Calculateur!CI101*VLOOKUP('Données projet'!$B$12,Paramètres!$A$1:$I$89,3,0)*0.475*44/12</f>
        <v>3.9469063182744484</v>
      </c>
      <c r="CM101" s="21">
        <f>EXP(-LN(2)/2)*CM100+(1-EXP(-LN(2)/2))/(LN(2)/2)*CG101*CJ101*VLOOKUP('Données projet'!$B$12,Paramètres!$A$1:$I$89,3,0)*0.475*44/12</f>
        <v>2.0232594917417995E-9</v>
      </c>
      <c r="CN101" s="22">
        <f t="shared" si="66"/>
        <v>4.986830795242879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4.9000000000000004</v>
      </c>
      <c r="N102" s="13">
        <f>IF('Données projet'!$A$36&gt;35,N101+M102-V101,IF(A102&lt;'Données projet'!$A$36,$K$205^A102,IF(A102='Données projet'!$A$36,'Données projet'!$B$36,N101+M102-V101)))</f>
        <v>298.10000000000025</v>
      </c>
      <c r="O102" s="13">
        <f>N102*VLOOKUP('Données projet'!$B$9,Paramètres!$A$1:$I$89,3,0)*VLOOKUP('Données projet'!$B$9,Paramètres!$A$1:$I$89,5,0)</f>
        <v>269.72088000000025</v>
      </c>
      <c r="P102" s="13">
        <f t="shared" si="87"/>
        <v>64.790029413947011</v>
      </c>
      <c r="Q102" s="20">
        <f t="shared" si="107"/>
        <v>582.60650056262477</v>
      </c>
      <c r="R102" s="59">
        <f t="shared" si="55"/>
        <v>875.93983389595815</v>
      </c>
      <c r="S102" s="59">
        <f ca="1">AVERAGE(OFFSET($R$3,0,0,'Données projet'!$E$9+1,1))-AVERAGE(OFFSET($H$3,0,0,'Données projet'!$E$9+1,1))</f>
        <v>282.32472952059817</v>
      </c>
      <c r="T102" s="59">
        <f t="shared" si="88"/>
        <v>172.32171001882176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</v>
      </c>
      <c r="AA102" s="21">
        <f>EXP(-LN(2)/25)*AA101+(1-EXP(-LN(2)/25))/(LN(2)/25)*Calculateur!V102*Calculateur!X102*VLOOKUP('Données projet'!$B$9,Paramètres!$A$1:$I$89,3,0)*0.475*44/12</f>
        <v>0.45851127357055427</v>
      </c>
      <c r="AB102" s="21">
        <f>EXP(-LN(2)/2)*AB101+(1-EXP(-LN(2)/2))/(LN(2)/2)*V102*Y102*VLOOKUP('Données projet'!$B$9,Paramètres!$A$1:$I$89,3,0)*0.475*44/12</f>
        <v>2.5474756484552923E-10</v>
      </c>
      <c r="AC102" s="22">
        <f t="shared" si="57"/>
        <v>0.45851127382530182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4.9000000000000004</v>
      </c>
      <c r="AI102" s="13">
        <f>IF('Données projet'!$A$62&gt;35,AI101+AH102-AQ101,IF(A102&lt;'Données projet'!$A$62,$AF$205^A102,IF(A102='Données projet'!$A$62,'Données projet'!$B$62,AI101+AH102-AQ101)))</f>
        <v>298.10000000000025</v>
      </c>
      <c r="AJ102" s="13">
        <f>AI102*VLOOKUP('Données projet'!$B$10,Paramètres!$A$1:$I$89,3,0)*VLOOKUP('Données projet'!$B$10,Paramètres!$A$1:$I$89,5,0)</f>
        <v>302.27340000000027</v>
      </c>
      <c r="AK102" s="13">
        <f t="shared" si="89"/>
        <v>71.652845832409795</v>
      </c>
      <c r="AL102" s="20">
        <f t="shared" si="58"/>
        <v>651.25487815811414</v>
      </c>
      <c r="AM102" s="59">
        <f t="shared" si="59"/>
        <v>944.58821149144751</v>
      </c>
      <c r="AN102" s="59">
        <f ca="1">AVERAGE(OFFSET($AM$3,0,0,'Données projet'!$E$10+1,1))-AVERAGE(OFFSET($H$3,0,0,'Données projet'!$E$10+1,1))</f>
        <v>324.30660429578262</v>
      </c>
      <c r="AO102" s="59">
        <f t="shared" si="90"/>
        <v>197.04549436738586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</v>
      </c>
      <c r="AV102" s="21">
        <f>EXP(-LN(2)/25)*AV101+(1-EXP(-LN(2)/25))/(LN(2)/25)*Calculateur!AQ102*Calculateur!AS102*VLOOKUP('Données projet'!$B$10,Paramètres!$A$1:$I$89,3,0)*0.475*44/12</f>
        <v>0.51384884107044848</v>
      </c>
      <c r="AW102" s="21">
        <f>EXP(-LN(2)/2)*AW101+(1-EXP(-LN(2)/2))/(LN(2)/2)*AQ102*AT102*VLOOKUP('Données projet'!$B$10,Paramètres!$A$1:$I$89,3,0)*0.475*44/12</f>
        <v>2.8549296060274823E-10</v>
      </c>
      <c r="AX102" s="21">
        <f t="shared" si="60"/>
        <v>0.51384884135594144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18.5</v>
      </c>
      <c r="BD102" s="12">
        <f>IF('Données projet'!$A$88&gt;35,BD101+BC102-BL101,IF(A102&lt;'Données projet'!$A$88,$BA$205^A102,IF(A102='Données projet'!$A$88,'Données projet'!$B$88,BD101+BC102-BL101)))</f>
        <v>707.69999999999993</v>
      </c>
      <c r="BE102" s="13">
        <f>BD102*VLOOKUP('Données projet'!$B$11,Paramètres!$A$1:$I$89,3,0)*VLOOKUP('Données projet'!$B$11,Paramètres!$A$1:$I$89,5,0)</f>
        <v>331.20359999999994</v>
      </c>
      <c r="BF102" s="13">
        <f t="shared" si="91"/>
        <v>77.67979126195354</v>
      </c>
      <c r="BG102" s="20">
        <f t="shared" si="61"/>
        <v>712.13857311456889</v>
      </c>
      <c r="BH102" s="59">
        <f t="shared" si="62"/>
        <v>1005.4719064479023</v>
      </c>
      <c r="BI102" s="59">
        <f ca="1">AVERAGE(OFFSET($BH$3,0,0,'Données projet'!$E$11+1,1))-AVERAGE(OFFSET($H$3,0,0,'Données projet'!$E$11+1,1))</f>
        <v>252.98248842635206</v>
      </c>
      <c r="BJ102" s="59">
        <f t="shared" si="92"/>
        <v>207.11938580878308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0.79931956967978746</v>
      </c>
      <c r="BQ102" s="21">
        <f>EXP(-LN(2)/25)*BQ101+(1-EXP(-LN(2)/25))/(LN(2)/25)*Calculateur!BL102*Calculateur!BN102*VLOOKUP('Données projet'!$B$11,Paramètres!$A$1:$I$89,3,0)*0.475*44/12</f>
        <v>1.1596557192734085</v>
      </c>
      <c r="BR102" s="21">
        <f>EXP(-LN(2)/2)*BR101+(1-EXP(-LN(2)/2))/(LN(2)/2)*BL102*BO102*VLOOKUP('Données projet'!$B$11,Paramètres!$A$1:$I$89,3,0)*0.475*44/12</f>
        <v>4.0468286391348677E-10</v>
      </c>
      <c r="BS102" s="22">
        <f t="shared" si="63"/>
        <v>1.9589752893578789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-5.6843418860808015E-13</v>
      </c>
      <c r="BZ102" s="13">
        <f>BY102*VLOOKUP('Données projet'!$B$12,Paramètres!$A$1:$I$89,3,0)*VLOOKUP('Données projet'!$B$12,Paramètres!$A$1:$I$89,5,0)</f>
        <v>-3.39923644787632E-13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392.08740055894992</v>
      </c>
      <c r="CE102" s="59">
        <f t="shared" si="94"/>
        <v>395.10797100415783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1.019532190282795</v>
      </c>
      <c r="CL102" s="21">
        <f>EXP(-LN(2)/25)*CL101+(1-EXP(-LN(2)/25))/(LN(2)/25)*Calculateur!CG102*Calculateur!CI102*VLOOKUP('Données projet'!$B$12,Paramètres!$A$1:$I$89,3,0)*0.475*44/12</f>
        <v>3.838977957442451</v>
      </c>
      <c r="CM102" s="21">
        <f>EXP(-LN(2)/2)*CM101+(1-EXP(-LN(2)/2))/(LN(2)/2)*CG102*CJ102*VLOOKUP('Données projet'!$B$12,Paramètres!$A$1:$I$89,3,0)*0.475*44/12</f>
        <v>1.430660506710674E-9</v>
      </c>
      <c r="CN102" s="22">
        <f t="shared" si="66"/>
        <v>4.8585101491559071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303</v>
      </c>
      <c r="L103" s="12">
        <f>VLOOKUP(A103,'Données projet'!$A$35:$I$55,9,0)</f>
        <v>4.9000000000000004</v>
      </c>
      <c r="M103" s="12">
        <f t="array" ref="M103">INDEX(L:L,MIN(IF(ISNUMBER(L103:L299),ROW(L103:L299),"")))</f>
        <v>4.9000000000000004</v>
      </c>
      <c r="N103" s="13">
        <f>IF('Données projet'!$A$36&gt;35,N102+M103-V102,IF(A103&lt;'Données projet'!$A$36,$K$205^A103,IF(A103='Données projet'!$A$36,'Données projet'!$B$36,N102+M103-V102)))</f>
        <v>303.00000000000023</v>
      </c>
      <c r="O103" s="13">
        <f>N103*VLOOKUP('Données projet'!$B$9,Paramètres!$A$1:$I$89,3,0)*VLOOKUP('Données projet'!$B$9,Paramètres!$A$1:$I$89,5,0)</f>
        <v>274.15440000000018</v>
      </c>
      <c r="P103" s="13">
        <f t="shared" si="87"/>
        <v>65.730152764515836</v>
      </c>
      <c r="Q103" s="20">
        <f t="shared" si="107"/>
        <v>591.96559606486528</v>
      </c>
      <c r="R103" s="59">
        <f t="shared" si="55"/>
        <v>885.29892939819865</v>
      </c>
      <c r="S103" s="59">
        <f ca="1">AVERAGE(OFFSET($R$3,0,0,'Données projet'!$E$9+1,1))-AVERAGE(OFFSET($H$3,0,0,'Données projet'!$E$9+1,1))</f>
        <v>282.32472952059817</v>
      </c>
      <c r="T103" s="59">
        <f t="shared" si="88"/>
        <v>172.32171001882176</v>
      </c>
      <c r="U103" s="15">
        <f>IF(ISNA(VLOOKUP(A103,'Données projet'!$A$35:$I$55,3,0)),0,VLOOKUP(A103,'Données projet'!$A$35:$I$55,3,0))</f>
        <v>8</v>
      </c>
      <c r="V103" s="15">
        <f>IF(ISNA(VLOOKUP(A103,'Données projet'!$A$35:$I$55,4,0)),0,VLOOKUP(A103,'Données projet'!$A$35:$I$55,4,0))</f>
        <v>42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</v>
      </c>
      <c r="AA103" s="21">
        <f>EXP(-LN(2)/25)*AA102+(1-EXP(-LN(2)/25))/(LN(2)/25)*Calculateur!V103*Calculateur!X103*VLOOKUP('Données projet'!$B$9,Paramètres!$A$1:$I$89,3,0)*0.475*44/12</f>
        <v>0.44597325868270754</v>
      </c>
      <c r="AB103" s="21">
        <f>EXP(-LN(2)/2)*AB102+(1-EXP(-LN(2)/2))/(LN(2)/2)*V103*Y103*VLOOKUP('Données projet'!$B$9,Paramètres!$A$1:$I$89,3,0)*0.475*44/12</f>
        <v>1.8013373059303346E-10</v>
      </c>
      <c r="AC103" s="22">
        <f t="shared" si="57"/>
        <v>0.44597325886284128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303</v>
      </c>
      <c r="AG103" s="12">
        <f>VLOOKUP(A103,'Données projet'!$A$61:$I$81,9,0)</f>
        <v>4.9000000000000004</v>
      </c>
      <c r="AH103" s="12">
        <f t="array" ref="AH103">INDEX(AG:AG,MIN(IF(ISNUMBER(AG103:AG299),ROW(AG103:AG299),"")))</f>
        <v>4.9000000000000004</v>
      </c>
      <c r="AI103" s="13">
        <f>IF('Données projet'!$A$62&gt;35,AI102+AH103-AQ102,IF(A103&lt;'Données projet'!$A$62,$AF$205^A103,IF(A103='Données projet'!$A$62,'Données projet'!$B$62,AI102+AH103-AQ102)))</f>
        <v>303.00000000000023</v>
      </c>
      <c r="AJ103" s="13">
        <f>AI103*VLOOKUP('Données projet'!$B$10,Paramètres!$A$1:$I$89,3,0)*VLOOKUP('Données projet'!$B$10,Paramètres!$A$1:$I$89,5,0)</f>
        <v>307.24200000000025</v>
      </c>
      <c r="AK103" s="13">
        <f t="shared" si="89"/>
        <v>72.692550770207845</v>
      </c>
      <c r="AL103" s="20">
        <f t="shared" si="58"/>
        <v>661.71934259144575</v>
      </c>
      <c r="AM103" s="59">
        <f t="shared" si="59"/>
        <v>955.05267592477912</v>
      </c>
      <c r="AN103" s="59">
        <f ca="1">AVERAGE(OFFSET($AM$3,0,0,'Données projet'!$E$10+1,1))-AVERAGE(OFFSET($H$3,0,0,'Données projet'!$E$10+1,1))</f>
        <v>324.30660429578262</v>
      </c>
      <c r="AO103" s="59">
        <f t="shared" si="90"/>
        <v>197.04549436738586</v>
      </c>
      <c r="AP103" s="15">
        <f>IF(ISNA(VLOOKUP(A103,'Données projet'!$A$61:$I$81,3,0)),0,VLOOKUP(A103,'Données projet'!$A$61:$I$81,3,0))</f>
        <v>8</v>
      </c>
      <c r="AQ103" s="15">
        <f>IF(ISNA(VLOOKUP(A103,'Données projet'!$A$61:$I$81,4,0)),0,VLOOKUP(A103,'Données projet'!$A$61:$I$81,4,0))</f>
        <v>42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</v>
      </c>
      <c r="AV103" s="21">
        <f>EXP(-LN(2)/25)*AV102+(1-EXP(-LN(2)/25))/(LN(2)/25)*Calculateur!AQ103*Calculateur!AS103*VLOOKUP('Données projet'!$B$10,Paramètres!$A$1:$I$89,3,0)*0.475*44/12</f>
        <v>0.49979761748924095</v>
      </c>
      <c r="AW103" s="21">
        <f>EXP(-LN(2)/2)*AW102+(1-EXP(-LN(2)/2))/(LN(2)/2)*AQ103*AT103*VLOOKUP('Données projet'!$B$10,Paramètres!$A$1:$I$89,3,0)*0.475*44/12</f>
        <v>2.0187400842322713E-10</v>
      </c>
      <c r="AX103" s="21">
        <f t="shared" si="60"/>
        <v>0.49979761769111497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726.2</v>
      </c>
      <c r="BB103" s="12">
        <f>VLOOKUP(A103,'Données projet'!$A$87:$I$107,9,0)</f>
        <v>18.5</v>
      </c>
      <c r="BC103" s="12">
        <f t="array" ref="BC103">INDEX(BB:BB,MIN(IF(ISNUMBER(BB103:BB299),ROW(BB103:BB299),"")))</f>
        <v>18.5</v>
      </c>
      <c r="BD103" s="12">
        <f>IF('Données projet'!$A$88&gt;35,BD102+BC103-BL102,IF(A103&lt;'Données projet'!$A$88,$BA$205^A103,IF(A103='Données projet'!$A$88,'Données projet'!$B$88,BD102+BC103-BL102)))</f>
        <v>726.19999999999993</v>
      </c>
      <c r="BE103" s="13">
        <f>BD103*VLOOKUP('Données projet'!$B$11,Paramètres!$A$1:$I$89,3,0)*VLOOKUP('Données projet'!$B$11,Paramètres!$A$1:$I$89,5,0)</f>
        <v>339.86159999999995</v>
      </c>
      <c r="BF103" s="13">
        <f t="shared" si="91"/>
        <v>79.47135142801136</v>
      </c>
      <c r="BG103" s="20">
        <f t="shared" si="61"/>
        <v>730.33822373711973</v>
      </c>
      <c r="BH103" s="59">
        <f t="shared" si="62"/>
        <v>1023.671557070453</v>
      </c>
      <c r="BI103" s="59">
        <f ca="1">AVERAGE(OFFSET($BH$3,0,0,'Données projet'!$E$11+1,1))-AVERAGE(OFFSET($H$3,0,0,'Données projet'!$E$11+1,1))</f>
        <v>252.98248842635206</v>
      </c>
      <c r="BJ103" s="59">
        <f t="shared" si="92"/>
        <v>207.11938580878308</v>
      </c>
      <c r="BK103" s="15">
        <f>IF(ISNA(VLOOKUP(A103,'Données projet'!$A$87:$I$107,3,0)),0,VLOOKUP(A103,'Données projet'!$A$87:$I$107,3,0))</f>
        <v>9</v>
      </c>
      <c r="BL103" s="15">
        <f>IF(ISNA(VLOOKUP(A103,'Données projet'!$A$87:$I$107,4,0)),0,VLOOKUP(A103,'Données projet'!$A$87:$I$107,4,0))</f>
        <v>726.2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0.78364540045516407</v>
      </c>
      <c r="BQ103" s="21">
        <f>EXP(-LN(2)/25)*BQ102+(1-EXP(-LN(2)/25))/(LN(2)/25)*Calculateur!BL103*Calculateur!BN103*VLOOKUP('Données projet'!$B$11,Paramètres!$A$1:$I$89,3,0)*0.475*44/12</f>
        <v>1.1279448726462333</v>
      </c>
      <c r="BR103" s="21">
        <f>EXP(-LN(2)/2)*BR102+(1-EXP(-LN(2)/2))/(LN(2)/2)*BL103*BO103*VLOOKUP('Données projet'!$B$11,Paramètres!$A$1:$I$89,3,0)*0.475*44/12</f>
        <v>2.8615399730321928E-10</v>
      </c>
      <c r="BS103" s="22">
        <f t="shared" si="63"/>
        <v>1.9115902733875514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-5.6843418860808015E-13</v>
      </c>
      <c r="BZ103" s="13">
        <f>BY103*VLOOKUP('Données projet'!$B$12,Paramètres!$A$1:$I$89,3,0)*VLOOKUP('Données projet'!$B$12,Paramètres!$A$1:$I$89,5,0)</f>
        <v>-3.39923644787632E-13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392.08740055894992</v>
      </c>
      <c r="CE103" s="59">
        <f t="shared" si="94"/>
        <v>395.10797100415783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0.99953978588458248</v>
      </c>
      <c r="CL103" s="21">
        <f>EXP(-LN(2)/25)*CL102+(1-EXP(-LN(2)/25))/(LN(2)/25)*Calculateur!CG103*Calculateur!CI103*VLOOKUP('Données projet'!$B$12,Paramètres!$A$1:$I$89,3,0)*0.475*44/12</f>
        <v>3.7340009033131105</v>
      </c>
      <c r="CM103" s="21">
        <f>EXP(-LN(2)/2)*CM102+(1-EXP(-LN(2)/2))/(LN(2)/2)*CG103*CJ103*VLOOKUP('Données projet'!$B$12,Paramètres!$A$1:$I$89,3,0)*0.475*44/12</f>
        <v>1.0116297458708997E-9</v>
      </c>
      <c r="CN103" s="22">
        <f t="shared" si="66"/>
        <v>4.7335406902093231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4.4000000000000004</v>
      </c>
      <c r="N104" s="13">
        <f>IF('Données projet'!$A$36&gt;35,N103+M104-V103,IF(A104&lt;'Données projet'!$A$36,$K$205^A104,IF(A104='Données projet'!$A$36,'Données projet'!$B$36,N103+M104-V103)))</f>
        <v>265.4000000000002</v>
      </c>
      <c r="O104" s="13">
        <f>N104*VLOOKUP('Données projet'!$B$9,Paramètres!$A$1:$I$89,3,0)*VLOOKUP('Données projet'!$B$9,Paramètres!$A$1:$I$89,5,0)</f>
        <v>240.13392000000016</v>
      </c>
      <c r="P104" s="13">
        <f t="shared" si="87"/>
        <v>58.468343087048616</v>
      </c>
      <c r="Q104" s="20">
        <f t="shared" si="107"/>
        <v>520.06560820994321</v>
      </c>
      <c r="R104" s="59">
        <f t="shared" si="55"/>
        <v>813.39894154327658</v>
      </c>
      <c r="S104" s="59">
        <f ca="1">AVERAGE(OFFSET($R$3,0,0,'Données projet'!$E$9+1,1))-AVERAGE(OFFSET($H$3,0,0,'Données projet'!$E$9+1,1))</f>
        <v>282.32472952059817</v>
      </c>
      <c r="T104" s="59">
        <f t="shared" si="88"/>
        <v>172.32171001882176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</v>
      </c>
      <c r="AA104" s="21">
        <f>EXP(-LN(2)/25)*AA103+(1-EXP(-LN(2)/25))/(LN(2)/25)*Calculateur!V104*Calculateur!X104*VLOOKUP('Données projet'!$B$9,Paramètres!$A$1:$I$89,3,0)*0.475*44/12</f>
        <v>0.43377809647131449</v>
      </c>
      <c r="AB104" s="21">
        <f>EXP(-LN(2)/2)*AB103+(1-EXP(-LN(2)/2))/(LN(2)/2)*V104*Y104*VLOOKUP('Données projet'!$B$9,Paramètres!$A$1:$I$89,3,0)*0.475*44/12</f>
        <v>1.2737378242276461E-10</v>
      </c>
      <c r="AC104" s="22">
        <f t="shared" si="57"/>
        <v>0.43377809659868827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4.4000000000000004</v>
      </c>
      <c r="AI104" s="13">
        <f>IF('Données projet'!$A$62&gt;35,AI103+AH104-AQ103,IF(A104&lt;'Données projet'!$A$62,$AF$205^A104,IF(A104='Données projet'!$A$62,'Données projet'!$B$62,AI103+AH104-AQ103)))</f>
        <v>265.4000000000002</v>
      </c>
      <c r="AJ104" s="13">
        <f>AI104*VLOOKUP('Données projet'!$B$10,Paramètres!$A$1:$I$89,3,0)*VLOOKUP('Données projet'!$B$10,Paramètres!$A$1:$I$89,5,0)</f>
        <v>269.1156000000002</v>
      </c>
      <c r="AK104" s="13">
        <f t="shared" si="89"/>
        <v>64.66154146228719</v>
      </c>
      <c r="AL104" s="20">
        <f t="shared" si="58"/>
        <v>581.32852138015051</v>
      </c>
      <c r="AM104" s="59">
        <f t="shared" si="59"/>
        <v>874.66185471348376</v>
      </c>
      <c r="AN104" s="59">
        <f ca="1">AVERAGE(OFFSET($AM$3,0,0,'Données projet'!$E$10+1,1))-AVERAGE(OFFSET($H$3,0,0,'Données projet'!$E$10+1,1))</f>
        <v>324.30660429578262</v>
      </c>
      <c r="AO104" s="59">
        <f t="shared" si="90"/>
        <v>197.04549436738586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</v>
      </c>
      <c r="AV104" s="21">
        <f>EXP(-LN(2)/25)*AV103+(1-EXP(-LN(2)/25))/(LN(2)/25)*Calculateur!AQ104*Calculateur!AS104*VLOOKUP('Données projet'!$B$10,Paramètres!$A$1:$I$89,3,0)*0.475*44/12</f>
        <v>0.48613062535578327</v>
      </c>
      <c r="AW104" s="21">
        <f>EXP(-LN(2)/2)*AW103+(1-EXP(-LN(2)/2))/(LN(2)/2)*AQ104*AT104*VLOOKUP('Données projet'!$B$10,Paramètres!$A$1:$I$89,3,0)*0.475*44/12</f>
        <v>1.4274648030137411E-10</v>
      </c>
      <c r="AX104" s="21">
        <f t="shared" si="60"/>
        <v>0.48613062549852976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-1.1368683772161603E-13</v>
      </c>
      <c r="BE104" s="13">
        <f>BD104*VLOOKUP('Données projet'!$B$11,Paramètres!$A$1:$I$89,3,0)*VLOOKUP('Données projet'!$B$11,Paramètres!$A$1:$I$89,5,0)</f>
        <v>-5.3205440053716299E-14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252.98248842635206</v>
      </c>
      <c r="BJ104" s="59">
        <f t="shared" si="92"/>
        <v>207.11938580878308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0.76827859212873628</v>
      </c>
      <c r="BQ104" s="21">
        <f>EXP(-LN(2)/25)*BQ103+(1-EXP(-LN(2)/25))/(LN(2)/25)*Calculateur!BL104*Calculateur!BN104*VLOOKUP('Données projet'!$B$11,Paramètres!$A$1:$I$89,3,0)*0.475*44/12</f>
        <v>1.0971011607876793</v>
      </c>
      <c r="BR104" s="21">
        <f>EXP(-LN(2)/2)*BR103+(1-EXP(-LN(2)/2))/(LN(2)/2)*BL104*BO104*VLOOKUP('Données projet'!$B$11,Paramètres!$A$1:$I$89,3,0)*0.475*44/12</f>
        <v>2.0234143195674339E-10</v>
      </c>
      <c r="BS104" s="22">
        <f t="shared" si="63"/>
        <v>1.865379753118757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-5.6843418860808015E-13</v>
      </c>
      <c r="BZ104" s="13">
        <f>BY104*VLOOKUP('Données projet'!$B$12,Paramètres!$A$1:$I$89,3,0)*VLOOKUP('Données projet'!$B$12,Paramètres!$A$1:$I$89,5,0)</f>
        <v>-3.39923644787632E-13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392.08740055894992</v>
      </c>
      <c r="CE104" s="59">
        <f t="shared" si="94"/>
        <v>395.10797100415783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0.9799394203424564</v>
      </c>
      <c r="CL104" s="21">
        <f>EXP(-LN(2)/25)*CL103+(1-EXP(-LN(2)/25))/(LN(2)/25)*Calculateur!CG104*Calculateur!CI104*VLOOKUP('Données projet'!$B$12,Paramètres!$A$1:$I$89,3,0)*0.475*44/12</f>
        <v>3.6318944522494401</v>
      </c>
      <c r="CM104" s="21">
        <f>EXP(-LN(2)/2)*CM103+(1-EXP(-LN(2)/2))/(LN(2)/2)*CG104*CJ104*VLOOKUP('Données projet'!$B$12,Paramètres!$A$1:$I$89,3,0)*0.475*44/12</f>
        <v>7.15330253355337E-10</v>
      </c>
      <c r="CN104" s="22">
        <f t="shared" si="66"/>
        <v>4.6118338733072264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4.4000000000000004</v>
      </c>
      <c r="N105" s="13">
        <f>IF('Données projet'!$A$36&gt;35,N104+M105-V104,IF(A105&lt;'Données projet'!$A$36,$K$205^A105,IF(A105='Données projet'!$A$36,'Données projet'!$B$36,N104+M105-V104)))</f>
        <v>269.80000000000018</v>
      </c>
      <c r="O105" s="13">
        <f>N105*VLOOKUP('Données projet'!$B$9,Paramètres!$A$1:$I$89,3,0)*VLOOKUP('Données projet'!$B$9,Paramètres!$A$1:$I$89,5,0)</f>
        <v>244.11504000000016</v>
      </c>
      <c r="P105" s="13">
        <f t="shared" si="87"/>
        <v>59.324023461759062</v>
      </c>
      <c r="Q105" s="20">
        <f t="shared" si="107"/>
        <v>528.48970219589739</v>
      </c>
      <c r="R105" s="59">
        <f t="shared" si="55"/>
        <v>821.82303552923076</v>
      </c>
      <c r="S105" s="59">
        <f ca="1">AVERAGE(OFFSET($R$3,0,0,'Données projet'!$E$9+1,1))-AVERAGE(OFFSET($H$3,0,0,'Données projet'!$E$9+1,1))</f>
        <v>282.32472952059817</v>
      </c>
      <c r="T105" s="59">
        <f t="shared" si="88"/>
        <v>172.32171001882176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</v>
      </c>
      <c r="AA105" s="21">
        <f>EXP(-LN(2)/25)*AA104+(1-EXP(-LN(2)/25))/(LN(2)/25)*Calculateur!V105*Calculateur!X105*VLOOKUP('Données projet'!$B$9,Paramètres!$A$1:$I$89,3,0)*0.475*44/12</f>
        <v>0.42191641161190774</v>
      </c>
      <c r="AB105" s="21">
        <f>EXP(-LN(2)/2)*AB104+(1-EXP(-LN(2)/2))/(LN(2)/2)*V105*Y105*VLOOKUP('Données projet'!$B$9,Paramètres!$A$1:$I$89,3,0)*0.475*44/12</f>
        <v>9.0066865296516732E-11</v>
      </c>
      <c r="AC105" s="22">
        <f t="shared" si="57"/>
        <v>0.42191641170197458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4.4000000000000004</v>
      </c>
      <c r="AI105" s="13">
        <f>IF('Données projet'!$A$62&gt;35,AI104+AH105-AQ104,IF(A105&lt;'Données projet'!$A$62,$AF$205^A105,IF(A105='Données projet'!$A$62,'Données projet'!$B$62,AI104+AH105-AQ104)))</f>
        <v>269.80000000000018</v>
      </c>
      <c r="AJ105" s="13">
        <f>AI105*VLOOKUP('Données projet'!$B$10,Paramètres!$A$1:$I$89,3,0)*VLOOKUP('Données projet'!$B$10,Paramètres!$A$1:$I$89,5,0)</f>
        <v>273.57720000000018</v>
      </c>
      <c r="AK105" s="13">
        <f t="shared" si="89"/>
        <v>65.607858889915107</v>
      </c>
      <c r="AL105" s="20">
        <f t="shared" si="58"/>
        <v>590.74731089993577</v>
      </c>
      <c r="AM105" s="59">
        <f t="shared" si="59"/>
        <v>884.08064423326914</v>
      </c>
      <c r="AN105" s="59">
        <f ca="1">AVERAGE(OFFSET($AM$3,0,0,'Données projet'!$E$10+1,1))-AVERAGE(OFFSET($H$3,0,0,'Données projet'!$E$10+1,1))</f>
        <v>324.30660429578262</v>
      </c>
      <c r="AO105" s="59">
        <f t="shared" si="90"/>
        <v>197.04549436738586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</v>
      </c>
      <c r="AV105" s="21">
        <f>EXP(-LN(2)/25)*AV104+(1-EXP(-LN(2)/25))/(LN(2)/25)*Calculateur!AQ105*Calculateur!AS105*VLOOKUP('Données projet'!$B$10,Paramètres!$A$1:$I$89,3,0)*0.475*44/12</f>
        <v>0.47283735784093084</v>
      </c>
      <c r="AW105" s="21">
        <f>EXP(-LN(2)/2)*AW104+(1-EXP(-LN(2)/2))/(LN(2)/2)*AQ105*AT105*VLOOKUP('Données projet'!$B$10,Paramètres!$A$1:$I$89,3,0)*0.475*44/12</f>
        <v>1.0093700421161356E-10</v>
      </c>
      <c r="AX105" s="21">
        <f t="shared" si="60"/>
        <v>0.47283735794186782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-1.1368683772161603E-13</v>
      </c>
      <c r="BE105" s="13">
        <f>BD105*VLOOKUP('Données projet'!$B$11,Paramètres!$A$1:$I$89,3,0)*VLOOKUP('Données projet'!$B$11,Paramètres!$A$1:$I$89,5,0)</f>
        <v>-5.3205440053716299E-14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252.98248842635206</v>
      </c>
      <c r="BJ105" s="59">
        <f t="shared" si="92"/>
        <v>207.11938580878308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0.75321311754076214</v>
      </c>
      <c r="BQ105" s="21">
        <f>EXP(-LN(2)/25)*BQ104+(1-EXP(-LN(2)/25))/(LN(2)/25)*Calculateur!BL105*Calculateur!BN105*VLOOKUP('Données projet'!$B$11,Paramètres!$A$1:$I$89,3,0)*0.475*44/12</f>
        <v>1.0671008718518975</v>
      </c>
      <c r="BR105" s="21">
        <f>EXP(-LN(2)/2)*BR104+(1-EXP(-LN(2)/2))/(LN(2)/2)*BL105*BO105*VLOOKUP('Données projet'!$B$11,Paramètres!$A$1:$I$89,3,0)*0.475*44/12</f>
        <v>1.4307699865160964E-10</v>
      </c>
      <c r="BS105" s="22">
        <f t="shared" si="63"/>
        <v>1.8203139895357368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-5.6843418860808015E-13</v>
      </c>
      <c r="BZ105" s="13">
        <f>BY105*VLOOKUP('Données projet'!$B$12,Paramètres!$A$1:$I$89,3,0)*VLOOKUP('Données projet'!$B$12,Paramètres!$A$1:$I$89,5,0)</f>
        <v>-3.39923644787632E-13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392.08740055894992</v>
      </c>
      <c r="CE105" s="59">
        <f t="shared" si="94"/>
        <v>395.10797100415783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0.96072340601356887</v>
      </c>
      <c r="CL105" s="21">
        <f>EXP(-LN(2)/25)*CL104+(1-EXP(-LN(2)/25))/(LN(2)/25)*Calculateur!CG105*Calculateur!CI105*VLOOKUP('Données projet'!$B$12,Paramètres!$A$1:$I$89,3,0)*0.475*44/12</f>
        <v>3.5325801074596508</v>
      </c>
      <c r="CM105" s="21">
        <f>EXP(-LN(2)/2)*CM104+(1-EXP(-LN(2)/2))/(LN(2)/2)*CG105*CJ105*VLOOKUP('Données projet'!$B$12,Paramètres!$A$1:$I$89,3,0)*0.475*44/12</f>
        <v>5.0581487293544987E-10</v>
      </c>
      <c r="CN105" s="22">
        <f t="shared" si="66"/>
        <v>4.4933035139790345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4.4000000000000004</v>
      </c>
      <c r="N106" s="13">
        <f>IF('Données projet'!$A$36&gt;35,N105+M106-V105,IF(A106&lt;'Données projet'!$A$36,$K$205^A106,IF(A106='Données projet'!$A$36,'Données projet'!$B$36,N105+M106-V105)))</f>
        <v>274.20000000000016</v>
      </c>
      <c r="O106" s="13">
        <f>N106*VLOOKUP('Données projet'!$B$9,Paramètres!$A$1:$I$89,3,0)*VLOOKUP('Données projet'!$B$9,Paramètres!$A$1:$I$89,5,0)</f>
        <v>248.09616000000014</v>
      </c>
      <c r="P106" s="13">
        <f t="shared" si="87"/>
        <v>60.178080967364686</v>
      </c>
      <c r="Q106" s="20">
        <f t="shared" si="107"/>
        <v>536.91096968482714</v>
      </c>
      <c r="R106" s="59">
        <f t="shared" si="55"/>
        <v>830.24430301816051</v>
      </c>
      <c r="S106" s="59">
        <f ca="1">AVERAGE(OFFSET($R$3,0,0,'Données projet'!$E$9+1,1))-AVERAGE(OFFSET($H$3,0,0,'Données projet'!$E$9+1,1))</f>
        <v>282.32472952059817</v>
      </c>
      <c r="T106" s="59">
        <f t="shared" si="88"/>
        <v>172.32171001882176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</v>
      </c>
      <c r="AA106" s="21">
        <f>EXP(-LN(2)/25)*AA105+(1-EXP(-LN(2)/25))/(LN(2)/25)*Calculateur!V106*Calculateur!X106*VLOOKUP('Données projet'!$B$9,Paramètres!$A$1:$I$89,3,0)*0.475*44/12</f>
        <v>0.41037908514876031</v>
      </c>
      <c r="AB106" s="21">
        <f>EXP(-LN(2)/2)*AB105+(1-EXP(-LN(2)/2))/(LN(2)/2)*V106*Y106*VLOOKUP('Données projet'!$B$9,Paramètres!$A$1:$I$89,3,0)*0.475*44/12</f>
        <v>6.3686891211382306E-11</v>
      </c>
      <c r="AC106" s="22">
        <f t="shared" si="57"/>
        <v>0.4103790852124472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4.4000000000000004</v>
      </c>
      <c r="AI106" s="13">
        <f>IF('Données projet'!$A$62&gt;35,AI105+AH106-AQ105,IF(A106&lt;'Données projet'!$A$62,$AF$205^A106,IF(A106='Données projet'!$A$62,'Données projet'!$B$62,AI105+AH106-AQ105)))</f>
        <v>274.20000000000016</v>
      </c>
      <c r="AJ106" s="13">
        <f>AI106*VLOOKUP('Données projet'!$B$10,Paramètres!$A$1:$I$89,3,0)*VLOOKUP('Données projet'!$B$10,Paramètres!$A$1:$I$89,5,0)</f>
        <v>278.03880000000015</v>
      </c>
      <c r="AK106" s="13">
        <f t="shared" si="89"/>
        <v>66.5523815477178</v>
      </c>
      <c r="AL106" s="20">
        <f t="shared" si="58"/>
        <v>600.16297452894207</v>
      </c>
      <c r="AM106" s="59">
        <f t="shared" si="59"/>
        <v>893.49630786227544</v>
      </c>
      <c r="AN106" s="59">
        <f ca="1">AVERAGE(OFFSET($AM$3,0,0,'Données projet'!$E$10+1,1))-AVERAGE(OFFSET($H$3,0,0,'Données projet'!$E$10+1,1))</f>
        <v>324.30660429578262</v>
      </c>
      <c r="AO106" s="59">
        <f t="shared" si="90"/>
        <v>197.04549436738586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</v>
      </c>
      <c r="AV106" s="21">
        <f>EXP(-LN(2)/25)*AV105+(1-EXP(-LN(2)/25))/(LN(2)/25)*Calculateur!AQ106*Calculateur!AS106*VLOOKUP('Données projet'!$B$10,Paramètres!$A$1:$I$89,3,0)*0.475*44/12</f>
        <v>0.4599075954253346</v>
      </c>
      <c r="AW106" s="21">
        <f>EXP(-LN(2)/2)*AW105+(1-EXP(-LN(2)/2))/(LN(2)/2)*AQ106*AT106*VLOOKUP('Données projet'!$B$10,Paramètres!$A$1:$I$89,3,0)*0.475*44/12</f>
        <v>7.1373240150687057E-11</v>
      </c>
      <c r="AX106" s="21">
        <f t="shared" si="60"/>
        <v>0.45990759549670784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-1.1368683772161603E-13</v>
      </c>
      <c r="BE106" s="13">
        <f>BD106*VLOOKUP('Données projet'!$B$11,Paramètres!$A$1:$I$89,3,0)*VLOOKUP('Données projet'!$B$11,Paramètres!$A$1:$I$89,5,0)</f>
        <v>-5.3205440053716299E-14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252.98248842635206</v>
      </c>
      <c r="BJ106" s="59">
        <f t="shared" si="92"/>
        <v>207.11938580878308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0.73844306772042612</v>
      </c>
      <c r="BQ106" s="21">
        <f>EXP(-LN(2)/25)*BQ105+(1-EXP(-LN(2)/25))/(LN(2)/25)*Calculateur!BL106*Calculateur!BN106*VLOOKUP('Données projet'!$B$11,Paramètres!$A$1:$I$89,3,0)*0.475*44/12</f>
        <v>1.0379209423947113</v>
      </c>
      <c r="BR106" s="21">
        <f>EXP(-LN(2)/2)*BR105+(1-EXP(-LN(2)/2))/(LN(2)/2)*BL106*BO106*VLOOKUP('Données projet'!$B$11,Paramètres!$A$1:$I$89,3,0)*0.475*44/12</f>
        <v>1.0117071597837169E-10</v>
      </c>
      <c r="BS106" s="22">
        <f t="shared" si="63"/>
        <v>1.7763640102163081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-5.6843418860808015E-13</v>
      </c>
      <c r="BZ106" s="13">
        <f>BY106*VLOOKUP('Données projet'!$B$12,Paramètres!$A$1:$I$89,3,0)*VLOOKUP('Données projet'!$B$12,Paramètres!$A$1:$I$89,5,0)</f>
        <v>-3.39923644787632E-13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392.08740055894992</v>
      </c>
      <c r="CE106" s="59">
        <f t="shared" si="94"/>
        <v>395.10797100415783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0.9418842060050594</v>
      </c>
      <c r="CL106" s="21">
        <f>EXP(-LN(2)/25)*CL105+(1-EXP(-LN(2)/25))/(LN(2)/25)*Calculateur!CG106*Calculateur!CI106*VLOOKUP('Données projet'!$B$12,Paramètres!$A$1:$I$89,3,0)*0.475*44/12</f>
        <v>3.4359815186508524</v>
      </c>
      <c r="CM106" s="21">
        <f>EXP(-LN(2)/2)*CM105+(1-EXP(-LN(2)/2))/(LN(2)/2)*CG106*CJ106*VLOOKUP('Données projet'!$B$12,Paramètres!$A$1:$I$89,3,0)*0.475*44/12</f>
        <v>3.576651266776685E-10</v>
      </c>
      <c r="CN106" s="22">
        <f t="shared" si="66"/>
        <v>4.3778657250135771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4.4000000000000004</v>
      </c>
      <c r="N107" s="13">
        <f>IF('Données projet'!$A$36&gt;35,N106+M107-V106,IF(A107&lt;'Données projet'!$A$36,$K$205^A107,IF(A107='Données projet'!$A$36,'Données projet'!$B$36,N106+M107-V106)))</f>
        <v>278.60000000000014</v>
      </c>
      <c r="O107" s="13">
        <f>N107*VLOOKUP('Données projet'!$B$9,Paramètres!$A$1:$I$89,3,0)*VLOOKUP('Données projet'!$B$9,Paramètres!$A$1:$I$89,5,0)</f>
        <v>252.07728000000014</v>
      </c>
      <c r="P107" s="13">
        <f t="shared" si="87"/>
        <v>61.030544652155044</v>
      </c>
      <c r="Q107" s="20">
        <f t="shared" si="107"/>
        <v>545.32946126917022</v>
      </c>
      <c r="R107" s="59">
        <f t="shared" si="55"/>
        <v>838.66279460250348</v>
      </c>
      <c r="S107" s="59">
        <f ca="1">AVERAGE(OFFSET($R$3,0,0,'Données projet'!$E$9+1,1))-AVERAGE(OFFSET($H$3,0,0,'Données projet'!$E$9+1,1))</f>
        <v>282.32472952059817</v>
      </c>
      <c r="T107" s="59">
        <f t="shared" si="88"/>
        <v>172.32171001882176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</v>
      </c>
      <c r="AA107" s="21">
        <f>EXP(-LN(2)/25)*AA106+(1-EXP(-LN(2)/25))/(LN(2)/25)*Calculateur!V107*Calculateur!X107*VLOOKUP('Données projet'!$B$9,Paramètres!$A$1:$I$89,3,0)*0.475*44/12</f>
        <v>0.39915724748446929</v>
      </c>
      <c r="AB107" s="21">
        <f>EXP(-LN(2)/2)*AB106+(1-EXP(-LN(2)/2))/(LN(2)/2)*V107*Y107*VLOOKUP('Données projet'!$B$9,Paramètres!$A$1:$I$89,3,0)*0.475*44/12</f>
        <v>4.5033432648258366E-11</v>
      </c>
      <c r="AC107" s="22">
        <f t="shared" si="57"/>
        <v>0.39915724752950271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4.4000000000000004</v>
      </c>
      <c r="AI107" s="13">
        <f>IF('Données projet'!$A$62&gt;35,AI106+AH107-AQ106,IF(A107&lt;'Données projet'!$A$62,$AF$205^A107,IF(A107='Données projet'!$A$62,'Données projet'!$B$62,AI106+AH107-AQ106)))</f>
        <v>278.60000000000014</v>
      </c>
      <c r="AJ107" s="13">
        <f>AI107*VLOOKUP('Données projet'!$B$10,Paramètres!$A$1:$I$89,3,0)*VLOOKUP('Données projet'!$B$10,Paramètres!$A$1:$I$89,5,0)</f>
        <v>282.50040000000013</v>
      </c>
      <c r="AK107" s="13">
        <f t="shared" si="89"/>
        <v>67.495141560894439</v>
      </c>
      <c r="AL107" s="20">
        <f t="shared" si="58"/>
        <v>609.57556821855803</v>
      </c>
      <c r="AM107" s="59">
        <f t="shared" si="59"/>
        <v>902.9089015518914</v>
      </c>
      <c r="AN107" s="59">
        <f ca="1">AVERAGE(OFFSET($AM$3,0,0,'Données projet'!$E$10+1,1))-AVERAGE(OFFSET($H$3,0,0,'Données projet'!$E$10+1,1))</f>
        <v>324.30660429578262</v>
      </c>
      <c r="AO107" s="59">
        <f t="shared" si="90"/>
        <v>197.04549436738586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</v>
      </c>
      <c r="AV107" s="21">
        <f>EXP(-LN(2)/25)*AV106+(1-EXP(-LN(2)/25))/(LN(2)/25)*Calculateur!AQ107*Calculateur!AS107*VLOOKUP('Données projet'!$B$10,Paramètres!$A$1:$I$89,3,0)*0.475*44/12</f>
        <v>0.44733139804293953</v>
      </c>
      <c r="AW107" s="21">
        <f>EXP(-LN(2)/2)*AW106+(1-EXP(-LN(2)/2))/(LN(2)/2)*AQ107*AT107*VLOOKUP('Données projet'!$B$10,Paramètres!$A$1:$I$89,3,0)*0.475*44/12</f>
        <v>5.0468502105806781E-11</v>
      </c>
      <c r="AX107" s="21">
        <f t="shared" si="60"/>
        <v>0.44733139809340805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-1.1368683772161603E-13</v>
      </c>
      <c r="BE107" s="13">
        <f>BD107*VLOOKUP('Données projet'!$B$11,Paramètres!$A$1:$I$89,3,0)*VLOOKUP('Données projet'!$B$11,Paramètres!$A$1:$I$89,5,0)</f>
        <v>-5.3205440053716299E-14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252.98248842635206</v>
      </c>
      <c r="BJ107" s="59">
        <f t="shared" si="92"/>
        <v>207.11938580878308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0.72396264956822598</v>
      </c>
      <c r="BQ107" s="21">
        <f>EXP(-LN(2)/25)*BQ106+(1-EXP(-LN(2)/25))/(LN(2)/25)*Calculateur!BL107*Calculateur!BN107*VLOOKUP('Données projet'!$B$11,Paramètres!$A$1:$I$89,3,0)*0.475*44/12</f>
        <v>1.0095389396430379</v>
      </c>
      <c r="BR107" s="21">
        <f>EXP(-LN(2)/2)*BR106+(1-EXP(-LN(2)/2))/(LN(2)/2)*BL107*BO107*VLOOKUP('Données projet'!$B$11,Paramètres!$A$1:$I$89,3,0)*0.475*44/12</f>
        <v>7.1538499325804819E-11</v>
      </c>
      <c r="BS107" s="22">
        <f t="shared" si="63"/>
        <v>1.7335015892828023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-5.6843418860808015E-13</v>
      </c>
      <c r="BZ107" s="13">
        <f>BY107*VLOOKUP('Données projet'!$B$12,Paramètres!$A$1:$I$89,3,0)*VLOOKUP('Données projet'!$B$12,Paramètres!$A$1:$I$89,5,0)</f>
        <v>-3.39923644787632E-13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392.08740055894992</v>
      </c>
      <c r="CE107" s="59">
        <f t="shared" si="94"/>
        <v>395.10797100415783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0.92341443121793942</v>
      </c>
      <c r="CL107" s="21">
        <f>EXP(-LN(2)/25)*CL106+(1-EXP(-LN(2)/25))/(LN(2)/25)*Calculateur!CG107*Calculateur!CI107*VLOOKUP('Données projet'!$B$12,Paramètres!$A$1:$I$89,3,0)*0.475*44/12</f>
        <v>3.3420244233329299</v>
      </c>
      <c r="CM107" s="21">
        <f>EXP(-LN(2)/2)*CM106+(1-EXP(-LN(2)/2))/(LN(2)/2)*CG107*CJ107*VLOOKUP('Données projet'!$B$12,Paramètres!$A$1:$I$89,3,0)*0.475*44/12</f>
        <v>2.5290743646772494E-10</v>
      </c>
      <c r="CN107" s="22">
        <f t="shared" si="66"/>
        <v>4.2654388548037767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4.4000000000000004</v>
      </c>
      <c r="N108" s="13">
        <f>IF('Données projet'!$A$36&gt;35,N107+M108-V107,IF(A108&lt;'Données projet'!$A$36,$K$205^A108,IF(A108='Données projet'!$A$36,'Données projet'!$B$36,N107+M108-V107)))</f>
        <v>283.00000000000011</v>
      </c>
      <c r="O108" s="13">
        <f>N108*VLOOKUP('Données projet'!$B$9,Paramètres!$A$1:$I$89,3,0)*VLOOKUP('Données projet'!$B$9,Paramètres!$A$1:$I$89,5,0)</f>
        <v>256.05840000000006</v>
      </c>
      <c r="P108" s="13">
        <f t="shared" si="87"/>
        <v>61.881442594256484</v>
      </c>
      <c r="Q108" s="20">
        <f t="shared" si="107"/>
        <v>553.74522585166358</v>
      </c>
      <c r="R108" s="59">
        <f t="shared" si="55"/>
        <v>847.07855918499695</v>
      </c>
      <c r="S108" s="59">
        <f ca="1">AVERAGE(OFFSET($R$3,0,0,'Données projet'!$E$9+1,1))-AVERAGE(OFFSET($H$3,0,0,'Données projet'!$E$9+1,1))</f>
        <v>282.32472952059817</v>
      </c>
      <c r="T108" s="59">
        <f t="shared" si="88"/>
        <v>172.32171001882176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</v>
      </c>
      <c r="AA108" s="21">
        <f>EXP(-LN(2)/25)*AA107+(1-EXP(-LN(2)/25))/(LN(2)/25)*Calculateur!V108*Calculateur!X108*VLOOKUP('Données projet'!$B$9,Paramètres!$A$1:$I$89,3,0)*0.475*44/12</f>
        <v>0.38824227156123914</v>
      </c>
      <c r="AB108" s="21">
        <f>EXP(-LN(2)/2)*AB107+(1-EXP(-LN(2)/2))/(LN(2)/2)*V108*Y108*VLOOKUP('Données projet'!$B$9,Paramètres!$A$1:$I$89,3,0)*0.475*44/12</f>
        <v>3.1843445605691153E-11</v>
      </c>
      <c r="AC108" s="22">
        <f t="shared" si="57"/>
        <v>0.38824227159308261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4.4000000000000004</v>
      </c>
      <c r="AI108" s="13">
        <f>IF('Données projet'!$A$62&gt;35,AI107+AH108-AQ107,IF(A108&lt;'Données projet'!$A$62,$AF$205^A108,IF(A108='Données projet'!$A$62,'Données projet'!$B$62,AI107+AH108-AQ107)))</f>
        <v>283.00000000000011</v>
      </c>
      <c r="AJ108" s="13">
        <f>AI108*VLOOKUP('Données projet'!$B$10,Paramètres!$A$1:$I$89,3,0)*VLOOKUP('Données projet'!$B$10,Paramètres!$A$1:$I$89,5,0)</f>
        <v>286.9620000000001</v>
      </c>
      <c r="AK108" s="13">
        <f t="shared" si="89"/>
        <v>68.436169981717924</v>
      </c>
      <c r="AL108" s="20">
        <f t="shared" si="58"/>
        <v>618.98514605149205</v>
      </c>
      <c r="AM108" s="59">
        <f t="shared" si="59"/>
        <v>912.31847938482542</v>
      </c>
      <c r="AN108" s="59">
        <f ca="1">AVERAGE(OFFSET($AM$3,0,0,'Données projet'!$E$10+1,1))-AVERAGE(OFFSET($H$3,0,0,'Données projet'!$E$10+1,1))</f>
        <v>324.30660429578262</v>
      </c>
      <c r="AO108" s="59">
        <f t="shared" si="90"/>
        <v>197.04549436738586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</v>
      </c>
      <c r="AV108" s="21">
        <f>EXP(-LN(2)/25)*AV107+(1-EXP(-LN(2)/25))/(LN(2)/25)*Calculateur!AQ108*Calculateur!AS108*VLOOKUP('Données projet'!$B$10,Paramètres!$A$1:$I$89,3,0)*0.475*44/12</f>
        <v>0.43509909743931952</v>
      </c>
      <c r="AW108" s="21">
        <f>EXP(-LN(2)/2)*AW107+(1-EXP(-LN(2)/2))/(LN(2)/2)*AQ108*AT108*VLOOKUP('Données projet'!$B$10,Paramètres!$A$1:$I$89,3,0)*0.475*44/12</f>
        <v>3.5686620075343528E-11</v>
      </c>
      <c r="AX108" s="21">
        <f t="shared" si="60"/>
        <v>0.43509909747500614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-1.1368683772161603E-13</v>
      </c>
      <c r="BE108" s="13">
        <f>BD108*VLOOKUP('Données projet'!$B$11,Paramètres!$A$1:$I$89,3,0)*VLOOKUP('Données projet'!$B$11,Paramètres!$A$1:$I$89,5,0)</f>
        <v>-5.3205440053716299E-14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252.98248842635206</v>
      </c>
      <c r="BJ108" s="59">
        <f t="shared" si="92"/>
        <v>207.11938580878308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0.7097661835838075</v>
      </c>
      <c r="BQ108" s="21">
        <f>EXP(-LN(2)/25)*BQ107+(1-EXP(-LN(2)/25))/(LN(2)/25)*Calculateur!BL108*Calculateur!BN108*VLOOKUP('Données projet'!$B$11,Paramètres!$A$1:$I$89,3,0)*0.475*44/12</f>
        <v>0.98193304424915351</v>
      </c>
      <c r="BR108" s="21">
        <f>EXP(-LN(2)/2)*BR107+(1-EXP(-LN(2)/2))/(LN(2)/2)*BL108*BO108*VLOOKUP('Données projet'!$B$11,Paramètres!$A$1:$I$89,3,0)*0.475*44/12</f>
        <v>5.0585357989185847E-11</v>
      </c>
      <c r="BS108" s="22">
        <f t="shared" si="63"/>
        <v>1.6916992278835463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-5.6843418860808015E-13</v>
      </c>
      <c r="BZ108" s="13">
        <f>BY108*VLOOKUP('Données projet'!$B$12,Paramètres!$A$1:$I$89,3,0)*VLOOKUP('Données projet'!$B$12,Paramètres!$A$1:$I$89,5,0)</f>
        <v>-3.39923644787632E-13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392.08740055894992</v>
      </c>
      <c r="CE108" s="59">
        <f t="shared" si="94"/>
        <v>395.10797100415783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0.90530683744894458</v>
      </c>
      <c r="CL108" s="21">
        <f>EXP(-LN(2)/25)*CL107+(1-EXP(-LN(2)/25))/(LN(2)/25)*Calculateur!CG108*Calculateur!CI108*VLOOKUP('Données projet'!$B$12,Paramètres!$A$1:$I$89,3,0)*0.475*44/12</f>
        <v>3.2506365897274647</v>
      </c>
      <c r="CM108" s="21">
        <f>EXP(-LN(2)/2)*CM107+(1-EXP(-LN(2)/2))/(LN(2)/2)*CG108*CJ108*VLOOKUP('Données projet'!$B$12,Paramètres!$A$1:$I$89,3,0)*0.475*44/12</f>
        <v>1.7883256333883425E-10</v>
      </c>
      <c r="CN108" s="22">
        <f t="shared" si="66"/>
        <v>4.1559434273552425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4.4000000000000004</v>
      </c>
      <c r="N109" s="13">
        <f>IF('Données projet'!$A$36&gt;35,N108+M109-V108,IF(A109&lt;'Données projet'!$A$36,$K$205^A109,IF(A109='Données projet'!$A$36,'Données projet'!$B$36,N108+M109-V108)))</f>
        <v>287.40000000000009</v>
      </c>
      <c r="O109" s="13">
        <f>N109*VLOOKUP('Données projet'!$B$9,Paramètres!$A$1:$I$89,3,0)*VLOOKUP('Données projet'!$B$9,Paramètres!$A$1:$I$89,5,0)</f>
        <v>260.03952000000004</v>
      </c>
      <c r="P109" s="13">
        <f t="shared" si="87"/>
        <v>62.730801948604871</v>
      </c>
      <c r="Q109" s="20">
        <f t="shared" si="107"/>
        <v>562.15831072715355</v>
      </c>
      <c r="R109" s="59">
        <f t="shared" si="55"/>
        <v>855.49164406048681</v>
      </c>
      <c r="S109" s="59">
        <f ca="1">AVERAGE(OFFSET($R$3,0,0,'Données projet'!$E$9+1,1))-AVERAGE(OFFSET($H$3,0,0,'Données projet'!$E$9+1,1))</f>
        <v>282.32472952059817</v>
      </c>
      <c r="T109" s="59">
        <f t="shared" si="88"/>
        <v>172.32171001882176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</v>
      </c>
      <c r="AA109" s="21">
        <f>EXP(-LN(2)/25)*AA108+(1-EXP(-LN(2)/25))/(LN(2)/25)*Calculateur!V109*Calculateur!X109*VLOOKUP('Données projet'!$B$9,Paramètres!$A$1:$I$89,3,0)*0.475*44/12</f>
        <v>0.37762576622862332</v>
      </c>
      <c r="AB109" s="21">
        <f>EXP(-LN(2)/2)*AB108+(1-EXP(-LN(2)/2))/(LN(2)/2)*V109*Y109*VLOOKUP('Données projet'!$B$9,Paramètres!$A$1:$I$89,3,0)*0.475*44/12</f>
        <v>2.2516716324129183E-11</v>
      </c>
      <c r="AC109" s="22">
        <f t="shared" si="57"/>
        <v>0.37762576625114003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4.4000000000000004</v>
      </c>
      <c r="AI109" s="13">
        <f>IF('Données projet'!$A$62&gt;35,AI108+AH109-AQ108,IF(A109&lt;'Données projet'!$A$62,$AF$205^A109,IF(A109='Données projet'!$A$62,'Données projet'!$B$62,AI108+AH109-AQ108)))</f>
        <v>287.40000000000009</v>
      </c>
      <c r="AJ109" s="13">
        <f>AI109*VLOOKUP('Données projet'!$B$10,Paramètres!$A$1:$I$89,3,0)*VLOOKUP('Données projet'!$B$10,Paramètres!$A$1:$I$89,5,0)</f>
        <v>291.42360000000008</v>
      </c>
      <c r="AK109" s="13">
        <f t="shared" si="89"/>
        <v>69.375496841482232</v>
      </c>
      <c r="AL109" s="20">
        <f t="shared" si="58"/>
        <v>628.3917603322484</v>
      </c>
      <c r="AM109" s="59">
        <f t="shared" si="59"/>
        <v>921.72509366558165</v>
      </c>
      <c r="AN109" s="59">
        <f ca="1">AVERAGE(OFFSET($AM$3,0,0,'Données projet'!$E$10+1,1))-AVERAGE(OFFSET($H$3,0,0,'Données projet'!$E$10+1,1))</f>
        <v>324.30660429578262</v>
      </c>
      <c r="AO109" s="59">
        <f t="shared" si="90"/>
        <v>197.04549436738586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</v>
      </c>
      <c r="AV109" s="21">
        <f>EXP(-LN(2)/25)*AV108+(1-EXP(-LN(2)/25))/(LN(2)/25)*Calculateur!AQ109*Calculateur!AS109*VLOOKUP('Données projet'!$B$10,Paramètres!$A$1:$I$89,3,0)*0.475*44/12</f>
        <v>0.4232012897389742</v>
      </c>
      <c r="AW109" s="21">
        <f>EXP(-LN(2)/2)*AW108+(1-EXP(-LN(2)/2))/(LN(2)/2)*AQ109*AT109*VLOOKUP('Données projet'!$B$10,Paramètres!$A$1:$I$89,3,0)*0.475*44/12</f>
        <v>2.5234251052903391E-11</v>
      </c>
      <c r="AX109" s="21">
        <f t="shared" si="60"/>
        <v>0.42320128976420845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-1.1368683772161603E-13</v>
      </c>
      <c r="BE109" s="13">
        <f>BD109*VLOOKUP('Données projet'!$B$11,Paramètres!$A$1:$I$89,3,0)*VLOOKUP('Données projet'!$B$11,Paramètres!$A$1:$I$89,5,0)</f>
        <v>-5.3205440053716299E-14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252.98248842635206</v>
      </c>
      <c r="BJ109" s="59">
        <f t="shared" si="92"/>
        <v>207.11938580878308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0.6958481016383542</v>
      </c>
      <c r="BQ109" s="21">
        <f>EXP(-LN(2)/25)*BQ108+(1-EXP(-LN(2)/25))/(LN(2)/25)*Calculateur!BL109*Calculateur!BN109*VLOOKUP('Données projet'!$B$11,Paramètres!$A$1:$I$89,3,0)*0.475*44/12</f>
        <v>0.95508203351654586</v>
      </c>
      <c r="BR109" s="21">
        <f>EXP(-LN(2)/2)*BR108+(1-EXP(-LN(2)/2))/(LN(2)/2)*BL109*BO109*VLOOKUP('Données projet'!$B$11,Paramètres!$A$1:$I$89,3,0)*0.475*44/12</f>
        <v>3.576924966290241E-11</v>
      </c>
      <c r="BS109" s="22">
        <f t="shared" si="63"/>
        <v>1.6509301351906691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-5.6843418860808015E-13</v>
      </c>
      <c r="BZ109" s="13">
        <f>BY109*VLOOKUP('Données projet'!$B$12,Paramètres!$A$1:$I$89,3,0)*VLOOKUP('Données projet'!$B$12,Paramètres!$A$1:$I$89,5,0)</f>
        <v>-3.39923644787632E-13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392.08740055894992</v>
      </c>
      <c r="CE109" s="59">
        <f t="shared" si="94"/>
        <v>395.10797100415783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0.88755432254921807</v>
      </c>
      <c r="CL109" s="21">
        <f>EXP(-LN(2)/25)*CL108+(1-EXP(-LN(2)/25))/(LN(2)/25)*Calculateur!CG109*Calculateur!CI109*VLOOKUP('Données projet'!$B$12,Paramètres!$A$1:$I$89,3,0)*0.475*44/12</f>
        <v>3.1617477612378182</v>
      </c>
      <c r="CM109" s="21">
        <f>EXP(-LN(2)/2)*CM108+(1-EXP(-LN(2)/2))/(LN(2)/2)*CG109*CJ109*VLOOKUP('Données projet'!$B$12,Paramètres!$A$1:$I$89,3,0)*0.475*44/12</f>
        <v>1.2645371823386247E-10</v>
      </c>
      <c r="CN109" s="22">
        <f t="shared" si="66"/>
        <v>4.0493020839134894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4.4000000000000004</v>
      </c>
      <c r="N110" s="13">
        <f>IF('Données projet'!$A$36&gt;35,N109+M110-V109,IF(A110&lt;'Données projet'!$A$36,$K$205^A110,IF(A110='Données projet'!$A$36,'Données projet'!$B$36,N109+M110-V109)))</f>
        <v>291.80000000000007</v>
      </c>
      <c r="O110" s="13">
        <f>N110*VLOOKUP('Données projet'!$B$9,Paramètres!$A$1:$I$89,3,0)*VLOOKUP('Données projet'!$B$9,Paramètres!$A$1:$I$89,5,0)</f>
        <v>264.02064000000007</v>
      </c>
      <c r="P110" s="13">
        <f t="shared" si="87"/>
        <v>63.578648990959174</v>
      </c>
      <c r="Q110" s="20">
        <f t="shared" si="107"/>
        <v>570.56876165925394</v>
      </c>
      <c r="R110" s="59">
        <f t="shared" si="55"/>
        <v>863.90209499258731</v>
      </c>
      <c r="S110" s="59">
        <f ca="1">AVERAGE(OFFSET($R$3,0,0,'Données projet'!$E$9+1,1))-AVERAGE(OFFSET($H$3,0,0,'Données projet'!$E$9+1,1))</f>
        <v>282.32472952059817</v>
      </c>
      <c r="T110" s="59">
        <f t="shared" si="88"/>
        <v>172.32171001882176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</v>
      </c>
      <c r="AA110" s="21">
        <f>EXP(-LN(2)/25)*AA109+(1-EXP(-LN(2)/25))/(LN(2)/25)*Calculateur!V110*Calculateur!X110*VLOOKUP('Données projet'!$B$9,Paramètres!$A$1:$I$89,3,0)*0.475*44/12</f>
        <v>0.36729956979262562</v>
      </c>
      <c r="AB110" s="21">
        <f>EXP(-LN(2)/2)*AB109+(1-EXP(-LN(2)/2))/(LN(2)/2)*V110*Y110*VLOOKUP('Données projet'!$B$9,Paramètres!$A$1:$I$89,3,0)*0.475*44/12</f>
        <v>1.5921722802845577E-11</v>
      </c>
      <c r="AC110" s="22">
        <f t="shared" si="57"/>
        <v>0.36729956980854733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4.4000000000000004</v>
      </c>
      <c r="AI110" s="13">
        <f>IF('Données projet'!$A$62&gt;35,AI109+AH110-AQ109,IF(A110&lt;'Données projet'!$A$62,$AF$205^A110,IF(A110='Données projet'!$A$62,'Données projet'!$B$62,AI109+AH110-AQ109)))</f>
        <v>291.80000000000007</v>
      </c>
      <c r="AJ110" s="13">
        <f>AI110*VLOOKUP('Données projet'!$B$10,Paramètres!$A$1:$I$89,3,0)*VLOOKUP('Données projet'!$B$10,Paramètres!$A$1:$I$89,5,0)</f>
        <v>295.88520000000005</v>
      </c>
      <c r="AK110" s="13">
        <f t="shared" si="89"/>
        <v>70.313151199178748</v>
      </c>
      <c r="AL110" s="20">
        <f t="shared" si="58"/>
        <v>637.79546167190301</v>
      </c>
      <c r="AM110" s="59">
        <f t="shared" si="59"/>
        <v>931.12879500523627</v>
      </c>
      <c r="AN110" s="59">
        <f ca="1">AVERAGE(OFFSET($AM$3,0,0,'Données projet'!$E$10+1,1))-AVERAGE(OFFSET($H$3,0,0,'Données projet'!$E$10+1,1))</f>
        <v>324.30660429578262</v>
      </c>
      <c r="AO110" s="59">
        <f t="shared" si="90"/>
        <v>197.04549436738586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</v>
      </c>
      <c r="AV110" s="21">
        <f>EXP(-LN(2)/25)*AV109+(1-EXP(-LN(2)/25))/(LN(2)/25)*Calculateur!AQ110*Calculateur!AS110*VLOOKUP('Données projet'!$B$10,Paramètres!$A$1:$I$89,3,0)*0.475*44/12</f>
        <v>0.41162882821587338</v>
      </c>
      <c r="AW110" s="21">
        <f>EXP(-LN(2)/2)*AW109+(1-EXP(-LN(2)/2))/(LN(2)/2)*AQ110*AT110*VLOOKUP('Données projet'!$B$10,Paramètres!$A$1:$I$89,3,0)*0.475*44/12</f>
        <v>1.7843310037671764E-11</v>
      </c>
      <c r="AX110" s="21">
        <f t="shared" si="60"/>
        <v>0.41162882823371666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-1.1368683772161603E-13</v>
      </c>
      <c r="BE110" s="13">
        <f>BD110*VLOOKUP('Données projet'!$B$11,Paramètres!$A$1:$I$89,3,0)*VLOOKUP('Données projet'!$B$11,Paramètres!$A$1:$I$89,5,0)</f>
        <v>-5.3205440053716299E-14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252.98248842635206</v>
      </c>
      <c r="BJ110" s="59">
        <f t="shared" si="92"/>
        <v>207.11938580878308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0.68220294479065957</v>
      </c>
      <c r="BQ110" s="21">
        <f>EXP(-LN(2)/25)*BQ109+(1-EXP(-LN(2)/25))/(LN(2)/25)*Calculateur!BL110*Calculateur!BN110*VLOOKUP('Données projet'!$B$11,Paramètres!$A$1:$I$89,3,0)*0.475*44/12</f>
        <v>0.92896526508445465</v>
      </c>
      <c r="BR110" s="21">
        <f>EXP(-LN(2)/2)*BR109+(1-EXP(-LN(2)/2))/(LN(2)/2)*BL110*BO110*VLOOKUP('Données projet'!$B$11,Paramètres!$A$1:$I$89,3,0)*0.475*44/12</f>
        <v>2.5292678994592923E-11</v>
      </c>
      <c r="BS110" s="22">
        <f t="shared" si="63"/>
        <v>1.611168209900407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-5.6843418860808015E-13</v>
      </c>
      <c r="BZ110" s="13">
        <f>BY110*VLOOKUP('Données projet'!$B$12,Paramètres!$A$1:$I$89,3,0)*VLOOKUP('Données projet'!$B$12,Paramètres!$A$1:$I$89,5,0)</f>
        <v>-3.39923644787632E-13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392.08740055894992</v>
      </c>
      <c r="CE110" s="59">
        <f t="shared" si="94"/>
        <v>395.10797100415783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0.87014992363871035</v>
      </c>
      <c r="CL110" s="21">
        <f>EXP(-LN(2)/25)*CL109+(1-EXP(-LN(2)/25))/(LN(2)/25)*Calculateur!CG110*Calculateur!CI110*VLOOKUP('Données projet'!$B$12,Paramètres!$A$1:$I$89,3,0)*0.475*44/12</f>
        <v>3.0752896024376817</v>
      </c>
      <c r="CM110" s="21">
        <f>EXP(-LN(2)/2)*CM109+(1-EXP(-LN(2)/2))/(LN(2)/2)*CG110*CJ110*VLOOKUP('Données projet'!$B$12,Paramètres!$A$1:$I$89,3,0)*0.475*44/12</f>
        <v>8.9416281669417125E-11</v>
      </c>
      <c r="CN110" s="22">
        <f t="shared" si="66"/>
        <v>3.9454395261658086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4.4000000000000004</v>
      </c>
      <c r="N111" s="13">
        <f>IF('Données projet'!$A$36&gt;35,N110+M111-V110,IF(A111&lt;'Données projet'!$A$36,$K$205^A111,IF(A111='Données projet'!$A$36,'Données projet'!$B$36,N110+M111-V110)))</f>
        <v>296.20000000000005</v>
      </c>
      <c r="O111" s="13">
        <f>N111*VLOOKUP('Données projet'!$B$9,Paramètres!$A$1:$I$89,3,0)*VLOOKUP('Données projet'!$B$9,Paramètres!$A$1:$I$89,5,0)</f>
        <v>268.00176000000005</v>
      </c>
      <c r="P111" s="13">
        <f t="shared" si="87"/>
        <v>64.425009159185578</v>
      </c>
      <c r="Q111" s="20">
        <f t="shared" si="107"/>
        <v>578.97662295224825</v>
      </c>
      <c r="R111" s="59">
        <f t="shared" si="55"/>
        <v>872.30995628558162</v>
      </c>
      <c r="S111" s="59">
        <f ca="1">AVERAGE(OFFSET($R$3,0,0,'Données projet'!$E$9+1,1))-AVERAGE(OFFSET($H$3,0,0,'Données projet'!$E$9+1,1))</f>
        <v>282.32472952059817</v>
      </c>
      <c r="T111" s="59">
        <f t="shared" si="88"/>
        <v>172.32171001882176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</v>
      </c>
      <c r="AA111" s="21">
        <f>EXP(-LN(2)/25)*AA110+(1-EXP(-LN(2)/25))/(LN(2)/25)*Calculateur!V111*Calculateur!X111*VLOOKUP('Données projet'!$B$9,Paramètres!$A$1:$I$89,3,0)*0.475*44/12</f>
        <v>0.35725574374120139</v>
      </c>
      <c r="AB111" s="21">
        <f>EXP(-LN(2)/2)*AB110+(1-EXP(-LN(2)/2))/(LN(2)/2)*V111*Y111*VLOOKUP('Données projet'!$B$9,Paramètres!$A$1:$I$89,3,0)*0.475*44/12</f>
        <v>1.1258358162064591E-11</v>
      </c>
      <c r="AC111" s="22">
        <f t="shared" si="57"/>
        <v>0.35725574375245978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4.4000000000000004</v>
      </c>
      <c r="AI111" s="13">
        <f>IF('Données projet'!$A$62&gt;35,AI110+AH111-AQ110,IF(A111&lt;'Données projet'!$A$62,$AF$205^A111,IF(A111='Données projet'!$A$62,'Données projet'!$B$62,AI110+AH111-AQ110)))</f>
        <v>296.20000000000005</v>
      </c>
      <c r="AJ111" s="13">
        <f>AI111*VLOOKUP('Données projet'!$B$10,Paramètres!$A$1:$I$89,3,0)*VLOOKUP('Données projet'!$B$10,Paramètres!$A$1:$I$89,5,0)</f>
        <v>300.34680000000003</v>
      </c>
      <c r="AK111" s="13">
        <f t="shared" si="89"/>
        <v>71.249161187153362</v>
      </c>
      <c r="AL111" s="20">
        <f t="shared" si="58"/>
        <v>647.19629906762555</v>
      </c>
      <c r="AM111" s="59">
        <f t="shared" si="59"/>
        <v>940.52963240095892</v>
      </c>
      <c r="AN111" s="59">
        <f ca="1">AVERAGE(OFFSET($AM$3,0,0,'Données projet'!$E$10+1,1))-AVERAGE(OFFSET($H$3,0,0,'Données projet'!$E$10+1,1))</f>
        <v>324.30660429578262</v>
      </c>
      <c r="AO111" s="59">
        <f t="shared" si="90"/>
        <v>197.04549436738586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</v>
      </c>
      <c r="AV111" s="21">
        <f>EXP(-LN(2)/25)*AV110+(1-EXP(-LN(2)/25))/(LN(2)/25)*Calculateur!AQ111*Calculateur!AS111*VLOOKUP('Données projet'!$B$10,Paramètres!$A$1:$I$89,3,0)*0.475*44/12</f>
        <v>0.40037281626169102</v>
      </c>
      <c r="AW111" s="21">
        <f>EXP(-LN(2)/2)*AW110+(1-EXP(-LN(2)/2))/(LN(2)/2)*AQ111*AT111*VLOOKUP('Données projet'!$B$10,Paramètres!$A$1:$I$89,3,0)*0.475*44/12</f>
        <v>1.2617125526451695E-11</v>
      </c>
      <c r="AX111" s="21">
        <f t="shared" si="60"/>
        <v>0.40037281627430815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-1.1368683772161603E-13</v>
      </c>
      <c r="BE111" s="13">
        <f>BD111*VLOOKUP('Données projet'!$B$11,Paramètres!$A$1:$I$89,3,0)*VLOOKUP('Données projet'!$B$11,Paramètres!$A$1:$I$89,5,0)</f>
        <v>-5.3205440053716299E-14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252.98248842635206</v>
      </c>
      <c r="BJ111" s="59">
        <f t="shared" si="92"/>
        <v>207.11938580878308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0.66882536114602431</v>
      </c>
      <c r="BQ111" s="21">
        <f>EXP(-LN(2)/25)*BQ110+(1-EXP(-LN(2)/25))/(LN(2)/25)*Calculateur!BL111*Calculateur!BN111*VLOOKUP('Données projet'!$B$11,Paramètres!$A$1:$I$89,3,0)*0.475*44/12</f>
        <v>0.90356266105856009</v>
      </c>
      <c r="BR111" s="21">
        <f>EXP(-LN(2)/2)*BR110+(1-EXP(-LN(2)/2))/(LN(2)/2)*BL111*BO111*VLOOKUP('Données projet'!$B$11,Paramètres!$A$1:$I$89,3,0)*0.475*44/12</f>
        <v>1.7884624831451205E-11</v>
      </c>
      <c r="BS111" s="22">
        <f t="shared" si="63"/>
        <v>1.5723880222224691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-5.6843418860808015E-13</v>
      </c>
      <c r="BZ111" s="13">
        <f>BY111*VLOOKUP('Données projet'!$B$12,Paramètres!$A$1:$I$89,3,0)*VLOOKUP('Données projet'!$B$12,Paramètres!$A$1:$I$89,5,0)</f>
        <v>-3.39923644787632E-13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392.08740055894992</v>
      </c>
      <c r="CE111" s="59">
        <f t="shared" si="94"/>
        <v>395.10797100415783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0.85308681437520251</v>
      </c>
      <c r="CL111" s="21">
        <f>EXP(-LN(2)/25)*CL110+(1-EXP(-LN(2)/25))/(LN(2)/25)*Calculateur!CG111*Calculateur!CI111*VLOOKUP('Données projet'!$B$12,Paramètres!$A$1:$I$89,3,0)*0.475*44/12</f>
        <v>2.9911956465365717</v>
      </c>
      <c r="CM111" s="21">
        <f>EXP(-LN(2)/2)*CM110+(1-EXP(-LN(2)/2))/(LN(2)/2)*CG111*CJ111*VLOOKUP('Données projet'!$B$12,Paramètres!$A$1:$I$89,3,0)*0.475*44/12</f>
        <v>6.3226859116931234E-11</v>
      </c>
      <c r="CN111" s="22">
        <f t="shared" si="66"/>
        <v>3.844282460975001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4.4000000000000004</v>
      </c>
      <c r="N112" s="13">
        <f>IF('Données projet'!$A$36&gt;35,N111+M112-V111,IF(A112&lt;'Données projet'!$A$36,$K$205^A112,IF(A112='Données projet'!$A$36,'Données projet'!$B$36,N111+M112-V111)))</f>
        <v>300.60000000000002</v>
      </c>
      <c r="O112" s="13">
        <f>N112*VLOOKUP('Données projet'!$B$9,Paramètres!$A$1:$I$89,3,0)*VLOOKUP('Données projet'!$B$9,Paramètres!$A$1:$I$89,5,0)</f>
        <v>271.98288000000002</v>
      </c>
      <c r="P112" s="13">
        <f t="shared" si="87"/>
        <v>65.269907092018755</v>
      </c>
      <c r="Q112" s="20">
        <f t="shared" si="107"/>
        <v>587.38193751859933</v>
      </c>
      <c r="R112" s="59">
        <f t="shared" si="55"/>
        <v>880.7152708519327</v>
      </c>
      <c r="S112" s="59">
        <f ca="1">AVERAGE(OFFSET($R$3,0,0,'Données projet'!$E$9+1,1))-AVERAGE(OFFSET($H$3,0,0,'Données projet'!$E$9+1,1))</f>
        <v>282.32472952059817</v>
      </c>
      <c r="T112" s="59">
        <f t="shared" si="88"/>
        <v>172.32171001882176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</v>
      </c>
      <c r="AA112" s="21">
        <f>EXP(-LN(2)/25)*AA111+(1-EXP(-LN(2)/25))/(LN(2)/25)*Calculateur!V112*Calculateur!X112*VLOOKUP('Données projet'!$B$9,Paramètres!$A$1:$I$89,3,0)*0.475*44/12</f>
        <v>0.3474865666413352</v>
      </c>
      <c r="AB112" s="21">
        <f>EXP(-LN(2)/2)*AB111+(1-EXP(-LN(2)/2))/(LN(2)/2)*V112*Y112*VLOOKUP('Données projet'!$B$9,Paramètres!$A$1:$I$89,3,0)*0.475*44/12</f>
        <v>7.9608614014227883E-12</v>
      </c>
      <c r="AC112" s="22">
        <f t="shared" si="57"/>
        <v>0.34748656664929606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4.4000000000000004</v>
      </c>
      <c r="AI112" s="13">
        <f>IF('Données projet'!$A$62&gt;35,AI111+AH112-AQ111,IF(A112&lt;'Données projet'!$A$62,$AF$205^A112,IF(A112='Données projet'!$A$62,'Données projet'!$B$62,AI111+AH112-AQ111)))</f>
        <v>300.60000000000002</v>
      </c>
      <c r="AJ112" s="13">
        <f>AI112*VLOOKUP('Données projet'!$B$10,Paramètres!$A$1:$I$89,3,0)*VLOOKUP('Données projet'!$B$10,Paramètres!$A$1:$I$89,5,0)</f>
        <v>304.80840000000001</v>
      </c>
      <c r="AK112" s="13">
        <f t="shared" si="89"/>
        <v>72.183554053972784</v>
      </c>
      <c r="AL112" s="20">
        <f t="shared" si="58"/>
        <v>656.59431997733589</v>
      </c>
      <c r="AM112" s="59">
        <f t="shared" si="59"/>
        <v>949.92765331066926</v>
      </c>
      <c r="AN112" s="59">
        <f ca="1">AVERAGE(OFFSET($AM$3,0,0,'Données projet'!$E$10+1,1))-AVERAGE(OFFSET($H$3,0,0,'Données projet'!$E$10+1,1))</f>
        <v>324.30660429578262</v>
      </c>
      <c r="AO112" s="59">
        <f t="shared" si="90"/>
        <v>197.04549436738586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</v>
      </c>
      <c r="AV112" s="21">
        <f>EXP(-LN(2)/25)*AV111+(1-EXP(-LN(2)/25))/(LN(2)/25)*Calculateur!AQ112*Calculateur!AS112*VLOOKUP('Données projet'!$B$10,Paramètres!$A$1:$I$89,3,0)*0.475*44/12</f>
        <v>0.38942460054632372</v>
      </c>
      <c r="AW112" s="21">
        <f>EXP(-LN(2)/2)*AW111+(1-EXP(-LN(2)/2))/(LN(2)/2)*AQ112*AT112*VLOOKUP('Données projet'!$B$10,Paramètres!$A$1:$I$89,3,0)*0.475*44/12</f>
        <v>8.9216550188358821E-12</v>
      </c>
      <c r="AX112" s="21">
        <f t="shared" si="60"/>
        <v>0.38942460055524536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-1.1368683772161603E-13</v>
      </c>
      <c r="BE112" s="13">
        <f>BD112*VLOOKUP('Données projet'!$B$11,Paramètres!$A$1:$I$89,3,0)*VLOOKUP('Données projet'!$B$11,Paramètres!$A$1:$I$89,5,0)</f>
        <v>-5.3205440053716299E-14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252.98248842635206</v>
      </c>
      <c r="BJ112" s="59">
        <f t="shared" si="92"/>
        <v>207.11938580878308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0.65571010375714001</v>
      </c>
      <c r="BQ112" s="21">
        <f>EXP(-LN(2)/25)*BQ111+(1-EXP(-LN(2)/25))/(LN(2)/25)*Calculateur!BL112*Calculateur!BN112*VLOOKUP('Données projet'!$B$11,Paramètres!$A$1:$I$89,3,0)*0.475*44/12</f>
        <v>0.87885469257561855</v>
      </c>
      <c r="BR112" s="21">
        <f>EXP(-LN(2)/2)*BR111+(1-EXP(-LN(2)/2))/(LN(2)/2)*BL112*BO112*VLOOKUP('Données projet'!$B$11,Paramètres!$A$1:$I$89,3,0)*0.475*44/12</f>
        <v>1.2646339497296462E-11</v>
      </c>
      <c r="BS112" s="22">
        <f t="shared" si="63"/>
        <v>1.5345647963454048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-5.6843418860808015E-13</v>
      </c>
      <c r="BZ112" s="13">
        <f>BY112*VLOOKUP('Données projet'!$B$12,Paramètres!$A$1:$I$89,3,0)*VLOOKUP('Données projet'!$B$12,Paramètres!$A$1:$I$89,5,0)</f>
        <v>-3.39923644787632E-13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392.08740055894992</v>
      </c>
      <c r="CE112" s="59">
        <f t="shared" si="94"/>
        <v>395.10797100415783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0.83635830227688313</v>
      </c>
      <c r="CL112" s="21">
        <f>EXP(-LN(2)/25)*CL111+(1-EXP(-LN(2)/25))/(LN(2)/25)*Calculateur!CG112*Calculateur!CI112*VLOOKUP('Données projet'!$B$12,Paramètres!$A$1:$I$89,3,0)*0.475*44/12</f>
        <v>2.9094012442818866</v>
      </c>
      <c r="CM112" s="21">
        <f>EXP(-LN(2)/2)*CM111+(1-EXP(-LN(2)/2))/(LN(2)/2)*CG112*CJ112*VLOOKUP('Données projet'!$B$12,Paramètres!$A$1:$I$89,3,0)*0.475*44/12</f>
        <v>4.4708140834708563E-11</v>
      </c>
      <c r="CN112" s="22">
        <f t="shared" si="66"/>
        <v>3.7457595466034781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>
        <f>VLOOKUP(A113,'Données projet'!$A$35:$I$55,2,0)</f>
        <v>305</v>
      </c>
      <c r="L113" s="12">
        <f>VLOOKUP(A113,'Données projet'!$A$35:$I$55,9,0)</f>
        <v>4.4000000000000004</v>
      </c>
      <c r="M113" s="12">
        <f t="array" ref="M113">INDEX(L:L,MIN(IF(ISNUMBER(L113:L309),ROW(L113:L309),"")))</f>
        <v>4.4000000000000004</v>
      </c>
      <c r="N113" s="13">
        <f>IF('Données projet'!$A$36&gt;35,N112+M113-V112,IF(A113&lt;'Données projet'!$A$36,$K$205^A113,IF(A113='Données projet'!$A$36,'Données projet'!$B$36,N112+M113-V112)))</f>
        <v>305</v>
      </c>
      <c r="O113" s="13">
        <f>N113*VLOOKUP('Données projet'!$B$9,Paramètres!$A$1:$I$89,3,0)*VLOOKUP('Données projet'!$B$9,Paramètres!$A$1:$I$89,5,0)</f>
        <v>275.964</v>
      </c>
      <c r="P113" s="13">
        <f t="shared" si="87"/>
        <v>66.113366665488911</v>
      </c>
      <c r="Q113" s="20">
        <f t="shared" si="107"/>
        <v>595.7847469423931</v>
      </c>
      <c r="R113" s="59">
        <f t="shared" si="55"/>
        <v>889.11808027572647</v>
      </c>
      <c r="S113" s="59">
        <f ca="1">AVERAGE(OFFSET($R$3,0,0,'Données projet'!$E$9+1,1))-AVERAGE(OFFSET($H$3,0,0,'Données projet'!$E$9+1,1))</f>
        <v>282.32472952059817</v>
      </c>
      <c r="T113" s="59">
        <f t="shared" si="88"/>
        <v>172.32171001882176</v>
      </c>
      <c r="U113" s="15">
        <f>IF(ISNA(VLOOKUP(A113,'Données projet'!$A$35:$I$55,3,0)),0,VLOOKUP(A113,'Données projet'!$A$35:$I$55,3,0))</f>
        <v>9</v>
      </c>
      <c r="V113" s="15">
        <f>IF(ISNA(VLOOKUP(A113,'Données projet'!$A$35:$I$55,4,0)),0,VLOOKUP(A113,'Données projet'!$A$35:$I$55,4,0))</f>
        <v>39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</v>
      </c>
      <c r="AA113" s="21">
        <f>EXP(-LN(2)/25)*AA112+(1-EXP(-LN(2)/25))/(LN(2)/25)*Calculateur!V113*Calculateur!X113*VLOOKUP('Données projet'!$B$9,Paramètres!$A$1:$I$89,3,0)*0.475*44/12</f>
        <v>0.33798452820300356</v>
      </c>
      <c r="AB113" s="21">
        <f>EXP(-LN(2)/2)*AB112+(1-EXP(-LN(2)/2))/(LN(2)/2)*V113*Y113*VLOOKUP('Données projet'!$B$9,Paramètres!$A$1:$I$89,3,0)*0.475*44/12</f>
        <v>5.6291790810322957E-12</v>
      </c>
      <c r="AC113" s="22">
        <f t="shared" si="57"/>
        <v>0.33798452820863273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305</v>
      </c>
      <c r="AG113" s="12">
        <f>VLOOKUP(A113,'Données projet'!$A$61:$I$81,9,0)</f>
        <v>4.4000000000000004</v>
      </c>
      <c r="AH113" s="12">
        <f t="array" ref="AH113">INDEX(AG:AG,MIN(IF(ISNUMBER(AG113:AG309),ROW(AG113:AG309),"")))</f>
        <v>4.4000000000000004</v>
      </c>
      <c r="AI113" s="13">
        <f>IF('Données projet'!$A$62&gt;35,AI112+AH113-AQ112,IF(A113&lt;'Données projet'!$A$62,$AF$205^A113,IF(A113='Données projet'!$A$62,'Données projet'!$B$62,AI112+AH113-AQ112)))</f>
        <v>305</v>
      </c>
      <c r="AJ113" s="13">
        <f>AI113*VLOOKUP('Données projet'!$B$10,Paramètres!$A$1:$I$89,3,0)*VLOOKUP('Données projet'!$B$10,Paramètres!$A$1:$I$89,5,0)</f>
        <v>309.27000000000004</v>
      </c>
      <c r="AK113" s="13">
        <f t="shared" si="89"/>
        <v>73.116356204711096</v>
      </c>
      <c r="AL113" s="20">
        <f t="shared" si="58"/>
        <v>665.9895703898718</v>
      </c>
      <c r="AM113" s="59">
        <f t="shared" si="59"/>
        <v>959.32290372320517</v>
      </c>
      <c r="AN113" s="59">
        <f ca="1">AVERAGE(OFFSET($AM$3,0,0,'Données projet'!$E$10+1,1))-AVERAGE(OFFSET($H$3,0,0,'Données projet'!$E$10+1,1))</f>
        <v>324.30660429578262</v>
      </c>
      <c r="AO113" s="59">
        <f t="shared" si="90"/>
        <v>197.04549436738586</v>
      </c>
      <c r="AP113" s="15">
        <f>IF(ISNA(VLOOKUP(A113,'Données projet'!$A$61:$I$81,3,0)),0,VLOOKUP(A113,'Données projet'!$A$61:$I$81,3,0))</f>
        <v>9</v>
      </c>
      <c r="AQ113" s="15">
        <f>IF(ISNA(VLOOKUP(A113,'Données projet'!$A$61:$I$81,4,0)),0,VLOOKUP(A113,'Données projet'!$A$61:$I$81,4,0))</f>
        <v>39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</v>
      </c>
      <c r="AV113" s="21">
        <f>EXP(-LN(2)/25)*AV112+(1-EXP(-LN(2)/25))/(LN(2)/25)*Calculateur!AQ113*Calculateur!AS113*VLOOKUP('Données projet'!$B$10,Paramètres!$A$1:$I$89,3,0)*0.475*44/12</f>
        <v>0.37877576436543481</v>
      </c>
      <c r="AW113" s="21">
        <f>EXP(-LN(2)/2)*AW112+(1-EXP(-LN(2)/2))/(LN(2)/2)*AQ113*AT113*VLOOKUP('Données projet'!$B$10,Paramètres!$A$1:$I$89,3,0)*0.475*44/12</f>
        <v>6.3085627632258477E-12</v>
      </c>
      <c r="AX113" s="21">
        <f t="shared" si="60"/>
        <v>0.37877576437174337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-1.1368683772161603E-13</v>
      </c>
      <c r="BE113" s="13">
        <f>BD113*VLOOKUP('Données projet'!$B$11,Paramètres!$A$1:$I$89,3,0)*VLOOKUP('Données projet'!$B$11,Paramètres!$A$1:$I$89,5,0)</f>
        <v>-5.3205440053716299E-14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252.98248842635206</v>
      </c>
      <c r="BJ113" s="59">
        <f t="shared" si="92"/>
        <v>207.11938580878308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0.64285202856613466</v>
      </c>
      <c r="BQ113" s="21">
        <f>EXP(-LN(2)/25)*BQ112+(1-EXP(-LN(2)/25))/(LN(2)/25)*Calculateur!BL113*Calculateur!BN113*VLOOKUP('Données projet'!$B$11,Paramètres!$A$1:$I$89,3,0)*0.475*44/12</f>
        <v>0.85482236479017859</v>
      </c>
      <c r="BR113" s="21">
        <f>EXP(-LN(2)/2)*BR112+(1-EXP(-LN(2)/2))/(LN(2)/2)*BL113*BO113*VLOOKUP('Données projet'!$B$11,Paramètres!$A$1:$I$89,3,0)*0.475*44/12</f>
        <v>8.9423124157256024E-12</v>
      </c>
      <c r="BS113" s="22">
        <f t="shared" si="63"/>
        <v>1.4976743933652557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-5.6843418860808015E-13</v>
      </c>
      <c r="BZ113" s="13">
        <f>BY113*VLOOKUP('Données projet'!$B$12,Paramètres!$A$1:$I$89,3,0)*VLOOKUP('Données projet'!$B$12,Paramètres!$A$1:$I$89,5,0)</f>
        <v>-3.39923644787632E-13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392.08740055894992</v>
      </c>
      <c r="CE113" s="59">
        <f t="shared" si="94"/>
        <v>395.10797100415783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0.81995782609742685</v>
      </c>
      <c r="CL113" s="21">
        <f>EXP(-LN(2)/25)*CL112+(1-EXP(-LN(2)/25))/(LN(2)/25)*Calculateur!CG113*Calculateur!CI113*VLOOKUP('Données projet'!$B$12,Paramètres!$A$1:$I$89,3,0)*0.475*44/12</f>
        <v>2.8298435142582363</v>
      </c>
      <c r="CM113" s="21">
        <f>EXP(-LN(2)/2)*CM112+(1-EXP(-LN(2)/2))/(LN(2)/2)*CG113*CJ113*VLOOKUP('Données projet'!$B$12,Paramètres!$A$1:$I$89,3,0)*0.475*44/12</f>
        <v>3.1613429558465617E-11</v>
      </c>
      <c r="CN113" s="22">
        <f t="shared" si="66"/>
        <v>3.6498013403872767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3.7</v>
      </c>
      <c r="N114" s="13">
        <f>IF('Données projet'!$A$36&gt;35,N113+M114-V113,IF(A114&lt;'Données projet'!$A$36,$K$205^A114,IF(A114='Données projet'!$A$36,'Données projet'!$B$36,N113+M114-V113)))</f>
        <v>269.7</v>
      </c>
      <c r="O114" s="13">
        <f>N114*VLOOKUP('Données projet'!$B$9,Paramètres!$A$1:$I$89,3,0)*VLOOKUP('Données projet'!$B$9,Paramètres!$A$1:$I$89,5,0)</f>
        <v>244.02455999999998</v>
      </c>
      <c r="P114" s="13">
        <f t="shared" si="87"/>
        <v>59.304594314969279</v>
      </c>
      <c r="Q114" s="20">
        <f t="shared" si="107"/>
        <v>528.29827709857148</v>
      </c>
      <c r="R114" s="59">
        <f t="shared" si="55"/>
        <v>821.63161043190485</v>
      </c>
      <c r="S114" s="59">
        <f ca="1">AVERAGE(OFFSET($R$3,0,0,'Données projet'!$E$9+1,1))-AVERAGE(OFFSET($H$3,0,0,'Données projet'!$E$9+1,1))</f>
        <v>282.32472952059817</v>
      </c>
      <c r="T114" s="59">
        <f t="shared" si="88"/>
        <v>172.32171001882176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</v>
      </c>
      <c r="AA114" s="21">
        <f>EXP(-LN(2)/25)*AA113+(1-EXP(-LN(2)/25))/(LN(2)/25)*Calculateur!V114*Calculateur!X114*VLOOKUP('Données projet'!$B$9,Paramètres!$A$1:$I$89,3,0)*0.475*44/12</f>
        <v>0.32874232350545857</v>
      </c>
      <c r="AB114" s="21">
        <f>EXP(-LN(2)/2)*AB113+(1-EXP(-LN(2)/2))/(LN(2)/2)*V114*Y114*VLOOKUP('Données projet'!$B$9,Paramètres!$A$1:$I$89,3,0)*0.475*44/12</f>
        <v>3.9804307007113941E-12</v>
      </c>
      <c r="AC114" s="22">
        <f t="shared" si="57"/>
        <v>0.32874232350943899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3.7</v>
      </c>
      <c r="AI114" s="13">
        <f>IF('Données projet'!$A$62&gt;35,AI113+AH114-AQ113,IF(A114&lt;'Données projet'!$A$62,$AF$205^A114,IF(A114='Données projet'!$A$62,'Données projet'!$B$62,AI113+AH114-AQ113)))</f>
        <v>269.7</v>
      </c>
      <c r="AJ114" s="13">
        <f>AI114*VLOOKUP('Données projet'!$B$10,Paramètres!$A$1:$I$89,3,0)*VLOOKUP('Données projet'!$B$10,Paramètres!$A$1:$I$89,5,0)</f>
        <v>273.47579999999999</v>
      </c>
      <c r="AK114" s="13">
        <f t="shared" si="89"/>
        <v>65.586371730977589</v>
      </c>
      <c r="AL114" s="20">
        <f t="shared" si="58"/>
        <v>590.53328243145256</v>
      </c>
      <c r="AM114" s="59">
        <f t="shared" si="59"/>
        <v>883.86661576478582</v>
      </c>
      <c r="AN114" s="59">
        <f ca="1">AVERAGE(OFFSET($AM$3,0,0,'Données projet'!$E$10+1,1))-AVERAGE(OFFSET($H$3,0,0,'Données projet'!$E$10+1,1))</f>
        <v>324.30660429578262</v>
      </c>
      <c r="AO114" s="59">
        <f t="shared" si="90"/>
        <v>197.04549436738586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</v>
      </c>
      <c r="AV114" s="21">
        <f>EXP(-LN(2)/25)*AV113+(1-EXP(-LN(2)/25))/(LN(2)/25)*Calculateur!AQ114*Calculateur!AS114*VLOOKUP('Données projet'!$B$10,Paramètres!$A$1:$I$89,3,0)*0.475*44/12</f>
        <v>0.36841812116991024</v>
      </c>
      <c r="AW114" s="21">
        <f>EXP(-LN(2)/2)*AW113+(1-EXP(-LN(2)/2))/(LN(2)/2)*AQ114*AT114*VLOOKUP('Données projet'!$B$10,Paramètres!$A$1:$I$89,3,0)*0.475*44/12</f>
        <v>4.4608275094179411E-12</v>
      </c>
      <c r="AX114" s="21">
        <f t="shared" si="60"/>
        <v>0.36841812117437106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-1.1368683772161603E-13</v>
      </c>
      <c r="BE114" s="13">
        <f>BD114*VLOOKUP('Données projet'!$B$11,Paramètres!$A$1:$I$89,3,0)*VLOOKUP('Données projet'!$B$11,Paramètres!$A$1:$I$89,5,0)</f>
        <v>-5.3205440053716299E-14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252.98248842635206</v>
      </c>
      <c r="BJ114" s="59">
        <f t="shared" si="92"/>
        <v>207.11938580878308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0.63024609238697338</v>
      </c>
      <c r="BQ114" s="21">
        <f>EXP(-LN(2)/25)*BQ113+(1-EXP(-LN(2)/25))/(LN(2)/25)*Calculateur!BL114*Calculateur!BN114*VLOOKUP('Données projet'!$B$11,Paramètres!$A$1:$I$89,3,0)*0.475*44/12</f>
        <v>0.83144720227183666</v>
      </c>
      <c r="BR114" s="21">
        <f>EXP(-LN(2)/2)*BR113+(1-EXP(-LN(2)/2))/(LN(2)/2)*BL114*BO114*VLOOKUP('Données projet'!$B$11,Paramètres!$A$1:$I$89,3,0)*0.475*44/12</f>
        <v>6.3231697486482308E-12</v>
      </c>
      <c r="BS114" s="22">
        <f t="shared" si="63"/>
        <v>1.4616932946651333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-5.6843418860808015E-13</v>
      </c>
      <c r="BZ114" s="13">
        <f>BY114*VLOOKUP('Données projet'!$B$12,Paramètres!$A$1:$I$89,3,0)*VLOOKUP('Données projet'!$B$12,Paramètres!$A$1:$I$89,5,0)</f>
        <v>-3.39923644787632E-13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392.08740055894992</v>
      </c>
      <c r="CE114" s="59">
        <f t="shared" si="94"/>
        <v>395.10797100415783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0.80387895325254699</v>
      </c>
      <c r="CL114" s="21">
        <f>EXP(-LN(2)/25)*CL113+(1-EXP(-LN(2)/25))/(LN(2)/25)*Calculateur!CG114*Calculateur!CI114*VLOOKUP('Données projet'!$B$12,Paramètres!$A$1:$I$89,3,0)*0.475*44/12</f>
        <v>2.7524612945458422</v>
      </c>
      <c r="CM114" s="21">
        <f>EXP(-LN(2)/2)*CM113+(1-EXP(-LN(2)/2))/(LN(2)/2)*CG114*CJ114*VLOOKUP('Données projet'!$B$12,Paramètres!$A$1:$I$89,3,0)*0.475*44/12</f>
        <v>2.2354070417354281E-11</v>
      </c>
      <c r="CN114" s="22">
        <f t="shared" si="66"/>
        <v>3.5563402478207435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3.7</v>
      </c>
      <c r="N115" s="13">
        <f>IF('Données projet'!$A$36&gt;35,N114+M115-V114,IF(A115&lt;'Données projet'!$A$36,$K$205^A115,IF(A115='Données projet'!$A$36,'Données projet'!$B$36,N114+M115-V114)))</f>
        <v>273.39999999999998</v>
      </c>
      <c r="O115" s="13">
        <f>N115*VLOOKUP('Données projet'!$B$9,Paramètres!$A$1:$I$89,3,0)*VLOOKUP('Données projet'!$B$9,Paramètres!$A$1:$I$89,5,0)</f>
        <v>247.37231999999997</v>
      </c>
      <c r="P115" s="13">
        <f t="shared" si="87"/>
        <v>60.022917171131049</v>
      </c>
      <c r="Q115" s="20">
        <f t="shared" si="107"/>
        <v>535.38003807305324</v>
      </c>
      <c r="R115" s="59">
        <f t="shared" si="55"/>
        <v>828.71337140638661</v>
      </c>
      <c r="S115" s="59">
        <f ca="1">AVERAGE(OFFSET($R$3,0,0,'Données projet'!$E$9+1,1))-AVERAGE(OFFSET($H$3,0,0,'Données projet'!$E$9+1,1))</f>
        <v>282.32472952059817</v>
      </c>
      <c r="T115" s="59">
        <f t="shared" si="88"/>
        <v>172.32171001882176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</v>
      </c>
      <c r="AA115" s="21">
        <f>EXP(-LN(2)/25)*AA114+(1-EXP(-LN(2)/25))/(LN(2)/25)*Calculateur!V115*Calculateur!X115*VLOOKUP('Données projet'!$B$9,Paramètres!$A$1:$I$89,3,0)*0.475*44/12</f>
        <v>0.31975284738139437</v>
      </c>
      <c r="AB115" s="21">
        <f>EXP(-LN(2)/2)*AB114+(1-EXP(-LN(2)/2))/(LN(2)/2)*V115*Y115*VLOOKUP('Données projet'!$B$9,Paramètres!$A$1:$I$89,3,0)*0.475*44/12</f>
        <v>2.8145895405161479E-12</v>
      </c>
      <c r="AC115" s="22">
        <f t="shared" si="57"/>
        <v>0.31975284738420895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3.7</v>
      </c>
      <c r="AI115" s="13">
        <f>IF('Données projet'!$A$62&gt;35,AI114+AH115-AQ114,IF(A115&lt;'Données projet'!$A$62,$AF$205^A115,IF(A115='Données projet'!$A$62,'Données projet'!$B$62,AI114+AH115-AQ114)))</f>
        <v>273.39999999999998</v>
      </c>
      <c r="AJ115" s="13">
        <f>AI115*VLOOKUP('Données projet'!$B$10,Paramètres!$A$1:$I$89,3,0)*VLOOKUP('Données projet'!$B$10,Paramètres!$A$1:$I$89,5,0)</f>
        <v>277.2276</v>
      </c>
      <c r="AK115" s="13">
        <f t="shared" si="89"/>
        <v>66.380782187895448</v>
      </c>
      <c r="AL115" s="20">
        <f t="shared" si="58"/>
        <v>598.45126564391796</v>
      </c>
      <c r="AM115" s="59">
        <f t="shared" si="59"/>
        <v>891.78459897725133</v>
      </c>
      <c r="AN115" s="59">
        <f ca="1">AVERAGE(OFFSET($AM$3,0,0,'Données projet'!$E$10+1,1))-AVERAGE(OFFSET($H$3,0,0,'Données projet'!$E$10+1,1))</f>
        <v>324.30660429578262</v>
      </c>
      <c r="AO115" s="59">
        <f t="shared" si="90"/>
        <v>197.04549436738586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</v>
      </c>
      <c r="AV115" s="21">
        <f>EXP(-LN(2)/25)*AV114+(1-EXP(-LN(2)/25))/(LN(2)/25)*Calculateur!AQ115*Calculateur!AS115*VLOOKUP('Données projet'!$B$10,Paramètres!$A$1:$I$89,3,0)*0.475*44/12</f>
        <v>0.35834370827225209</v>
      </c>
      <c r="AW115" s="21">
        <f>EXP(-LN(2)/2)*AW114+(1-EXP(-LN(2)/2))/(LN(2)/2)*AQ115*AT115*VLOOKUP('Données projet'!$B$10,Paramètres!$A$1:$I$89,3,0)*0.475*44/12</f>
        <v>3.1542813816129238E-12</v>
      </c>
      <c r="AX115" s="21">
        <f t="shared" si="60"/>
        <v>0.35834370827540635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-1.1368683772161603E-13</v>
      </c>
      <c r="BE115" s="13">
        <f>BD115*VLOOKUP('Données projet'!$B$11,Paramètres!$A$1:$I$89,3,0)*VLOOKUP('Données projet'!$B$11,Paramètres!$A$1:$I$89,5,0)</f>
        <v>-5.3205440053716299E-14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252.98248842635206</v>
      </c>
      <c r="BJ115" s="59">
        <f t="shared" si="92"/>
        <v>207.11938580878308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0.61788735092742364</v>
      </c>
      <c r="BQ115" s="21">
        <f>EXP(-LN(2)/25)*BQ114+(1-EXP(-LN(2)/25))/(LN(2)/25)*Calculateur!BL115*Calculateur!BN115*VLOOKUP('Données projet'!$B$11,Paramètres!$A$1:$I$89,3,0)*0.475*44/12</f>
        <v>0.80871123480180518</v>
      </c>
      <c r="BR115" s="21">
        <f>EXP(-LN(2)/2)*BR114+(1-EXP(-LN(2)/2))/(LN(2)/2)*BL115*BO115*VLOOKUP('Données projet'!$B$11,Paramètres!$A$1:$I$89,3,0)*0.475*44/12</f>
        <v>4.4711562078628012E-12</v>
      </c>
      <c r="BS115" s="22">
        <f t="shared" si="63"/>
        <v>1.4265985857337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-5.6843418860808015E-13</v>
      </c>
      <c r="BZ115" s="13">
        <f>BY115*VLOOKUP('Données projet'!$B$12,Paramètres!$A$1:$I$89,3,0)*VLOOKUP('Données projet'!$B$12,Paramètres!$A$1:$I$89,5,0)</f>
        <v>-3.39923644787632E-13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392.08740055894992</v>
      </c>
      <c r="CE115" s="59">
        <f t="shared" si="94"/>
        <v>395.10797100415783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0.7881153772970112</v>
      </c>
      <c r="CL115" s="21">
        <f>EXP(-LN(2)/25)*CL114+(1-EXP(-LN(2)/25))/(LN(2)/25)*Calculateur!CG115*Calculateur!CI115*VLOOKUP('Données projet'!$B$12,Paramètres!$A$1:$I$89,3,0)*0.475*44/12</f>
        <v>2.6771950957008377</v>
      </c>
      <c r="CM115" s="21">
        <f>EXP(-LN(2)/2)*CM114+(1-EXP(-LN(2)/2))/(LN(2)/2)*CG115*CJ115*VLOOKUP('Données projet'!$B$12,Paramètres!$A$1:$I$89,3,0)*0.475*44/12</f>
        <v>1.5806714779232809E-11</v>
      </c>
      <c r="CN115" s="22">
        <f t="shared" si="66"/>
        <v>3.4653104730136559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3.7</v>
      </c>
      <c r="N116" s="13">
        <f>IF('Données projet'!$A$36&gt;35,N115+M116-V115,IF(A116&lt;'Données projet'!$A$36,$K$205^A116,IF(A116='Données projet'!$A$36,'Données projet'!$B$36,N115+M116-V115)))</f>
        <v>277.09999999999997</v>
      </c>
      <c r="O116" s="13">
        <f>N116*VLOOKUP('Données projet'!$B$9,Paramètres!$A$1:$I$89,3,0)*VLOOKUP('Données projet'!$B$9,Paramètres!$A$1:$I$89,5,0)</f>
        <v>250.72007999999994</v>
      </c>
      <c r="P116" s="13">
        <f t="shared" si="87"/>
        <v>60.740109326032758</v>
      </c>
      <c r="Q116" s="20">
        <f t="shared" si="107"/>
        <v>542.45982974284027</v>
      </c>
      <c r="R116" s="59">
        <f t="shared" si="55"/>
        <v>835.79316307617364</v>
      </c>
      <c r="S116" s="59">
        <f ca="1">AVERAGE(OFFSET($R$3,0,0,'Données projet'!$E$9+1,1))-AVERAGE(OFFSET($H$3,0,0,'Données projet'!$E$9+1,1))</f>
        <v>282.32472952059817</v>
      </c>
      <c r="T116" s="59">
        <f t="shared" si="88"/>
        <v>172.32171001882176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</v>
      </c>
      <c r="AA116" s="21">
        <f>EXP(-LN(2)/25)*AA115+(1-EXP(-LN(2)/25))/(LN(2)/25)*Calculateur!V116*Calculateur!X116*VLOOKUP('Données projet'!$B$9,Paramètres!$A$1:$I$89,3,0)*0.475*44/12</f>
        <v>0.31100918895467872</v>
      </c>
      <c r="AB116" s="21">
        <f>EXP(-LN(2)/2)*AB115+(1-EXP(-LN(2)/2))/(LN(2)/2)*V116*Y116*VLOOKUP('Données projet'!$B$9,Paramètres!$A$1:$I$89,3,0)*0.475*44/12</f>
        <v>1.9902153503556971E-12</v>
      </c>
      <c r="AC116" s="22">
        <f t="shared" si="57"/>
        <v>0.31100918895666896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3.7</v>
      </c>
      <c r="AI116" s="13">
        <f>IF('Données projet'!$A$62&gt;35,AI115+AH116-AQ115,IF(A116&lt;'Données projet'!$A$62,$AF$205^A116,IF(A116='Données projet'!$A$62,'Données projet'!$B$62,AI115+AH116-AQ115)))</f>
        <v>277.09999999999997</v>
      </c>
      <c r="AJ116" s="13">
        <f>AI116*VLOOKUP('Données projet'!$B$10,Paramètres!$A$1:$I$89,3,0)*VLOOKUP('Données projet'!$B$10,Paramètres!$A$1:$I$89,5,0)</f>
        <v>280.9794</v>
      </c>
      <c r="AK116" s="13">
        <f t="shared" si="89"/>
        <v>67.173942175199358</v>
      </c>
      <c r="AL116" s="20">
        <f t="shared" si="58"/>
        <v>606.36707095513873</v>
      </c>
      <c r="AM116" s="59">
        <f t="shared" si="59"/>
        <v>899.7004042884721</v>
      </c>
      <c r="AN116" s="59">
        <f ca="1">AVERAGE(OFFSET($AM$3,0,0,'Données projet'!$E$10+1,1))-AVERAGE(OFFSET($H$3,0,0,'Données projet'!$E$10+1,1))</f>
        <v>324.30660429578262</v>
      </c>
      <c r="AO116" s="59">
        <f t="shared" si="90"/>
        <v>197.04549436738586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</v>
      </c>
      <c r="AV116" s="21">
        <f>EXP(-LN(2)/25)*AV115+(1-EXP(-LN(2)/25))/(LN(2)/25)*Calculateur!AQ116*Calculateur!AS116*VLOOKUP('Données projet'!$B$10,Paramètres!$A$1:$I$89,3,0)*0.475*44/12</f>
        <v>0.34854478072507072</v>
      </c>
      <c r="AW116" s="21">
        <f>EXP(-LN(2)/2)*AW115+(1-EXP(-LN(2)/2))/(LN(2)/2)*AQ116*AT116*VLOOKUP('Données projet'!$B$10,Paramètres!$A$1:$I$89,3,0)*0.475*44/12</f>
        <v>2.2304137547089705E-12</v>
      </c>
      <c r="AX116" s="21">
        <f t="shared" si="60"/>
        <v>0.34854478072730116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-1.1368683772161603E-13</v>
      </c>
      <c r="BE116" s="13">
        <f>BD116*VLOOKUP('Données projet'!$B$11,Paramètres!$A$1:$I$89,3,0)*VLOOKUP('Données projet'!$B$11,Paramètres!$A$1:$I$89,5,0)</f>
        <v>-5.3205440053716299E-14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252.98248842635206</v>
      </c>
      <c r="BJ116" s="59">
        <f t="shared" si="92"/>
        <v>207.11938580878308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0.60577095684980775</v>
      </c>
      <c r="BQ116" s="21">
        <f>EXP(-LN(2)/25)*BQ115+(1-EXP(-LN(2)/25))/(LN(2)/25)*Calculateur!BL116*Calculateur!BN116*VLOOKUP('Données projet'!$B$11,Paramètres!$A$1:$I$89,3,0)*0.475*44/12</f>
        <v>0.78659698355787433</v>
      </c>
      <c r="BR116" s="21">
        <f>EXP(-LN(2)/2)*BR115+(1-EXP(-LN(2)/2))/(LN(2)/2)*BL116*BO116*VLOOKUP('Données projet'!$B$11,Paramètres!$A$1:$I$89,3,0)*0.475*44/12</f>
        <v>3.1615848743241154E-12</v>
      </c>
      <c r="BS116" s="22">
        <f t="shared" si="63"/>
        <v>1.3923679404108438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-5.6843418860808015E-13</v>
      </c>
      <c r="BZ116" s="13">
        <f>BY116*VLOOKUP('Données projet'!$B$12,Paramètres!$A$1:$I$89,3,0)*VLOOKUP('Données projet'!$B$12,Paramètres!$A$1:$I$89,5,0)</f>
        <v>-3.39923644787632E-13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392.08740055894992</v>
      </c>
      <c r="CE116" s="59">
        <f t="shared" si="94"/>
        <v>395.10797100415783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0.77266091545113147</v>
      </c>
      <c r="CL116" s="21">
        <f>EXP(-LN(2)/25)*CL115+(1-EXP(-LN(2)/25))/(LN(2)/25)*Calculateur!CG116*Calculateur!CI116*VLOOKUP('Données projet'!$B$12,Paramètres!$A$1:$I$89,3,0)*0.475*44/12</f>
        <v>2.6039870550213271</v>
      </c>
      <c r="CM116" s="21">
        <f>EXP(-LN(2)/2)*CM115+(1-EXP(-LN(2)/2))/(LN(2)/2)*CG116*CJ116*VLOOKUP('Données projet'!$B$12,Paramètres!$A$1:$I$89,3,0)*0.475*44/12</f>
        <v>1.1177035208677141E-11</v>
      </c>
      <c r="CN116" s="22">
        <f t="shared" si="66"/>
        <v>3.3766479704836354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3.7</v>
      </c>
      <c r="N117" s="13">
        <f>IF('Données projet'!$A$36&gt;35,N116+M117-V116,IF(A117&lt;'Données projet'!$A$36,$K$205^A117,IF(A117='Données projet'!$A$36,'Données projet'!$B$36,N116+M117-V116)))</f>
        <v>280.79999999999995</v>
      </c>
      <c r="O117" s="13">
        <f>N117*VLOOKUP('Données projet'!$B$9,Paramètres!$A$1:$I$89,3,0)*VLOOKUP('Données projet'!$B$9,Paramètres!$A$1:$I$89,5,0)</f>
        <v>254.06783999999996</v>
      </c>
      <c r="P117" s="13">
        <f t="shared" si="87"/>
        <v>61.456187622750718</v>
      </c>
      <c r="Q117" s="20">
        <f t="shared" si="107"/>
        <v>549.53768144295748</v>
      </c>
      <c r="R117" s="59">
        <f t="shared" si="55"/>
        <v>842.87101477629085</v>
      </c>
      <c r="S117" s="59">
        <f ca="1">AVERAGE(OFFSET($R$3,0,0,'Données projet'!$E$9+1,1))-AVERAGE(OFFSET($H$3,0,0,'Données projet'!$E$9+1,1))</f>
        <v>282.32472952059817</v>
      </c>
      <c r="T117" s="59">
        <f t="shared" si="88"/>
        <v>172.32171001882176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</v>
      </c>
      <c r="AA117" s="21">
        <f>EXP(-LN(2)/25)*AA116+(1-EXP(-LN(2)/25))/(LN(2)/25)*Calculateur!V117*Calculateur!X117*VLOOKUP('Données projet'!$B$9,Paramètres!$A$1:$I$89,3,0)*0.475*44/12</f>
        <v>0.30250462632745062</v>
      </c>
      <c r="AB117" s="21">
        <f>EXP(-LN(2)/2)*AB116+(1-EXP(-LN(2)/2))/(LN(2)/2)*V117*Y117*VLOOKUP('Données projet'!$B$9,Paramètres!$A$1:$I$89,3,0)*0.475*44/12</f>
        <v>1.4072947702580739E-12</v>
      </c>
      <c r="AC117" s="22">
        <f t="shared" si="57"/>
        <v>0.30250462632885794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3.7</v>
      </c>
      <c r="AI117" s="13">
        <f>IF('Données projet'!$A$62&gt;35,AI116+AH117-AQ116,IF(A117&lt;'Données projet'!$A$62,$AF$205^A117,IF(A117='Données projet'!$A$62,'Données projet'!$B$62,AI116+AH117-AQ116)))</f>
        <v>280.79999999999995</v>
      </c>
      <c r="AJ117" s="13">
        <f>AI117*VLOOKUP('Données projet'!$B$10,Paramètres!$A$1:$I$89,3,0)*VLOOKUP('Données projet'!$B$10,Paramètres!$A$1:$I$89,5,0)</f>
        <v>284.7312</v>
      </c>
      <c r="AK117" s="13">
        <f t="shared" si="89"/>
        <v>67.96587032005101</v>
      </c>
      <c r="AL117" s="20">
        <f t="shared" si="58"/>
        <v>614.28073080742217</v>
      </c>
      <c r="AM117" s="59">
        <f t="shared" si="59"/>
        <v>907.61406414075554</v>
      </c>
      <c r="AN117" s="59">
        <f ca="1">AVERAGE(OFFSET($AM$3,0,0,'Données projet'!$E$10+1,1))-AVERAGE(OFFSET($H$3,0,0,'Données projet'!$E$10+1,1))</f>
        <v>324.30660429578262</v>
      </c>
      <c r="AO117" s="59">
        <f t="shared" si="90"/>
        <v>197.04549436738586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</v>
      </c>
      <c r="AV117" s="21">
        <f>EXP(-LN(2)/25)*AV116+(1-EXP(-LN(2)/25))/(LN(2)/25)*Calculateur!AQ117*Calculateur!AS117*VLOOKUP('Données projet'!$B$10,Paramètres!$A$1:$I$89,3,0)*0.475*44/12</f>
        <v>0.33901380536697023</v>
      </c>
      <c r="AW117" s="21">
        <f>EXP(-LN(2)/2)*AW116+(1-EXP(-LN(2)/2))/(LN(2)/2)*AQ117*AT117*VLOOKUP('Données projet'!$B$10,Paramètres!$A$1:$I$89,3,0)*0.475*44/12</f>
        <v>1.5771406908064619E-12</v>
      </c>
      <c r="AX117" s="21">
        <f t="shared" si="60"/>
        <v>0.33901380536854736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-1.1368683772161603E-13</v>
      </c>
      <c r="BE117" s="13">
        <f>BD117*VLOOKUP('Données projet'!$B$11,Paramètres!$A$1:$I$89,3,0)*VLOOKUP('Données projet'!$B$11,Paramètres!$A$1:$I$89,5,0)</f>
        <v>-5.3205440053716299E-14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252.98248842635206</v>
      </c>
      <c r="BJ117" s="59">
        <f t="shared" si="92"/>
        <v>207.11938580878308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0.59389215786978322</v>
      </c>
      <c r="BQ117" s="21">
        <f>EXP(-LN(2)/25)*BQ116+(1-EXP(-LN(2)/25))/(LN(2)/25)*Calculateur!BL117*Calculateur!BN117*VLOOKUP('Données projet'!$B$11,Paramètres!$A$1:$I$89,3,0)*0.475*44/12</f>
        <v>0.76508744767714665</v>
      </c>
      <c r="BR117" s="21">
        <f>EXP(-LN(2)/2)*BR116+(1-EXP(-LN(2)/2))/(LN(2)/2)*BL117*BO117*VLOOKUP('Données projet'!$B$11,Paramètres!$A$1:$I$89,3,0)*0.475*44/12</f>
        <v>2.2355781039314006E-12</v>
      </c>
      <c r="BS117" s="22">
        <f t="shared" si="63"/>
        <v>1.3589796055491654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-5.6843418860808015E-13</v>
      </c>
      <c r="BZ117" s="13">
        <f>BY117*VLOOKUP('Données projet'!$B$12,Paramètres!$A$1:$I$89,3,0)*VLOOKUP('Données projet'!$B$12,Paramètres!$A$1:$I$89,5,0)</f>
        <v>-3.39923644787632E-13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392.08740055894992</v>
      </c>
      <c r="CE117" s="59">
        <f t="shared" si="94"/>
        <v>395.10797100415783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0.75750950617575852</v>
      </c>
      <c r="CL117" s="21">
        <f>EXP(-LN(2)/25)*CL116+(1-EXP(-LN(2)/25))/(LN(2)/25)*Calculateur!CG117*Calculateur!CI117*VLOOKUP('Données projet'!$B$12,Paramètres!$A$1:$I$89,3,0)*0.475*44/12</f>
        <v>2.5327808920640411</v>
      </c>
      <c r="CM117" s="21">
        <f>EXP(-LN(2)/2)*CM116+(1-EXP(-LN(2)/2))/(LN(2)/2)*CG117*CJ117*VLOOKUP('Données projet'!$B$12,Paramètres!$A$1:$I$89,3,0)*0.475*44/12</f>
        <v>7.9033573896164043E-12</v>
      </c>
      <c r="CN117" s="22">
        <f t="shared" si="66"/>
        <v>3.290290398247703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3.7</v>
      </c>
      <c r="N118" s="13">
        <f>IF('Données projet'!$A$36&gt;35,N117+M118-V117,IF(A118&lt;'Données projet'!$A$36,$K$205^A118,IF(A118='Données projet'!$A$36,'Données projet'!$B$36,N117+M118-V117)))</f>
        <v>284.49999999999994</v>
      </c>
      <c r="O118" s="13">
        <f>N118*VLOOKUP('Données projet'!$B$9,Paramètres!$A$1:$I$89,3,0)*VLOOKUP('Données projet'!$B$9,Paramètres!$A$1:$I$89,5,0)</f>
        <v>257.41559999999993</v>
      </c>
      <c r="P118" s="13">
        <f t="shared" si="87"/>
        <v>62.171168434977119</v>
      </c>
      <c r="Q118" s="20">
        <f t="shared" si="107"/>
        <v>556.61362169091831</v>
      </c>
      <c r="R118" s="59">
        <f t="shared" si="55"/>
        <v>849.94695502425157</v>
      </c>
      <c r="S118" s="59">
        <f ca="1">AVERAGE(OFFSET($R$3,0,0,'Données projet'!$E$9+1,1))-AVERAGE(OFFSET($H$3,0,0,'Données projet'!$E$9+1,1))</f>
        <v>282.32472952059817</v>
      </c>
      <c r="T118" s="59">
        <f t="shared" si="88"/>
        <v>172.32171001882176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</v>
      </c>
      <c r="AA118" s="21">
        <f>EXP(-LN(2)/25)*AA117+(1-EXP(-LN(2)/25))/(LN(2)/25)*Calculateur!V118*Calculateur!X118*VLOOKUP('Données projet'!$B$9,Paramètres!$A$1:$I$89,3,0)*0.475*44/12</f>
        <v>0.29423262141249956</v>
      </c>
      <c r="AB118" s="21">
        <f>EXP(-LN(2)/2)*AB117+(1-EXP(-LN(2)/2))/(LN(2)/2)*V118*Y118*VLOOKUP('Données projet'!$B$9,Paramètres!$A$1:$I$89,3,0)*0.475*44/12</f>
        <v>9.9510767517784854E-13</v>
      </c>
      <c r="AC118" s="22">
        <f t="shared" si="57"/>
        <v>0.29423262141349465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3.7</v>
      </c>
      <c r="AI118" s="13">
        <f>IF('Données projet'!$A$62&gt;35,AI117+AH118-AQ117,IF(A118&lt;'Données projet'!$A$62,$AF$205^A118,IF(A118='Données projet'!$A$62,'Données projet'!$B$62,AI117+AH118-AQ117)))</f>
        <v>284.49999999999994</v>
      </c>
      <c r="AJ118" s="13">
        <f>AI118*VLOOKUP('Données projet'!$B$10,Paramètres!$A$1:$I$89,3,0)*VLOOKUP('Données projet'!$B$10,Paramètres!$A$1:$I$89,5,0)</f>
        <v>288.483</v>
      </c>
      <c r="AK118" s="13">
        <f t="shared" si="89"/>
        <v>68.756584730508692</v>
      </c>
      <c r="AL118" s="20">
        <f t="shared" si="58"/>
        <v>622.19227673896933</v>
      </c>
      <c r="AM118" s="59">
        <f t="shared" si="59"/>
        <v>915.5256100723027</v>
      </c>
      <c r="AN118" s="59">
        <f ca="1">AVERAGE(OFFSET($AM$3,0,0,'Données projet'!$E$10+1,1))-AVERAGE(OFFSET($H$3,0,0,'Données projet'!$E$10+1,1))</f>
        <v>324.30660429578262</v>
      </c>
      <c r="AO118" s="59">
        <f t="shared" si="90"/>
        <v>197.04549436738586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</v>
      </c>
      <c r="AV118" s="21">
        <f>EXP(-LN(2)/25)*AV117+(1-EXP(-LN(2)/25))/(LN(2)/25)*Calculateur!AQ118*Calculateur!AS118*VLOOKUP('Données projet'!$B$10,Paramètres!$A$1:$I$89,3,0)*0.475*44/12</f>
        <v>0.32974345503124924</v>
      </c>
      <c r="AW118" s="21">
        <f>EXP(-LN(2)/2)*AW117+(1-EXP(-LN(2)/2))/(LN(2)/2)*AQ118*AT118*VLOOKUP('Données projet'!$B$10,Paramètres!$A$1:$I$89,3,0)*0.475*44/12</f>
        <v>1.1152068773544853E-12</v>
      </c>
      <c r="AX118" s="21">
        <f t="shared" si="60"/>
        <v>0.32974345503236446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-1.1368683772161603E-13</v>
      </c>
      <c r="BE118" s="13">
        <f>BD118*VLOOKUP('Données projet'!$B$11,Paramètres!$A$1:$I$89,3,0)*VLOOKUP('Données projet'!$B$11,Paramètres!$A$1:$I$89,5,0)</f>
        <v>-5.3205440053716299E-14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252.98248842635206</v>
      </c>
      <c r="BJ118" s="59">
        <f t="shared" si="92"/>
        <v>207.11938580878308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0.58224629489240498</v>
      </c>
      <c r="BQ118" s="21">
        <f>EXP(-LN(2)/25)*BQ117+(1-EXP(-LN(2)/25))/(LN(2)/25)*Calculateur!BL118*Calculateur!BN118*VLOOKUP('Données projet'!$B$11,Paramètres!$A$1:$I$89,3,0)*0.475*44/12</f>
        <v>0.7441660911862148</v>
      </c>
      <c r="BR118" s="21">
        <f>EXP(-LN(2)/2)*BR117+(1-EXP(-LN(2)/2))/(LN(2)/2)*BL118*BO118*VLOOKUP('Données projet'!$B$11,Paramètres!$A$1:$I$89,3,0)*0.475*44/12</f>
        <v>1.5807924371620577E-12</v>
      </c>
      <c r="BS118" s="22">
        <f t="shared" si="63"/>
        <v>1.3264123860802004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-5.6843418860808015E-13</v>
      </c>
      <c r="BZ118" s="13">
        <f>BY118*VLOOKUP('Données projet'!$B$12,Paramètres!$A$1:$I$89,3,0)*VLOOKUP('Données projet'!$B$12,Paramètres!$A$1:$I$89,5,0)</f>
        <v>-3.39923644787632E-13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392.08740055894992</v>
      </c>
      <c r="CE118" s="59">
        <f t="shared" si="94"/>
        <v>395.10797100415783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0.74265520679482844</v>
      </c>
      <c r="CL118" s="21">
        <f>EXP(-LN(2)/25)*CL117+(1-EXP(-LN(2)/25))/(LN(2)/25)*Calculateur!CG118*Calculateur!CI118*VLOOKUP('Données projet'!$B$12,Paramètres!$A$1:$I$89,3,0)*0.475*44/12</f>
        <v>2.4635218653773916</v>
      </c>
      <c r="CM118" s="21">
        <f>EXP(-LN(2)/2)*CM117+(1-EXP(-LN(2)/2))/(LN(2)/2)*CG118*CJ118*VLOOKUP('Données projet'!$B$12,Paramètres!$A$1:$I$89,3,0)*0.475*44/12</f>
        <v>5.5885176043385703E-12</v>
      </c>
      <c r="CN118" s="22">
        <f t="shared" si="66"/>
        <v>3.2061770721778085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3.7</v>
      </c>
      <c r="N119" s="13">
        <f>IF('Données projet'!$A$36&gt;35,N118+M119-V118,IF(A119&lt;'Données projet'!$A$36,$K$205^A119,IF(A119='Données projet'!$A$36,'Données projet'!$B$36,N118+M119-V118)))</f>
        <v>288.19999999999993</v>
      </c>
      <c r="O119" s="13">
        <f>N119*VLOOKUP('Données projet'!$B$9,Paramètres!$A$1:$I$89,3,0)*VLOOKUP('Données projet'!$B$9,Paramètres!$A$1:$I$89,5,0)</f>
        <v>260.76335999999992</v>
      </c>
      <c r="P119" s="13">
        <f t="shared" si="87"/>
        <v>62.885067686031952</v>
      </c>
      <c r="Q119" s="20">
        <f t="shared" si="107"/>
        <v>563.68767821983886</v>
      </c>
      <c r="R119" s="59">
        <f t="shared" si="55"/>
        <v>857.02101155317223</v>
      </c>
      <c r="S119" s="59">
        <f ca="1">AVERAGE(OFFSET($R$3,0,0,'Données projet'!$E$9+1,1))-AVERAGE(OFFSET($H$3,0,0,'Données projet'!$E$9+1,1))</f>
        <v>282.32472952059817</v>
      </c>
      <c r="T119" s="59">
        <f t="shared" si="88"/>
        <v>172.32171001882176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</v>
      </c>
      <c r="AA119" s="21">
        <f>EXP(-LN(2)/25)*AA118+(1-EXP(-LN(2)/25))/(LN(2)/25)*Calculateur!V119*Calculateur!X119*VLOOKUP('Données projet'!$B$9,Paramètres!$A$1:$I$89,3,0)*0.475*44/12</f>
        <v>0.28618681490695369</v>
      </c>
      <c r="AB119" s="21">
        <f>EXP(-LN(2)/2)*AB118+(1-EXP(-LN(2)/2))/(LN(2)/2)*V119*Y119*VLOOKUP('Données projet'!$B$9,Paramètres!$A$1:$I$89,3,0)*0.475*44/12</f>
        <v>7.0364738512903697E-13</v>
      </c>
      <c r="AC119" s="22">
        <f t="shared" si="57"/>
        <v>0.28618681490765735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3.7</v>
      </c>
      <c r="AI119" s="13">
        <f>IF('Données projet'!$A$62&gt;35,AI118+AH119-AQ118,IF(A119&lt;'Données projet'!$A$62,$AF$205^A119,IF(A119='Données projet'!$A$62,'Données projet'!$B$62,AI118+AH119-AQ118)))</f>
        <v>288.19999999999993</v>
      </c>
      <c r="AJ119" s="13">
        <f>AI119*VLOOKUP('Données projet'!$B$10,Paramètres!$A$1:$I$89,3,0)*VLOOKUP('Données projet'!$B$10,Paramètres!$A$1:$I$89,5,0)</f>
        <v>292.23479999999995</v>
      </c>
      <c r="AK119" s="13">
        <f t="shared" si="89"/>
        <v>69.546103016553758</v>
      </c>
      <c r="AL119" s="20">
        <f t="shared" si="58"/>
        <v>630.10173942049767</v>
      </c>
      <c r="AM119" s="59">
        <f t="shared" si="59"/>
        <v>923.43507275383104</v>
      </c>
      <c r="AN119" s="59">
        <f ca="1">AVERAGE(OFFSET($AM$3,0,0,'Données projet'!$E$10+1,1))-AVERAGE(OFFSET($H$3,0,0,'Données projet'!$E$10+1,1))</f>
        <v>324.30660429578262</v>
      </c>
      <c r="AO119" s="59">
        <f t="shared" si="90"/>
        <v>197.04549436738586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</v>
      </c>
      <c r="AV119" s="21">
        <f>EXP(-LN(2)/25)*AV118+(1-EXP(-LN(2)/25))/(LN(2)/25)*Calculateur!AQ119*Calculateur!AS119*VLOOKUP('Données projet'!$B$10,Paramètres!$A$1:$I$89,3,0)*0.475*44/12</f>
        <v>0.32072660291296506</v>
      </c>
      <c r="AW119" s="21">
        <f>EXP(-LN(2)/2)*AW118+(1-EXP(-LN(2)/2))/(LN(2)/2)*AQ119*AT119*VLOOKUP('Données projet'!$B$10,Paramètres!$A$1:$I$89,3,0)*0.475*44/12</f>
        <v>7.8857034540323096E-13</v>
      </c>
      <c r="AX119" s="21">
        <f t="shared" si="60"/>
        <v>0.32072660291375366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-1.1368683772161603E-13</v>
      </c>
      <c r="BE119" s="13">
        <f>BD119*VLOOKUP('Données projet'!$B$11,Paramètres!$A$1:$I$89,3,0)*VLOOKUP('Données projet'!$B$11,Paramètres!$A$1:$I$89,5,0)</f>
        <v>-5.3205440053716299E-14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252.98248842635206</v>
      </c>
      <c r="BJ119" s="59">
        <f t="shared" si="92"/>
        <v>207.11938580878308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0.57082880018473814</v>
      </c>
      <c r="BQ119" s="21">
        <f>EXP(-LN(2)/25)*BQ118+(1-EXP(-LN(2)/25))/(LN(2)/25)*Calculateur!BL119*Calculateur!BN119*VLOOKUP('Données projet'!$B$11,Paramètres!$A$1:$I$89,3,0)*0.475*44/12</f>
        <v>0.72381683028873378</v>
      </c>
      <c r="BR119" s="21">
        <f>EXP(-LN(2)/2)*BR118+(1-EXP(-LN(2)/2))/(LN(2)/2)*BL119*BO119*VLOOKUP('Données projet'!$B$11,Paramètres!$A$1:$I$89,3,0)*0.475*44/12</f>
        <v>1.1177890519657003E-12</v>
      </c>
      <c r="BS119" s="22">
        <f t="shared" si="63"/>
        <v>1.2946456304745897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-5.6843418860808015E-13</v>
      </c>
      <c r="BZ119" s="13">
        <f>BY119*VLOOKUP('Données projet'!$B$12,Paramètres!$A$1:$I$89,3,0)*VLOOKUP('Données projet'!$B$12,Paramètres!$A$1:$I$89,5,0)</f>
        <v>-3.39923644787632E-13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392.08740055894992</v>
      </c>
      <c r="CE119" s="59">
        <f t="shared" si="94"/>
        <v>395.10797100415783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0.72809219116453039</v>
      </c>
      <c r="CL119" s="21">
        <f>EXP(-LN(2)/25)*CL118+(1-EXP(-LN(2)/25))/(LN(2)/25)*Calculateur!CG119*Calculateur!CI119*VLOOKUP('Données projet'!$B$12,Paramètres!$A$1:$I$89,3,0)*0.475*44/12</f>
        <v>2.3961567304176623</v>
      </c>
      <c r="CM119" s="21">
        <f>EXP(-LN(2)/2)*CM118+(1-EXP(-LN(2)/2))/(LN(2)/2)*CG119*CJ119*VLOOKUP('Données projet'!$B$12,Paramètres!$A$1:$I$89,3,0)*0.475*44/12</f>
        <v>3.9516786948082021E-12</v>
      </c>
      <c r="CN119" s="22">
        <f t="shared" si="66"/>
        <v>3.124248921586144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3.7</v>
      </c>
      <c r="N120" s="13">
        <f>IF('Données projet'!$A$36&gt;35,N119+M120-V119,IF(A120&lt;'Données projet'!$A$36,$K$205^A120,IF(A120='Données projet'!$A$36,'Données projet'!$B$36,N119+M120-V119)))</f>
        <v>291.89999999999992</v>
      </c>
      <c r="O120" s="13">
        <f>N120*VLOOKUP('Données projet'!$B$9,Paramètres!$A$1:$I$89,3,0)*VLOOKUP('Données projet'!$B$9,Paramètres!$A$1:$I$89,5,0)</f>
        <v>264.11111999999991</v>
      </c>
      <c r="P120" s="13">
        <f t="shared" si="87"/>
        <v>63.59790086687066</v>
      </c>
      <c r="Q120" s="20">
        <f t="shared" si="107"/>
        <v>570.75987800979954</v>
      </c>
      <c r="R120" s="59">
        <f t="shared" si="55"/>
        <v>864.09321134313291</v>
      </c>
      <c r="S120" s="59">
        <f ca="1">AVERAGE(OFFSET($R$3,0,0,'Données projet'!$E$9+1,1))-AVERAGE(OFFSET($H$3,0,0,'Données projet'!$E$9+1,1))</f>
        <v>282.32472952059817</v>
      </c>
      <c r="T120" s="59">
        <f t="shared" si="88"/>
        <v>172.32171001882176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</v>
      </c>
      <c r="AA120" s="21">
        <f>EXP(-LN(2)/25)*AA119+(1-EXP(-LN(2)/25))/(LN(2)/25)*Calculateur!V120*Calculateur!X120*VLOOKUP('Données projet'!$B$9,Paramètres!$A$1:$I$89,3,0)*0.475*44/12</f>
        <v>0.27836102140341251</v>
      </c>
      <c r="AB120" s="21">
        <f>EXP(-LN(2)/2)*AB119+(1-EXP(-LN(2)/2))/(LN(2)/2)*V120*Y120*VLOOKUP('Données projet'!$B$9,Paramètres!$A$1:$I$89,3,0)*0.475*44/12</f>
        <v>4.9755383758892427E-13</v>
      </c>
      <c r="AC120" s="22">
        <f t="shared" si="57"/>
        <v>0.27836102140391006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3.7</v>
      </c>
      <c r="AI120" s="13">
        <f>IF('Données projet'!$A$62&gt;35,AI119+AH120-AQ119,IF(A120&lt;'Données projet'!$A$62,$AF$205^A120,IF(A120='Données projet'!$A$62,'Données projet'!$B$62,AI119+AH120-AQ119)))</f>
        <v>291.89999999999992</v>
      </c>
      <c r="AJ120" s="13">
        <f>AI120*VLOOKUP('Données projet'!$B$10,Paramètres!$A$1:$I$89,3,0)*VLOOKUP('Données projet'!$B$10,Paramètres!$A$1:$I$89,5,0)</f>
        <v>295.98659999999995</v>
      </c>
      <c r="AK120" s="13">
        <f t="shared" si="89"/>
        <v>70.334442310004732</v>
      </c>
      <c r="AL120" s="20">
        <f t="shared" si="58"/>
        <v>638.00914868992481</v>
      </c>
      <c r="AM120" s="59">
        <f t="shared" si="59"/>
        <v>931.34248202325807</v>
      </c>
      <c r="AN120" s="59">
        <f ca="1">AVERAGE(OFFSET($AM$3,0,0,'Données projet'!$E$10+1,1))-AVERAGE(OFFSET($H$3,0,0,'Données projet'!$E$10+1,1))</f>
        <v>324.30660429578262</v>
      </c>
      <c r="AO120" s="59">
        <f t="shared" si="90"/>
        <v>197.04549436738586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</v>
      </c>
      <c r="AV120" s="21">
        <f>EXP(-LN(2)/25)*AV119+(1-EXP(-LN(2)/25))/(LN(2)/25)*Calculateur!AQ120*Calculateur!AS120*VLOOKUP('Données projet'!$B$10,Paramètres!$A$1:$I$89,3,0)*0.475*44/12</f>
        <v>0.31195631709003102</v>
      </c>
      <c r="AW120" s="21">
        <f>EXP(-LN(2)/2)*AW119+(1-EXP(-LN(2)/2))/(LN(2)/2)*AQ120*AT120*VLOOKUP('Données projet'!$B$10,Paramètres!$A$1:$I$89,3,0)*0.475*44/12</f>
        <v>5.5760343867724263E-13</v>
      </c>
      <c r="AX120" s="21">
        <f t="shared" si="60"/>
        <v>0.31195631709058863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-1.1368683772161603E-13</v>
      </c>
      <c r="BE120" s="13">
        <f>BD120*VLOOKUP('Données projet'!$B$11,Paramètres!$A$1:$I$89,3,0)*VLOOKUP('Données projet'!$B$11,Paramètres!$A$1:$I$89,5,0)</f>
        <v>-5.3205440053716299E-14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252.98248842635206</v>
      </c>
      <c r="BJ120" s="59">
        <f t="shared" si="92"/>
        <v>207.11938580878308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0.55963519558430452</v>
      </c>
      <c r="BQ120" s="21">
        <f>EXP(-LN(2)/25)*BQ119+(1-EXP(-LN(2)/25))/(LN(2)/25)*Calculateur!BL120*Calculateur!BN120*VLOOKUP('Données projet'!$B$11,Paramètres!$A$1:$I$89,3,0)*0.475*44/12</f>
        <v>0.70402402100061556</v>
      </c>
      <c r="BR120" s="21">
        <f>EXP(-LN(2)/2)*BR119+(1-EXP(-LN(2)/2))/(LN(2)/2)*BL120*BO120*VLOOKUP('Données projet'!$B$11,Paramètres!$A$1:$I$89,3,0)*0.475*44/12</f>
        <v>7.9039621858102885E-13</v>
      </c>
      <c r="BS120" s="22">
        <f t="shared" si="63"/>
        <v>1.2636592165857106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-5.6843418860808015E-13</v>
      </c>
      <c r="BZ120" s="13">
        <f>BY120*VLOOKUP('Données projet'!$B$12,Paramètres!$A$1:$I$89,3,0)*VLOOKUP('Données projet'!$B$12,Paramètres!$A$1:$I$89,5,0)</f>
        <v>-3.39923644787632E-13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392.08740055894992</v>
      </c>
      <c r="CE120" s="59">
        <f t="shared" si="94"/>
        <v>395.10797100415783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0.71381474738818007</v>
      </c>
      <c r="CL120" s="21">
        <f>EXP(-LN(2)/25)*CL119+(1-EXP(-LN(2)/25))/(LN(2)/25)*Calculateur!CG120*Calculateur!CI120*VLOOKUP('Données projet'!$B$12,Paramètres!$A$1:$I$89,3,0)*0.475*44/12</f>
        <v>2.3306336986159852</v>
      </c>
      <c r="CM120" s="21">
        <f>EXP(-LN(2)/2)*CM119+(1-EXP(-LN(2)/2))/(LN(2)/2)*CG120*CJ120*VLOOKUP('Données projet'!$B$12,Paramètres!$A$1:$I$89,3,0)*0.475*44/12</f>
        <v>2.7942588021692852E-12</v>
      </c>
      <c r="CN120" s="22">
        <f t="shared" si="66"/>
        <v>3.0444484460069594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3.7</v>
      </c>
      <c r="N121" s="13">
        <f>IF('Données projet'!$A$36&gt;35,N120+M121-V120,IF(A121&lt;'Données projet'!$A$36,$K$205^A121,IF(A121='Données projet'!$A$36,'Données projet'!$B$36,N120+M121-V120)))</f>
        <v>295.59999999999991</v>
      </c>
      <c r="O121" s="13">
        <f>N121*VLOOKUP('Données projet'!$B$9,Paramètres!$A$1:$I$89,3,0)*VLOOKUP('Données projet'!$B$9,Paramètres!$A$1:$I$89,5,0)</f>
        <v>267.45887999999991</v>
      </c>
      <c r="P121" s="13">
        <f t="shared" si="87"/>
        <v>64.309683053152384</v>
      </c>
      <c r="Q121" s="20">
        <f t="shared" si="107"/>
        <v>577.83024731757359</v>
      </c>
      <c r="R121" s="59">
        <f t="shared" si="55"/>
        <v>871.16358065090685</v>
      </c>
      <c r="S121" s="59">
        <f ca="1">AVERAGE(OFFSET($R$3,0,0,'Données projet'!$E$9+1,1))-AVERAGE(OFFSET($H$3,0,0,'Données projet'!$E$9+1,1))</f>
        <v>282.32472952059817</v>
      </c>
      <c r="T121" s="59">
        <f t="shared" si="88"/>
        <v>172.32171001882176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</v>
      </c>
      <c r="AA121" s="21">
        <f>EXP(-LN(2)/25)*AA120+(1-EXP(-LN(2)/25))/(LN(2)/25)*Calculateur!V121*Calculateur!X121*VLOOKUP('Données projet'!$B$9,Paramètres!$A$1:$I$89,3,0)*0.475*44/12</f>
        <v>0.27074922463476631</v>
      </c>
      <c r="AB121" s="21">
        <f>EXP(-LN(2)/2)*AB120+(1-EXP(-LN(2)/2))/(LN(2)/2)*V121*Y121*VLOOKUP('Données projet'!$B$9,Paramètres!$A$1:$I$89,3,0)*0.475*44/12</f>
        <v>3.5182369256451848E-13</v>
      </c>
      <c r="AC121" s="22">
        <f t="shared" si="57"/>
        <v>0.27074922463511814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3.7</v>
      </c>
      <c r="AI121" s="13">
        <f>IF('Données projet'!$A$62&gt;35,AI120+AH121-AQ120,IF(A121&lt;'Données projet'!$A$62,$AF$205^A121,IF(A121='Données projet'!$A$62,'Données projet'!$B$62,AI120+AH121-AQ120)))</f>
        <v>295.59999999999991</v>
      </c>
      <c r="AJ121" s="13">
        <f>AI121*VLOOKUP('Données projet'!$B$10,Paramètres!$A$1:$I$89,3,0)*VLOOKUP('Données projet'!$B$10,Paramètres!$A$1:$I$89,5,0)</f>
        <v>299.73839999999996</v>
      </c>
      <c r="AK121" s="13">
        <f t="shared" si="89"/>
        <v>71.12161928339448</v>
      </c>
      <c r="AL121" s="20">
        <f t="shared" si="58"/>
        <v>645.91453358524529</v>
      </c>
      <c r="AM121" s="59">
        <f t="shared" si="59"/>
        <v>939.24786691857867</v>
      </c>
      <c r="AN121" s="59">
        <f ca="1">AVERAGE(OFFSET($AM$3,0,0,'Données projet'!$E$10+1,1))-AVERAGE(OFFSET($H$3,0,0,'Données projet'!$E$10+1,1))</f>
        <v>324.30660429578262</v>
      </c>
      <c r="AO121" s="59">
        <f t="shared" si="90"/>
        <v>197.04549436738586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</v>
      </c>
      <c r="AV121" s="21">
        <f>EXP(-LN(2)/25)*AV120+(1-EXP(-LN(2)/25))/(LN(2)/25)*Calculateur!AQ121*Calculateur!AS121*VLOOKUP('Données projet'!$B$10,Paramètres!$A$1:$I$89,3,0)*0.475*44/12</f>
        <v>0.3034258551941344</v>
      </c>
      <c r="AW121" s="21">
        <f>EXP(-LN(2)/2)*AW120+(1-EXP(-LN(2)/2))/(LN(2)/2)*AQ121*AT121*VLOOKUP('Données projet'!$B$10,Paramètres!$A$1:$I$89,3,0)*0.475*44/12</f>
        <v>3.9428517270161548E-13</v>
      </c>
      <c r="AX121" s="21">
        <f t="shared" si="60"/>
        <v>0.30342585519452869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-1.1368683772161603E-13</v>
      </c>
      <c r="BE121" s="13">
        <f>BD121*VLOOKUP('Données projet'!$B$11,Paramètres!$A$1:$I$89,3,0)*VLOOKUP('Données projet'!$B$11,Paramètres!$A$1:$I$89,5,0)</f>
        <v>-5.3205440053716299E-14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252.98248842635206</v>
      </c>
      <c r="BJ121" s="59">
        <f t="shared" si="92"/>
        <v>207.11938580878308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0.54866109074266067</v>
      </c>
      <c r="BQ121" s="21">
        <f>EXP(-LN(2)/25)*BQ120+(1-EXP(-LN(2)/25))/(LN(2)/25)*Calculateur!BL121*Calculateur!BN121*VLOOKUP('Données projet'!$B$11,Paramètres!$A$1:$I$89,3,0)*0.475*44/12</f>
        <v>0.68477244712333951</v>
      </c>
      <c r="BR121" s="21">
        <f>EXP(-LN(2)/2)*BR120+(1-EXP(-LN(2)/2))/(LN(2)/2)*BL121*BO121*VLOOKUP('Données projet'!$B$11,Paramètres!$A$1:$I$89,3,0)*0.475*44/12</f>
        <v>5.5889452598285015E-13</v>
      </c>
      <c r="BS121" s="22">
        <f t="shared" si="63"/>
        <v>1.2334335378665591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-5.6843418860808015E-13</v>
      </c>
      <c r="BZ121" s="13">
        <f>BY121*VLOOKUP('Données projet'!$B$12,Paramètres!$A$1:$I$89,3,0)*VLOOKUP('Données projet'!$B$12,Paramètres!$A$1:$I$89,5,0)</f>
        <v>-3.39923644787632E-13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392.08740055894992</v>
      </c>
      <c r="CE121" s="59">
        <f t="shared" si="94"/>
        <v>395.10797100415783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0.69981727557590312</v>
      </c>
      <c r="CL121" s="21">
        <f>EXP(-LN(2)/25)*CL120+(1-EXP(-LN(2)/25))/(LN(2)/25)*Calculateur!CG121*Calculateur!CI121*VLOOKUP('Données projet'!$B$12,Paramètres!$A$1:$I$89,3,0)*0.475*44/12</f>
        <v>2.2669023975646319</v>
      </c>
      <c r="CM121" s="21">
        <f>EXP(-LN(2)/2)*CM120+(1-EXP(-LN(2)/2))/(LN(2)/2)*CG121*CJ121*VLOOKUP('Données projet'!$B$12,Paramètres!$A$1:$I$89,3,0)*0.475*44/12</f>
        <v>1.9758393474041011E-12</v>
      </c>
      <c r="CN121" s="22">
        <f t="shared" si="66"/>
        <v>2.9667196731425105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3.7</v>
      </c>
      <c r="N122" s="13">
        <f>IF('Données projet'!$A$36&gt;35,N121+M122-V121,IF(A122&lt;'Données projet'!$A$36,$K$205^A122,IF(A122='Données projet'!$A$36,'Données projet'!$B$36,N121+M122-V121)))</f>
        <v>299.2999999999999</v>
      </c>
      <c r="O122" s="13">
        <f>N122*VLOOKUP('Données projet'!$B$9,Paramètres!$A$1:$I$89,3,0)*VLOOKUP('Données projet'!$B$9,Paramètres!$A$1:$I$89,5,0)</f>
        <v>270.8066399999999</v>
      </c>
      <c r="P122" s="13">
        <f t="shared" si="87"/>
        <v>65.020428921429911</v>
      </c>
      <c r="Q122" s="20">
        <f t="shared" si="107"/>
        <v>584.89881170482352</v>
      </c>
      <c r="R122" s="59">
        <f t="shared" si="55"/>
        <v>878.23214503815689</v>
      </c>
      <c r="S122" s="59">
        <f ca="1">AVERAGE(OFFSET($R$3,0,0,'Données projet'!$E$9+1,1))-AVERAGE(OFFSET($H$3,0,0,'Données projet'!$E$9+1,1))</f>
        <v>282.32472952059817</v>
      </c>
      <c r="T122" s="59">
        <f t="shared" si="88"/>
        <v>172.32171001882176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</v>
      </c>
      <c r="AA122" s="21">
        <f>EXP(-LN(2)/25)*AA121+(1-EXP(-LN(2)/25))/(LN(2)/25)*Calculateur!V122*Calculateur!X122*VLOOKUP('Données projet'!$B$9,Paramètres!$A$1:$I$89,3,0)*0.475*44/12</f>
        <v>0.26334557284904569</v>
      </c>
      <c r="AB122" s="21">
        <f>EXP(-LN(2)/2)*AB121+(1-EXP(-LN(2)/2))/(LN(2)/2)*V122*Y122*VLOOKUP('Données projet'!$B$9,Paramètres!$A$1:$I$89,3,0)*0.475*44/12</f>
        <v>2.4877691879446213E-13</v>
      </c>
      <c r="AC122" s="22">
        <f t="shared" si="57"/>
        <v>0.2633455728492945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3.7</v>
      </c>
      <c r="AI122" s="13">
        <f>IF('Données projet'!$A$62&gt;35,AI121+AH122-AQ121,IF(A122&lt;'Données projet'!$A$62,$AF$205^A122,IF(A122='Données projet'!$A$62,'Données projet'!$B$62,AI121+AH122-AQ121)))</f>
        <v>299.2999999999999</v>
      </c>
      <c r="AJ122" s="13">
        <f>AI122*VLOOKUP('Données projet'!$B$10,Paramètres!$A$1:$I$89,3,0)*VLOOKUP('Données projet'!$B$10,Paramètres!$A$1:$I$89,5,0)</f>
        <v>303.4901999999999</v>
      </c>
      <c r="AK122" s="13">
        <f t="shared" si="89"/>
        <v>71.907650167874195</v>
      </c>
      <c r="AL122" s="20">
        <f t="shared" si="58"/>
        <v>653.81792237571403</v>
      </c>
      <c r="AM122" s="59">
        <f t="shared" si="59"/>
        <v>947.15125570904729</v>
      </c>
      <c r="AN122" s="59">
        <f ca="1">AVERAGE(OFFSET($AM$3,0,0,'Données projet'!$E$10+1,1))-AVERAGE(OFFSET($H$3,0,0,'Données projet'!$E$10+1,1))</f>
        <v>324.30660429578262</v>
      </c>
      <c r="AO122" s="59">
        <f t="shared" si="90"/>
        <v>197.04549436738586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</v>
      </c>
      <c r="AV122" s="21">
        <f>EXP(-LN(2)/25)*AV121+(1-EXP(-LN(2)/25))/(LN(2)/25)*Calculateur!AQ122*Calculateur!AS122*VLOOKUP('Données projet'!$B$10,Paramètres!$A$1:$I$89,3,0)*0.475*44/12</f>
        <v>0.29512865922737858</v>
      </c>
      <c r="AW122" s="21">
        <f>EXP(-LN(2)/2)*AW121+(1-EXP(-LN(2)/2))/(LN(2)/2)*AQ122*AT122*VLOOKUP('Données projet'!$B$10,Paramètres!$A$1:$I$89,3,0)*0.475*44/12</f>
        <v>2.7880171933862132E-13</v>
      </c>
      <c r="AX122" s="21">
        <f t="shared" si="60"/>
        <v>0.29512865922765735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-1.1368683772161603E-13</v>
      </c>
      <c r="BE122" s="13">
        <f>BD122*VLOOKUP('Données projet'!$B$11,Paramètres!$A$1:$I$89,3,0)*VLOOKUP('Données projet'!$B$11,Paramètres!$A$1:$I$89,5,0)</f>
        <v>-5.3205440053716299E-14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252.98248842635206</v>
      </c>
      <c r="BJ122" s="59">
        <f t="shared" si="92"/>
        <v>207.11938580878308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0.5379021814034185</v>
      </c>
      <c r="BQ122" s="21">
        <f>EXP(-LN(2)/25)*BQ121+(1-EXP(-LN(2)/25))/(LN(2)/25)*Calculateur!BL122*Calculateur!BN122*VLOOKUP('Données projet'!$B$11,Paramètres!$A$1:$I$89,3,0)*0.475*44/12</f>
        <v>0.66604730854613392</v>
      </c>
      <c r="BR122" s="21">
        <f>EXP(-LN(2)/2)*BR121+(1-EXP(-LN(2)/2))/(LN(2)/2)*BL122*BO122*VLOOKUP('Données projet'!$B$11,Paramètres!$A$1:$I$89,3,0)*0.475*44/12</f>
        <v>3.9519810929051443E-13</v>
      </c>
      <c r="BS122" s="22">
        <f t="shared" si="63"/>
        <v>1.2039494899499477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-5.6843418860808015E-13</v>
      </c>
      <c r="BZ122" s="13">
        <f>BY122*VLOOKUP('Données projet'!$B$12,Paramètres!$A$1:$I$89,3,0)*VLOOKUP('Données projet'!$B$12,Paramètres!$A$1:$I$89,5,0)</f>
        <v>-3.39923644787632E-13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392.08740055894992</v>
      </c>
      <c r="CE122" s="59">
        <f t="shared" si="94"/>
        <v>395.10797100415783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0.68609428564825015</v>
      </c>
      <c r="CL122" s="21">
        <f>EXP(-LN(2)/25)*CL121+(1-EXP(-LN(2)/25))/(LN(2)/25)*Calculateur!CG122*Calculateur!CI122*VLOOKUP('Données projet'!$B$12,Paramètres!$A$1:$I$89,3,0)*0.475*44/12</f>
        <v>2.2049138322920108</v>
      </c>
      <c r="CM122" s="21">
        <f>EXP(-LN(2)/2)*CM121+(1-EXP(-LN(2)/2))/(LN(2)/2)*CG122*CJ122*VLOOKUP('Données projet'!$B$12,Paramètres!$A$1:$I$89,3,0)*0.475*44/12</f>
        <v>1.3971294010846426E-12</v>
      </c>
      <c r="CN122" s="22">
        <f t="shared" si="66"/>
        <v>2.891008117941658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>
        <f>VLOOKUP(A123,'Données projet'!$A$35:$I$55,2,0)</f>
        <v>303</v>
      </c>
      <c r="L123" s="12">
        <f>VLOOKUP(A123,'Données projet'!$A$35:$I$55,9,0)</f>
        <v>3.7</v>
      </c>
      <c r="M123" s="12">
        <f t="array" ref="M123">INDEX(L:L,MIN(IF(ISNUMBER(L123:L319),ROW(L123:L319),"")))</f>
        <v>3.7</v>
      </c>
      <c r="N123" s="13">
        <f>IF('Données projet'!$A$36&gt;35,N122+M123-V122,IF(A123&lt;'Données projet'!$A$36,$K$205^A123,IF(A123='Données projet'!$A$36,'Données projet'!$B$36,N122+M123-V122)))</f>
        <v>302.99999999999989</v>
      </c>
      <c r="O123" s="13">
        <f>N123*VLOOKUP('Données projet'!$B$9,Paramètres!$A$1:$I$89,3,0)*VLOOKUP('Données projet'!$B$9,Paramètres!$A$1:$I$89,5,0)</f>
        <v>274.1543999999999</v>
      </c>
      <c r="P123" s="13">
        <f t="shared" si="87"/>
        <v>65.730152764515779</v>
      </c>
      <c r="Q123" s="20">
        <f t="shared" si="107"/>
        <v>591.96559606486471</v>
      </c>
      <c r="R123" s="59">
        <f t="shared" si="55"/>
        <v>885.29892939819797</v>
      </c>
      <c r="S123" s="59">
        <f ca="1">AVERAGE(OFFSET($R$3,0,0,'Données projet'!$E$9+1,1))-AVERAGE(OFFSET($H$3,0,0,'Données projet'!$E$9+1,1))</f>
        <v>282.32472952059817</v>
      </c>
      <c r="T123" s="59">
        <f t="shared" si="88"/>
        <v>172.32171001882176</v>
      </c>
      <c r="U123" s="15">
        <f>IF(ISNA(VLOOKUP(A123,'Données projet'!$A$35:$I$55,3,0)),0,VLOOKUP(A123,'Données projet'!$A$35:$I$55,3,0))</f>
        <v>10</v>
      </c>
      <c r="V123" s="15">
        <f>IF(ISNA(VLOOKUP(A123,'Données projet'!$A$35:$I$55,4,0)),0,VLOOKUP(A123,'Données projet'!$A$35:$I$55,4,0))</f>
        <v>303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</v>
      </c>
      <c r="AA123" s="21">
        <f>EXP(-LN(2)/25)*AA122+(1-EXP(-LN(2)/25))/(LN(2)/25)*Calculateur!V123*Calculateur!X123*VLOOKUP('Données projet'!$B$9,Paramètres!$A$1:$I$89,3,0)*0.475*44/12</f>
        <v>0.25614437431074677</v>
      </c>
      <c r="AB123" s="21">
        <f>EXP(-LN(2)/2)*AB122+(1-EXP(-LN(2)/2))/(LN(2)/2)*V123*Y123*VLOOKUP('Données projet'!$B$9,Paramètres!$A$1:$I$89,3,0)*0.475*44/12</f>
        <v>1.7591184628225924E-13</v>
      </c>
      <c r="AC123" s="22">
        <f t="shared" si="57"/>
        <v>0.25614437431092268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>
        <f>VLOOKUP(A123,'Données projet'!$A$61:$I$81,2,0)</f>
        <v>303</v>
      </c>
      <c r="AG123" s="12">
        <f>VLOOKUP(A123,'Données projet'!$A$61:$I$81,9,0)</f>
        <v>3.7</v>
      </c>
      <c r="AH123" s="12">
        <f t="array" ref="AH123">INDEX(AG:AG,MIN(IF(ISNUMBER(AG123:AG319),ROW(AG123:AG319),"")))</f>
        <v>3.7</v>
      </c>
      <c r="AI123" s="13">
        <f>IF('Données projet'!$A$62&gt;35,AI122+AH123-AQ122,IF(A123&lt;'Données projet'!$A$62,$AF$205^A123,IF(A123='Données projet'!$A$62,'Données projet'!$B$62,AI122+AH123-AQ122)))</f>
        <v>302.99999999999989</v>
      </c>
      <c r="AJ123" s="13">
        <f>AI123*VLOOKUP('Données projet'!$B$10,Paramètres!$A$1:$I$89,3,0)*VLOOKUP('Données projet'!$B$10,Paramètres!$A$1:$I$89,5,0)</f>
        <v>307.2419999999999</v>
      </c>
      <c r="AK123" s="13">
        <f t="shared" si="89"/>
        <v>72.692550770207774</v>
      </c>
      <c r="AL123" s="20">
        <f t="shared" si="58"/>
        <v>661.71934259144507</v>
      </c>
      <c r="AM123" s="59">
        <f t="shared" si="59"/>
        <v>955.05267592477844</v>
      </c>
      <c r="AN123" s="59">
        <f ca="1">AVERAGE(OFFSET($AM$3,0,0,'Données projet'!$E$10+1,1))-AVERAGE(OFFSET($H$3,0,0,'Données projet'!$E$10+1,1))</f>
        <v>324.30660429578262</v>
      </c>
      <c r="AO123" s="59">
        <f t="shared" si="90"/>
        <v>197.04549436738586</v>
      </c>
      <c r="AP123" s="15">
        <f>IF(ISNA(VLOOKUP(A123,'Données projet'!$A$61:$I$81,3,0)),0,VLOOKUP(A123,'Données projet'!$A$61:$I$81,3,0))</f>
        <v>10</v>
      </c>
      <c r="AQ123" s="15">
        <f>IF(ISNA(VLOOKUP(A123,'Données projet'!$A$61:$I$81,4,0)),0,VLOOKUP(A123,'Données projet'!$A$61:$I$81,4,0))</f>
        <v>303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</v>
      </c>
      <c r="AV123" s="21">
        <f>EXP(-LN(2)/25)*AV122+(1-EXP(-LN(2)/25))/(LN(2)/25)*Calculateur!AQ123*Calculateur!AS123*VLOOKUP('Données projet'!$B$10,Paramètres!$A$1:$I$89,3,0)*0.475*44/12</f>
        <v>0.28705835052066425</v>
      </c>
      <c r="AW123" s="21">
        <f>EXP(-LN(2)/2)*AW122+(1-EXP(-LN(2)/2))/(LN(2)/2)*AQ123*AT123*VLOOKUP('Données projet'!$B$10,Paramètres!$A$1:$I$89,3,0)*0.475*44/12</f>
        <v>1.9714258635080774E-13</v>
      </c>
      <c r="AX123" s="21">
        <f t="shared" si="60"/>
        <v>0.28705835052086137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-1.1368683772161603E-13</v>
      </c>
      <c r="BE123" s="13">
        <f>BD123*VLOOKUP('Données projet'!$B$11,Paramètres!$A$1:$I$89,3,0)*VLOOKUP('Données projet'!$B$11,Paramètres!$A$1:$I$89,5,0)</f>
        <v>-5.3205440053716299E-14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252.98248842635206</v>
      </c>
      <c r="BJ123" s="59">
        <f t="shared" si="92"/>
        <v>207.11938580878308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0.52735424771403216</v>
      </c>
      <c r="BQ123" s="21">
        <f>EXP(-LN(2)/25)*BQ122+(1-EXP(-LN(2)/25))/(LN(2)/25)*Calculateur!BL123*Calculateur!BN123*VLOOKUP('Données projet'!$B$11,Paramètres!$A$1:$I$89,3,0)*0.475*44/12</f>
        <v>0.64783420986803419</v>
      </c>
      <c r="BR123" s="21">
        <f>EXP(-LN(2)/2)*BR122+(1-EXP(-LN(2)/2))/(LN(2)/2)*BL123*BO123*VLOOKUP('Données projet'!$B$11,Paramètres!$A$1:$I$89,3,0)*0.475*44/12</f>
        <v>2.7944726299142507E-13</v>
      </c>
      <c r="BS123" s="22">
        <f t="shared" si="63"/>
        <v>1.1751884575823459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-5.6843418860808015E-13</v>
      </c>
      <c r="BZ123" s="13">
        <f>BY123*VLOOKUP('Données projet'!$B$12,Paramètres!$A$1:$I$89,3,0)*VLOOKUP('Données projet'!$B$12,Paramètres!$A$1:$I$89,5,0)</f>
        <v>-3.39923644787632E-13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392.08740055894992</v>
      </c>
      <c r="CE123" s="59">
        <f t="shared" si="94"/>
        <v>395.10797100415783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0.6726403951828811</v>
      </c>
      <c r="CL123" s="21">
        <f>EXP(-LN(2)/25)*CL122+(1-EXP(-LN(2)/25))/(LN(2)/25)*Calculateur!CG123*Calculateur!CI123*VLOOKUP('Données projet'!$B$12,Paramètres!$A$1:$I$89,3,0)*0.475*44/12</f>
        <v>2.1446203475966068</v>
      </c>
      <c r="CM123" s="21">
        <f>EXP(-LN(2)/2)*CM122+(1-EXP(-LN(2)/2))/(LN(2)/2)*CG123*CJ123*VLOOKUP('Données projet'!$B$12,Paramètres!$A$1:$I$89,3,0)*0.475*44/12</f>
        <v>9.8791967370205053E-13</v>
      </c>
      <c r="CN123" s="22">
        <f t="shared" si="66"/>
        <v>2.8172607427804759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-1.1368683772161603E-13</v>
      </c>
      <c r="O124" s="13">
        <f>N124*VLOOKUP('Données projet'!$B$9,Paramètres!$A$1:$I$89,3,0)*VLOOKUP('Données projet'!$B$9,Paramètres!$A$1:$I$89,5,0)</f>
        <v>-1.0286385077051818E-13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282.32472952059817</v>
      </c>
      <c r="T124" s="59">
        <f t="shared" si="88"/>
        <v>172.32171001882176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</v>
      </c>
      <c r="AA124" s="21">
        <f>EXP(-LN(2)/25)*AA123+(1-EXP(-LN(2)/25))/(LN(2)/25)*Calculateur!V124*Calculateur!X124*VLOOKUP('Données projet'!$B$9,Paramètres!$A$1:$I$89,3,0)*0.475*44/12</f>
        <v>0.24914009292517217</v>
      </c>
      <c r="AB124" s="21">
        <f>EXP(-LN(2)/2)*AB123+(1-EXP(-LN(2)/2))/(LN(2)/2)*V124*Y124*VLOOKUP('Données projet'!$B$9,Paramètres!$A$1:$I$89,3,0)*0.475*44/12</f>
        <v>1.2438845939723107E-13</v>
      </c>
      <c r="AC124" s="22">
        <f t="shared" si="57"/>
        <v>0.24914009292529657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-1.1368683772161603E-13</v>
      </c>
      <c r="AJ124" s="13">
        <f>AI124*VLOOKUP('Données projet'!$B$10,Paramètres!$A$1:$I$89,3,0)*VLOOKUP('Données projet'!$B$10,Paramètres!$A$1:$I$89,5,0)</f>
        <v>-1.1527845344971866E-13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324.30660429578262</v>
      </c>
      <c r="AO124" s="59">
        <f t="shared" si="90"/>
        <v>197.04549436738586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</v>
      </c>
      <c r="AV124" s="21">
        <f>EXP(-LN(2)/25)*AV123+(1-EXP(-LN(2)/25))/(LN(2)/25)*Calculateur!AQ124*Calculateur!AS124*VLOOKUP('Données projet'!$B$10,Paramètres!$A$1:$I$89,3,0)*0.475*44/12</f>
        <v>0.27920872482993414</v>
      </c>
      <c r="AW124" s="21">
        <f>EXP(-LN(2)/2)*AW123+(1-EXP(-LN(2)/2))/(LN(2)/2)*AQ124*AT124*VLOOKUP('Données projet'!$B$10,Paramètres!$A$1:$I$89,3,0)*0.475*44/12</f>
        <v>1.3940085966931066E-13</v>
      </c>
      <c r="AX124" s="21">
        <f t="shared" si="60"/>
        <v>0.27920872483007353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-1.1368683772161603E-13</v>
      </c>
      <c r="BE124" s="13">
        <f>BD124*VLOOKUP('Données projet'!$B$11,Paramètres!$A$1:$I$89,3,0)*VLOOKUP('Données projet'!$B$11,Paramètres!$A$1:$I$89,5,0)</f>
        <v>-5.3205440053716299E-14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252.98248842635206</v>
      </c>
      <c r="BJ124" s="59">
        <f t="shared" si="92"/>
        <v>207.11938580878308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0.51701315257069036</v>
      </c>
      <c r="BQ124" s="21">
        <f>EXP(-LN(2)/25)*BQ123+(1-EXP(-LN(2)/25))/(LN(2)/25)*Calculateur!BL124*Calculateur!BN124*VLOOKUP('Données projet'!$B$11,Paramètres!$A$1:$I$89,3,0)*0.475*44/12</f>
        <v>0.63011914933107238</v>
      </c>
      <c r="BR124" s="21">
        <f>EXP(-LN(2)/2)*BR123+(1-EXP(-LN(2)/2))/(LN(2)/2)*BL124*BO124*VLOOKUP('Données projet'!$B$11,Paramètres!$A$1:$I$89,3,0)*0.475*44/12</f>
        <v>1.9759905464525721E-13</v>
      </c>
      <c r="BS124" s="22">
        <f t="shared" si="63"/>
        <v>1.1471323019019604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-5.6843418860808015E-13</v>
      </c>
      <c r="BZ124" s="13">
        <f>BY124*VLOOKUP('Données projet'!$B$12,Paramètres!$A$1:$I$89,3,0)*VLOOKUP('Données projet'!$B$12,Paramètres!$A$1:$I$89,5,0)</f>
        <v>-3.39923644787632E-13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392.08740055894992</v>
      </c>
      <c r="CE124" s="59">
        <f t="shared" si="94"/>
        <v>395.10797100415783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0.65945032730347508</v>
      </c>
      <c r="CL124" s="21">
        <f>EXP(-LN(2)/25)*CL123+(1-EXP(-LN(2)/25))/(LN(2)/25)*Calculateur!CG124*Calculateur!CI124*VLOOKUP('Données projet'!$B$12,Paramètres!$A$1:$I$89,3,0)*0.475*44/12</f>
        <v>2.0859755914108953</v>
      </c>
      <c r="CM124" s="21">
        <f>EXP(-LN(2)/2)*CM123+(1-EXP(-LN(2)/2))/(LN(2)/2)*CG124*CJ124*VLOOKUP('Données projet'!$B$12,Paramètres!$A$1:$I$89,3,0)*0.475*44/12</f>
        <v>6.9856470054232129E-13</v>
      </c>
      <c r="CN124" s="22">
        <f t="shared" si="66"/>
        <v>2.7454259187150689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-1.1368683772161603E-13</v>
      </c>
      <c r="O125" s="13">
        <f>N125*VLOOKUP('Données projet'!$B$9,Paramètres!$A$1:$I$89,3,0)*VLOOKUP('Données projet'!$B$9,Paramètres!$A$1:$I$89,5,0)</f>
        <v>-1.0286385077051818E-13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282.32472952059817</v>
      </c>
      <c r="T125" s="59">
        <f t="shared" si="88"/>
        <v>172.32171001882176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</v>
      </c>
      <c r="AA125" s="21">
        <f>EXP(-LN(2)/25)*AA124+(1-EXP(-LN(2)/25))/(LN(2)/25)*Calculateur!V125*Calculateur!X125*VLOOKUP('Données projet'!$B$9,Paramètres!$A$1:$I$89,3,0)*0.475*44/12</f>
        <v>0.24232734398242525</v>
      </c>
      <c r="AB125" s="21">
        <f>EXP(-LN(2)/2)*AB124+(1-EXP(-LN(2)/2))/(LN(2)/2)*V125*Y125*VLOOKUP('Données projet'!$B$9,Paramètres!$A$1:$I$89,3,0)*0.475*44/12</f>
        <v>8.7955923141129621E-14</v>
      </c>
      <c r="AC125" s="22">
        <f t="shared" si="57"/>
        <v>0.24232734398251321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-1.1368683772161603E-13</v>
      </c>
      <c r="AJ125" s="13">
        <f>AI125*VLOOKUP('Données projet'!$B$10,Paramètres!$A$1:$I$89,3,0)*VLOOKUP('Données projet'!$B$10,Paramètres!$A$1:$I$89,5,0)</f>
        <v>-1.1527845344971866E-13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324.30660429578262</v>
      </c>
      <c r="AO125" s="59">
        <f t="shared" si="90"/>
        <v>197.04549436738586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</v>
      </c>
      <c r="AV125" s="21">
        <f>EXP(-LN(2)/25)*AV124+(1-EXP(-LN(2)/25))/(LN(2)/25)*Calculateur!AQ125*Calculateur!AS125*VLOOKUP('Données projet'!$B$10,Paramètres!$A$1:$I$89,3,0)*0.475*44/12</f>
        <v>0.27157374756651087</v>
      </c>
      <c r="AW125" s="21">
        <f>EXP(-LN(2)/2)*AW124+(1-EXP(-LN(2)/2))/(LN(2)/2)*AQ125*AT125*VLOOKUP('Données projet'!$B$10,Paramètres!$A$1:$I$89,3,0)*0.475*44/12</f>
        <v>9.857129317540387E-14</v>
      </c>
      <c r="AX125" s="21">
        <f t="shared" si="60"/>
        <v>0.27157374756660946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-1.1368683772161603E-13</v>
      </c>
      <c r="BE125" s="13">
        <f>BD125*VLOOKUP('Données projet'!$B$11,Paramètres!$A$1:$I$89,3,0)*VLOOKUP('Données projet'!$B$11,Paramètres!$A$1:$I$89,5,0)</f>
        <v>-5.3205440053716299E-14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252.98248842635206</v>
      </c>
      <c r="BJ125" s="59">
        <f t="shared" si="92"/>
        <v>207.11938580878308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0.50687483999566429</v>
      </c>
      <c r="BQ125" s="21">
        <f>EXP(-LN(2)/25)*BQ124+(1-EXP(-LN(2)/25))/(LN(2)/25)*Calculateur!BL125*Calculateur!BN125*VLOOKUP('Données projet'!$B$11,Paramètres!$A$1:$I$89,3,0)*0.475*44/12</f>
        <v>0.6128885080560883</v>
      </c>
      <c r="BR125" s="21">
        <f>EXP(-LN(2)/2)*BR124+(1-EXP(-LN(2)/2))/(LN(2)/2)*BL125*BO125*VLOOKUP('Données projet'!$B$11,Paramètres!$A$1:$I$89,3,0)*0.475*44/12</f>
        <v>1.3972363149571254E-13</v>
      </c>
      <c r="BS125" s="22">
        <f t="shared" si="63"/>
        <v>1.1197633480518923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-5.6843418860808015E-13</v>
      </c>
      <c r="BZ125" s="13">
        <f>BY125*VLOOKUP('Données projet'!$B$12,Paramètres!$A$1:$I$89,3,0)*VLOOKUP('Données projet'!$B$12,Paramètres!$A$1:$I$89,5,0)</f>
        <v>-3.39923644787632E-13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392.08740055894992</v>
      </c>
      <c r="CE125" s="59">
        <f t="shared" si="94"/>
        <v>395.10797100415783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0.64651890861003714</v>
      </c>
      <c r="CL125" s="21">
        <f>EXP(-LN(2)/25)*CL124+(1-EXP(-LN(2)/25))/(LN(2)/25)*Calculateur!CG125*Calculateur!CI125*VLOOKUP('Données projet'!$B$12,Paramètres!$A$1:$I$89,3,0)*0.475*44/12</f>
        <v>2.0289344791670754</v>
      </c>
      <c r="CM125" s="21">
        <f>EXP(-LN(2)/2)*CM124+(1-EXP(-LN(2)/2))/(LN(2)/2)*CG125*CJ125*VLOOKUP('Données projet'!$B$12,Paramètres!$A$1:$I$89,3,0)*0.475*44/12</f>
        <v>4.9395983685102527E-13</v>
      </c>
      <c r="CN125" s="22">
        <f t="shared" si="66"/>
        <v>2.6754533877776066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-1.1368683772161603E-13</v>
      </c>
      <c r="O126" s="13">
        <f>N126*VLOOKUP('Données projet'!$B$9,Paramètres!$A$1:$I$89,3,0)*VLOOKUP('Données projet'!$B$9,Paramètres!$A$1:$I$89,5,0)</f>
        <v>-1.0286385077051818E-13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282.32472952059817</v>
      </c>
      <c r="T126" s="59">
        <f t="shared" si="88"/>
        <v>172.32171001882176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</v>
      </c>
      <c r="AA126" s="21">
        <f>EXP(-LN(2)/25)*AA125+(1-EXP(-LN(2)/25))/(LN(2)/25)*Calculateur!V126*Calculateur!X126*VLOOKUP('Données projet'!$B$9,Paramètres!$A$1:$I$89,3,0)*0.475*44/12</f>
        <v>0.23570089001778466</v>
      </c>
      <c r="AB126" s="21">
        <f>EXP(-LN(2)/2)*AB125+(1-EXP(-LN(2)/2))/(LN(2)/2)*V126*Y126*VLOOKUP('Données projet'!$B$9,Paramètres!$A$1:$I$89,3,0)*0.475*44/12</f>
        <v>6.2194229698615533E-14</v>
      </c>
      <c r="AC126" s="22">
        <f t="shared" si="57"/>
        <v>0.23570089001784686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-1.1368683772161603E-13</v>
      </c>
      <c r="AJ126" s="13">
        <f>AI126*VLOOKUP('Données projet'!$B$10,Paramètres!$A$1:$I$89,3,0)*VLOOKUP('Données projet'!$B$10,Paramètres!$A$1:$I$89,5,0)</f>
        <v>-1.1527845344971866E-13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324.30660429578262</v>
      </c>
      <c r="AO126" s="59">
        <f t="shared" si="90"/>
        <v>197.04549436738586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</v>
      </c>
      <c r="AV126" s="21">
        <f>EXP(-LN(2)/25)*AV125+(1-EXP(-LN(2)/25))/(LN(2)/25)*Calculateur!AQ126*Calculateur!AS126*VLOOKUP('Données projet'!$B$10,Paramètres!$A$1:$I$89,3,0)*0.475*44/12</f>
        <v>0.26414754915786193</v>
      </c>
      <c r="AW126" s="21">
        <f>EXP(-LN(2)/2)*AW125+(1-EXP(-LN(2)/2))/(LN(2)/2)*AQ126*AT126*VLOOKUP('Données projet'!$B$10,Paramètres!$A$1:$I$89,3,0)*0.475*44/12</f>
        <v>6.9700429834655329E-14</v>
      </c>
      <c r="AX126" s="21">
        <f t="shared" si="60"/>
        <v>0.26414754915793165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-1.1368683772161603E-13</v>
      </c>
      <c r="BE126" s="13">
        <f>BD126*VLOOKUP('Données projet'!$B$11,Paramètres!$A$1:$I$89,3,0)*VLOOKUP('Données projet'!$B$11,Paramètres!$A$1:$I$89,5,0)</f>
        <v>-5.3205440053716299E-14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252.98248842635206</v>
      </c>
      <c r="BJ126" s="59">
        <f t="shared" si="92"/>
        <v>207.11938580878308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0.4969353335464744</v>
      </c>
      <c r="BQ126" s="21">
        <f>EXP(-LN(2)/25)*BQ125+(1-EXP(-LN(2)/25))/(LN(2)/25)*Calculateur!BL126*Calculateur!BN126*VLOOKUP('Données projet'!$B$11,Paramètres!$A$1:$I$89,3,0)*0.475*44/12</f>
        <v>0.59612903957288865</v>
      </c>
      <c r="BR126" s="21">
        <f>EXP(-LN(2)/2)*BR125+(1-EXP(-LN(2)/2))/(LN(2)/2)*BL126*BO126*VLOOKUP('Données projet'!$B$11,Paramètres!$A$1:$I$89,3,0)*0.475*44/12</f>
        <v>9.8799527322628607E-14</v>
      </c>
      <c r="BS126" s="22">
        <f t="shared" si="63"/>
        <v>1.0930643731194618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-5.6843418860808015E-13</v>
      </c>
      <c r="BZ126" s="13">
        <f>BY126*VLOOKUP('Données projet'!$B$12,Paramètres!$A$1:$I$89,3,0)*VLOOKUP('Données projet'!$B$12,Paramètres!$A$1:$I$89,5,0)</f>
        <v>-3.39923644787632E-13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392.08740055894992</v>
      </c>
      <c r="CE126" s="59">
        <f t="shared" si="94"/>
        <v>395.10797100415783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0.63384106714979094</v>
      </c>
      <c r="CL126" s="21">
        <f>EXP(-LN(2)/25)*CL125+(1-EXP(-LN(2)/25))/(LN(2)/25)*Calculateur!CG126*Calculateur!CI126*VLOOKUP('Données projet'!$B$12,Paramètres!$A$1:$I$89,3,0)*0.475*44/12</f>
        <v>1.9734531591372246</v>
      </c>
      <c r="CM126" s="21">
        <f>EXP(-LN(2)/2)*CM125+(1-EXP(-LN(2)/2))/(LN(2)/2)*CG126*CJ126*VLOOKUP('Données projet'!$B$12,Paramètres!$A$1:$I$89,3,0)*0.475*44/12</f>
        <v>3.4928235027116064E-13</v>
      </c>
      <c r="CN126" s="22">
        <f t="shared" si="66"/>
        <v>2.6072942262873648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-1.1368683772161603E-13</v>
      </c>
      <c r="O127" s="13">
        <f>N127*VLOOKUP('Données projet'!$B$9,Paramètres!$A$1:$I$89,3,0)*VLOOKUP('Données projet'!$B$9,Paramètres!$A$1:$I$89,5,0)</f>
        <v>-1.0286385077051818E-13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282.32472952059817</v>
      </c>
      <c r="T127" s="59">
        <f t="shared" si="88"/>
        <v>172.32171001882176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</v>
      </c>
      <c r="AA127" s="21">
        <f>EXP(-LN(2)/25)*AA126+(1-EXP(-LN(2)/25))/(LN(2)/25)*Calculateur!V127*Calculateur!X127*VLOOKUP('Données projet'!$B$9,Paramètres!$A$1:$I$89,3,0)*0.475*44/12</f>
        <v>0.22925563678527724</v>
      </c>
      <c r="AB127" s="21">
        <f>EXP(-LN(2)/2)*AB126+(1-EXP(-LN(2)/2))/(LN(2)/2)*V127*Y127*VLOOKUP('Données projet'!$B$9,Paramètres!$A$1:$I$89,3,0)*0.475*44/12</f>
        <v>4.397796157056481E-14</v>
      </c>
      <c r="AC127" s="22">
        <f t="shared" si="57"/>
        <v>0.22925563678532121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-1.1368683772161603E-13</v>
      </c>
      <c r="AJ127" s="13">
        <f>AI127*VLOOKUP('Données projet'!$B$10,Paramètres!$A$1:$I$89,3,0)*VLOOKUP('Données projet'!$B$10,Paramètres!$A$1:$I$89,5,0)</f>
        <v>-1.1527845344971866E-13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324.30660429578262</v>
      </c>
      <c r="AO127" s="59">
        <f t="shared" si="90"/>
        <v>197.04549436738586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</v>
      </c>
      <c r="AV127" s="21">
        <f>EXP(-LN(2)/25)*AV126+(1-EXP(-LN(2)/25))/(LN(2)/25)*Calculateur!AQ127*Calculateur!AS127*VLOOKUP('Données projet'!$B$10,Paramètres!$A$1:$I$89,3,0)*0.475*44/12</f>
        <v>0.2569244205352243</v>
      </c>
      <c r="AW127" s="21">
        <f>EXP(-LN(2)/2)*AW126+(1-EXP(-LN(2)/2))/(LN(2)/2)*AQ127*AT127*VLOOKUP('Données projet'!$B$10,Paramètres!$A$1:$I$89,3,0)*0.475*44/12</f>
        <v>4.9285646587701935E-14</v>
      </c>
      <c r="AX127" s="21">
        <f t="shared" si="60"/>
        <v>0.25692442053527359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-1.1368683772161603E-13</v>
      </c>
      <c r="BE127" s="13">
        <f>BD127*VLOOKUP('Données projet'!$B$11,Paramètres!$A$1:$I$89,3,0)*VLOOKUP('Données projet'!$B$11,Paramètres!$A$1:$I$89,5,0)</f>
        <v>-5.3205440053716299E-14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252.98248842635206</v>
      </c>
      <c r="BJ127" s="59">
        <f t="shared" si="92"/>
        <v>207.11938580878308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0.4871907347562528</v>
      </c>
      <c r="BQ127" s="21">
        <f>EXP(-LN(2)/25)*BQ126+(1-EXP(-LN(2)/25))/(LN(2)/25)*Calculateur!BL127*Calculateur!BN127*VLOOKUP('Données projet'!$B$11,Paramètres!$A$1:$I$89,3,0)*0.475*44/12</f>
        <v>0.57982785963670425</v>
      </c>
      <c r="BR127" s="21">
        <f>EXP(-LN(2)/2)*BR126+(1-EXP(-LN(2)/2))/(LN(2)/2)*BL127*BO127*VLOOKUP('Données projet'!$B$11,Paramètres!$A$1:$I$89,3,0)*0.475*44/12</f>
        <v>6.9861815747856269E-14</v>
      </c>
      <c r="BS127" s="22">
        <f t="shared" si="63"/>
        <v>1.067018594393027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-5.6843418860808015E-13</v>
      </c>
      <c r="BZ127" s="13">
        <f>BY127*VLOOKUP('Données projet'!$B$12,Paramètres!$A$1:$I$89,3,0)*VLOOKUP('Données projet'!$B$12,Paramètres!$A$1:$I$89,5,0)</f>
        <v>-3.39923644787632E-13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392.08740055894992</v>
      </c>
      <c r="CE127" s="59">
        <f t="shared" si="94"/>
        <v>395.10797100415783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0.62141183042786041</v>
      </c>
      <c r="CL127" s="21">
        <f>EXP(-LN(2)/25)*CL126+(1-EXP(-LN(2)/25))/(LN(2)/25)*Calculateur!CG127*Calculateur!CI127*VLOOKUP('Données projet'!$B$12,Paramètres!$A$1:$I$89,3,0)*0.475*44/12</f>
        <v>1.9194889787212259</v>
      </c>
      <c r="CM127" s="21">
        <f>EXP(-LN(2)/2)*CM126+(1-EXP(-LN(2)/2))/(LN(2)/2)*CG127*CJ127*VLOOKUP('Données projet'!$B$12,Paramètres!$A$1:$I$89,3,0)*0.475*44/12</f>
        <v>2.4697991842551263E-13</v>
      </c>
      <c r="CN127" s="22">
        <f t="shared" si="66"/>
        <v>2.540900809149333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-1.1368683772161603E-13</v>
      </c>
      <c r="O128" s="13">
        <f>N128*VLOOKUP('Données projet'!$B$9,Paramètres!$A$1:$I$89,3,0)*VLOOKUP('Données projet'!$B$9,Paramètres!$A$1:$I$89,5,0)</f>
        <v>-1.0286385077051818E-13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282.32472952059817</v>
      </c>
      <c r="T128" s="59">
        <f t="shared" si="88"/>
        <v>172.32171001882176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</v>
      </c>
      <c r="AA128" s="21">
        <f>EXP(-LN(2)/25)*AA127+(1-EXP(-LN(2)/25))/(LN(2)/25)*Calculateur!V128*Calculateur!X128*VLOOKUP('Données projet'!$B$9,Paramètres!$A$1:$I$89,3,0)*0.475*44/12</f>
        <v>0.22298662934135388</v>
      </c>
      <c r="AB128" s="21">
        <f>EXP(-LN(2)/2)*AB127+(1-EXP(-LN(2)/2))/(LN(2)/2)*V128*Y128*VLOOKUP('Données projet'!$B$9,Paramètres!$A$1:$I$89,3,0)*0.475*44/12</f>
        <v>3.1097114849307767E-14</v>
      </c>
      <c r="AC128" s="22">
        <f t="shared" si="57"/>
        <v>0.22298662934138497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-1.1368683772161603E-13</v>
      </c>
      <c r="AJ128" s="13">
        <f>AI128*VLOOKUP('Données projet'!$B$10,Paramètres!$A$1:$I$89,3,0)*VLOOKUP('Données projet'!$B$10,Paramètres!$A$1:$I$89,5,0)</f>
        <v>-1.1527845344971866E-13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324.30660429578262</v>
      </c>
      <c r="AO128" s="59">
        <f t="shared" si="90"/>
        <v>197.04549436738586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</v>
      </c>
      <c r="AV128" s="21">
        <f>EXP(-LN(2)/25)*AV127+(1-EXP(-LN(2)/25))/(LN(2)/25)*Calculateur!AQ128*Calculateur!AS128*VLOOKUP('Données projet'!$B$10,Paramètres!$A$1:$I$89,3,0)*0.475*44/12</f>
        <v>0.24989880874462053</v>
      </c>
      <c r="AW128" s="21">
        <f>EXP(-LN(2)/2)*AW127+(1-EXP(-LN(2)/2))/(LN(2)/2)*AQ128*AT128*VLOOKUP('Données projet'!$B$10,Paramètres!$A$1:$I$89,3,0)*0.475*44/12</f>
        <v>3.4850214917327665E-14</v>
      </c>
      <c r="AX128" s="21">
        <f t="shared" si="60"/>
        <v>0.24989880874465539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-1.1368683772161603E-13</v>
      </c>
      <c r="BE128" s="13">
        <f>BD128*VLOOKUP('Données projet'!$B$11,Paramètres!$A$1:$I$89,3,0)*VLOOKUP('Données projet'!$B$11,Paramètres!$A$1:$I$89,5,0)</f>
        <v>-5.3205440053716299E-14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252.98248842635206</v>
      </c>
      <c r="BJ128" s="59">
        <f t="shared" si="92"/>
        <v>207.11938580878308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0.47763722160468908</v>
      </c>
      <c r="BQ128" s="21">
        <f>EXP(-LN(2)/25)*BQ127+(1-EXP(-LN(2)/25))/(LN(2)/25)*Calculateur!BL128*Calculateur!BN128*VLOOKUP('Données projet'!$B$11,Paramètres!$A$1:$I$89,3,0)*0.475*44/12</f>
        <v>0.56397243632311667</v>
      </c>
      <c r="BR128" s="21">
        <f>EXP(-LN(2)/2)*BR127+(1-EXP(-LN(2)/2))/(LN(2)/2)*BL128*BO128*VLOOKUP('Données projet'!$B$11,Paramètres!$A$1:$I$89,3,0)*0.475*44/12</f>
        <v>4.9399763661314303E-14</v>
      </c>
      <c r="BS128" s="22">
        <f t="shared" si="63"/>
        <v>1.0416096579278551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-5.6843418860808015E-13</v>
      </c>
      <c r="BZ128" s="13">
        <f>BY128*VLOOKUP('Données projet'!$B$12,Paramètres!$A$1:$I$89,3,0)*VLOOKUP('Données projet'!$B$12,Paramètres!$A$1:$I$89,5,0)</f>
        <v>-3.39923644787632E-13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392.08740055894992</v>
      </c>
      <c r="CE128" s="59">
        <f t="shared" si="94"/>
        <v>395.10797100415783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0.60922632345696115</v>
      </c>
      <c r="CL128" s="21">
        <f>EXP(-LN(2)/25)*CL127+(1-EXP(-LN(2)/25))/(LN(2)/25)*Calculateur!CG128*Calculateur!CI128*VLOOKUP('Données projet'!$B$12,Paramètres!$A$1:$I$89,3,0)*0.475*44/12</f>
        <v>1.8670004516565557</v>
      </c>
      <c r="CM128" s="21">
        <f>EXP(-LN(2)/2)*CM127+(1-EXP(-LN(2)/2))/(LN(2)/2)*CG128*CJ128*VLOOKUP('Données projet'!$B$12,Paramètres!$A$1:$I$89,3,0)*0.475*44/12</f>
        <v>1.7464117513558032E-13</v>
      </c>
      <c r="CN128" s="22">
        <f t="shared" si="66"/>
        <v>2.4762267751136915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-1.1368683772161603E-13</v>
      </c>
      <c r="O129" s="13">
        <f>N129*VLOOKUP('Données projet'!$B$9,Paramètres!$A$1:$I$89,3,0)*VLOOKUP('Données projet'!$B$9,Paramètres!$A$1:$I$89,5,0)</f>
        <v>-1.0286385077051818E-13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282.32472952059817</v>
      </c>
      <c r="T129" s="59">
        <f t="shared" si="88"/>
        <v>172.32171001882176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</v>
      </c>
      <c r="AA129" s="21">
        <f>EXP(-LN(2)/25)*AA128+(1-EXP(-LN(2)/25))/(LN(2)/25)*Calculateur!V129*Calculateur!X129*VLOOKUP('Données projet'!$B$9,Paramètres!$A$1:$I$89,3,0)*0.475*44/12</f>
        <v>0.21688904823565736</v>
      </c>
      <c r="AB129" s="21">
        <f>EXP(-LN(2)/2)*AB128+(1-EXP(-LN(2)/2))/(LN(2)/2)*V129*Y129*VLOOKUP('Données projet'!$B$9,Paramètres!$A$1:$I$89,3,0)*0.475*44/12</f>
        <v>2.1988980785282405E-14</v>
      </c>
      <c r="AC129" s="22">
        <f t="shared" si="57"/>
        <v>0.21688904823567934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-1.1368683772161603E-13</v>
      </c>
      <c r="AJ129" s="13">
        <f>AI129*VLOOKUP('Données projet'!$B$10,Paramètres!$A$1:$I$89,3,0)*VLOOKUP('Données projet'!$B$10,Paramètres!$A$1:$I$89,5,0)</f>
        <v>-1.1527845344971866E-13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324.30660429578262</v>
      </c>
      <c r="AO129" s="59">
        <f t="shared" si="90"/>
        <v>197.04549436738586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</v>
      </c>
      <c r="AV129" s="21">
        <f>EXP(-LN(2)/25)*AV128+(1-EXP(-LN(2)/25))/(LN(2)/25)*Calculateur!AQ129*Calculateur!AS129*VLOOKUP('Données projet'!$B$10,Paramètres!$A$1:$I$89,3,0)*0.475*44/12</f>
        <v>0.24306531267789169</v>
      </c>
      <c r="AW129" s="21">
        <f>EXP(-LN(2)/2)*AW128+(1-EXP(-LN(2)/2))/(LN(2)/2)*AQ129*AT129*VLOOKUP('Données projet'!$B$10,Paramètres!$A$1:$I$89,3,0)*0.475*44/12</f>
        <v>2.4642823293850967E-14</v>
      </c>
      <c r="AX129" s="21">
        <f t="shared" si="60"/>
        <v>0.24306531267791634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-1.1368683772161603E-13</v>
      </c>
      <c r="BE129" s="13">
        <f>BD129*VLOOKUP('Données projet'!$B$11,Paramètres!$A$1:$I$89,3,0)*VLOOKUP('Données projet'!$B$11,Paramètres!$A$1:$I$89,5,0)</f>
        <v>-5.3205440053716299E-14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252.98248842635206</v>
      </c>
      <c r="BJ129" s="59">
        <f t="shared" si="92"/>
        <v>207.11938580878308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0.46827104701895989</v>
      </c>
      <c r="BQ129" s="21">
        <f>EXP(-LN(2)/25)*BQ128+(1-EXP(-LN(2)/25))/(LN(2)/25)*Calculateur!BL129*Calculateur!BN129*VLOOKUP('Données projet'!$B$11,Paramètres!$A$1:$I$89,3,0)*0.475*44/12</f>
        <v>0.54855058039383964</v>
      </c>
      <c r="BR129" s="21">
        <f>EXP(-LN(2)/2)*BR128+(1-EXP(-LN(2)/2))/(LN(2)/2)*BL129*BO129*VLOOKUP('Données projet'!$B$11,Paramètres!$A$1:$I$89,3,0)*0.475*44/12</f>
        <v>3.4930907873928134E-14</v>
      </c>
      <c r="BS129" s="22">
        <f t="shared" si="63"/>
        <v>1.0168216274128343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-5.6843418860808015E-13</v>
      </c>
      <c r="BZ129" s="13">
        <f>BY129*VLOOKUP('Données projet'!$B$12,Paramètres!$A$1:$I$89,3,0)*VLOOKUP('Données projet'!$B$12,Paramètres!$A$1:$I$89,5,0)</f>
        <v>-3.39923644787632E-13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392.08740055894992</v>
      </c>
      <c r="CE129" s="59">
        <f t="shared" si="94"/>
        <v>395.10797100415783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0.5972797668453359</v>
      </c>
      <c r="CL129" s="21">
        <f>EXP(-LN(2)/25)*CL128+(1-EXP(-LN(2)/25))/(LN(2)/25)*Calculateur!CG129*Calculateur!CI129*VLOOKUP('Données projet'!$B$12,Paramètres!$A$1:$I$89,3,0)*0.475*44/12</f>
        <v>1.8159472261247205</v>
      </c>
      <c r="CM129" s="21">
        <f>EXP(-LN(2)/2)*CM128+(1-EXP(-LN(2)/2))/(LN(2)/2)*CG129*CJ129*VLOOKUP('Données projet'!$B$12,Paramètres!$A$1:$I$89,3,0)*0.475*44/12</f>
        <v>1.2348995921275632E-13</v>
      </c>
      <c r="CN129" s="22">
        <f t="shared" si="66"/>
        <v>2.4132269929701797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-1.1368683772161603E-13</v>
      </c>
      <c r="O130" s="13">
        <f>N130*VLOOKUP('Données projet'!$B$9,Paramètres!$A$1:$I$89,3,0)*VLOOKUP('Données projet'!$B$9,Paramètres!$A$1:$I$89,5,0)</f>
        <v>-1.0286385077051818E-13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282.32472952059817</v>
      </c>
      <c r="T130" s="59">
        <f t="shared" si="88"/>
        <v>172.32171001882176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</v>
      </c>
      <c r="AA130" s="21">
        <f>EXP(-LN(2)/25)*AA129+(1-EXP(-LN(2)/25))/(LN(2)/25)*Calculateur!V130*Calculateur!X130*VLOOKUP('Données projet'!$B$9,Paramètres!$A$1:$I$89,3,0)*0.475*44/12</f>
        <v>0.21095820580595395</v>
      </c>
      <c r="AB130" s="21">
        <f>EXP(-LN(2)/2)*AB129+(1-EXP(-LN(2)/2))/(LN(2)/2)*V130*Y130*VLOOKUP('Données projet'!$B$9,Paramètres!$A$1:$I$89,3,0)*0.475*44/12</f>
        <v>1.5548557424653883E-14</v>
      </c>
      <c r="AC130" s="22">
        <f t="shared" si="57"/>
        <v>0.2109582058059695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-1.1368683772161603E-13</v>
      </c>
      <c r="AJ130" s="13">
        <f>AI130*VLOOKUP('Données projet'!$B$10,Paramètres!$A$1:$I$89,3,0)*VLOOKUP('Données projet'!$B$10,Paramètres!$A$1:$I$89,5,0)</f>
        <v>-1.1527845344971866E-13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324.30660429578262</v>
      </c>
      <c r="AO130" s="59">
        <f t="shared" si="90"/>
        <v>197.04549436738586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</v>
      </c>
      <c r="AV130" s="21">
        <f>EXP(-LN(2)/25)*AV129+(1-EXP(-LN(2)/25))/(LN(2)/25)*Calculateur!AQ130*Calculateur!AS130*VLOOKUP('Données projet'!$B$10,Paramètres!$A$1:$I$89,3,0)*0.475*44/12</f>
        <v>0.23641867892046547</v>
      </c>
      <c r="AW130" s="21">
        <f>EXP(-LN(2)/2)*AW129+(1-EXP(-LN(2)/2))/(LN(2)/2)*AQ130*AT130*VLOOKUP('Données projet'!$B$10,Paramètres!$A$1:$I$89,3,0)*0.475*44/12</f>
        <v>1.7425107458663832E-14</v>
      </c>
      <c r="AX130" s="21">
        <f t="shared" si="60"/>
        <v>0.23641867892048291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-1.1368683772161603E-13</v>
      </c>
      <c r="BE130" s="13">
        <f>BD130*VLOOKUP('Données projet'!$B$11,Paramètres!$A$1:$I$89,3,0)*VLOOKUP('Données projet'!$B$11,Paramètres!$A$1:$I$89,5,0)</f>
        <v>-5.3205440053716299E-14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252.98248842635206</v>
      </c>
      <c r="BJ130" s="59">
        <f t="shared" si="92"/>
        <v>207.11938580878308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0.45908853740405442</v>
      </c>
      <c r="BQ130" s="21">
        <f>EXP(-LN(2)/25)*BQ129+(1-EXP(-LN(2)/25))/(LN(2)/25)*Calculateur!BL130*Calculateur!BN130*VLOOKUP('Données projet'!$B$11,Paramètres!$A$1:$I$89,3,0)*0.475*44/12</f>
        <v>0.53355043592594875</v>
      </c>
      <c r="BR130" s="21">
        <f>EXP(-LN(2)/2)*BR129+(1-EXP(-LN(2)/2))/(LN(2)/2)*BL130*BO130*VLOOKUP('Données projet'!$B$11,Paramètres!$A$1:$I$89,3,0)*0.475*44/12</f>
        <v>2.4699881830657152E-14</v>
      </c>
      <c r="BS130" s="22">
        <f t="shared" si="63"/>
        <v>0.99263897333002782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-5.6843418860808015E-13</v>
      </c>
      <c r="BZ130" s="13">
        <f>BY130*VLOOKUP('Données projet'!$B$12,Paramètres!$A$1:$I$89,3,0)*VLOOKUP('Données projet'!$B$12,Paramètres!$A$1:$I$89,5,0)</f>
        <v>-3.39923644787632E-13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392.08740055894992</v>
      </c>
      <c r="CE130" s="59">
        <f t="shared" si="94"/>
        <v>395.10797100415783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0.58556747492218453</v>
      </c>
      <c r="CL130" s="21">
        <f>EXP(-LN(2)/25)*CL129+(1-EXP(-LN(2)/25))/(LN(2)/25)*Calculateur!CG130*Calculateur!CI130*VLOOKUP('Données projet'!$B$12,Paramètres!$A$1:$I$89,3,0)*0.475*44/12</f>
        <v>1.7662900537298258</v>
      </c>
      <c r="CM130" s="21">
        <f>EXP(-LN(2)/2)*CM129+(1-EXP(-LN(2)/2))/(LN(2)/2)*CG130*CJ130*VLOOKUP('Données projet'!$B$12,Paramètres!$A$1:$I$89,3,0)*0.475*44/12</f>
        <v>8.7320587567790161E-14</v>
      </c>
      <c r="CN130" s="22">
        <f t="shared" si="66"/>
        <v>2.351857528652098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-1.1368683772161603E-13</v>
      </c>
      <c r="O131" s="13">
        <f>N131*VLOOKUP('Données projet'!$B$9,Paramètres!$A$1:$I$89,3,0)*VLOOKUP('Données projet'!$B$9,Paramètres!$A$1:$I$89,5,0)</f>
        <v>-1.0286385077051818E-13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282.32472952059817</v>
      </c>
      <c r="T131" s="59">
        <f t="shared" si="88"/>
        <v>172.32171001882176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</v>
      </c>
      <c r="AA131" s="21">
        <f>EXP(-LN(2)/25)*AA130+(1-EXP(-LN(2)/25))/(LN(2)/25)*Calculateur!V131*Calculateur!X131*VLOOKUP('Données projet'!$B$9,Paramètres!$A$1:$I$89,3,0)*0.475*44/12</f>
        <v>0.20518954257438024</v>
      </c>
      <c r="AB131" s="21">
        <f>EXP(-LN(2)/2)*AB130+(1-EXP(-LN(2)/2))/(LN(2)/2)*V131*Y131*VLOOKUP('Données projet'!$B$9,Paramètres!$A$1:$I$89,3,0)*0.475*44/12</f>
        <v>1.0994490392641203E-14</v>
      </c>
      <c r="AC131" s="22">
        <f t="shared" si="57"/>
        <v>0.20518954257439123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-1.1368683772161603E-13</v>
      </c>
      <c r="AJ131" s="13">
        <f>AI131*VLOOKUP('Données projet'!$B$10,Paramètres!$A$1:$I$89,3,0)*VLOOKUP('Données projet'!$B$10,Paramètres!$A$1:$I$89,5,0)</f>
        <v>-1.1527845344971866E-13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324.30660429578262</v>
      </c>
      <c r="AO131" s="59">
        <f t="shared" si="90"/>
        <v>197.04549436738586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</v>
      </c>
      <c r="AV131" s="21">
        <f>EXP(-LN(2)/25)*AV130+(1-EXP(-LN(2)/25))/(LN(2)/25)*Calculateur!AQ131*Calculateur!AS131*VLOOKUP('Données projet'!$B$10,Paramètres!$A$1:$I$89,3,0)*0.475*44/12</f>
        <v>0.22995379771266736</v>
      </c>
      <c r="AW131" s="21">
        <f>EXP(-LN(2)/2)*AW130+(1-EXP(-LN(2)/2))/(LN(2)/2)*AQ131*AT131*VLOOKUP('Données projet'!$B$10,Paramètres!$A$1:$I$89,3,0)*0.475*44/12</f>
        <v>1.2321411646925484E-14</v>
      </c>
      <c r="AX131" s="21">
        <f t="shared" si="60"/>
        <v>0.22995379771267968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-1.1368683772161603E-13</v>
      </c>
      <c r="BE131" s="13">
        <f>BD131*VLOOKUP('Données projet'!$B$11,Paramètres!$A$1:$I$89,3,0)*VLOOKUP('Données projet'!$B$11,Paramètres!$A$1:$I$89,5,0)</f>
        <v>-5.3205440053716299E-14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252.98248842635206</v>
      </c>
      <c r="BJ131" s="59">
        <f t="shared" si="92"/>
        <v>207.11938580878308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0.45008609120191939</v>
      </c>
      <c r="BQ131" s="21">
        <f>EXP(-LN(2)/25)*BQ130+(1-EXP(-LN(2)/25))/(LN(2)/25)*Calculateur!BL131*Calculateur!BN131*VLOOKUP('Données projet'!$B$11,Paramètres!$A$1:$I$89,3,0)*0.475*44/12</f>
        <v>0.51896047119735567</v>
      </c>
      <c r="BR131" s="21">
        <f>EXP(-LN(2)/2)*BR130+(1-EXP(-LN(2)/2))/(LN(2)/2)*BL131*BO131*VLOOKUP('Données projet'!$B$11,Paramètres!$A$1:$I$89,3,0)*0.475*44/12</f>
        <v>1.7465453936964067E-14</v>
      </c>
      <c r="BS131" s="22">
        <f t="shared" si="63"/>
        <v>0.96904656239929243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-5.6843418860808015E-13</v>
      </c>
      <c r="BZ131" s="13">
        <f>BY131*VLOOKUP('Données projet'!$B$12,Paramètres!$A$1:$I$89,3,0)*VLOOKUP('Données projet'!$B$12,Paramètres!$A$1:$I$89,5,0)</f>
        <v>-3.39923644787632E-13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392.08740055894992</v>
      </c>
      <c r="CE131" s="59">
        <f t="shared" si="94"/>
        <v>395.10797100415783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0.57408485389985353</v>
      </c>
      <c r="CL131" s="21">
        <f>EXP(-LN(2)/25)*CL130+(1-EXP(-LN(2)/25))/(LN(2)/25)*Calculateur!CG131*Calculateur!CI131*VLOOKUP('Données projet'!$B$12,Paramètres!$A$1:$I$89,3,0)*0.475*44/12</f>
        <v>1.7179907593254267</v>
      </c>
      <c r="CM131" s="21">
        <f>EXP(-LN(2)/2)*CM130+(1-EXP(-LN(2)/2))/(LN(2)/2)*CG131*CJ131*VLOOKUP('Données projet'!$B$12,Paramètres!$A$1:$I$89,3,0)*0.475*44/12</f>
        <v>6.1744979606378158E-14</v>
      </c>
      <c r="CN131" s="22">
        <f t="shared" si="66"/>
        <v>2.2920756132253417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-1.1368683772161603E-13</v>
      </c>
      <c r="O132" s="13">
        <f>N132*VLOOKUP('Données projet'!$B$9,Paramètres!$A$1:$I$89,3,0)*VLOOKUP('Données projet'!$B$9,Paramètres!$A$1:$I$89,5,0)</f>
        <v>-1.0286385077051818E-13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282.32472952059817</v>
      </c>
      <c r="T132" s="59">
        <f t="shared" si="88"/>
        <v>172.32171001882176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</v>
      </c>
      <c r="AA132" s="21">
        <f>EXP(-LN(2)/25)*AA131+(1-EXP(-LN(2)/25))/(LN(2)/25)*Calculateur!V132*Calculateur!X132*VLOOKUP('Données projet'!$B$9,Paramètres!$A$1:$I$89,3,0)*0.475*44/12</f>
        <v>0.19957862374223473</v>
      </c>
      <c r="AB132" s="21">
        <f>EXP(-LN(2)/2)*AB131+(1-EXP(-LN(2)/2))/(LN(2)/2)*V132*Y132*VLOOKUP('Données projet'!$B$9,Paramètres!$A$1:$I$89,3,0)*0.475*44/12</f>
        <v>7.7742787123269417E-15</v>
      </c>
      <c r="AC132" s="22">
        <f t="shared" ref="AC132:AC153" si="111">SUM(Z132:AB132)</f>
        <v>0.1995786237422425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-1.1368683772161603E-13</v>
      </c>
      <c r="AJ132" s="13">
        <f>AI132*VLOOKUP('Données projet'!$B$10,Paramètres!$A$1:$I$89,3,0)*VLOOKUP('Données projet'!$B$10,Paramètres!$A$1:$I$89,5,0)</f>
        <v>-1.1527845344971866E-13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324.30660429578262</v>
      </c>
      <c r="AO132" s="59">
        <f t="shared" si="90"/>
        <v>197.04549436738586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</v>
      </c>
      <c r="AV132" s="21">
        <f>EXP(-LN(2)/25)*AV131+(1-EXP(-LN(2)/25))/(LN(2)/25)*Calculateur!AQ132*Calculateur!AS132*VLOOKUP('Données projet'!$B$10,Paramètres!$A$1:$I$89,3,0)*0.475*44/12</f>
        <v>0.22366569902146982</v>
      </c>
      <c r="AW132" s="21">
        <f>EXP(-LN(2)/2)*AW131+(1-EXP(-LN(2)/2))/(LN(2)/2)*AQ132*AT132*VLOOKUP('Données projet'!$B$10,Paramètres!$A$1:$I$89,3,0)*0.475*44/12</f>
        <v>8.7125537293319161E-15</v>
      </c>
      <c r="AX132" s="21">
        <f t="shared" ref="AX132:AX153" si="114">SUM(AU132:AW132)</f>
        <v>0.22366569902147854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-1.1368683772161603E-13</v>
      </c>
      <c r="BE132" s="13">
        <f>BD132*VLOOKUP('Données projet'!$B$11,Paramètres!$A$1:$I$89,3,0)*VLOOKUP('Données projet'!$B$11,Paramètres!$A$1:$I$89,5,0)</f>
        <v>-5.3205440053716299E-14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252.98248842635206</v>
      </c>
      <c r="BJ132" s="59">
        <f t="shared" si="92"/>
        <v>207.11938580878308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0.44126017747885826</v>
      </c>
      <c r="BQ132" s="21">
        <f>EXP(-LN(2)/25)*BQ131+(1-EXP(-LN(2)/25))/(LN(2)/25)*Calculateur!BL132*Calculateur!BN132*VLOOKUP('Données projet'!$B$11,Paramètres!$A$1:$I$89,3,0)*0.475*44/12</f>
        <v>0.50476946982151893</v>
      </c>
      <c r="BR132" s="21">
        <f>EXP(-LN(2)/2)*BR131+(1-EXP(-LN(2)/2))/(LN(2)/2)*BL132*BO132*VLOOKUP('Données projet'!$B$11,Paramètres!$A$1:$I$89,3,0)*0.475*44/12</f>
        <v>1.2349940915328576E-14</v>
      </c>
      <c r="BS132" s="22">
        <f t="shared" ref="BS132:BS153" si="117">SUM(BP132:BR132)</f>
        <v>0.94602964730038952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-5.6843418860808015E-13</v>
      </c>
      <c r="BZ132" s="13">
        <f>BY132*VLOOKUP('Données projet'!$B$12,Paramètres!$A$1:$I$89,3,0)*VLOOKUP('Données projet'!$B$12,Paramètres!$A$1:$I$89,5,0)</f>
        <v>-3.39923644787632E-13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392.08740055894992</v>
      </c>
      <c r="CE132" s="59">
        <f t="shared" si="94"/>
        <v>395.10797100415783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0.56282740007206311</v>
      </c>
      <c r="CL132" s="21">
        <f>EXP(-LN(2)/25)*CL131+(1-EXP(-LN(2)/25))/(LN(2)/25)*Calculateur!CG132*Calculateur!CI132*VLOOKUP('Données projet'!$B$12,Paramètres!$A$1:$I$89,3,0)*0.475*44/12</f>
        <v>1.6710122116664654</v>
      </c>
      <c r="CM132" s="21">
        <f>EXP(-LN(2)/2)*CM131+(1-EXP(-LN(2)/2))/(LN(2)/2)*CG132*CJ132*VLOOKUP('Données projet'!$B$12,Paramètres!$A$1:$I$89,3,0)*0.475*44/12</f>
        <v>4.3660293783895081E-14</v>
      </c>
      <c r="CN132" s="22">
        <f t="shared" ref="CN132:CN153" si="120">SUM(CK132:CM132)</f>
        <v>2.2338396117385719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-1.1368683772161603E-13</v>
      </c>
      <c r="O133" s="13">
        <f>N133*VLOOKUP('Données projet'!$B$9,Paramètres!$A$1:$I$89,3,0)*VLOOKUP('Données projet'!$B$9,Paramètres!$A$1:$I$89,5,0)</f>
        <v>-1.0286385077051818E-13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282.32472952059817</v>
      </c>
      <c r="T133" s="59">
        <f t="shared" ref="T133:T196" si="142">$T$3</f>
        <v>172.32171001882176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</v>
      </c>
      <c r="AA133" s="21">
        <f>EXP(-LN(2)/25)*AA132+(1-EXP(-LN(2)/25))/(LN(2)/25)*Calculateur!V133*Calculateur!X133*VLOOKUP('Données projet'!$B$9,Paramètres!$A$1:$I$89,3,0)*0.475*44/12</f>
        <v>0.19412113578061965</v>
      </c>
      <c r="AB133" s="21">
        <f>EXP(-LN(2)/2)*AB132+(1-EXP(-LN(2)/2))/(LN(2)/2)*V133*Y133*VLOOKUP('Données projet'!$B$9,Paramètres!$A$1:$I$89,3,0)*0.475*44/12</f>
        <v>5.4972451963206013E-15</v>
      </c>
      <c r="AC133" s="22">
        <f t="shared" si="111"/>
        <v>0.19412113578062515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-1.1368683772161603E-13</v>
      </c>
      <c r="AJ133" s="13">
        <f>AI133*VLOOKUP('Données projet'!$B$10,Paramètres!$A$1:$I$89,3,0)*VLOOKUP('Données projet'!$B$10,Paramètres!$A$1:$I$89,5,0)</f>
        <v>-1.1527845344971866E-13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324.30660429578262</v>
      </c>
      <c r="AO133" s="59">
        <f t="shared" ref="AO133:AO196" si="144">$AO$3</f>
        <v>197.04549436738586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</v>
      </c>
      <c r="AV133" s="21">
        <f>EXP(-LN(2)/25)*AV132+(1-EXP(-LN(2)/25))/(LN(2)/25)*Calculateur!AQ133*Calculateur!AS133*VLOOKUP('Données projet'!$B$10,Paramètres!$A$1:$I$89,3,0)*0.475*44/12</f>
        <v>0.21754954871965981</v>
      </c>
      <c r="AW133" s="21">
        <f>EXP(-LN(2)/2)*AW132+(1-EXP(-LN(2)/2))/(LN(2)/2)*AQ133*AT133*VLOOKUP('Données projet'!$B$10,Paramètres!$A$1:$I$89,3,0)*0.475*44/12</f>
        <v>6.1607058234627419E-15</v>
      </c>
      <c r="AX133" s="21">
        <f t="shared" si="114"/>
        <v>0.21754954871966597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-1.1368683772161603E-13</v>
      </c>
      <c r="BE133" s="13">
        <f>BD133*VLOOKUP('Données projet'!$B$11,Paramètres!$A$1:$I$89,3,0)*VLOOKUP('Données projet'!$B$11,Paramètres!$A$1:$I$89,5,0)</f>
        <v>-5.3205440053716299E-14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252.98248842635206</v>
      </c>
      <c r="BJ133" s="59">
        <f t="shared" ref="BJ133:BJ196" si="146">$BJ$3</f>
        <v>207.11938580878308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0.43260733454063055</v>
      </c>
      <c r="BQ133" s="21">
        <f>EXP(-LN(2)/25)*BQ132+(1-EXP(-LN(2)/25))/(LN(2)/25)*Calculateur!BL133*Calculateur!BN133*VLOOKUP('Données projet'!$B$11,Paramètres!$A$1:$I$89,3,0)*0.475*44/12</f>
        <v>0.49096652212457675</v>
      </c>
      <c r="BR133" s="21">
        <f>EXP(-LN(2)/2)*BR132+(1-EXP(-LN(2)/2))/(LN(2)/2)*BL133*BO133*VLOOKUP('Données projet'!$B$11,Paramètres!$A$1:$I$89,3,0)*0.475*44/12</f>
        <v>8.7327269684820336E-15</v>
      </c>
      <c r="BS133" s="22">
        <f t="shared" si="117"/>
        <v>0.92357385666521608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-5.6843418860808015E-13</v>
      </c>
      <c r="BZ133" s="13">
        <f>BY133*VLOOKUP('Données projet'!$B$12,Paramètres!$A$1:$I$89,3,0)*VLOOKUP('Données projet'!$B$12,Paramètres!$A$1:$I$89,5,0)</f>
        <v>-3.39923644787632E-13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392.08740055894992</v>
      </c>
      <c r="CE133" s="59">
        <f t="shared" ref="CE133:CE196" si="148">$CE$3</f>
        <v>395.10797100415783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0.55179069804746683</v>
      </c>
      <c r="CL133" s="21">
        <f>EXP(-LN(2)/25)*CL132+(1-EXP(-LN(2)/25))/(LN(2)/25)*Calculateur!CG133*Calculateur!CI133*VLOOKUP('Données projet'!$B$12,Paramètres!$A$1:$I$89,3,0)*0.475*44/12</f>
        <v>1.6253182948637328</v>
      </c>
      <c r="CM133" s="21">
        <f>EXP(-LN(2)/2)*CM132+(1-EXP(-LN(2)/2))/(LN(2)/2)*CG133*CJ133*VLOOKUP('Données projet'!$B$12,Paramètres!$A$1:$I$89,3,0)*0.475*44/12</f>
        <v>3.0872489803189079E-14</v>
      </c>
      <c r="CN133" s="22">
        <f t="shared" si="120"/>
        <v>2.1771089929112306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-1.1368683772161603E-13</v>
      </c>
      <c r="O134" s="13">
        <f>N134*VLOOKUP('Données projet'!$B$9,Paramètres!$A$1:$I$89,3,0)*VLOOKUP('Données projet'!$B$9,Paramètres!$A$1:$I$89,5,0)</f>
        <v>-1.0286385077051818E-13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282.32472952059817</v>
      </c>
      <c r="T134" s="59">
        <f t="shared" si="142"/>
        <v>172.32171001882176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</v>
      </c>
      <c r="AA134" s="21">
        <f>EXP(-LN(2)/25)*AA133+(1-EXP(-LN(2)/25))/(LN(2)/25)*Calculateur!V134*Calculateur!X134*VLOOKUP('Données projet'!$B$9,Paramètres!$A$1:$I$89,3,0)*0.475*44/12</f>
        <v>0.18881288311431174</v>
      </c>
      <c r="AB134" s="21">
        <f>EXP(-LN(2)/2)*AB133+(1-EXP(-LN(2)/2))/(LN(2)/2)*V134*Y134*VLOOKUP('Données projet'!$B$9,Paramètres!$A$1:$I$89,3,0)*0.475*44/12</f>
        <v>3.8871393561634708E-15</v>
      </c>
      <c r="AC134" s="22">
        <f t="shared" si="111"/>
        <v>0.18881288311431563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-1.1368683772161603E-13</v>
      </c>
      <c r="AJ134" s="13">
        <f>AI134*VLOOKUP('Données projet'!$B$10,Paramètres!$A$1:$I$89,3,0)*VLOOKUP('Données projet'!$B$10,Paramètres!$A$1:$I$89,5,0)</f>
        <v>-1.1527845344971866E-13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324.30660429578262</v>
      </c>
      <c r="AO134" s="59">
        <f t="shared" si="144"/>
        <v>197.04549436738586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</v>
      </c>
      <c r="AV134" s="21">
        <f>EXP(-LN(2)/25)*AV133+(1-EXP(-LN(2)/25))/(LN(2)/25)*Calculateur!AQ134*Calculateur!AS134*VLOOKUP('Données projet'!$B$10,Paramètres!$A$1:$I$89,3,0)*0.475*44/12</f>
        <v>0.21160064486948715</v>
      </c>
      <c r="AW134" s="21">
        <f>EXP(-LN(2)/2)*AW133+(1-EXP(-LN(2)/2))/(LN(2)/2)*AQ134*AT134*VLOOKUP('Données projet'!$B$10,Paramètres!$A$1:$I$89,3,0)*0.475*44/12</f>
        <v>4.3562768646659581E-15</v>
      </c>
      <c r="AX134" s="21">
        <f t="shared" si="114"/>
        <v>0.21160064486949151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-1.1368683772161603E-13</v>
      </c>
      <c r="BE134" s="13">
        <f>BD134*VLOOKUP('Données projet'!$B$11,Paramètres!$A$1:$I$89,3,0)*VLOOKUP('Données projet'!$B$11,Paramètres!$A$1:$I$89,5,0)</f>
        <v>-5.3205440053716299E-14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252.98248842635206</v>
      </c>
      <c r="BJ134" s="59">
        <f t="shared" si="146"/>
        <v>207.11938580878308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0.42412416857470842</v>
      </c>
      <c r="BQ134" s="21">
        <f>EXP(-LN(2)/25)*BQ133+(1-EXP(-LN(2)/25))/(LN(2)/25)*Calculateur!BL134*Calculateur!BN134*VLOOKUP('Données projet'!$B$11,Paramètres!$A$1:$I$89,3,0)*0.475*44/12</f>
        <v>0.47754101675827293</v>
      </c>
      <c r="BR134" s="21">
        <f>EXP(-LN(2)/2)*BR133+(1-EXP(-LN(2)/2))/(LN(2)/2)*BL134*BO134*VLOOKUP('Données projet'!$B$11,Paramètres!$A$1:$I$89,3,0)*0.475*44/12</f>
        <v>6.1749704576642879E-15</v>
      </c>
      <c r="BS134" s="22">
        <f t="shared" si="117"/>
        <v>0.90166518533298756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-5.6843418860808015E-13</v>
      </c>
      <c r="BZ134" s="13">
        <f>BY134*VLOOKUP('Données projet'!$B$12,Paramètres!$A$1:$I$89,3,0)*VLOOKUP('Données projet'!$B$12,Paramètres!$A$1:$I$89,5,0)</f>
        <v>-3.39923644787632E-13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392.08740055894992</v>
      </c>
      <c r="CE134" s="59">
        <f t="shared" si="148"/>
        <v>395.10797100415783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0.54097041901784937</v>
      </c>
      <c r="CL134" s="21">
        <f>EXP(-LN(2)/25)*CL133+(1-EXP(-LN(2)/25))/(LN(2)/25)*Calculateur!CG134*Calculateur!CI134*VLOOKUP('Données projet'!$B$12,Paramètres!$A$1:$I$89,3,0)*0.475*44/12</f>
        <v>1.5808738806189095</v>
      </c>
      <c r="CM134" s="21">
        <f>EXP(-LN(2)/2)*CM133+(1-EXP(-LN(2)/2))/(LN(2)/2)*CG134*CJ134*VLOOKUP('Données projet'!$B$12,Paramètres!$A$1:$I$89,3,0)*0.475*44/12</f>
        <v>2.183014689194754E-14</v>
      </c>
      <c r="CN134" s="22">
        <f t="shared" si="120"/>
        <v>2.1218442996367806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-1.1368683772161603E-13</v>
      </c>
      <c r="O135" s="13">
        <f>N135*VLOOKUP('Données projet'!$B$9,Paramètres!$A$1:$I$89,3,0)*VLOOKUP('Données projet'!$B$9,Paramètres!$A$1:$I$89,5,0)</f>
        <v>-1.0286385077051818E-13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282.32472952059817</v>
      </c>
      <c r="T135" s="59">
        <f t="shared" si="142"/>
        <v>172.32171001882176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</v>
      </c>
      <c r="AA135" s="21">
        <f>EXP(-LN(2)/25)*AA134+(1-EXP(-LN(2)/25))/(LN(2)/25)*Calculateur!V135*Calculateur!X135*VLOOKUP('Données projet'!$B$9,Paramètres!$A$1:$I$89,3,0)*0.475*44/12</f>
        <v>0.1836497848963129</v>
      </c>
      <c r="AB135" s="21">
        <f>EXP(-LN(2)/2)*AB134+(1-EXP(-LN(2)/2))/(LN(2)/2)*V135*Y135*VLOOKUP('Données projet'!$B$9,Paramètres!$A$1:$I$89,3,0)*0.475*44/12</f>
        <v>2.7486225981603006E-15</v>
      </c>
      <c r="AC135" s="22">
        <f t="shared" si="111"/>
        <v>0.18364978489631564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-1.1368683772161603E-13</v>
      </c>
      <c r="AJ135" s="13">
        <f>AI135*VLOOKUP('Données projet'!$B$10,Paramètres!$A$1:$I$89,3,0)*VLOOKUP('Données projet'!$B$10,Paramètres!$A$1:$I$89,5,0)</f>
        <v>-1.1527845344971866E-13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324.30660429578262</v>
      </c>
      <c r="AO135" s="59">
        <f t="shared" si="144"/>
        <v>197.04549436738586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</v>
      </c>
      <c r="AV135" s="21">
        <f>EXP(-LN(2)/25)*AV134+(1-EXP(-LN(2)/25))/(LN(2)/25)*Calculateur!AQ135*Calculateur!AS135*VLOOKUP('Données projet'!$B$10,Paramètres!$A$1:$I$89,3,0)*0.475*44/12</f>
        <v>0.20581441410793674</v>
      </c>
      <c r="AW135" s="21">
        <f>EXP(-LN(2)/2)*AW134+(1-EXP(-LN(2)/2))/(LN(2)/2)*AQ135*AT135*VLOOKUP('Données projet'!$B$10,Paramètres!$A$1:$I$89,3,0)*0.475*44/12</f>
        <v>3.0803529117313709E-15</v>
      </c>
      <c r="AX135" s="21">
        <f t="shared" si="114"/>
        <v>0.20581441410793982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-1.1368683772161603E-13</v>
      </c>
      <c r="BE135" s="13">
        <f>BD135*VLOOKUP('Données projet'!$B$11,Paramètres!$A$1:$I$89,3,0)*VLOOKUP('Données projet'!$B$11,Paramètres!$A$1:$I$89,5,0)</f>
        <v>-5.3205440053716299E-14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252.98248842635206</v>
      </c>
      <c r="BJ135" s="59">
        <f t="shared" si="146"/>
        <v>207.11938580878308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0.41580735231915766</v>
      </c>
      <c r="BQ135" s="21">
        <f>EXP(-LN(2)/25)*BQ134+(1-EXP(-LN(2)/25))/(LN(2)/25)*Calculateur!BL135*Calculateur!BN135*VLOOKUP('Données projet'!$B$11,Paramètres!$A$1:$I$89,3,0)*0.475*44/12</f>
        <v>0.46448263254222732</v>
      </c>
      <c r="BR135" s="21">
        <f>EXP(-LN(2)/2)*BR134+(1-EXP(-LN(2)/2))/(LN(2)/2)*BL135*BO135*VLOOKUP('Données projet'!$B$11,Paramètres!$A$1:$I$89,3,0)*0.475*44/12</f>
        <v>4.3663634842410168E-15</v>
      </c>
      <c r="BS135" s="22">
        <f t="shared" si="117"/>
        <v>0.88028998486138932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-5.6843418860808015E-13</v>
      </c>
      <c r="BZ135" s="13">
        <f>BY135*VLOOKUP('Données projet'!$B$12,Paramètres!$A$1:$I$89,3,0)*VLOOKUP('Données projet'!$B$12,Paramètres!$A$1:$I$89,5,0)</f>
        <v>-3.39923644787632E-13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392.08740055894992</v>
      </c>
      <c r="CE135" s="59">
        <f t="shared" si="148"/>
        <v>395.10797100415783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0.53036231906028419</v>
      </c>
      <c r="CL135" s="21">
        <f>EXP(-LN(2)/25)*CL134+(1-EXP(-LN(2)/25))/(LN(2)/25)*Calculateur!CG135*Calculateur!CI135*VLOOKUP('Données projet'!$B$12,Paramètres!$A$1:$I$89,3,0)*0.475*44/12</f>
        <v>1.5376448012188413</v>
      </c>
      <c r="CM135" s="21">
        <f>EXP(-LN(2)/2)*CM134+(1-EXP(-LN(2)/2))/(LN(2)/2)*CG135*CJ135*VLOOKUP('Données projet'!$B$12,Paramètres!$A$1:$I$89,3,0)*0.475*44/12</f>
        <v>1.543624490159454E-14</v>
      </c>
      <c r="CN135" s="22">
        <f t="shared" si="120"/>
        <v>2.068007120279141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-1.1368683772161603E-13</v>
      </c>
      <c r="O136" s="13">
        <f>N136*VLOOKUP('Données projet'!$B$9,Paramètres!$A$1:$I$89,3,0)*VLOOKUP('Données projet'!$B$9,Paramètres!$A$1:$I$89,5,0)</f>
        <v>-1.0286385077051818E-13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282.32472952059817</v>
      </c>
      <c r="T136" s="59">
        <f t="shared" si="142"/>
        <v>172.32171001882176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</v>
      </c>
      <c r="AA136" s="21">
        <f>EXP(-LN(2)/25)*AA135+(1-EXP(-LN(2)/25))/(LN(2)/25)*Calculateur!V136*Calculateur!X136*VLOOKUP('Données projet'!$B$9,Paramètres!$A$1:$I$89,3,0)*0.475*44/12</f>
        <v>0.17862787187060078</v>
      </c>
      <c r="AB136" s="21">
        <f>EXP(-LN(2)/2)*AB135+(1-EXP(-LN(2)/2))/(LN(2)/2)*V136*Y136*VLOOKUP('Données projet'!$B$9,Paramètres!$A$1:$I$89,3,0)*0.475*44/12</f>
        <v>1.9435696780817354E-15</v>
      </c>
      <c r="AC136" s="22">
        <f t="shared" si="111"/>
        <v>0.17862787187060272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-1.1368683772161603E-13</v>
      </c>
      <c r="AJ136" s="13">
        <f>AI136*VLOOKUP('Données projet'!$B$10,Paramètres!$A$1:$I$89,3,0)*VLOOKUP('Données projet'!$B$10,Paramètres!$A$1:$I$89,5,0)</f>
        <v>-1.1527845344971866E-13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324.30660429578262</v>
      </c>
      <c r="AO136" s="59">
        <f t="shared" si="144"/>
        <v>197.04549436738586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</v>
      </c>
      <c r="AV136" s="21">
        <f>EXP(-LN(2)/25)*AV135+(1-EXP(-LN(2)/25))/(LN(2)/25)*Calculateur!AQ136*Calculateur!AS136*VLOOKUP('Données projet'!$B$10,Paramètres!$A$1:$I$89,3,0)*0.475*44/12</f>
        <v>0.20018640813084557</v>
      </c>
      <c r="AW136" s="21">
        <f>EXP(-LN(2)/2)*AW135+(1-EXP(-LN(2)/2))/(LN(2)/2)*AQ136*AT136*VLOOKUP('Données projet'!$B$10,Paramètres!$A$1:$I$89,3,0)*0.475*44/12</f>
        <v>2.178138432332979E-15</v>
      </c>
      <c r="AX136" s="21">
        <f t="shared" si="114"/>
        <v>0.20018640813084773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-1.1368683772161603E-13</v>
      </c>
      <c r="BE136" s="13">
        <f>BD136*VLOOKUP('Données projet'!$B$11,Paramètres!$A$1:$I$89,3,0)*VLOOKUP('Données projet'!$B$11,Paramètres!$A$1:$I$89,5,0)</f>
        <v>-5.3205440053716299E-14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252.98248842635206</v>
      </c>
      <c r="BJ136" s="59">
        <f t="shared" si="146"/>
        <v>207.11938580878308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0.40765362375762126</v>
      </c>
      <c r="BQ136" s="21">
        <f>EXP(-LN(2)/25)*BQ135+(1-EXP(-LN(2)/25))/(LN(2)/25)*Calculateur!BL136*Calculateur!BN136*VLOOKUP('Données projet'!$B$11,Paramètres!$A$1:$I$89,3,0)*0.475*44/12</f>
        <v>0.45178133052928005</v>
      </c>
      <c r="BR136" s="21">
        <f>EXP(-LN(2)/2)*BR135+(1-EXP(-LN(2)/2))/(LN(2)/2)*BL136*BO136*VLOOKUP('Données projet'!$B$11,Paramètres!$A$1:$I$89,3,0)*0.475*44/12</f>
        <v>3.087485228832144E-15</v>
      </c>
      <c r="BS136" s="22">
        <f t="shared" si="117"/>
        <v>0.85943495428690442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-5.6843418860808015E-13</v>
      </c>
      <c r="BZ136" s="13">
        <f>BY136*VLOOKUP('Données projet'!$B$12,Paramètres!$A$1:$I$89,3,0)*VLOOKUP('Données projet'!$B$12,Paramètres!$A$1:$I$89,5,0)</f>
        <v>-3.39923644787632E-13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392.08740055894992</v>
      </c>
      <c r="CE136" s="59">
        <f t="shared" si="148"/>
        <v>395.10797100415783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0.51996223747258474</v>
      </c>
      <c r="CL136" s="21">
        <f>EXP(-LN(2)/25)*CL135+(1-EXP(-LN(2)/25))/(LN(2)/25)*Calculateur!CG136*Calculateur!CI136*VLOOKUP('Données projet'!$B$12,Paramètres!$A$1:$I$89,3,0)*0.475*44/12</f>
        <v>1.4955978232682863</v>
      </c>
      <c r="CM136" s="21">
        <f>EXP(-LN(2)/2)*CM135+(1-EXP(-LN(2)/2))/(LN(2)/2)*CG136*CJ136*VLOOKUP('Données projet'!$B$12,Paramètres!$A$1:$I$89,3,0)*0.475*44/12</f>
        <v>1.091507344597377E-14</v>
      </c>
      <c r="CN136" s="22">
        <f t="shared" si="120"/>
        <v>2.0155600607408819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-1.1368683772161603E-13</v>
      </c>
      <c r="O137" s="13">
        <f>N137*VLOOKUP('Données projet'!$B$9,Paramètres!$A$1:$I$89,3,0)*VLOOKUP('Données projet'!$B$9,Paramètres!$A$1:$I$89,5,0)</f>
        <v>-1.0286385077051818E-13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282.32472952059817</v>
      </c>
      <c r="T137" s="59">
        <f t="shared" si="142"/>
        <v>172.32171001882176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</v>
      </c>
      <c r="AA137" s="21">
        <f>EXP(-LN(2)/25)*AA136+(1-EXP(-LN(2)/25))/(LN(2)/25)*Calculateur!V137*Calculateur!X137*VLOOKUP('Données projet'!$B$9,Paramètres!$A$1:$I$89,3,0)*0.475*44/12</f>
        <v>0.17374328332066769</v>
      </c>
      <c r="AB137" s="21">
        <f>EXP(-LN(2)/2)*AB136+(1-EXP(-LN(2)/2))/(LN(2)/2)*V137*Y137*VLOOKUP('Données projet'!$B$9,Paramètres!$A$1:$I$89,3,0)*0.475*44/12</f>
        <v>1.3743112990801503E-15</v>
      </c>
      <c r="AC137" s="22">
        <f t="shared" si="111"/>
        <v>0.17374328332066907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-1.1368683772161603E-13</v>
      </c>
      <c r="AJ137" s="13">
        <f>AI137*VLOOKUP('Données projet'!$B$10,Paramètres!$A$1:$I$89,3,0)*VLOOKUP('Données projet'!$B$10,Paramètres!$A$1:$I$89,5,0)</f>
        <v>-1.1527845344971866E-13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324.30660429578262</v>
      </c>
      <c r="AO137" s="59">
        <f t="shared" si="144"/>
        <v>197.04549436738586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</v>
      </c>
      <c r="AV137" s="21">
        <f>EXP(-LN(2)/25)*AV136+(1-EXP(-LN(2)/25))/(LN(2)/25)*Calculateur!AQ137*Calculateur!AS137*VLOOKUP('Données projet'!$B$10,Paramètres!$A$1:$I$89,3,0)*0.475*44/12</f>
        <v>0.19471230027316191</v>
      </c>
      <c r="AW137" s="21">
        <f>EXP(-LN(2)/2)*AW136+(1-EXP(-LN(2)/2))/(LN(2)/2)*AQ137*AT137*VLOOKUP('Données projet'!$B$10,Paramètres!$A$1:$I$89,3,0)*0.475*44/12</f>
        <v>1.5401764558656855E-15</v>
      </c>
      <c r="AX137" s="21">
        <f t="shared" si="114"/>
        <v>0.19471230027316344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-1.1368683772161603E-13</v>
      </c>
      <c r="BE137" s="13">
        <f>BD137*VLOOKUP('Données projet'!$B$11,Paramètres!$A$1:$I$89,3,0)*VLOOKUP('Données projet'!$B$11,Paramètres!$A$1:$I$89,5,0)</f>
        <v>-5.3205440053716299E-14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252.98248842635206</v>
      </c>
      <c r="BJ137" s="59">
        <f t="shared" si="146"/>
        <v>207.11938580878308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0.39965978483989323</v>
      </c>
      <c r="BQ137" s="21">
        <f>EXP(-LN(2)/25)*BQ136+(1-EXP(-LN(2)/25))/(LN(2)/25)*Calculateur!BL137*Calculateur!BN137*VLOOKUP('Données projet'!$B$11,Paramètres!$A$1:$I$89,3,0)*0.475*44/12</f>
        <v>0.43942734628780927</v>
      </c>
      <c r="BR137" s="21">
        <f>EXP(-LN(2)/2)*BR136+(1-EXP(-LN(2)/2))/(LN(2)/2)*BL137*BO137*VLOOKUP('Données projet'!$B$11,Paramètres!$A$1:$I$89,3,0)*0.475*44/12</f>
        <v>2.1831817421205084E-15</v>
      </c>
      <c r="BS137" s="22">
        <f t="shared" si="117"/>
        <v>0.83908713112770472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-5.6843418860808015E-13</v>
      </c>
      <c r="BZ137" s="13">
        <f>BY137*VLOOKUP('Données projet'!$B$12,Paramètres!$A$1:$I$89,3,0)*VLOOKUP('Données projet'!$B$12,Paramètres!$A$1:$I$89,5,0)</f>
        <v>-3.39923644787632E-13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392.08740055894992</v>
      </c>
      <c r="CE137" s="59">
        <f t="shared" si="148"/>
        <v>395.10797100415783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0.5097660951413967</v>
      </c>
      <c r="CL137" s="21">
        <f>EXP(-LN(2)/25)*CL136+(1-EXP(-LN(2)/25))/(LN(2)/25)*Calculateur!CG137*Calculateur!CI137*VLOOKUP('Données projet'!$B$12,Paramètres!$A$1:$I$89,3,0)*0.475*44/12</f>
        <v>1.4547006221409438</v>
      </c>
      <c r="CM137" s="21">
        <f>EXP(-LN(2)/2)*CM136+(1-EXP(-LN(2)/2))/(LN(2)/2)*CG137*CJ137*VLOOKUP('Données projet'!$B$12,Paramètres!$A$1:$I$89,3,0)*0.475*44/12</f>
        <v>7.7181224507972698E-15</v>
      </c>
      <c r="CN137" s="22">
        <f t="shared" si="120"/>
        <v>1.9644667172823482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-1.1368683772161603E-13</v>
      </c>
      <c r="O138" s="13">
        <f>N138*VLOOKUP('Données projet'!$B$9,Paramètres!$A$1:$I$89,3,0)*VLOOKUP('Données projet'!$B$9,Paramètres!$A$1:$I$89,5,0)</f>
        <v>-1.0286385077051818E-13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282.32472952059817</v>
      </c>
      <c r="T138" s="59">
        <f t="shared" si="142"/>
        <v>172.32171001882176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</v>
      </c>
      <c r="AA138" s="21">
        <f>EXP(-LN(2)/25)*AA137+(1-EXP(-LN(2)/25))/(LN(2)/25)*Calculateur!V138*Calculateur!X138*VLOOKUP('Données projet'!$B$9,Paramètres!$A$1:$I$89,3,0)*0.475*44/12</f>
        <v>0.16899226410150187</v>
      </c>
      <c r="AB138" s="21">
        <f>EXP(-LN(2)/2)*AB137+(1-EXP(-LN(2)/2))/(LN(2)/2)*V138*Y138*VLOOKUP('Données projet'!$B$9,Paramètres!$A$1:$I$89,3,0)*0.475*44/12</f>
        <v>9.7178483904086771E-16</v>
      </c>
      <c r="AC138" s="22">
        <f t="shared" si="111"/>
        <v>0.16899226410150284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-1.1368683772161603E-13</v>
      </c>
      <c r="AJ138" s="13">
        <f>AI138*VLOOKUP('Données projet'!$B$10,Paramètres!$A$1:$I$89,3,0)*VLOOKUP('Données projet'!$B$10,Paramètres!$A$1:$I$89,5,0)</f>
        <v>-1.1527845344971866E-13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324.30660429578262</v>
      </c>
      <c r="AO138" s="59">
        <f t="shared" si="144"/>
        <v>197.04549436738586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</v>
      </c>
      <c r="AV138" s="21">
        <f>EXP(-LN(2)/25)*AV137+(1-EXP(-LN(2)/25))/(LN(2)/25)*Calculateur!AQ138*Calculateur!AS138*VLOOKUP('Données projet'!$B$10,Paramètres!$A$1:$I$89,3,0)*0.475*44/12</f>
        <v>0.18938788218271746</v>
      </c>
      <c r="AW138" s="21">
        <f>EXP(-LN(2)/2)*AW137+(1-EXP(-LN(2)/2))/(LN(2)/2)*AQ138*AT138*VLOOKUP('Données projet'!$B$10,Paramètres!$A$1:$I$89,3,0)*0.475*44/12</f>
        <v>1.0890692161664895E-15</v>
      </c>
      <c r="AX138" s="21">
        <f t="shared" si="114"/>
        <v>0.18938788218271854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-1.1368683772161603E-13</v>
      </c>
      <c r="BE138" s="13">
        <f>BD138*VLOOKUP('Données projet'!$B$11,Paramètres!$A$1:$I$89,3,0)*VLOOKUP('Données projet'!$B$11,Paramètres!$A$1:$I$89,5,0)</f>
        <v>-5.3205440053716299E-14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252.98248842635206</v>
      </c>
      <c r="BJ138" s="59">
        <f t="shared" si="146"/>
        <v>207.11938580878308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0.39182270022758153</v>
      </c>
      <c r="BQ138" s="21">
        <f>EXP(-LN(2)/25)*BQ137+(1-EXP(-LN(2)/25))/(LN(2)/25)*Calculateur!BL138*Calculateur!BN138*VLOOKUP('Données projet'!$B$11,Paramètres!$A$1:$I$89,3,0)*0.475*44/12</f>
        <v>0.4274111823950893</v>
      </c>
      <c r="BR138" s="21">
        <f>EXP(-LN(2)/2)*BR137+(1-EXP(-LN(2)/2))/(LN(2)/2)*BL138*BO138*VLOOKUP('Données projet'!$B$11,Paramètres!$A$1:$I$89,3,0)*0.475*44/12</f>
        <v>1.543742614416072E-15</v>
      </c>
      <c r="BS138" s="22">
        <f t="shared" si="117"/>
        <v>0.81923388262267238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-5.6843418860808015E-13</v>
      </c>
      <c r="BZ138" s="13">
        <f>BY138*VLOOKUP('Données projet'!$B$12,Paramètres!$A$1:$I$89,3,0)*VLOOKUP('Données projet'!$B$12,Paramètres!$A$1:$I$89,5,0)</f>
        <v>-3.39923644787632E-13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392.08740055894992</v>
      </c>
      <c r="CE138" s="59">
        <f t="shared" si="148"/>
        <v>395.10797100415783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0.49976989294229052</v>
      </c>
      <c r="CL138" s="21">
        <f>EXP(-LN(2)/25)*CL137+(1-EXP(-LN(2)/25))/(LN(2)/25)*Calculateur!CG138*Calculateur!CI138*VLOOKUP('Données projet'!$B$12,Paramètres!$A$1:$I$89,3,0)*0.475*44/12</f>
        <v>1.4149217571291186</v>
      </c>
      <c r="CM138" s="21">
        <f>EXP(-LN(2)/2)*CM137+(1-EXP(-LN(2)/2))/(LN(2)/2)*CG138*CJ138*VLOOKUP('Données projet'!$B$12,Paramètres!$A$1:$I$89,3,0)*0.475*44/12</f>
        <v>5.4575367229868851E-15</v>
      </c>
      <c r="CN138" s="22">
        <f t="shared" si="120"/>
        <v>1.9146916500714146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-1.1368683772161603E-13</v>
      </c>
      <c r="O139" s="13">
        <f>N139*VLOOKUP('Données projet'!$B$9,Paramètres!$A$1:$I$89,3,0)*VLOOKUP('Données projet'!$B$9,Paramètres!$A$1:$I$89,5,0)</f>
        <v>-1.0286385077051818E-13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282.32472952059817</v>
      </c>
      <c r="T139" s="59">
        <f t="shared" si="142"/>
        <v>172.32171001882176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</v>
      </c>
      <c r="AA139" s="21">
        <f>EXP(-LN(2)/25)*AA138+(1-EXP(-LN(2)/25))/(LN(2)/25)*Calculateur!V139*Calculateur!X139*VLOOKUP('Données projet'!$B$9,Paramètres!$A$1:$I$89,3,0)*0.475*44/12</f>
        <v>0.16437116175272937</v>
      </c>
      <c r="AB139" s="21">
        <f>EXP(-LN(2)/2)*AB138+(1-EXP(-LN(2)/2))/(LN(2)/2)*V139*Y139*VLOOKUP('Données projet'!$B$9,Paramètres!$A$1:$I$89,3,0)*0.475*44/12</f>
        <v>6.8715564954007516E-16</v>
      </c>
      <c r="AC139" s="22">
        <f t="shared" si="111"/>
        <v>0.16437116175273006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-1.1368683772161603E-13</v>
      </c>
      <c r="AJ139" s="13">
        <f>AI139*VLOOKUP('Données projet'!$B$10,Paramètres!$A$1:$I$89,3,0)*VLOOKUP('Données projet'!$B$10,Paramètres!$A$1:$I$89,5,0)</f>
        <v>-1.1527845344971866E-13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324.30660429578262</v>
      </c>
      <c r="AO139" s="59">
        <f t="shared" si="144"/>
        <v>197.04549436738586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</v>
      </c>
      <c r="AV139" s="21">
        <f>EXP(-LN(2)/25)*AV138+(1-EXP(-LN(2)/25))/(LN(2)/25)*Calculateur!AQ139*Calculateur!AS139*VLOOKUP('Données projet'!$B$10,Paramètres!$A$1:$I$89,3,0)*0.475*44/12</f>
        <v>0.18420906058495518</v>
      </c>
      <c r="AW139" s="21">
        <f>EXP(-LN(2)/2)*AW138+(1-EXP(-LN(2)/2))/(LN(2)/2)*AQ139*AT139*VLOOKUP('Données projet'!$B$10,Paramètres!$A$1:$I$89,3,0)*0.475*44/12</f>
        <v>7.7008822793284273E-16</v>
      </c>
      <c r="AX139" s="21">
        <f t="shared" si="114"/>
        <v>0.18420906058495595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-1.1368683772161603E-13</v>
      </c>
      <c r="BE139" s="13">
        <f>BD139*VLOOKUP('Données projet'!$B$11,Paramètres!$A$1:$I$89,3,0)*VLOOKUP('Données projet'!$B$11,Paramètres!$A$1:$I$89,5,0)</f>
        <v>-5.3205440053716299E-14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252.98248842635206</v>
      </c>
      <c r="BJ139" s="59">
        <f t="shared" si="146"/>
        <v>207.11938580878308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0.38413929606436764</v>
      </c>
      <c r="BQ139" s="21">
        <f>EXP(-LN(2)/25)*BQ138+(1-EXP(-LN(2)/25))/(LN(2)/25)*Calculateur!BL139*Calculateur!BN139*VLOOKUP('Données projet'!$B$11,Paramètres!$A$1:$I$89,3,0)*0.475*44/12</f>
        <v>0.41572360113591833</v>
      </c>
      <c r="BR139" s="21">
        <f>EXP(-LN(2)/2)*BR138+(1-EXP(-LN(2)/2))/(LN(2)/2)*BL139*BO139*VLOOKUP('Données projet'!$B$11,Paramètres!$A$1:$I$89,3,0)*0.475*44/12</f>
        <v>1.0915908710602542E-15</v>
      </c>
      <c r="BS139" s="22">
        <f t="shared" si="117"/>
        <v>0.79986289720028703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-5.6843418860808015E-13</v>
      </c>
      <c r="BZ139" s="13">
        <f>BY139*VLOOKUP('Données projet'!$B$12,Paramètres!$A$1:$I$89,3,0)*VLOOKUP('Données projet'!$B$12,Paramètres!$A$1:$I$89,5,0)</f>
        <v>-3.39923644787632E-13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392.08740055894992</v>
      </c>
      <c r="CE139" s="59">
        <f t="shared" si="148"/>
        <v>395.10797100415783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0.48996971017122748</v>
      </c>
      <c r="CL139" s="21">
        <f>EXP(-LN(2)/25)*CL138+(1-EXP(-LN(2)/25))/(LN(2)/25)*Calculateur!CG139*Calculateur!CI139*VLOOKUP('Données projet'!$B$12,Paramètres!$A$1:$I$89,3,0)*0.475*44/12</f>
        <v>1.3762306472729215</v>
      </c>
      <c r="CM139" s="21">
        <f>EXP(-LN(2)/2)*CM138+(1-EXP(-LN(2)/2))/(LN(2)/2)*CG139*CJ139*VLOOKUP('Données projet'!$B$12,Paramètres!$A$1:$I$89,3,0)*0.475*44/12</f>
        <v>3.8590612253986349E-15</v>
      </c>
      <c r="CN139" s="22">
        <f t="shared" si="120"/>
        <v>1.8662003574441528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-1.1368683772161603E-13</v>
      </c>
      <c r="O140" s="13">
        <f>N140*VLOOKUP('Données projet'!$B$9,Paramètres!$A$1:$I$89,3,0)*VLOOKUP('Données projet'!$B$9,Paramètres!$A$1:$I$89,5,0)</f>
        <v>-1.0286385077051818E-13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282.32472952059817</v>
      </c>
      <c r="T140" s="59">
        <f t="shared" si="142"/>
        <v>172.32171001882176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</v>
      </c>
      <c r="AA140" s="21">
        <f>EXP(-LN(2)/25)*AA139+(1-EXP(-LN(2)/25))/(LN(2)/25)*Calculateur!V140*Calculateur!X140*VLOOKUP('Données projet'!$B$9,Paramètres!$A$1:$I$89,3,0)*0.475*44/12</f>
        <v>0.15987642369069727</v>
      </c>
      <c r="AB140" s="21">
        <f>EXP(-LN(2)/2)*AB139+(1-EXP(-LN(2)/2))/(LN(2)/2)*V140*Y140*VLOOKUP('Données projet'!$B$9,Paramètres!$A$1:$I$89,3,0)*0.475*44/12</f>
        <v>4.8589241952043386E-16</v>
      </c>
      <c r="AC140" s="22">
        <f t="shared" si="111"/>
        <v>0.15987642369069777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-1.1368683772161603E-13</v>
      </c>
      <c r="AJ140" s="13">
        <f>AI140*VLOOKUP('Données projet'!$B$10,Paramètres!$A$1:$I$89,3,0)*VLOOKUP('Données projet'!$B$10,Paramètres!$A$1:$I$89,5,0)</f>
        <v>-1.1527845344971866E-13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324.30660429578262</v>
      </c>
      <c r="AO140" s="59">
        <f t="shared" si="144"/>
        <v>197.04549436738586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</v>
      </c>
      <c r="AV140" s="21">
        <f>EXP(-LN(2)/25)*AV139+(1-EXP(-LN(2)/25))/(LN(2)/25)*Calculateur!AQ140*Calculateur!AS140*VLOOKUP('Données projet'!$B$10,Paramètres!$A$1:$I$89,3,0)*0.475*44/12</f>
        <v>0.1791718541361261</v>
      </c>
      <c r="AW140" s="21">
        <f>EXP(-LN(2)/2)*AW139+(1-EXP(-LN(2)/2))/(LN(2)/2)*AQ140*AT140*VLOOKUP('Données projet'!$B$10,Paramètres!$A$1:$I$89,3,0)*0.475*44/12</f>
        <v>5.4453460808324476E-16</v>
      </c>
      <c r="AX140" s="21">
        <f t="shared" si="114"/>
        <v>0.17917185413612666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-1.1368683772161603E-13</v>
      </c>
      <c r="BE140" s="13">
        <f>BD140*VLOOKUP('Données projet'!$B$11,Paramètres!$A$1:$I$89,3,0)*VLOOKUP('Données projet'!$B$11,Paramètres!$A$1:$I$89,5,0)</f>
        <v>-5.3205440053716299E-14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252.98248842635206</v>
      </c>
      <c r="BJ140" s="59">
        <f t="shared" si="146"/>
        <v>207.11938580878308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0.37660655877038063</v>
      </c>
      <c r="BQ140" s="21">
        <f>EXP(-LN(2)/25)*BQ139+(1-EXP(-LN(2)/25))/(LN(2)/25)*Calculateur!BL140*Calculateur!BN140*VLOOKUP('Données projet'!$B$11,Paramètres!$A$1:$I$89,3,0)*0.475*44/12</f>
        <v>0.40435561740090259</v>
      </c>
      <c r="BR140" s="21">
        <f>EXP(-LN(2)/2)*BR139+(1-EXP(-LN(2)/2))/(LN(2)/2)*BL140*BO140*VLOOKUP('Données projet'!$B$11,Paramètres!$A$1:$I$89,3,0)*0.475*44/12</f>
        <v>7.7187130720803599E-16</v>
      </c>
      <c r="BS140" s="22">
        <f t="shared" si="117"/>
        <v>0.78096217617128405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-5.6843418860808015E-13</v>
      </c>
      <c r="BZ140" s="13">
        <f>BY140*VLOOKUP('Données projet'!$B$12,Paramètres!$A$1:$I$89,3,0)*VLOOKUP('Données projet'!$B$12,Paramètres!$A$1:$I$89,5,0)</f>
        <v>-3.39923644787632E-13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392.08740055894992</v>
      </c>
      <c r="CE140" s="59">
        <f t="shared" si="148"/>
        <v>395.10797100415783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0.48036170300678371</v>
      </c>
      <c r="CL140" s="21">
        <f>EXP(-LN(2)/25)*CL139+(1-EXP(-LN(2)/25))/(LN(2)/25)*Calculateur!CG140*Calculateur!CI140*VLOOKUP('Données projet'!$B$12,Paramètres!$A$1:$I$89,3,0)*0.475*44/12</f>
        <v>1.3385975478504193</v>
      </c>
      <c r="CM140" s="21">
        <f>EXP(-LN(2)/2)*CM139+(1-EXP(-LN(2)/2))/(LN(2)/2)*CG140*CJ140*VLOOKUP('Données projet'!$B$12,Paramètres!$A$1:$I$89,3,0)*0.475*44/12</f>
        <v>2.7287683614934425E-15</v>
      </c>
      <c r="CN140" s="22">
        <f t="shared" si="120"/>
        <v>1.8189592508572057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-1.1368683772161603E-13</v>
      </c>
      <c r="O141" s="13">
        <f>N141*VLOOKUP('Données projet'!$B$9,Paramètres!$A$1:$I$89,3,0)*VLOOKUP('Données projet'!$B$9,Paramètres!$A$1:$I$89,5,0)</f>
        <v>-1.0286385077051818E-13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282.32472952059817</v>
      </c>
      <c r="T141" s="59">
        <f t="shared" si="142"/>
        <v>172.32171001882176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</v>
      </c>
      <c r="AA141" s="21">
        <f>EXP(-LN(2)/25)*AA140+(1-EXP(-LN(2)/25))/(LN(2)/25)*Calculateur!V141*Calculateur!X141*VLOOKUP('Données projet'!$B$9,Paramètres!$A$1:$I$89,3,0)*0.475*44/12</f>
        <v>0.15550459447733944</v>
      </c>
      <c r="AB141" s="21">
        <f>EXP(-LN(2)/2)*AB140+(1-EXP(-LN(2)/2))/(LN(2)/2)*V141*Y141*VLOOKUP('Données projet'!$B$9,Paramètres!$A$1:$I$89,3,0)*0.475*44/12</f>
        <v>3.4357782477003758E-16</v>
      </c>
      <c r="AC141" s="22">
        <f t="shared" si="111"/>
        <v>0.15550459447733977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-1.1368683772161603E-13</v>
      </c>
      <c r="AJ141" s="13">
        <f>AI141*VLOOKUP('Données projet'!$B$10,Paramètres!$A$1:$I$89,3,0)*VLOOKUP('Données projet'!$B$10,Paramètres!$A$1:$I$89,5,0)</f>
        <v>-1.1527845344971866E-13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324.30660429578262</v>
      </c>
      <c r="AO141" s="59">
        <f t="shared" si="144"/>
        <v>197.04549436738586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</v>
      </c>
      <c r="AV141" s="21">
        <f>EXP(-LN(2)/25)*AV140+(1-EXP(-LN(2)/25))/(LN(2)/25)*Calculateur!AQ141*Calculateur!AS141*VLOOKUP('Données projet'!$B$10,Paramètres!$A$1:$I$89,3,0)*0.475*44/12</f>
        <v>0.17427239036253542</v>
      </c>
      <c r="AW141" s="21">
        <f>EXP(-LN(2)/2)*AW140+(1-EXP(-LN(2)/2))/(LN(2)/2)*AQ141*AT141*VLOOKUP('Données projet'!$B$10,Paramètres!$A$1:$I$89,3,0)*0.475*44/12</f>
        <v>3.8504411396642137E-16</v>
      </c>
      <c r="AX141" s="21">
        <f t="shared" si="114"/>
        <v>0.17427239036253581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-1.1368683772161603E-13</v>
      </c>
      <c r="BE141" s="13">
        <f>BD141*VLOOKUP('Données projet'!$B$11,Paramètres!$A$1:$I$89,3,0)*VLOOKUP('Données projet'!$B$11,Paramètres!$A$1:$I$89,5,0)</f>
        <v>-5.3205440053716299E-14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252.98248842635206</v>
      </c>
      <c r="BJ141" s="59">
        <f t="shared" si="146"/>
        <v>207.11938580878308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0.36922153386021261</v>
      </c>
      <c r="BQ141" s="21">
        <f>EXP(-LN(2)/25)*BQ140+(1-EXP(-LN(2)/25))/(LN(2)/25)*Calculateur!BL141*Calculateur!BN141*VLOOKUP('Données projet'!$B$11,Paramètres!$A$1:$I$89,3,0)*0.475*44/12</f>
        <v>0.39329849177893716</v>
      </c>
      <c r="BR141" s="21">
        <f>EXP(-LN(2)/2)*BR140+(1-EXP(-LN(2)/2))/(LN(2)/2)*BL141*BO141*VLOOKUP('Données projet'!$B$11,Paramètres!$A$1:$I$89,3,0)*0.475*44/12</f>
        <v>5.457954355301271E-16</v>
      </c>
      <c r="BS141" s="22">
        <f t="shared" si="117"/>
        <v>0.76252002563915033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-5.6843418860808015E-13</v>
      </c>
      <c r="BZ141" s="13">
        <f>BY141*VLOOKUP('Données projet'!$B$12,Paramètres!$A$1:$I$89,3,0)*VLOOKUP('Données projet'!$B$12,Paramètres!$A$1:$I$89,5,0)</f>
        <v>-3.39923644787632E-13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392.08740055894992</v>
      </c>
      <c r="CE141" s="59">
        <f t="shared" si="148"/>
        <v>395.10797100415783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0.47094210300252898</v>
      </c>
      <c r="CL141" s="21">
        <f>EXP(-LN(2)/25)*CL140+(1-EXP(-LN(2)/25))/(LN(2)/25)*Calculateur!CG141*Calculateur!CI141*VLOOKUP('Données projet'!$B$12,Paramètres!$A$1:$I$89,3,0)*0.475*44/12</f>
        <v>1.301993527510664</v>
      </c>
      <c r="CM141" s="21">
        <f>EXP(-LN(2)/2)*CM140+(1-EXP(-LN(2)/2))/(LN(2)/2)*CG141*CJ141*VLOOKUP('Données projet'!$B$12,Paramètres!$A$1:$I$89,3,0)*0.475*44/12</f>
        <v>1.9295306126993174E-15</v>
      </c>
      <c r="CN141" s="22">
        <f t="shared" si="120"/>
        <v>1.7729356305131949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-1.1368683772161603E-13</v>
      </c>
      <c r="O142" s="13">
        <f>N142*VLOOKUP('Données projet'!$B$9,Paramètres!$A$1:$I$89,3,0)*VLOOKUP('Données projet'!$B$9,Paramètres!$A$1:$I$89,5,0)</f>
        <v>-1.0286385077051818E-13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282.32472952059817</v>
      </c>
      <c r="T142" s="59">
        <f t="shared" si="142"/>
        <v>172.32171001882176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</v>
      </c>
      <c r="AA142" s="21">
        <f>EXP(-LN(2)/25)*AA141+(1-EXP(-LN(2)/25))/(LN(2)/25)*Calculateur!V142*Calculateur!X142*VLOOKUP('Données projet'!$B$9,Paramètres!$A$1:$I$89,3,0)*0.475*44/12</f>
        <v>0.15125231316372539</v>
      </c>
      <c r="AB142" s="21">
        <f>EXP(-LN(2)/2)*AB141+(1-EXP(-LN(2)/2))/(LN(2)/2)*V142*Y142*VLOOKUP('Données projet'!$B$9,Paramètres!$A$1:$I$89,3,0)*0.475*44/12</f>
        <v>2.4294620976021693E-16</v>
      </c>
      <c r="AC142" s="22">
        <f t="shared" si="111"/>
        <v>0.15125231316372564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-1.1368683772161603E-13</v>
      </c>
      <c r="AJ142" s="13">
        <f>AI142*VLOOKUP('Données projet'!$B$10,Paramètres!$A$1:$I$89,3,0)*VLOOKUP('Données projet'!$B$10,Paramètres!$A$1:$I$89,5,0)</f>
        <v>-1.1527845344971866E-13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324.30660429578262</v>
      </c>
      <c r="AO142" s="59">
        <f t="shared" si="144"/>
        <v>197.04549436738586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</v>
      </c>
      <c r="AV142" s="21">
        <f>EXP(-LN(2)/25)*AV141+(1-EXP(-LN(2)/25))/(LN(2)/25)*Calculateur!AQ142*Calculateur!AS142*VLOOKUP('Données projet'!$B$10,Paramètres!$A$1:$I$89,3,0)*0.475*44/12</f>
        <v>0.16950690268348517</v>
      </c>
      <c r="AW142" s="21">
        <f>EXP(-LN(2)/2)*AW141+(1-EXP(-LN(2)/2))/(LN(2)/2)*AQ142*AT142*VLOOKUP('Données projet'!$B$10,Paramètres!$A$1:$I$89,3,0)*0.475*44/12</f>
        <v>2.7226730404162238E-16</v>
      </c>
      <c r="AX142" s="21">
        <f t="shared" si="114"/>
        <v>0.16950690268348545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-1.1368683772161603E-13</v>
      </c>
      <c r="BE142" s="13">
        <f>BD142*VLOOKUP('Données projet'!$B$11,Paramètres!$A$1:$I$89,3,0)*VLOOKUP('Données projet'!$B$11,Paramètres!$A$1:$I$89,5,0)</f>
        <v>-5.3205440053716299E-14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252.98248842635206</v>
      </c>
      <c r="BJ142" s="59">
        <f t="shared" si="146"/>
        <v>207.11938580878308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0.36198132478411255</v>
      </c>
      <c r="BQ142" s="21">
        <f>EXP(-LN(2)/25)*BQ141+(1-EXP(-LN(2)/25))/(LN(2)/25)*Calculateur!BL142*Calculateur!BN142*VLOOKUP('Données projet'!$B$11,Paramètres!$A$1:$I$89,3,0)*0.475*44/12</f>
        <v>0.38254372383857332</v>
      </c>
      <c r="BR142" s="21">
        <f>EXP(-LN(2)/2)*BR141+(1-EXP(-LN(2)/2))/(LN(2)/2)*BL142*BO142*VLOOKUP('Données projet'!$B$11,Paramètres!$A$1:$I$89,3,0)*0.475*44/12</f>
        <v>3.85935653604018E-16</v>
      </c>
      <c r="BS142" s="22">
        <f t="shared" si="117"/>
        <v>0.7445250486226862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-5.6843418860808015E-13</v>
      </c>
      <c r="BZ142" s="13">
        <f>BY142*VLOOKUP('Données projet'!$B$12,Paramètres!$A$1:$I$89,3,0)*VLOOKUP('Données projet'!$B$12,Paramètres!$A$1:$I$89,5,0)</f>
        <v>-3.39923644787632E-13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392.08740055894992</v>
      </c>
      <c r="CE142" s="59">
        <f t="shared" si="148"/>
        <v>395.10797100415783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0.46170721560896899</v>
      </c>
      <c r="CL142" s="21">
        <f>EXP(-LN(2)/25)*CL141+(1-EXP(-LN(2)/25))/(LN(2)/25)*Calculateur!CG142*Calculateur!CI142*VLOOKUP('Données projet'!$B$12,Paramètres!$A$1:$I$89,3,0)*0.475*44/12</f>
        <v>1.266390446032021</v>
      </c>
      <c r="CM142" s="21">
        <f>EXP(-LN(2)/2)*CM141+(1-EXP(-LN(2)/2))/(LN(2)/2)*CG142*CJ142*VLOOKUP('Données projet'!$B$12,Paramètres!$A$1:$I$89,3,0)*0.475*44/12</f>
        <v>1.3643841807467213E-15</v>
      </c>
      <c r="CN142" s="22">
        <f t="shared" si="120"/>
        <v>1.7280976616409913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-1.1368683772161603E-13</v>
      </c>
      <c r="O143" s="13">
        <f>N143*VLOOKUP('Données projet'!$B$9,Paramètres!$A$1:$I$89,3,0)*VLOOKUP('Données projet'!$B$9,Paramètres!$A$1:$I$89,5,0)</f>
        <v>-1.0286385077051818E-13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282.32472952059817</v>
      </c>
      <c r="T143" s="59">
        <f t="shared" si="142"/>
        <v>172.32171001882176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</v>
      </c>
      <c r="AA143" s="21">
        <f>EXP(-LN(2)/25)*AA142+(1-EXP(-LN(2)/25))/(LN(2)/25)*Calculateur!V143*Calculateur!X143*VLOOKUP('Données projet'!$B$9,Paramètres!$A$1:$I$89,3,0)*0.475*44/12</f>
        <v>0.14711631070624986</v>
      </c>
      <c r="AB143" s="21">
        <f>EXP(-LN(2)/2)*AB142+(1-EXP(-LN(2)/2))/(LN(2)/2)*V143*Y143*VLOOKUP('Données projet'!$B$9,Paramètres!$A$1:$I$89,3,0)*0.475*44/12</f>
        <v>1.7178891238501879E-16</v>
      </c>
      <c r="AC143" s="22">
        <f t="shared" si="111"/>
        <v>0.14711631070625003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-1.1368683772161603E-13</v>
      </c>
      <c r="AJ143" s="13">
        <f>AI143*VLOOKUP('Données projet'!$B$10,Paramètres!$A$1:$I$89,3,0)*VLOOKUP('Données projet'!$B$10,Paramètres!$A$1:$I$89,5,0)</f>
        <v>-1.1527845344971866E-13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324.30660429578262</v>
      </c>
      <c r="AO143" s="59">
        <f t="shared" si="144"/>
        <v>197.04549436738586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</v>
      </c>
      <c r="AV143" s="21">
        <f>EXP(-LN(2)/25)*AV142+(1-EXP(-LN(2)/25))/(LN(2)/25)*Calculateur!AQ143*Calculateur!AS143*VLOOKUP('Données projet'!$B$10,Paramètres!$A$1:$I$89,3,0)*0.475*44/12</f>
        <v>0.16487172751562468</v>
      </c>
      <c r="AW143" s="21">
        <f>EXP(-LN(2)/2)*AW142+(1-EXP(-LN(2)/2))/(LN(2)/2)*AQ143*AT143*VLOOKUP('Données projet'!$B$10,Paramètres!$A$1:$I$89,3,0)*0.475*44/12</f>
        <v>1.9252205698321068E-16</v>
      </c>
      <c r="AX143" s="21">
        <f t="shared" si="114"/>
        <v>0.16487172751562487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-1.1368683772161603E-13</v>
      </c>
      <c r="BE143" s="13">
        <f>BD143*VLOOKUP('Données projet'!$B$11,Paramètres!$A$1:$I$89,3,0)*VLOOKUP('Données projet'!$B$11,Paramètres!$A$1:$I$89,5,0)</f>
        <v>-5.3205440053716299E-14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252.98248842635206</v>
      </c>
      <c r="BJ143" s="59">
        <f t="shared" si="146"/>
        <v>207.11938580878308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0.3548830917919033</v>
      </c>
      <c r="BQ143" s="21">
        <f>EXP(-LN(2)/25)*BQ142+(1-EXP(-LN(2)/25))/(LN(2)/25)*Calculateur!BL143*Calculateur!BN143*VLOOKUP('Données projet'!$B$11,Paramètres!$A$1:$I$89,3,0)*0.475*44/12</f>
        <v>0.3720830455931074</v>
      </c>
      <c r="BR143" s="21">
        <f>EXP(-LN(2)/2)*BR142+(1-EXP(-LN(2)/2))/(LN(2)/2)*BL143*BO143*VLOOKUP('Données projet'!$B$11,Paramètres!$A$1:$I$89,3,0)*0.475*44/12</f>
        <v>2.7289771776506355E-16</v>
      </c>
      <c r="BS143" s="22">
        <f t="shared" si="117"/>
        <v>0.72696613738501092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-5.6843418860808015E-13</v>
      </c>
      <c r="BZ143" s="13">
        <f>BY143*VLOOKUP('Données projet'!$B$12,Paramètres!$A$1:$I$89,3,0)*VLOOKUP('Données projet'!$B$12,Paramètres!$A$1:$I$89,5,0)</f>
        <v>-3.39923644787632E-13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392.08740055894992</v>
      </c>
      <c r="CE143" s="59">
        <f t="shared" si="148"/>
        <v>395.10797100415783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0.45265341872447162</v>
      </c>
      <c r="CL143" s="21">
        <f>EXP(-LN(2)/25)*CL142+(1-EXP(-LN(2)/25))/(LN(2)/25)*Calculateur!CG143*Calculateur!CI143*VLOOKUP('Données projet'!$B$12,Paramètres!$A$1:$I$89,3,0)*0.475*44/12</f>
        <v>1.2317609326886962</v>
      </c>
      <c r="CM143" s="21">
        <f>EXP(-LN(2)/2)*CM142+(1-EXP(-LN(2)/2))/(LN(2)/2)*CG143*CJ143*VLOOKUP('Données projet'!$B$12,Paramètres!$A$1:$I$89,3,0)*0.475*44/12</f>
        <v>9.6476530634965872E-16</v>
      </c>
      <c r="CN143" s="22">
        <f t="shared" si="120"/>
        <v>1.6844143514131686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-1.1368683772161603E-13</v>
      </c>
      <c r="O144" s="13">
        <f>N144*VLOOKUP('Données projet'!$B$9,Paramètres!$A$1:$I$89,3,0)*VLOOKUP('Données projet'!$B$9,Paramètres!$A$1:$I$89,5,0)</f>
        <v>-1.0286385077051818E-13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282.32472952059817</v>
      </c>
      <c r="T144" s="59">
        <f t="shared" si="142"/>
        <v>172.32171001882176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</v>
      </c>
      <c r="AA144" s="21">
        <f>EXP(-LN(2)/25)*AA143+(1-EXP(-LN(2)/25))/(LN(2)/25)*Calculateur!V144*Calculateur!X144*VLOOKUP('Données projet'!$B$9,Paramètres!$A$1:$I$89,3,0)*0.475*44/12</f>
        <v>0.14309340745347693</v>
      </c>
      <c r="AB144" s="21">
        <f>EXP(-LN(2)/2)*AB143+(1-EXP(-LN(2)/2))/(LN(2)/2)*V144*Y144*VLOOKUP('Données projet'!$B$9,Paramètres!$A$1:$I$89,3,0)*0.475*44/12</f>
        <v>1.2147310488010846E-16</v>
      </c>
      <c r="AC144" s="22">
        <f t="shared" si="111"/>
        <v>0.14309340745347704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-1.1368683772161603E-13</v>
      </c>
      <c r="AJ144" s="13">
        <f>AI144*VLOOKUP('Données projet'!$B$10,Paramètres!$A$1:$I$89,3,0)*VLOOKUP('Données projet'!$B$10,Paramètres!$A$1:$I$89,5,0)</f>
        <v>-1.1527845344971866E-13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324.30660429578262</v>
      </c>
      <c r="AO144" s="59">
        <f t="shared" si="144"/>
        <v>197.04549436738586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</v>
      </c>
      <c r="AV144" s="21">
        <f>EXP(-LN(2)/25)*AV143+(1-EXP(-LN(2)/25))/(LN(2)/25)*Calculateur!AQ144*Calculateur!AS144*VLOOKUP('Données projet'!$B$10,Paramètres!$A$1:$I$89,3,0)*0.475*44/12</f>
        <v>0.16036330145648259</v>
      </c>
      <c r="AW144" s="21">
        <f>EXP(-LN(2)/2)*AW143+(1-EXP(-LN(2)/2))/(LN(2)/2)*AQ144*AT144*VLOOKUP('Données projet'!$B$10,Paramètres!$A$1:$I$89,3,0)*0.475*44/12</f>
        <v>1.3613365202081119E-16</v>
      </c>
      <c r="AX144" s="21">
        <f t="shared" si="114"/>
        <v>0.16036330145648273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-1.1368683772161603E-13</v>
      </c>
      <c r="BE144" s="13">
        <f>BD144*VLOOKUP('Données projet'!$B$11,Paramètres!$A$1:$I$89,3,0)*VLOOKUP('Données projet'!$B$11,Paramètres!$A$1:$I$89,5,0)</f>
        <v>-5.3205440053716299E-14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252.98248842635206</v>
      </c>
      <c r="BJ144" s="59">
        <f t="shared" si="146"/>
        <v>207.11938580878308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0.34792405081917671</v>
      </c>
      <c r="BQ144" s="21">
        <f>EXP(-LN(2)/25)*BQ143+(1-EXP(-LN(2)/25))/(LN(2)/25)*Calculateur!BL144*Calculateur!BN144*VLOOKUP('Données projet'!$B$11,Paramètres!$A$1:$I$89,3,0)*0.475*44/12</f>
        <v>0.36190841514436689</v>
      </c>
      <c r="BR144" s="21">
        <f>EXP(-LN(2)/2)*BR143+(1-EXP(-LN(2)/2))/(LN(2)/2)*BL144*BO144*VLOOKUP('Données projet'!$B$11,Paramètres!$A$1:$I$89,3,0)*0.475*44/12</f>
        <v>1.92967826802009E-16</v>
      </c>
      <c r="BS144" s="22">
        <f t="shared" si="117"/>
        <v>0.70983246596354377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-5.6843418860808015E-13</v>
      </c>
      <c r="BZ144" s="13">
        <f>BY144*VLOOKUP('Données projet'!$B$12,Paramètres!$A$1:$I$89,3,0)*VLOOKUP('Données projet'!$B$12,Paramètres!$A$1:$I$89,5,0)</f>
        <v>-3.39923644787632E-13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392.08740055894992</v>
      </c>
      <c r="CE144" s="59">
        <f t="shared" si="148"/>
        <v>395.10797100415783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0.44377716127460842</v>
      </c>
      <c r="CL144" s="21">
        <f>EXP(-LN(2)/25)*CL143+(1-EXP(-LN(2)/25))/(LN(2)/25)*Calculateur!CG144*Calculateur!CI144*VLOOKUP('Données projet'!$B$12,Paramètres!$A$1:$I$89,3,0)*0.475*44/12</f>
        <v>1.1980783652088316</v>
      </c>
      <c r="CM144" s="21">
        <f>EXP(-LN(2)/2)*CM143+(1-EXP(-LN(2)/2))/(LN(2)/2)*CG144*CJ144*VLOOKUP('Données projet'!$B$12,Paramètres!$A$1:$I$89,3,0)*0.475*44/12</f>
        <v>6.8219209037336063E-16</v>
      </c>
      <c r="CN144" s="22">
        <f t="shared" si="120"/>
        <v>1.6418555264834407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-1.1368683772161603E-13</v>
      </c>
      <c r="O145" s="13">
        <f>N145*VLOOKUP('Données projet'!$B$9,Paramètres!$A$1:$I$89,3,0)*VLOOKUP('Données projet'!$B$9,Paramètres!$A$1:$I$89,5,0)</f>
        <v>-1.0286385077051818E-13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282.32472952059817</v>
      </c>
      <c r="T145" s="59">
        <f t="shared" si="142"/>
        <v>172.32171001882176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</v>
      </c>
      <c r="AA145" s="21">
        <f>EXP(-LN(2)/25)*AA144+(1-EXP(-LN(2)/25))/(LN(2)/25)*Calculateur!V145*Calculateur!X145*VLOOKUP('Données projet'!$B$9,Paramètres!$A$1:$I$89,3,0)*0.475*44/12</f>
        <v>0.13918051070170634</v>
      </c>
      <c r="AB145" s="21">
        <f>EXP(-LN(2)/2)*AB144+(1-EXP(-LN(2)/2))/(LN(2)/2)*V145*Y145*VLOOKUP('Données projet'!$B$9,Paramètres!$A$1:$I$89,3,0)*0.475*44/12</f>
        <v>8.5894456192509395E-17</v>
      </c>
      <c r="AC145" s="22">
        <f t="shared" si="111"/>
        <v>0.13918051070170642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-1.1368683772161603E-13</v>
      </c>
      <c r="AJ145" s="13">
        <f>AI145*VLOOKUP('Données projet'!$B$10,Paramètres!$A$1:$I$89,3,0)*VLOOKUP('Données projet'!$B$10,Paramètres!$A$1:$I$89,5,0)</f>
        <v>-1.1527845344971866E-13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324.30660429578262</v>
      </c>
      <c r="AO145" s="59">
        <f t="shared" si="144"/>
        <v>197.04549436738586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</v>
      </c>
      <c r="AV145" s="21">
        <f>EXP(-LN(2)/25)*AV144+(1-EXP(-LN(2)/25))/(LN(2)/25)*Calculateur!AQ145*Calculateur!AS145*VLOOKUP('Données projet'!$B$10,Paramètres!$A$1:$I$89,3,0)*0.475*44/12</f>
        <v>0.15597815854501557</v>
      </c>
      <c r="AW145" s="21">
        <f>EXP(-LN(2)/2)*AW144+(1-EXP(-LN(2)/2))/(LN(2)/2)*AQ145*AT145*VLOOKUP('Données projet'!$B$10,Paramètres!$A$1:$I$89,3,0)*0.475*44/12</f>
        <v>9.6261028491605342E-17</v>
      </c>
      <c r="AX145" s="21">
        <f t="shared" si="114"/>
        <v>0.15597815854501565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-1.1368683772161603E-13</v>
      </c>
      <c r="BE145" s="13">
        <f>BD145*VLOOKUP('Données projet'!$B$11,Paramètres!$A$1:$I$89,3,0)*VLOOKUP('Données projet'!$B$11,Paramètres!$A$1:$I$89,5,0)</f>
        <v>-5.3205440053716299E-14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252.98248842635206</v>
      </c>
      <c r="BJ145" s="59">
        <f t="shared" si="146"/>
        <v>207.11938580878308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0.3411014723953294</v>
      </c>
      <c r="BQ145" s="21">
        <f>EXP(-LN(2)/25)*BQ144+(1-EXP(-LN(2)/25))/(LN(2)/25)*Calculateur!BL145*Calculateur!BN145*VLOOKUP('Données projet'!$B$11,Paramètres!$A$1:$I$89,3,0)*0.475*44/12</f>
        <v>0.35201201050030778</v>
      </c>
      <c r="BR145" s="21">
        <f>EXP(-LN(2)/2)*BR144+(1-EXP(-LN(2)/2))/(LN(2)/2)*BL145*BO145*VLOOKUP('Données projet'!$B$11,Paramètres!$A$1:$I$89,3,0)*0.475*44/12</f>
        <v>1.3644885888253177E-16</v>
      </c>
      <c r="BS145" s="22">
        <f t="shared" si="117"/>
        <v>0.69311348289563723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-5.6843418860808015E-13</v>
      </c>
      <c r="BZ145" s="13">
        <f>BY145*VLOOKUP('Données projet'!$B$12,Paramètres!$A$1:$I$89,3,0)*VLOOKUP('Données projet'!$B$12,Paramètres!$A$1:$I$89,5,0)</f>
        <v>-3.39923644787632E-13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392.08740055894992</v>
      </c>
      <c r="CE145" s="59">
        <f t="shared" si="148"/>
        <v>395.10797100415783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0.43507496181935457</v>
      </c>
      <c r="CL145" s="21">
        <f>EXP(-LN(2)/25)*CL144+(1-EXP(-LN(2)/25))/(LN(2)/25)*Calculateur!CG145*Calculateur!CI145*VLOOKUP('Données projet'!$B$12,Paramètres!$A$1:$I$89,3,0)*0.475*44/12</f>
        <v>1.1653168493079931</v>
      </c>
      <c r="CM145" s="21">
        <f>EXP(-LN(2)/2)*CM144+(1-EXP(-LN(2)/2))/(LN(2)/2)*CG145*CJ145*VLOOKUP('Données projet'!$B$12,Paramètres!$A$1:$I$89,3,0)*0.475*44/12</f>
        <v>4.8238265317482936E-16</v>
      </c>
      <c r="CN145" s="22">
        <f t="shared" si="120"/>
        <v>1.6003918111273481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-1.1368683772161603E-13</v>
      </c>
      <c r="O146" s="13">
        <f>N146*VLOOKUP('Données projet'!$B$9,Paramètres!$A$1:$I$89,3,0)*VLOOKUP('Données projet'!$B$9,Paramètres!$A$1:$I$89,5,0)</f>
        <v>-1.0286385077051818E-13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282.32472952059817</v>
      </c>
      <c r="T146" s="59">
        <f t="shared" si="142"/>
        <v>172.32171001882176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</v>
      </c>
      <c r="AA146" s="21">
        <f>EXP(-LN(2)/25)*AA145+(1-EXP(-LN(2)/25))/(LN(2)/25)*Calculateur!V146*Calculateur!X146*VLOOKUP('Données projet'!$B$9,Paramètres!$A$1:$I$89,3,0)*0.475*44/12</f>
        <v>0.13537461231738324</v>
      </c>
      <c r="AB146" s="21">
        <f>EXP(-LN(2)/2)*AB145+(1-EXP(-LN(2)/2))/(LN(2)/2)*V146*Y146*VLOOKUP('Données projet'!$B$9,Paramètres!$A$1:$I$89,3,0)*0.475*44/12</f>
        <v>6.0736552440054232E-17</v>
      </c>
      <c r="AC146" s="22">
        <f t="shared" si="111"/>
        <v>0.13537461231738329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-1.1368683772161603E-13</v>
      </c>
      <c r="AJ146" s="13">
        <f>AI146*VLOOKUP('Données projet'!$B$10,Paramètres!$A$1:$I$89,3,0)*VLOOKUP('Données projet'!$B$10,Paramètres!$A$1:$I$89,5,0)</f>
        <v>-1.1527845344971866E-13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324.30660429578262</v>
      </c>
      <c r="AO146" s="59">
        <f t="shared" si="144"/>
        <v>197.04549436738586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</v>
      </c>
      <c r="AV146" s="21">
        <f>EXP(-LN(2)/25)*AV145+(1-EXP(-LN(2)/25))/(LN(2)/25)*Calculateur!AQ146*Calculateur!AS146*VLOOKUP('Données projet'!$B$10,Paramètres!$A$1:$I$89,3,0)*0.475*44/12</f>
        <v>0.15171292759706725</v>
      </c>
      <c r="AW146" s="21">
        <f>EXP(-LN(2)/2)*AW145+(1-EXP(-LN(2)/2))/(LN(2)/2)*AQ146*AT146*VLOOKUP('Données projet'!$B$10,Paramètres!$A$1:$I$89,3,0)*0.475*44/12</f>
        <v>6.8066826010405595E-17</v>
      </c>
      <c r="AX146" s="21">
        <f t="shared" si="114"/>
        <v>0.15171292759706731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-1.1368683772161603E-13</v>
      </c>
      <c r="BE146" s="13">
        <f>BD146*VLOOKUP('Données projet'!$B$11,Paramètres!$A$1:$I$89,3,0)*VLOOKUP('Données projet'!$B$11,Paramètres!$A$1:$I$89,5,0)</f>
        <v>-5.3205440053716299E-14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252.98248842635206</v>
      </c>
      <c r="BJ146" s="59">
        <f t="shared" si="146"/>
        <v>207.11938580878308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0.33441268057301177</v>
      </c>
      <c r="BQ146" s="21">
        <f>EXP(-LN(2)/25)*BQ145+(1-EXP(-LN(2)/25))/(LN(2)/25)*Calculateur!BL146*Calculateur!BN146*VLOOKUP('Données projet'!$B$11,Paramètres!$A$1:$I$89,3,0)*0.475*44/12</f>
        <v>0.34238622356166976</v>
      </c>
      <c r="BR146" s="21">
        <f>EXP(-LN(2)/2)*BR145+(1-EXP(-LN(2)/2))/(LN(2)/2)*BL146*BO146*VLOOKUP('Données projet'!$B$11,Paramètres!$A$1:$I$89,3,0)*0.475*44/12</f>
        <v>9.6483913401004499E-17</v>
      </c>
      <c r="BS146" s="22">
        <f t="shared" si="117"/>
        <v>0.67679890413468169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-5.6843418860808015E-13</v>
      </c>
      <c r="BZ146" s="13">
        <f>BY146*VLOOKUP('Données projet'!$B$12,Paramètres!$A$1:$I$89,3,0)*VLOOKUP('Données projet'!$B$12,Paramètres!$A$1:$I$89,5,0)</f>
        <v>-3.39923644787632E-13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392.08740055894992</v>
      </c>
      <c r="CE146" s="59">
        <f t="shared" si="148"/>
        <v>395.10797100415783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0.42654340718760064</v>
      </c>
      <c r="CL146" s="21">
        <f>EXP(-LN(2)/25)*CL145+(1-EXP(-LN(2)/25))/(LN(2)/25)*Calculateur!CG146*Calculateur!CI146*VLOOKUP('Données projet'!$B$12,Paramètres!$A$1:$I$89,3,0)*0.475*44/12</f>
        <v>1.1334511987823161</v>
      </c>
      <c r="CM146" s="21">
        <f>EXP(-LN(2)/2)*CM145+(1-EXP(-LN(2)/2))/(LN(2)/2)*CG146*CJ146*VLOOKUP('Données projet'!$B$12,Paramètres!$A$1:$I$89,3,0)*0.475*44/12</f>
        <v>3.4109604518668032E-16</v>
      </c>
      <c r="CN146" s="22">
        <f t="shared" si="120"/>
        <v>1.5599946059699172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-1.1368683772161603E-13</v>
      </c>
      <c r="O147" s="13">
        <f>N147*VLOOKUP('Données projet'!$B$9,Paramètres!$A$1:$I$89,3,0)*VLOOKUP('Données projet'!$B$9,Paramètres!$A$1:$I$89,5,0)</f>
        <v>-1.0286385077051818E-13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282.32472952059817</v>
      </c>
      <c r="T147" s="59">
        <f t="shared" si="142"/>
        <v>172.32171001882176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</v>
      </c>
      <c r="AA147" s="21">
        <f>EXP(-LN(2)/25)*AA146+(1-EXP(-LN(2)/25))/(LN(2)/25)*Calculateur!V147*Calculateur!X147*VLOOKUP('Données projet'!$B$9,Paramètres!$A$1:$I$89,3,0)*0.475*44/12</f>
        <v>0.13167278642452293</v>
      </c>
      <c r="AB147" s="21">
        <f>EXP(-LN(2)/2)*AB146+(1-EXP(-LN(2)/2))/(LN(2)/2)*V147*Y147*VLOOKUP('Données projet'!$B$9,Paramètres!$A$1:$I$89,3,0)*0.475*44/12</f>
        <v>4.2947228096254698E-17</v>
      </c>
      <c r="AC147" s="22">
        <f t="shared" si="111"/>
        <v>0.13167278642452299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-1.1368683772161603E-13</v>
      </c>
      <c r="AJ147" s="13">
        <f>AI147*VLOOKUP('Données projet'!$B$10,Paramètres!$A$1:$I$89,3,0)*VLOOKUP('Données projet'!$B$10,Paramètres!$A$1:$I$89,5,0)</f>
        <v>-1.1527845344971866E-13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324.30660429578262</v>
      </c>
      <c r="AO147" s="59">
        <f t="shared" si="144"/>
        <v>197.04549436738586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</v>
      </c>
      <c r="AV147" s="21">
        <f>EXP(-LN(2)/25)*AV146+(1-EXP(-LN(2)/25))/(LN(2)/25)*Calculateur!AQ147*Calculateur!AS147*VLOOKUP('Données projet'!$B$10,Paramètres!$A$1:$I$89,3,0)*0.475*44/12</f>
        <v>0.14756432961368934</v>
      </c>
      <c r="AW147" s="21">
        <f>EXP(-LN(2)/2)*AW146+(1-EXP(-LN(2)/2))/(LN(2)/2)*AQ147*AT147*VLOOKUP('Données projet'!$B$10,Paramètres!$A$1:$I$89,3,0)*0.475*44/12</f>
        <v>4.8130514245802671E-17</v>
      </c>
      <c r="AX147" s="21">
        <f t="shared" si="114"/>
        <v>0.1475643296136894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-1.1368683772161603E-13</v>
      </c>
      <c r="BE147" s="13">
        <f>BD147*VLOOKUP('Données projet'!$B$11,Paramètres!$A$1:$I$89,3,0)*VLOOKUP('Données projet'!$B$11,Paramètres!$A$1:$I$89,5,0)</f>
        <v>-5.3205440053716299E-14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252.98248842635206</v>
      </c>
      <c r="BJ147" s="59">
        <f t="shared" si="146"/>
        <v>207.11938580878308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0.32785505187856961</v>
      </c>
      <c r="BQ147" s="21">
        <f>EXP(-LN(2)/25)*BQ146+(1-EXP(-LN(2)/25))/(LN(2)/25)*Calculateur!BL147*Calculateur!BN147*VLOOKUP('Données projet'!$B$11,Paramètres!$A$1:$I$89,3,0)*0.475*44/12</f>
        <v>0.33302365427306696</v>
      </c>
      <c r="BR147" s="21">
        <f>EXP(-LN(2)/2)*BR146+(1-EXP(-LN(2)/2))/(LN(2)/2)*BL147*BO147*VLOOKUP('Données projet'!$B$11,Paramètres!$A$1:$I$89,3,0)*0.475*44/12</f>
        <v>6.8224429441265887E-17</v>
      </c>
      <c r="BS147" s="22">
        <f t="shared" si="117"/>
        <v>0.66087870615163669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-5.6843418860808015E-13</v>
      </c>
      <c r="BZ147" s="13">
        <f>BY147*VLOOKUP('Données projet'!$B$12,Paramètres!$A$1:$I$89,3,0)*VLOOKUP('Données projet'!$B$12,Paramètres!$A$1:$I$89,5,0)</f>
        <v>-3.39923644787632E-13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392.08740055894992</v>
      </c>
      <c r="CE147" s="59">
        <f t="shared" si="148"/>
        <v>395.10797100415783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0.41817915113844095</v>
      </c>
      <c r="CL147" s="21">
        <f>EXP(-LN(2)/25)*CL146+(1-EXP(-LN(2)/25))/(LN(2)/25)*Calculateur!CG147*Calculateur!CI147*VLOOKUP('Données projet'!$B$12,Paramètres!$A$1:$I$89,3,0)*0.475*44/12</f>
        <v>1.1024569161460056</v>
      </c>
      <c r="CM147" s="21">
        <f>EXP(-LN(2)/2)*CM146+(1-EXP(-LN(2)/2))/(LN(2)/2)*CG147*CJ147*VLOOKUP('Données projet'!$B$12,Paramètres!$A$1:$I$89,3,0)*0.475*44/12</f>
        <v>2.4119132658741468E-16</v>
      </c>
      <c r="CN147" s="22">
        <f t="shared" si="120"/>
        <v>1.5206360672844468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-1.1368683772161603E-13</v>
      </c>
      <c r="O148" s="13">
        <f>N148*VLOOKUP('Données projet'!$B$9,Paramètres!$A$1:$I$89,3,0)*VLOOKUP('Données projet'!$B$9,Paramètres!$A$1:$I$89,5,0)</f>
        <v>-1.0286385077051818E-13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282.32472952059817</v>
      </c>
      <c r="T148" s="59">
        <f t="shared" si="142"/>
        <v>172.32171001882176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</v>
      </c>
      <c r="AA148" s="21">
        <f>EXP(-LN(2)/25)*AA147+(1-EXP(-LN(2)/25))/(LN(2)/25)*Calculateur!V148*Calculateur!X148*VLOOKUP('Données projet'!$B$9,Paramètres!$A$1:$I$89,3,0)*0.475*44/12</f>
        <v>0.12807218715537347</v>
      </c>
      <c r="AB148" s="21">
        <f>EXP(-LN(2)/2)*AB147+(1-EXP(-LN(2)/2))/(LN(2)/2)*V148*Y148*VLOOKUP('Données projet'!$B$9,Paramètres!$A$1:$I$89,3,0)*0.475*44/12</f>
        <v>3.0368276220027116E-17</v>
      </c>
      <c r="AC148" s="22">
        <f t="shared" si="111"/>
        <v>0.1280721871553735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-1.1368683772161603E-13</v>
      </c>
      <c r="AJ148" s="13">
        <f>AI148*VLOOKUP('Données projet'!$B$10,Paramètres!$A$1:$I$89,3,0)*VLOOKUP('Données projet'!$B$10,Paramètres!$A$1:$I$89,5,0)</f>
        <v>-1.1527845344971866E-13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324.30660429578262</v>
      </c>
      <c r="AO148" s="59">
        <f t="shared" si="144"/>
        <v>197.04549436738586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</v>
      </c>
      <c r="AV148" s="21">
        <f>EXP(-LN(2)/25)*AV147+(1-EXP(-LN(2)/25))/(LN(2)/25)*Calculateur!AQ148*Calculateur!AS148*VLOOKUP('Données projet'!$B$10,Paramètres!$A$1:$I$89,3,0)*0.475*44/12</f>
        <v>0.14352917526033218</v>
      </c>
      <c r="AW148" s="21">
        <f>EXP(-LN(2)/2)*AW147+(1-EXP(-LN(2)/2))/(LN(2)/2)*AQ148*AT148*VLOOKUP('Données projet'!$B$10,Paramètres!$A$1:$I$89,3,0)*0.475*44/12</f>
        <v>3.4033413005202797E-17</v>
      </c>
      <c r="AX148" s="21">
        <f t="shared" si="114"/>
        <v>0.14352917526033221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-1.1368683772161603E-13</v>
      </c>
      <c r="BE148" s="13">
        <f>BD148*VLOOKUP('Données projet'!$B$11,Paramètres!$A$1:$I$89,3,0)*VLOOKUP('Données projet'!$B$11,Paramètres!$A$1:$I$89,5,0)</f>
        <v>-5.3205440053716299E-14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252.98248842635206</v>
      </c>
      <c r="BJ148" s="59">
        <f t="shared" si="146"/>
        <v>207.11938580878308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0.32142601428306694</v>
      </c>
      <c r="BQ148" s="21">
        <f>EXP(-LN(2)/25)*BQ147+(1-EXP(-LN(2)/25))/(LN(2)/25)*Calculateur!BL148*Calculateur!BN148*VLOOKUP('Données projet'!$B$11,Paramètres!$A$1:$I$89,3,0)*0.475*44/12</f>
        <v>0.3239171049340171</v>
      </c>
      <c r="BR148" s="21">
        <f>EXP(-LN(2)/2)*BR147+(1-EXP(-LN(2)/2))/(LN(2)/2)*BL148*BO148*VLOOKUP('Données projet'!$B$11,Paramètres!$A$1:$I$89,3,0)*0.475*44/12</f>
        <v>4.8241956700502249E-17</v>
      </c>
      <c r="BS148" s="22">
        <f t="shared" si="117"/>
        <v>0.64534311921708398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-5.6843418860808015E-13</v>
      </c>
      <c r="BZ148" s="13">
        <f>BY148*VLOOKUP('Données projet'!$B$12,Paramètres!$A$1:$I$89,3,0)*VLOOKUP('Données projet'!$B$12,Paramètres!$A$1:$I$89,5,0)</f>
        <v>-3.39923644787632E-13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392.08740055894992</v>
      </c>
      <c r="CE148" s="59">
        <f t="shared" si="148"/>
        <v>395.10797100415783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0.40997891304871281</v>
      </c>
      <c r="CL148" s="21">
        <f>EXP(-LN(2)/25)*CL147+(1-EXP(-LN(2)/25))/(LN(2)/25)*Calculateur!CG148*Calculateur!CI148*VLOOKUP('Données projet'!$B$12,Paramètres!$A$1:$I$89,3,0)*0.475*44/12</f>
        <v>1.0723101737983036</v>
      </c>
      <c r="CM148" s="21">
        <f>EXP(-LN(2)/2)*CM147+(1-EXP(-LN(2)/2))/(LN(2)/2)*CG148*CJ148*VLOOKUP('Données projet'!$B$12,Paramètres!$A$1:$I$89,3,0)*0.475*44/12</f>
        <v>1.7054802259334016E-16</v>
      </c>
      <c r="CN148" s="22">
        <f t="shared" si="120"/>
        <v>1.4822890868470167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-1.1368683772161603E-13</v>
      </c>
      <c r="O149" s="13">
        <f>N149*VLOOKUP('Données projet'!$B$9,Paramètres!$A$1:$I$89,3,0)*VLOOKUP('Données projet'!$B$9,Paramètres!$A$1:$I$89,5,0)</f>
        <v>-1.0286385077051818E-13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282.32472952059817</v>
      </c>
      <c r="T149" s="59">
        <f t="shared" si="142"/>
        <v>172.32171001882176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</v>
      </c>
      <c r="AA149" s="21">
        <f>EXP(-LN(2)/25)*AA148+(1-EXP(-LN(2)/25))/(LN(2)/25)*Calculateur!V149*Calculateur!X149*VLOOKUP('Données projet'!$B$9,Paramètres!$A$1:$I$89,3,0)*0.475*44/12</f>
        <v>0.12457004646258617</v>
      </c>
      <c r="AB149" s="21">
        <f>EXP(-LN(2)/2)*AB148+(1-EXP(-LN(2)/2))/(LN(2)/2)*V149*Y149*VLOOKUP('Données projet'!$B$9,Paramètres!$A$1:$I$89,3,0)*0.475*44/12</f>
        <v>2.1473614048127349E-17</v>
      </c>
      <c r="AC149" s="22">
        <f t="shared" si="111"/>
        <v>0.1245700464625862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-1.1368683772161603E-13</v>
      </c>
      <c r="AJ149" s="13">
        <f>AI149*VLOOKUP('Données projet'!$B$10,Paramètres!$A$1:$I$89,3,0)*VLOOKUP('Données projet'!$B$10,Paramètres!$A$1:$I$89,5,0)</f>
        <v>-1.1527845344971866E-13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324.30660429578262</v>
      </c>
      <c r="AO149" s="59">
        <f t="shared" si="144"/>
        <v>197.04549436738586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</v>
      </c>
      <c r="AV149" s="21">
        <f>EXP(-LN(2)/25)*AV148+(1-EXP(-LN(2)/25))/(LN(2)/25)*Calculateur!AQ149*Calculateur!AS149*VLOOKUP('Données projet'!$B$10,Paramètres!$A$1:$I$89,3,0)*0.475*44/12</f>
        <v>0.1396043624149671</v>
      </c>
      <c r="AW149" s="21">
        <f>EXP(-LN(2)/2)*AW148+(1-EXP(-LN(2)/2))/(LN(2)/2)*AQ149*AT149*VLOOKUP('Données projet'!$B$10,Paramètres!$A$1:$I$89,3,0)*0.475*44/12</f>
        <v>2.4065257122901335E-17</v>
      </c>
      <c r="AX149" s="21">
        <f t="shared" si="114"/>
        <v>0.13960436241496713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-1.1368683772161603E-13</v>
      </c>
      <c r="BE149" s="13">
        <f>BD149*VLOOKUP('Données projet'!$B$11,Paramètres!$A$1:$I$89,3,0)*VLOOKUP('Données projet'!$B$11,Paramètres!$A$1:$I$89,5,0)</f>
        <v>-5.3205440053716299E-14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252.98248842635206</v>
      </c>
      <c r="BJ149" s="59">
        <f t="shared" si="146"/>
        <v>207.11938580878308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0.31512304619348636</v>
      </c>
      <c r="BQ149" s="21">
        <f>EXP(-LN(2)/25)*BQ148+(1-EXP(-LN(2)/25))/(LN(2)/25)*Calculateur!BL149*Calculateur!BN149*VLOOKUP('Données projet'!$B$11,Paramètres!$A$1:$I$89,3,0)*0.475*44/12</f>
        <v>0.31505957466553619</v>
      </c>
      <c r="BR149" s="21">
        <f>EXP(-LN(2)/2)*BR148+(1-EXP(-LN(2)/2))/(LN(2)/2)*BL149*BO149*VLOOKUP('Données projet'!$B$11,Paramètres!$A$1:$I$89,3,0)*0.475*44/12</f>
        <v>3.4112214720632944E-17</v>
      </c>
      <c r="BS149" s="22">
        <f t="shared" si="117"/>
        <v>0.63018262085902255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-5.6843418860808015E-13</v>
      </c>
      <c r="BZ149" s="13">
        <f>BY149*VLOOKUP('Données projet'!$B$12,Paramètres!$A$1:$I$89,3,0)*VLOOKUP('Données projet'!$B$12,Paramètres!$A$1:$I$89,5,0)</f>
        <v>-3.39923644787632E-13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392.08740055894992</v>
      </c>
      <c r="CE149" s="59">
        <f t="shared" si="148"/>
        <v>395.10797100415783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0.40193947662627288</v>
      </c>
      <c r="CL149" s="21">
        <f>EXP(-LN(2)/25)*CL148+(1-EXP(-LN(2)/25))/(LN(2)/25)*Calculateur!CG149*Calculateur!CI149*VLOOKUP('Données projet'!$B$12,Paramètres!$A$1:$I$89,3,0)*0.475*44/12</f>
        <v>1.0429877957054479</v>
      </c>
      <c r="CM149" s="21">
        <f>EXP(-LN(2)/2)*CM148+(1-EXP(-LN(2)/2))/(LN(2)/2)*CG149*CJ149*VLOOKUP('Données projet'!$B$12,Paramètres!$A$1:$I$89,3,0)*0.475*44/12</f>
        <v>1.2059566329370734E-16</v>
      </c>
      <c r="CN149" s="22">
        <f t="shared" si="120"/>
        <v>1.444927272331721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-1.1368683772161603E-13</v>
      </c>
      <c r="O150" s="13">
        <f>N150*VLOOKUP('Données projet'!$B$9,Paramètres!$A$1:$I$89,3,0)*VLOOKUP('Données projet'!$B$9,Paramètres!$A$1:$I$89,5,0)</f>
        <v>-1.0286385077051818E-13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282.32472952059817</v>
      </c>
      <c r="T150" s="59">
        <f t="shared" si="142"/>
        <v>172.32171001882176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</v>
      </c>
      <c r="AA150" s="21">
        <f>EXP(-LN(2)/25)*AA149+(1-EXP(-LN(2)/25))/(LN(2)/25)*Calculateur!V150*Calculateur!X150*VLOOKUP('Données projet'!$B$9,Paramètres!$A$1:$I$89,3,0)*0.475*44/12</f>
        <v>0.12116367199121271</v>
      </c>
      <c r="AB150" s="21">
        <f>EXP(-LN(2)/2)*AB149+(1-EXP(-LN(2)/2))/(LN(2)/2)*V150*Y150*VLOOKUP('Données projet'!$B$9,Paramètres!$A$1:$I$89,3,0)*0.475*44/12</f>
        <v>1.5184138110013558E-17</v>
      </c>
      <c r="AC150" s="22">
        <f t="shared" si="111"/>
        <v>0.12116367199121272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-1.1368683772161603E-13</v>
      </c>
      <c r="AJ150" s="13">
        <f>AI150*VLOOKUP('Données projet'!$B$10,Paramètres!$A$1:$I$89,3,0)*VLOOKUP('Données projet'!$B$10,Paramètres!$A$1:$I$89,5,0)</f>
        <v>-1.1527845344971866E-13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324.30660429578262</v>
      </c>
      <c r="AO150" s="59">
        <f t="shared" si="144"/>
        <v>197.04549436738586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</v>
      </c>
      <c r="AV150" s="21">
        <f>EXP(-LN(2)/25)*AV149+(1-EXP(-LN(2)/25))/(LN(2)/25)*Calculateur!AQ150*Calculateur!AS150*VLOOKUP('Données projet'!$B$10,Paramètres!$A$1:$I$89,3,0)*0.475*44/12</f>
        <v>0.13578687378325546</v>
      </c>
      <c r="AW150" s="21">
        <f>EXP(-LN(2)/2)*AW149+(1-EXP(-LN(2)/2))/(LN(2)/2)*AQ150*AT150*VLOOKUP('Données projet'!$B$10,Paramètres!$A$1:$I$89,3,0)*0.475*44/12</f>
        <v>1.7016706502601399E-17</v>
      </c>
      <c r="AX150" s="21">
        <f t="shared" si="114"/>
        <v>0.13578687378325549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-1.1368683772161603E-13</v>
      </c>
      <c r="BE150" s="13">
        <f>BD150*VLOOKUP('Données projet'!$B$11,Paramètres!$A$1:$I$89,3,0)*VLOOKUP('Données projet'!$B$11,Paramètres!$A$1:$I$89,5,0)</f>
        <v>-5.3205440053716299E-14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252.98248842635206</v>
      </c>
      <c r="BJ150" s="59">
        <f t="shared" si="146"/>
        <v>207.11938580878308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0.30894367546371149</v>
      </c>
      <c r="BQ150" s="21">
        <f>EXP(-LN(2)/25)*BQ149+(1-EXP(-LN(2)/25))/(LN(2)/25)*Calculateur!BL150*Calculateur!BN150*VLOOKUP('Données projet'!$B$11,Paramètres!$A$1:$I$89,3,0)*0.475*44/12</f>
        <v>0.30644425402804415</v>
      </c>
      <c r="BR150" s="21">
        <f>EXP(-LN(2)/2)*BR149+(1-EXP(-LN(2)/2))/(LN(2)/2)*BL150*BO150*VLOOKUP('Données projet'!$B$11,Paramètres!$A$1:$I$89,3,0)*0.475*44/12</f>
        <v>2.4120978350251125E-17</v>
      </c>
      <c r="BS150" s="22">
        <f t="shared" si="117"/>
        <v>0.61538792949175569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-5.6843418860808015E-13</v>
      </c>
      <c r="BZ150" s="13">
        <f>BY150*VLOOKUP('Données projet'!$B$12,Paramètres!$A$1:$I$89,3,0)*VLOOKUP('Données projet'!$B$12,Paramètres!$A$1:$I$89,5,0)</f>
        <v>-3.39923644787632E-13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392.08740055894992</v>
      </c>
      <c r="CE150" s="59">
        <f t="shared" si="148"/>
        <v>395.10797100415783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0.39405768864850499</v>
      </c>
      <c r="CL150" s="21">
        <f>EXP(-LN(2)/25)*CL149+(1-EXP(-LN(2)/25))/(LN(2)/25)*Calculateur!CG150*Calculateur!CI150*VLOOKUP('Données projet'!$B$12,Paramètres!$A$1:$I$89,3,0)*0.475*44/12</f>
        <v>1.0144672395835379</v>
      </c>
      <c r="CM150" s="21">
        <f>EXP(-LN(2)/2)*CM149+(1-EXP(-LN(2)/2))/(LN(2)/2)*CG150*CJ150*VLOOKUP('Données projet'!$B$12,Paramètres!$A$1:$I$89,3,0)*0.475*44/12</f>
        <v>8.5274011296670079E-17</v>
      </c>
      <c r="CN150" s="22">
        <f t="shared" si="120"/>
        <v>1.4085249282320429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-1.1368683772161603E-13</v>
      </c>
      <c r="O151" s="13">
        <f>N151*VLOOKUP('Données projet'!$B$9,Paramètres!$A$1:$I$89,3,0)*VLOOKUP('Données projet'!$B$9,Paramètres!$A$1:$I$89,5,0)</f>
        <v>-1.0286385077051818E-13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282.32472952059817</v>
      </c>
      <c r="T151" s="59">
        <f t="shared" si="142"/>
        <v>172.32171001882176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</v>
      </c>
      <c r="AA151" s="21">
        <f>EXP(-LN(2)/25)*AA150+(1-EXP(-LN(2)/25))/(LN(2)/25)*Calculateur!V151*Calculateur!X151*VLOOKUP('Données projet'!$B$9,Paramètres!$A$1:$I$89,3,0)*0.475*44/12</f>
        <v>0.11785044500889241</v>
      </c>
      <c r="AB151" s="21">
        <f>EXP(-LN(2)/2)*AB150+(1-EXP(-LN(2)/2))/(LN(2)/2)*V151*Y151*VLOOKUP('Données projet'!$B$9,Paramètres!$A$1:$I$89,3,0)*0.475*44/12</f>
        <v>1.0736807024063674E-17</v>
      </c>
      <c r="AC151" s="22">
        <f t="shared" si="111"/>
        <v>0.11785044500889243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-1.1368683772161603E-13</v>
      </c>
      <c r="AJ151" s="13">
        <f>AI151*VLOOKUP('Données projet'!$B$10,Paramètres!$A$1:$I$89,3,0)*VLOOKUP('Données projet'!$B$10,Paramètres!$A$1:$I$89,5,0)</f>
        <v>-1.1527845344971866E-13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324.30660429578262</v>
      </c>
      <c r="AO151" s="59">
        <f t="shared" si="144"/>
        <v>197.04549436738586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</v>
      </c>
      <c r="AV151" s="21">
        <f>EXP(-LN(2)/25)*AV150+(1-EXP(-LN(2)/25))/(LN(2)/25)*Calculateur!AQ151*Calculateur!AS151*VLOOKUP('Données projet'!$B$10,Paramètres!$A$1:$I$89,3,0)*0.475*44/12</f>
        <v>0.13207377457893099</v>
      </c>
      <c r="AW151" s="21">
        <f>EXP(-LN(2)/2)*AW150+(1-EXP(-LN(2)/2))/(LN(2)/2)*AQ151*AT151*VLOOKUP('Données projet'!$B$10,Paramètres!$A$1:$I$89,3,0)*0.475*44/12</f>
        <v>1.2032628561450668E-17</v>
      </c>
      <c r="AX151" s="21">
        <f t="shared" si="114"/>
        <v>0.13207377457893099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-1.1368683772161603E-13</v>
      </c>
      <c r="BE151" s="13">
        <f>BD151*VLOOKUP('Données projet'!$B$11,Paramètres!$A$1:$I$89,3,0)*VLOOKUP('Données projet'!$B$11,Paramètres!$A$1:$I$89,5,0)</f>
        <v>-5.3205440053716299E-14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252.98248842635206</v>
      </c>
      <c r="BJ151" s="59">
        <f t="shared" si="146"/>
        <v>207.11938580878308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0.30288547842490354</v>
      </c>
      <c r="BQ151" s="21">
        <f>EXP(-LN(2)/25)*BQ150+(1-EXP(-LN(2)/25))/(LN(2)/25)*Calculateur!BL151*Calculateur!BN151*VLOOKUP('Données projet'!$B$11,Paramètres!$A$1:$I$89,3,0)*0.475*44/12</f>
        <v>0.29806451978644433</v>
      </c>
      <c r="BR151" s="21">
        <f>EXP(-LN(2)/2)*BR150+(1-EXP(-LN(2)/2))/(LN(2)/2)*BL151*BO151*VLOOKUP('Données projet'!$B$11,Paramètres!$A$1:$I$89,3,0)*0.475*44/12</f>
        <v>1.7056107360316472E-17</v>
      </c>
      <c r="BS151" s="22">
        <f t="shared" si="117"/>
        <v>0.60094999821134787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-5.6843418860808015E-13</v>
      </c>
      <c r="BZ151" s="13">
        <f>BY151*VLOOKUP('Données projet'!$B$12,Paramètres!$A$1:$I$89,3,0)*VLOOKUP('Données projet'!$B$12,Paramètres!$A$1:$I$89,5,0)</f>
        <v>-3.39923644787632E-13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392.08740055894992</v>
      </c>
      <c r="CE151" s="59">
        <f t="shared" si="148"/>
        <v>395.10797100415783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0.38633045772556512</v>
      </c>
      <c r="CL151" s="21">
        <f>EXP(-LN(2)/25)*CL150+(1-EXP(-LN(2)/25))/(LN(2)/25)*Calculateur!CG151*Calculateur!CI151*VLOOKUP('Données projet'!$B$12,Paramètres!$A$1:$I$89,3,0)*0.475*44/12</f>
        <v>0.98672657956861254</v>
      </c>
      <c r="CM151" s="21">
        <f>EXP(-LN(2)/2)*CM150+(1-EXP(-LN(2)/2))/(LN(2)/2)*CG151*CJ151*VLOOKUP('Données projet'!$B$12,Paramètres!$A$1:$I$89,3,0)*0.475*44/12</f>
        <v>6.029783164685367E-17</v>
      </c>
      <c r="CN151" s="22">
        <f t="shared" si="120"/>
        <v>1.3730570372941777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-1.1368683772161603E-13</v>
      </c>
      <c r="O152" s="13">
        <f>N152*VLOOKUP('Données projet'!$B$9,Paramètres!$A$1:$I$89,3,0)*VLOOKUP('Données projet'!$B$9,Paramètres!$A$1:$I$89,5,0)</f>
        <v>-1.0286385077051818E-13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282.32472952059817</v>
      </c>
      <c r="T152" s="59">
        <f t="shared" si="142"/>
        <v>172.32171001882176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</v>
      </c>
      <c r="AA152" s="21">
        <f>EXP(-LN(2)/25)*AA151+(1-EXP(-LN(2)/25))/(LN(2)/25)*Calculateur!V152*Calculateur!X152*VLOOKUP('Données projet'!$B$9,Paramètres!$A$1:$I$89,3,0)*0.475*44/12</f>
        <v>0.11462781839263869</v>
      </c>
      <c r="AB152" s="21">
        <f>EXP(-LN(2)/2)*AB151+(1-EXP(-LN(2)/2))/(LN(2)/2)*V152*Y152*VLOOKUP('Données projet'!$B$9,Paramètres!$A$1:$I$89,3,0)*0.475*44/12</f>
        <v>7.592069055006779E-18</v>
      </c>
      <c r="AC152" s="22">
        <f t="shared" si="111"/>
        <v>0.11462781839263871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-1.1368683772161603E-13</v>
      </c>
      <c r="AJ152" s="13">
        <f>AI152*VLOOKUP('Données projet'!$B$10,Paramètres!$A$1:$I$89,3,0)*VLOOKUP('Données projet'!$B$10,Paramètres!$A$1:$I$89,5,0)</f>
        <v>-1.1527845344971866E-13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324.30660429578262</v>
      </c>
      <c r="AO152" s="59">
        <f t="shared" si="144"/>
        <v>197.04549436738586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</v>
      </c>
      <c r="AV152" s="21">
        <f>EXP(-LN(2)/25)*AV151+(1-EXP(-LN(2)/25))/(LN(2)/25)*Calculateur!AQ152*Calculateur!AS152*VLOOKUP('Données projet'!$B$10,Paramètres!$A$1:$I$89,3,0)*0.475*44/12</f>
        <v>0.12846221026761218</v>
      </c>
      <c r="AW152" s="21">
        <f>EXP(-LN(2)/2)*AW151+(1-EXP(-LN(2)/2))/(LN(2)/2)*AQ152*AT152*VLOOKUP('Données projet'!$B$10,Paramètres!$A$1:$I$89,3,0)*0.475*44/12</f>
        <v>8.5083532513006993E-18</v>
      </c>
      <c r="AX152" s="21">
        <f t="shared" si="114"/>
        <v>0.12846221026761218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-1.1368683772161603E-13</v>
      </c>
      <c r="BE152" s="13">
        <f>BD152*VLOOKUP('Données projet'!$B$11,Paramètres!$A$1:$I$89,3,0)*VLOOKUP('Données projet'!$B$11,Paramètres!$A$1:$I$89,5,0)</f>
        <v>-5.3205440053716299E-14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252.98248842635206</v>
      </c>
      <c r="BJ152" s="59">
        <f t="shared" si="146"/>
        <v>207.11938580878308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0.29694607893489128</v>
      </c>
      <c r="BQ152" s="21">
        <f>EXP(-LN(2)/25)*BQ151+(1-EXP(-LN(2)/25))/(LN(2)/25)*Calculateur!BL152*Calculateur!BN152*VLOOKUP('Données projet'!$B$11,Paramètres!$A$1:$I$89,3,0)*0.475*44/12</f>
        <v>0.28991392981835212</v>
      </c>
      <c r="BR152" s="21">
        <f>EXP(-LN(2)/2)*BR151+(1-EXP(-LN(2)/2))/(LN(2)/2)*BL152*BO152*VLOOKUP('Données projet'!$B$11,Paramètres!$A$1:$I$89,3,0)*0.475*44/12</f>
        <v>1.2060489175125562E-17</v>
      </c>
      <c r="BS152" s="22">
        <f t="shared" si="117"/>
        <v>0.5868600087532434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-5.6843418860808015E-13</v>
      </c>
      <c r="BZ152" s="13">
        <f>BY152*VLOOKUP('Données projet'!$B$12,Paramètres!$A$1:$I$89,3,0)*VLOOKUP('Données projet'!$B$12,Paramètres!$A$1:$I$89,5,0)</f>
        <v>-3.39923644787632E-13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392.08740055894992</v>
      </c>
      <c r="CE152" s="59">
        <f t="shared" si="148"/>
        <v>395.10797100415783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0.37875475308787865</v>
      </c>
      <c r="CL152" s="21">
        <f>EXP(-LN(2)/25)*CL151+(1-EXP(-LN(2)/25))/(LN(2)/25)*Calculateur!CG152*Calculateur!CI152*VLOOKUP('Données projet'!$B$12,Paramètres!$A$1:$I$89,3,0)*0.475*44/12</f>
        <v>0.95974448936061318</v>
      </c>
      <c r="CM152" s="21">
        <f>EXP(-LN(2)/2)*CM151+(1-EXP(-LN(2)/2))/(LN(2)/2)*CG152*CJ152*VLOOKUP('Données projet'!$B$12,Paramètres!$A$1:$I$89,3,0)*0.475*44/12</f>
        <v>4.263700564833504E-17</v>
      </c>
      <c r="CN152" s="22">
        <f t="shared" si="120"/>
        <v>1.3384992424484918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-1.1368683772161603E-13</v>
      </c>
      <c r="O153" s="13">
        <f>N153*VLOOKUP('Données projet'!$B$9,Paramètres!$A$1:$I$89,3,0)*VLOOKUP('Données projet'!$B$9,Paramètres!$A$1:$I$89,5,0)</f>
        <v>-1.0286385077051818E-13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282.32472952059817</v>
      </c>
      <c r="T153" s="59">
        <f t="shared" si="142"/>
        <v>172.32171001882176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</v>
      </c>
      <c r="AA153" s="21">
        <f>EXP(-LN(2)/25)*AA152+(1-EXP(-LN(2)/25))/(LN(2)/25)*Calculateur!V153*Calculateur!X153*VLOOKUP('Données projet'!$B$9,Paramètres!$A$1:$I$89,3,0)*0.475*44/12</f>
        <v>0.111493314670677</v>
      </c>
      <c r="AB153" s="21">
        <f>EXP(-LN(2)/2)*AB152+(1-EXP(-LN(2)/2))/(LN(2)/2)*V153*Y153*VLOOKUP('Données projet'!$B$9,Paramètres!$A$1:$I$89,3,0)*0.475*44/12</f>
        <v>5.3684035120318372E-18</v>
      </c>
      <c r="AC153" s="22">
        <f t="shared" si="111"/>
        <v>0.111493314670677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-1.1368683772161603E-13</v>
      </c>
      <c r="AJ153" s="13">
        <f>AI153*VLOOKUP('Données projet'!$B$10,Paramètres!$A$1:$I$89,3,0)*VLOOKUP('Données projet'!$B$10,Paramètres!$A$1:$I$89,5,0)</f>
        <v>-1.1527845344971866E-13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324.30660429578262</v>
      </c>
      <c r="AO153" s="59">
        <f t="shared" si="144"/>
        <v>197.04549436738586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</v>
      </c>
      <c r="AV153" s="21">
        <f>EXP(-LN(2)/25)*AV152+(1-EXP(-LN(2)/25))/(LN(2)/25)*Calculateur!AQ153*Calculateur!AS153*VLOOKUP('Données projet'!$B$10,Paramètres!$A$1:$I$89,3,0)*0.475*44/12</f>
        <v>0.12494940437231029</v>
      </c>
      <c r="AW153" s="21">
        <f>EXP(-LN(2)/2)*AW152+(1-EXP(-LN(2)/2))/(LN(2)/2)*AQ153*AT153*VLOOKUP('Données projet'!$B$10,Paramètres!$A$1:$I$89,3,0)*0.475*44/12</f>
        <v>6.0163142807253338E-18</v>
      </c>
      <c r="AX153" s="21">
        <f t="shared" si="114"/>
        <v>0.12494940437231029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-1.1368683772161603E-13</v>
      </c>
      <c r="BE153" s="13">
        <f>BD153*VLOOKUP('Données projet'!$B$11,Paramètres!$A$1:$I$89,3,0)*VLOOKUP('Données projet'!$B$11,Paramètres!$A$1:$I$89,5,0)</f>
        <v>-5.3205440053716299E-14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252.98248842635206</v>
      </c>
      <c r="BJ153" s="59">
        <f t="shared" si="146"/>
        <v>207.11938580878308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0.29112314744620216</v>
      </c>
      <c r="BQ153" s="21">
        <f>EXP(-LN(2)/25)*BQ152+(1-EXP(-LN(2)/25))/(LN(2)/25)*Calculateur!BL153*Calculateur!BN153*VLOOKUP('Données projet'!$B$11,Paramètres!$A$1:$I$89,3,0)*0.475*44/12</f>
        <v>0.28198621816155833</v>
      </c>
      <c r="BR153" s="21">
        <f>EXP(-LN(2)/2)*BR152+(1-EXP(-LN(2)/2))/(LN(2)/2)*BL153*BO153*VLOOKUP('Données projet'!$B$11,Paramètres!$A$1:$I$89,3,0)*0.475*44/12</f>
        <v>8.5280536801582359E-18</v>
      </c>
      <c r="BS153" s="22">
        <f t="shared" si="117"/>
        <v>0.57310936560776049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-5.6843418860808015E-13</v>
      </c>
      <c r="BZ153" s="13">
        <f>BY153*VLOOKUP('Données projet'!$B$12,Paramètres!$A$1:$I$89,3,0)*VLOOKUP('Données projet'!$B$12,Paramètres!$A$1:$I$89,5,0)</f>
        <v>-3.39923644787632E-13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392.08740055894992</v>
      </c>
      <c r="CE153" s="59">
        <f t="shared" si="148"/>
        <v>395.10797100415783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0.37132760339741366</v>
      </c>
      <c r="CL153" s="21">
        <f>EXP(-LN(2)/25)*CL152+(1-EXP(-LN(2)/25))/(LN(2)/25)*Calculateur!CG153*Calculateur!CI153*VLOOKUP('Données projet'!$B$12,Paramètres!$A$1:$I$89,3,0)*0.475*44/12</f>
        <v>0.93350022582827807</v>
      </c>
      <c r="CM153" s="21">
        <f>EXP(-LN(2)/2)*CM152+(1-EXP(-LN(2)/2))/(LN(2)/2)*CG153*CJ153*VLOOKUP('Données projet'!$B$12,Paramètres!$A$1:$I$89,3,0)*0.475*44/12</f>
        <v>3.0148915823426835E-17</v>
      </c>
      <c r="CN153" s="22">
        <f t="shared" si="120"/>
        <v>1.3048278292256916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-1.1368683772161603E-13</v>
      </c>
      <c r="O154" s="13">
        <f>N154*VLOOKUP('Données projet'!$B$9,Paramètres!$A$1:$I$89,3,0)*VLOOKUP('Données projet'!$B$9,Paramètres!$A$1:$I$89,5,0)</f>
        <v>-1.0286385077051818E-13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282.32472952059817</v>
      </c>
      <c r="T154" s="59">
        <f t="shared" si="142"/>
        <v>172.32171001882176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</v>
      </c>
      <c r="AA154" s="21">
        <f>EXP(-LN(2)/25)*AA153+(1-EXP(-LN(2)/25))/(LN(2)/25)*Calculateur!V154*Calculateur!X154*VLOOKUP('Données projet'!$B$9,Paramètres!$A$1:$I$89,3,0)*0.475*44/12</f>
        <v>0.10844452411782873</v>
      </c>
      <c r="AB154" s="21">
        <f>EXP(-LN(2)/2)*AB153+(1-EXP(-LN(2)/2))/(LN(2)/2)*V154*Y154*VLOOKUP('Données projet'!$B$9,Paramètres!$A$1:$I$89,3,0)*0.475*44/12</f>
        <v>3.7960345275033895E-18</v>
      </c>
      <c r="AC154" s="22">
        <f t="shared" ref="AC154:AC203" si="163">SUM(Z154:AB154)</f>
        <v>0.10844452411782873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-1.1368683772161603E-13</v>
      </c>
      <c r="AJ154" s="13">
        <f>AI154*VLOOKUP('Données projet'!$B$10,Paramètres!$A$1:$I$89,3,0)*VLOOKUP('Données projet'!$B$10,Paramètres!$A$1:$I$89,5,0)</f>
        <v>-1.1527845344971866E-13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324.30660429578262</v>
      </c>
      <c r="AO154" s="59">
        <f t="shared" si="144"/>
        <v>197.04549436738586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</v>
      </c>
      <c r="AV154" s="21">
        <f>EXP(-LN(2)/25)*AV153+(1-EXP(-LN(2)/25))/(LN(2)/25)*Calculateur!AQ154*Calculateur!AS154*VLOOKUP('Données projet'!$B$10,Paramètres!$A$1:$I$89,3,0)*0.475*44/12</f>
        <v>0.12153265633894587</v>
      </c>
      <c r="AW154" s="21">
        <f>EXP(-LN(2)/2)*AW153+(1-EXP(-LN(2)/2))/(LN(2)/2)*AQ154*AT154*VLOOKUP('Données projet'!$B$10,Paramètres!$A$1:$I$89,3,0)*0.475*44/12</f>
        <v>4.2541766256503497E-18</v>
      </c>
      <c r="AX154" s="21">
        <f t="shared" ref="AX154:AX203" si="166">SUM(AU154:AW154)</f>
        <v>0.12153265633894587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-1.1368683772161603E-13</v>
      </c>
      <c r="BE154" s="13">
        <f>BD154*VLOOKUP('Données projet'!$B$11,Paramètres!$A$1:$I$89,3,0)*VLOOKUP('Données projet'!$B$11,Paramètres!$A$1:$I$89,5,0)</f>
        <v>-5.3205440053716299E-14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252.98248842635206</v>
      </c>
      <c r="BJ154" s="59">
        <f t="shared" si="146"/>
        <v>207.11938580878308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0.28541440009236874</v>
      </c>
      <c r="BQ154" s="21">
        <f>EXP(-LN(2)/25)*BQ153+(1-EXP(-LN(2)/25))/(LN(2)/25)*Calculateur!BL154*Calculateur!BN154*VLOOKUP('Données projet'!$B$11,Paramètres!$A$1:$I$89,3,0)*0.475*44/12</f>
        <v>0.27427529019691982</v>
      </c>
      <c r="BR154" s="21">
        <f>EXP(-LN(2)/2)*BR153+(1-EXP(-LN(2)/2))/(LN(2)/2)*BL154*BO154*VLOOKUP('Données projet'!$B$11,Paramètres!$A$1:$I$89,3,0)*0.475*44/12</f>
        <v>6.0302445875627812E-18</v>
      </c>
      <c r="BS154" s="22">
        <f t="shared" ref="BS154:BS203" si="169">SUM(BP154:BR154)</f>
        <v>0.5596896902892885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-5.6843418860808015E-13</v>
      </c>
      <c r="BZ154" s="13">
        <f>BY154*VLOOKUP('Données projet'!$B$12,Paramètres!$A$1:$I$89,3,0)*VLOOKUP('Données projet'!$B$12,Paramètres!$A$1:$I$89,5,0)</f>
        <v>-3.39923644787632E-13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392.08740055894992</v>
      </c>
      <c r="CE154" s="59">
        <f t="shared" si="148"/>
        <v>395.10797100415783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0.36404609558226469</v>
      </c>
      <c r="CL154" s="21">
        <f>EXP(-LN(2)/25)*CL153+(1-EXP(-LN(2)/25))/(LN(2)/25)*Calculateur!CG154*Calculateur!CI154*VLOOKUP('Données projet'!$B$12,Paramètres!$A$1:$I$89,3,0)*0.475*44/12</f>
        <v>0.90797361306236046</v>
      </c>
      <c r="CM154" s="21">
        <f>EXP(-LN(2)/2)*CM153+(1-EXP(-LN(2)/2))/(LN(2)/2)*CG154*CJ154*VLOOKUP('Données projet'!$B$12,Paramètres!$A$1:$I$89,3,0)*0.475*44/12</f>
        <v>2.131850282416752E-17</v>
      </c>
      <c r="CN154" s="22">
        <f t="shared" ref="CN154:CN203" si="172">SUM(CK154:CM154)</f>
        <v>1.2720197086446252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-1.1368683772161603E-13</v>
      </c>
      <c r="O155" s="13">
        <f>N155*VLOOKUP('Données projet'!$B$9,Paramètres!$A$1:$I$89,3,0)*VLOOKUP('Données projet'!$B$9,Paramètres!$A$1:$I$89,5,0)</f>
        <v>-1.0286385077051818E-13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282.32472952059817</v>
      </c>
      <c r="T155" s="59">
        <f t="shared" si="142"/>
        <v>172.32171001882176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</v>
      </c>
      <c r="AA155" s="21">
        <f>EXP(-LN(2)/25)*AA154+(1-EXP(-LN(2)/25))/(LN(2)/25)*Calculateur!V155*Calculateur!X155*VLOOKUP('Données projet'!$B$9,Paramètres!$A$1:$I$89,3,0)*0.475*44/12</f>
        <v>0.10547910290297703</v>
      </c>
      <c r="AB155" s="21">
        <f>EXP(-LN(2)/2)*AB154+(1-EXP(-LN(2)/2))/(LN(2)/2)*V155*Y155*VLOOKUP('Données projet'!$B$9,Paramètres!$A$1:$I$89,3,0)*0.475*44/12</f>
        <v>2.6842017560159186E-18</v>
      </c>
      <c r="AC155" s="22">
        <f t="shared" si="163"/>
        <v>0.10547910290297703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-1.1368683772161603E-13</v>
      </c>
      <c r="AJ155" s="13">
        <f>AI155*VLOOKUP('Données projet'!$B$10,Paramètres!$A$1:$I$89,3,0)*VLOOKUP('Données projet'!$B$10,Paramètres!$A$1:$I$89,5,0)</f>
        <v>-1.1527845344971866E-13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324.30660429578262</v>
      </c>
      <c r="AO155" s="59">
        <f t="shared" si="144"/>
        <v>197.04549436738586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</v>
      </c>
      <c r="AV155" s="21">
        <f>EXP(-LN(2)/25)*AV154+(1-EXP(-LN(2)/25))/(LN(2)/25)*Calculateur!AQ155*Calculateur!AS155*VLOOKUP('Données projet'!$B$10,Paramètres!$A$1:$I$89,3,0)*0.475*44/12</f>
        <v>0.11820933946023277</v>
      </c>
      <c r="AW155" s="21">
        <f>EXP(-LN(2)/2)*AW154+(1-EXP(-LN(2)/2))/(LN(2)/2)*AQ155*AT155*VLOOKUP('Données projet'!$B$10,Paramètres!$A$1:$I$89,3,0)*0.475*44/12</f>
        <v>3.0081571403626669E-18</v>
      </c>
      <c r="AX155" s="21">
        <f t="shared" si="166"/>
        <v>0.11820933946023277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-1.1368683772161603E-13</v>
      </c>
      <c r="BE155" s="13">
        <f>BD155*VLOOKUP('Données projet'!$B$11,Paramètres!$A$1:$I$89,3,0)*VLOOKUP('Données projet'!$B$11,Paramètres!$A$1:$I$89,5,0)</f>
        <v>-5.3205440053716299E-14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252.98248842635206</v>
      </c>
      <c r="BJ155" s="59">
        <f t="shared" si="146"/>
        <v>207.11938580878308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0.27981759779215193</v>
      </c>
      <c r="BQ155" s="21">
        <f>EXP(-LN(2)/25)*BQ154+(1-EXP(-LN(2)/25))/(LN(2)/25)*Calculateur!BL155*Calculateur!BN155*VLOOKUP('Données projet'!$B$11,Paramètres!$A$1:$I$89,3,0)*0.475*44/12</f>
        <v>0.26677521796297438</v>
      </c>
      <c r="BR155" s="21">
        <f>EXP(-LN(2)/2)*BR154+(1-EXP(-LN(2)/2))/(LN(2)/2)*BL155*BO155*VLOOKUP('Données projet'!$B$11,Paramètres!$A$1:$I$89,3,0)*0.475*44/12</f>
        <v>4.264026840079118E-18</v>
      </c>
      <c r="BS155" s="22">
        <f t="shared" si="169"/>
        <v>0.5465928157551263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-5.6843418860808015E-13</v>
      </c>
      <c r="BZ155" s="13">
        <f>BY155*VLOOKUP('Données projet'!$B$12,Paramètres!$A$1:$I$89,3,0)*VLOOKUP('Données projet'!$B$12,Paramètres!$A$1:$I$89,5,0)</f>
        <v>-3.39923644787632E-13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392.08740055894992</v>
      </c>
      <c r="CE155" s="59">
        <f t="shared" si="148"/>
        <v>395.10797100415783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0.35690737369408954</v>
      </c>
      <c r="CL155" s="21">
        <f>EXP(-LN(2)/25)*CL154+(1-EXP(-LN(2)/25))/(LN(2)/25)*Calculateur!CG155*Calculateur!CI155*VLOOKUP('Données projet'!$B$12,Paramètres!$A$1:$I$89,3,0)*0.475*44/12</f>
        <v>0.88314502686491314</v>
      </c>
      <c r="CM155" s="21">
        <f>EXP(-LN(2)/2)*CM154+(1-EXP(-LN(2)/2))/(LN(2)/2)*CG155*CJ155*VLOOKUP('Données projet'!$B$12,Paramètres!$A$1:$I$89,3,0)*0.475*44/12</f>
        <v>1.5074457911713418E-17</v>
      </c>
      <c r="CN155" s="22">
        <f t="shared" si="172"/>
        <v>1.2400524005590028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-1.1368683772161603E-13</v>
      </c>
      <c r="O156" s="13">
        <f>N156*VLOOKUP('Données projet'!$B$9,Paramètres!$A$1:$I$89,3,0)*VLOOKUP('Données projet'!$B$9,Paramètres!$A$1:$I$89,5,0)</f>
        <v>-1.0286385077051818E-13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282.32472952059817</v>
      </c>
      <c r="T156" s="59">
        <f t="shared" si="142"/>
        <v>172.32171001882176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</v>
      </c>
      <c r="AA156" s="21">
        <f>EXP(-LN(2)/25)*AA155+(1-EXP(-LN(2)/25))/(LN(2)/25)*Calculateur!V156*Calculateur!X156*VLOOKUP('Données projet'!$B$9,Paramètres!$A$1:$I$89,3,0)*0.475*44/12</f>
        <v>0.10259477128719018</v>
      </c>
      <c r="AB156" s="21">
        <f>EXP(-LN(2)/2)*AB155+(1-EXP(-LN(2)/2))/(LN(2)/2)*V156*Y156*VLOOKUP('Données projet'!$B$9,Paramètres!$A$1:$I$89,3,0)*0.475*44/12</f>
        <v>1.8980172637516947E-18</v>
      </c>
      <c r="AC156" s="22">
        <f t="shared" si="163"/>
        <v>0.10259477128719018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-1.1368683772161603E-13</v>
      </c>
      <c r="AJ156" s="13">
        <f>AI156*VLOOKUP('Données projet'!$B$10,Paramètres!$A$1:$I$89,3,0)*VLOOKUP('Données projet'!$B$10,Paramètres!$A$1:$I$89,5,0)</f>
        <v>-1.1527845344971866E-13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324.30660429578262</v>
      </c>
      <c r="AO156" s="59">
        <f t="shared" si="144"/>
        <v>197.04549436738586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</v>
      </c>
      <c r="AV156" s="21">
        <f>EXP(-LN(2)/25)*AV155+(1-EXP(-LN(2)/25))/(LN(2)/25)*Calculateur!AQ156*Calculateur!AS156*VLOOKUP('Données projet'!$B$10,Paramètres!$A$1:$I$89,3,0)*0.475*44/12</f>
        <v>0.11497689885633371</v>
      </c>
      <c r="AW156" s="21">
        <f>EXP(-LN(2)/2)*AW155+(1-EXP(-LN(2)/2))/(LN(2)/2)*AQ156*AT156*VLOOKUP('Données projet'!$B$10,Paramètres!$A$1:$I$89,3,0)*0.475*44/12</f>
        <v>2.1270883128251748E-18</v>
      </c>
      <c r="AX156" s="21">
        <f t="shared" si="166"/>
        <v>0.11497689885633371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-1.1368683772161603E-13</v>
      </c>
      <c r="BE156" s="13">
        <f>BD156*VLOOKUP('Données projet'!$B$11,Paramètres!$A$1:$I$89,3,0)*VLOOKUP('Données projet'!$B$11,Paramètres!$A$1:$I$89,5,0)</f>
        <v>-5.3205440053716299E-14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252.98248842635206</v>
      </c>
      <c r="BJ156" s="59">
        <f t="shared" si="146"/>
        <v>207.11938580878308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0.27433054537133006</v>
      </c>
      <c r="BQ156" s="21">
        <f>EXP(-LN(2)/25)*BQ155+(1-EXP(-LN(2)/25))/(LN(2)/25)*Calculateur!BL156*Calculateur!BN156*VLOOKUP('Données projet'!$B$11,Paramètres!$A$1:$I$89,3,0)*0.475*44/12</f>
        <v>0.25948023559867783</v>
      </c>
      <c r="BR156" s="21">
        <f>EXP(-LN(2)/2)*BR155+(1-EXP(-LN(2)/2))/(LN(2)/2)*BL156*BO156*VLOOKUP('Données projet'!$B$11,Paramètres!$A$1:$I$89,3,0)*0.475*44/12</f>
        <v>3.0151222937813906E-18</v>
      </c>
      <c r="BS156" s="22">
        <f t="shared" si="169"/>
        <v>0.53381078097000789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-5.6843418860808015E-13</v>
      </c>
      <c r="BZ156" s="13">
        <f>BY156*VLOOKUP('Données projet'!$B$12,Paramètres!$A$1:$I$89,3,0)*VLOOKUP('Données projet'!$B$12,Paramètres!$A$1:$I$89,5,0)</f>
        <v>-3.39923644787632E-13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392.08740055894992</v>
      </c>
      <c r="CE156" s="59">
        <f t="shared" si="148"/>
        <v>395.10797100415783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0.34990863778795112</v>
      </c>
      <c r="CL156" s="21">
        <f>EXP(-LN(2)/25)*CL155+(1-EXP(-LN(2)/25))/(LN(2)/25)*Calculateur!CG156*Calculateur!CI156*VLOOKUP('Données projet'!$B$12,Paramètres!$A$1:$I$89,3,0)*0.475*44/12</f>
        <v>0.85899537966271355</v>
      </c>
      <c r="CM156" s="21">
        <f>EXP(-LN(2)/2)*CM155+(1-EXP(-LN(2)/2))/(LN(2)/2)*CG156*CJ156*VLOOKUP('Données projet'!$B$12,Paramètres!$A$1:$I$89,3,0)*0.475*44/12</f>
        <v>1.065925141208376E-17</v>
      </c>
      <c r="CN156" s="22">
        <f t="shared" si="172"/>
        <v>1.2089040174506647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-1.1368683772161603E-13</v>
      </c>
      <c r="O157" s="13">
        <f>N157*VLOOKUP('Données projet'!$B$9,Paramètres!$A$1:$I$89,3,0)*VLOOKUP('Données projet'!$B$9,Paramètres!$A$1:$I$89,5,0)</f>
        <v>-1.0286385077051818E-13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282.32472952059817</v>
      </c>
      <c r="T157" s="59">
        <f t="shared" si="142"/>
        <v>172.32171001882176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</v>
      </c>
      <c r="AA157" s="21">
        <f>EXP(-LN(2)/25)*AA156+(1-EXP(-LN(2)/25))/(LN(2)/25)*Calculateur!V157*Calculateur!X157*VLOOKUP('Données projet'!$B$9,Paramètres!$A$1:$I$89,3,0)*0.475*44/12</f>
        <v>9.978931187111742E-2</v>
      </c>
      <c r="AB157" s="21">
        <f>EXP(-LN(2)/2)*AB156+(1-EXP(-LN(2)/2))/(LN(2)/2)*V157*Y157*VLOOKUP('Données projet'!$B$9,Paramètres!$A$1:$I$89,3,0)*0.475*44/12</f>
        <v>1.3421008780079593E-18</v>
      </c>
      <c r="AC157" s="22">
        <f t="shared" si="163"/>
        <v>9.978931187111742E-2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-1.1368683772161603E-13</v>
      </c>
      <c r="AJ157" s="13">
        <f>AI157*VLOOKUP('Données projet'!$B$10,Paramètres!$A$1:$I$89,3,0)*VLOOKUP('Données projet'!$B$10,Paramètres!$A$1:$I$89,5,0)</f>
        <v>-1.1527845344971866E-13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324.30660429578262</v>
      </c>
      <c r="AO157" s="59">
        <f t="shared" si="144"/>
        <v>197.04549436738586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</v>
      </c>
      <c r="AV157" s="21">
        <f>EXP(-LN(2)/25)*AV156+(1-EXP(-LN(2)/25))/(LN(2)/25)*Calculateur!AQ157*Calculateur!AS157*VLOOKUP('Données projet'!$B$10,Paramètres!$A$1:$I$89,3,0)*0.475*44/12</f>
        <v>0.11183284951073494</v>
      </c>
      <c r="AW157" s="21">
        <f>EXP(-LN(2)/2)*AW156+(1-EXP(-LN(2)/2))/(LN(2)/2)*AQ157*AT157*VLOOKUP('Données projet'!$B$10,Paramètres!$A$1:$I$89,3,0)*0.475*44/12</f>
        <v>1.5040785701813335E-18</v>
      </c>
      <c r="AX157" s="21">
        <f t="shared" si="166"/>
        <v>0.11183284951073494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-1.1368683772161603E-13</v>
      </c>
      <c r="BE157" s="13">
        <f>BD157*VLOOKUP('Données projet'!$B$11,Paramètres!$A$1:$I$89,3,0)*VLOOKUP('Données projet'!$B$11,Paramètres!$A$1:$I$89,5,0)</f>
        <v>-5.3205440053716299E-14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252.98248842635206</v>
      </c>
      <c r="BJ157" s="59">
        <f t="shared" si="146"/>
        <v>207.11938580878308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0.26895109070170897</v>
      </c>
      <c r="BQ157" s="21">
        <f>EXP(-LN(2)/25)*BQ156+(1-EXP(-LN(2)/25))/(LN(2)/25)*Calculateur!BL157*Calculateur!BN157*VLOOKUP('Données projet'!$B$11,Paramètres!$A$1:$I$89,3,0)*0.475*44/12</f>
        <v>0.25238473491075947</v>
      </c>
      <c r="BR157" s="21">
        <f>EXP(-LN(2)/2)*BR156+(1-EXP(-LN(2)/2))/(LN(2)/2)*BL157*BO157*VLOOKUP('Données projet'!$B$11,Paramètres!$A$1:$I$89,3,0)*0.475*44/12</f>
        <v>2.132013420039559E-18</v>
      </c>
      <c r="BS157" s="22">
        <f t="shared" si="169"/>
        <v>0.5213358256124685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-5.6843418860808015E-13</v>
      </c>
      <c r="BZ157" s="13">
        <f>BY157*VLOOKUP('Données projet'!$B$12,Paramètres!$A$1:$I$89,3,0)*VLOOKUP('Données projet'!$B$12,Paramètres!$A$1:$I$89,5,0)</f>
        <v>-3.39923644787632E-13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392.08740055894992</v>
      </c>
      <c r="CE157" s="59">
        <f t="shared" si="148"/>
        <v>395.10797100415783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0.34304714282412463</v>
      </c>
      <c r="CL157" s="21">
        <f>EXP(-LN(2)/25)*CL156+(1-EXP(-LN(2)/25))/(LN(2)/25)*Calculateur!CG157*Calculateur!CI157*VLOOKUP('Données projet'!$B$12,Paramètres!$A$1:$I$89,3,0)*0.475*44/12</f>
        <v>0.83550610583323293</v>
      </c>
      <c r="CM157" s="21">
        <f>EXP(-LN(2)/2)*CM156+(1-EXP(-LN(2)/2))/(LN(2)/2)*CG157*CJ157*VLOOKUP('Données projet'!$B$12,Paramètres!$A$1:$I$89,3,0)*0.475*44/12</f>
        <v>7.5372289558567088E-18</v>
      </c>
      <c r="CN157" s="22">
        <f t="shared" si="172"/>
        <v>1.1785532486573576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-1.1368683772161603E-13</v>
      </c>
      <c r="O158" s="13">
        <f>N158*VLOOKUP('Données projet'!$B$9,Paramètres!$A$1:$I$89,3,0)*VLOOKUP('Données projet'!$B$9,Paramètres!$A$1:$I$89,5,0)</f>
        <v>-1.0286385077051818E-13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282.32472952059817</v>
      </c>
      <c r="T158" s="59">
        <f t="shared" si="142"/>
        <v>172.32171001882176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</v>
      </c>
      <c r="AA158" s="21">
        <f>EXP(-LN(2)/25)*AA157+(1-EXP(-LN(2)/25))/(LN(2)/25)*Calculateur!V158*Calculateur!X158*VLOOKUP('Données projet'!$B$9,Paramètres!$A$1:$I$89,3,0)*0.475*44/12</f>
        <v>9.7060567890309868E-2</v>
      </c>
      <c r="AB158" s="21">
        <f>EXP(-LN(2)/2)*AB157+(1-EXP(-LN(2)/2))/(LN(2)/2)*V158*Y158*VLOOKUP('Données projet'!$B$9,Paramètres!$A$1:$I$89,3,0)*0.475*44/12</f>
        <v>9.4900863187584737E-19</v>
      </c>
      <c r="AC158" s="22">
        <f t="shared" si="163"/>
        <v>9.7060567890309868E-2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-1.1368683772161603E-13</v>
      </c>
      <c r="AJ158" s="13">
        <f>AI158*VLOOKUP('Données projet'!$B$10,Paramètres!$A$1:$I$89,3,0)*VLOOKUP('Données projet'!$B$10,Paramètres!$A$1:$I$89,5,0)</f>
        <v>-1.1527845344971866E-13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324.30660429578262</v>
      </c>
      <c r="AO158" s="59">
        <f t="shared" si="144"/>
        <v>197.04549436738586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</v>
      </c>
      <c r="AV158" s="21">
        <f>EXP(-LN(2)/25)*AV157+(1-EXP(-LN(2)/25))/(LN(2)/25)*Calculateur!AQ158*Calculateur!AS158*VLOOKUP('Données projet'!$B$10,Paramètres!$A$1:$I$89,3,0)*0.475*44/12</f>
        <v>0.10877477435982993</v>
      </c>
      <c r="AW158" s="21">
        <f>EXP(-LN(2)/2)*AW157+(1-EXP(-LN(2)/2))/(LN(2)/2)*AQ158*AT158*VLOOKUP('Données projet'!$B$10,Paramètres!$A$1:$I$89,3,0)*0.475*44/12</f>
        <v>1.0635441564125874E-18</v>
      </c>
      <c r="AX158" s="21">
        <f t="shared" si="166"/>
        <v>0.10877477435982993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-1.1368683772161603E-13</v>
      </c>
      <c r="BE158" s="13">
        <f>BD158*VLOOKUP('Données projet'!$B$11,Paramètres!$A$1:$I$89,3,0)*VLOOKUP('Données projet'!$B$11,Paramètres!$A$1:$I$89,5,0)</f>
        <v>-5.3205440053716299E-14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252.98248842635206</v>
      </c>
      <c r="BJ158" s="59">
        <f t="shared" si="146"/>
        <v>207.11938580878308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0.2636771238570158</v>
      </c>
      <c r="BQ158" s="21">
        <f>EXP(-LN(2)/25)*BQ157+(1-EXP(-LN(2)/25))/(LN(2)/25)*Calculateur!BL158*Calculateur!BN158*VLOOKUP('Données projet'!$B$11,Paramètres!$A$1:$I$89,3,0)*0.475*44/12</f>
        <v>0.24548326106228838</v>
      </c>
      <c r="BR158" s="21">
        <f>EXP(-LN(2)/2)*BR157+(1-EXP(-LN(2)/2))/(LN(2)/2)*BL158*BO158*VLOOKUP('Données projet'!$B$11,Paramètres!$A$1:$I$89,3,0)*0.475*44/12</f>
        <v>1.5075611468906953E-18</v>
      </c>
      <c r="BS158" s="22">
        <f t="shared" si="169"/>
        <v>0.50916038491930415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-5.6843418860808015E-13</v>
      </c>
      <c r="BZ158" s="13">
        <f>BY158*VLOOKUP('Données projet'!$B$12,Paramètres!$A$1:$I$89,3,0)*VLOOKUP('Données projet'!$B$12,Paramètres!$A$1:$I$89,5,0)</f>
        <v>-3.39923644787632E-13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392.08740055894992</v>
      </c>
      <c r="CE158" s="59">
        <f t="shared" si="148"/>
        <v>395.10797100415783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0.33632019759144011</v>
      </c>
      <c r="CL158" s="21">
        <f>EXP(-LN(2)/25)*CL157+(1-EXP(-LN(2)/25))/(LN(2)/25)*Calculateur!CG158*Calculateur!CI158*VLOOKUP('Données projet'!$B$12,Paramètres!$A$1:$I$89,3,0)*0.475*44/12</f>
        <v>0.81265914743186662</v>
      </c>
      <c r="CM158" s="21">
        <f>EXP(-LN(2)/2)*CM157+(1-EXP(-LN(2)/2))/(LN(2)/2)*CG158*CJ158*VLOOKUP('Données projet'!$B$12,Paramètres!$A$1:$I$89,3,0)*0.475*44/12</f>
        <v>5.32962570604188E-18</v>
      </c>
      <c r="CN158" s="22">
        <f t="shared" si="172"/>
        <v>1.1489793450233068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-1.1368683772161603E-13</v>
      </c>
      <c r="O159" s="13">
        <f>N159*VLOOKUP('Données projet'!$B$9,Paramètres!$A$1:$I$89,3,0)*VLOOKUP('Données projet'!$B$9,Paramètres!$A$1:$I$89,5,0)</f>
        <v>-1.0286385077051818E-13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282.32472952059817</v>
      </c>
      <c r="T159" s="59">
        <f t="shared" si="142"/>
        <v>172.32171001882176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</v>
      </c>
      <c r="AA159" s="21">
        <f>EXP(-LN(2)/25)*AA158+(1-EXP(-LN(2)/25))/(LN(2)/25)*Calculateur!V159*Calculateur!X159*VLOOKUP('Données projet'!$B$9,Paramètres!$A$1:$I$89,3,0)*0.475*44/12</f>
        <v>9.4406441557155912E-2</v>
      </c>
      <c r="AB159" s="21">
        <f>EXP(-LN(2)/2)*AB158+(1-EXP(-LN(2)/2))/(LN(2)/2)*V159*Y159*VLOOKUP('Données projet'!$B$9,Paramètres!$A$1:$I$89,3,0)*0.475*44/12</f>
        <v>6.7105043900397965E-19</v>
      </c>
      <c r="AC159" s="22">
        <f t="shared" si="163"/>
        <v>9.4406441557155912E-2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-1.1368683772161603E-13</v>
      </c>
      <c r="AJ159" s="13">
        <f>AI159*VLOOKUP('Données projet'!$B$10,Paramètres!$A$1:$I$89,3,0)*VLOOKUP('Données projet'!$B$10,Paramètres!$A$1:$I$89,5,0)</f>
        <v>-1.1527845344971866E-13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324.30660429578262</v>
      </c>
      <c r="AO159" s="59">
        <f t="shared" si="144"/>
        <v>197.04549436738586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</v>
      </c>
      <c r="AV159" s="21">
        <f>EXP(-LN(2)/25)*AV158+(1-EXP(-LN(2)/25))/(LN(2)/25)*Calculateur!AQ159*Calculateur!AS159*VLOOKUP('Données projet'!$B$10,Paramètres!$A$1:$I$89,3,0)*0.475*44/12</f>
        <v>0.1058003224347436</v>
      </c>
      <c r="AW159" s="21">
        <f>EXP(-LN(2)/2)*AW158+(1-EXP(-LN(2)/2))/(LN(2)/2)*AQ159*AT159*VLOOKUP('Données projet'!$B$10,Paramètres!$A$1:$I$89,3,0)*0.475*44/12</f>
        <v>7.5203928509066673E-19</v>
      </c>
      <c r="AX159" s="21">
        <f t="shared" si="166"/>
        <v>0.1058003224347436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-1.1368683772161603E-13</v>
      </c>
      <c r="BE159" s="13">
        <f>BD159*VLOOKUP('Données projet'!$B$11,Paramètres!$A$1:$I$89,3,0)*VLOOKUP('Données projet'!$B$11,Paramètres!$A$1:$I$89,5,0)</f>
        <v>-5.3205440053716299E-14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252.98248842635206</v>
      </c>
      <c r="BJ159" s="59">
        <f t="shared" si="146"/>
        <v>207.11938580878308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0.2585065762853449</v>
      </c>
      <c r="BQ159" s="21">
        <f>EXP(-LN(2)/25)*BQ158+(1-EXP(-LN(2)/25))/(LN(2)/25)*Calculateur!BL159*Calculateur!BN159*VLOOKUP('Données projet'!$B$11,Paramètres!$A$1:$I$89,3,0)*0.475*44/12</f>
        <v>0.23877050837913646</v>
      </c>
      <c r="BR159" s="21">
        <f>EXP(-LN(2)/2)*BR158+(1-EXP(-LN(2)/2))/(LN(2)/2)*BL159*BO159*VLOOKUP('Données projet'!$B$11,Paramètres!$A$1:$I$89,3,0)*0.475*44/12</f>
        <v>1.0660067100197795E-18</v>
      </c>
      <c r="BS159" s="22">
        <f t="shared" si="169"/>
        <v>0.49727708466448139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-5.6843418860808015E-13</v>
      </c>
      <c r="BZ159" s="13">
        <f>BY159*VLOOKUP('Données projet'!$B$12,Paramètres!$A$1:$I$89,3,0)*VLOOKUP('Données projet'!$B$12,Paramètres!$A$1:$I$89,5,0)</f>
        <v>-3.39923644787632E-13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392.08740055894992</v>
      </c>
      <c r="CE159" s="59">
        <f t="shared" si="148"/>
        <v>395.10797100415783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0.3297251636517371</v>
      </c>
      <c r="CL159" s="21">
        <f>EXP(-LN(2)/25)*CL158+(1-EXP(-LN(2)/25))/(LN(2)/25)*Calculateur!CG159*Calculateur!CI159*VLOOKUP('Données projet'!$B$12,Paramètres!$A$1:$I$89,3,0)*0.475*44/12</f>
        <v>0.79043694030945499</v>
      </c>
      <c r="CM159" s="21">
        <f>EXP(-LN(2)/2)*CM158+(1-EXP(-LN(2)/2))/(LN(2)/2)*CG159*CJ159*VLOOKUP('Données projet'!$B$12,Paramètres!$A$1:$I$89,3,0)*0.475*44/12</f>
        <v>3.7686144779283544E-18</v>
      </c>
      <c r="CN159" s="22">
        <f t="shared" si="172"/>
        <v>1.1201621039611922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-1.1368683772161603E-13</v>
      </c>
      <c r="O160" s="13">
        <f>N160*VLOOKUP('Données projet'!$B$9,Paramètres!$A$1:$I$89,3,0)*VLOOKUP('Données projet'!$B$9,Paramètres!$A$1:$I$89,5,0)</f>
        <v>-1.0286385077051818E-13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282.32472952059817</v>
      </c>
      <c r="T160" s="59">
        <f t="shared" si="142"/>
        <v>172.32171001882176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</v>
      </c>
      <c r="AA160" s="21">
        <f>EXP(-LN(2)/25)*AA159+(1-EXP(-LN(2)/25))/(LN(2)/25)*Calculateur!V160*Calculateur!X160*VLOOKUP('Données projet'!$B$9,Paramètres!$A$1:$I$89,3,0)*0.475*44/12</f>
        <v>9.1824892448156489E-2</v>
      </c>
      <c r="AB160" s="21">
        <f>EXP(-LN(2)/2)*AB159+(1-EXP(-LN(2)/2))/(LN(2)/2)*V160*Y160*VLOOKUP('Données projet'!$B$9,Paramètres!$A$1:$I$89,3,0)*0.475*44/12</f>
        <v>4.7450431593792369E-19</v>
      </c>
      <c r="AC160" s="22">
        <f t="shared" si="163"/>
        <v>9.1824892448156489E-2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-1.1368683772161603E-13</v>
      </c>
      <c r="AJ160" s="13">
        <f>AI160*VLOOKUP('Données projet'!$B$10,Paramètres!$A$1:$I$89,3,0)*VLOOKUP('Données projet'!$B$10,Paramètres!$A$1:$I$89,5,0)</f>
        <v>-1.1527845344971866E-13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324.30660429578262</v>
      </c>
      <c r="AO160" s="59">
        <f t="shared" si="144"/>
        <v>197.04549436738586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</v>
      </c>
      <c r="AV160" s="21">
        <f>EXP(-LN(2)/25)*AV159+(1-EXP(-LN(2)/25))/(LN(2)/25)*Calculateur!AQ160*Calculateur!AS160*VLOOKUP('Données projet'!$B$10,Paramètres!$A$1:$I$89,3,0)*0.475*44/12</f>
        <v>0.1029072070539684</v>
      </c>
      <c r="AW160" s="21">
        <f>EXP(-LN(2)/2)*AW159+(1-EXP(-LN(2)/2))/(LN(2)/2)*AQ160*AT160*VLOOKUP('Données projet'!$B$10,Paramètres!$A$1:$I$89,3,0)*0.475*44/12</f>
        <v>5.3177207820629371E-19</v>
      </c>
      <c r="AX160" s="21">
        <f t="shared" si="166"/>
        <v>0.1029072070539684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-1.1368683772161603E-13</v>
      </c>
      <c r="BE160" s="13">
        <f>BD160*VLOOKUP('Données projet'!$B$11,Paramètres!$A$1:$I$89,3,0)*VLOOKUP('Données projet'!$B$11,Paramètres!$A$1:$I$89,5,0)</f>
        <v>-5.3205440053716299E-14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252.98248842635206</v>
      </c>
      <c r="BJ160" s="59">
        <f t="shared" si="146"/>
        <v>207.11938580878308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0.25343741999783187</v>
      </c>
      <c r="BQ160" s="21">
        <f>EXP(-LN(2)/25)*BQ159+(1-EXP(-LN(2)/25))/(LN(2)/25)*Calculateur!BL160*Calculateur!BN160*VLOOKUP('Données projet'!$B$11,Paramètres!$A$1:$I$89,3,0)*0.475*44/12</f>
        <v>0.23224131627111366</v>
      </c>
      <c r="BR160" s="21">
        <f>EXP(-LN(2)/2)*BR159+(1-EXP(-LN(2)/2))/(LN(2)/2)*BL160*BO160*VLOOKUP('Données projet'!$B$11,Paramètres!$A$1:$I$89,3,0)*0.475*44/12</f>
        <v>7.5378057344534765E-19</v>
      </c>
      <c r="BS160" s="22">
        <f t="shared" si="169"/>
        <v>0.48567873626894553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-5.6843418860808015E-13</v>
      </c>
      <c r="BZ160" s="13">
        <f>BY160*VLOOKUP('Données projet'!$B$12,Paramètres!$A$1:$I$89,3,0)*VLOOKUP('Données projet'!$B$12,Paramètres!$A$1:$I$89,5,0)</f>
        <v>-3.39923644787632E-13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392.08740055894992</v>
      </c>
      <c r="CE160" s="59">
        <f t="shared" si="148"/>
        <v>395.10797100415783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0.32325945430501812</v>
      </c>
      <c r="CL160" s="21">
        <f>EXP(-LN(2)/25)*CL159+(1-EXP(-LN(2)/25))/(LN(2)/25)*Calculateur!CG160*Calculateur!CI160*VLOOKUP('Données projet'!$B$12,Paramètres!$A$1:$I$89,3,0)*0.475*44/12</f>
        <v>0.76882240060942086</v>
      </c>
      <c r="CM160" s="21">
        <f>EXP(-LN(2)/2)*CM159+(1-EXP(-LN(2)/2))/(LN(2)/2)*CG160*CJ160*VLOOKUP('Données projet'!$B$12,Paramètres!$A$1:$I$89,3,0)*0.475*44/12</f>
        <v>2.66481285302094E-18</v>
      </c>
      <c r="CN160" s="22">
        <f t="shared" si="172"/>
        <v>1.0920818549144391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-1.1368683772161603E-13</v>
      </c>
      <c r="O161" s="13">
        <f>N161*VLOOKUP('Données projet'!$B$9,Paramètres!$A$1:$I$89,3,0)*VLOOKUP('Données projet'!$B$9,Paramètres!$A$1:$I$89,5,0)</f>
        <v>-1.0286385077051818E-13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282.32472952059817</v>
      </c>
      <c r="T161" s="59">
        <f t="shared" si="142"/>
        <v>172.32171001882176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</v>
      </c>
      <c r="AA161" s="21">
        <f>EXP(-LN(2)/25)*AA160+(1-EXP(-LN(2)/25))/(LN(2)/25)*Calculateur!V161*Calculateur!X161*VLOOKUP('Données projet'!$B$9,Paramètres!$A$1:$I$89,3,0)*0.475*44/12</f>
        <v>8.9313935935300431E-2</v>
      </c>
      <c r="AB161" s="21">
        <f>EXP(-LN(2)/2)*AB160+(1-EXP(-LN(2)/2))/(LN(2)/2)*V161*Y161*VLOOKUP('Données projet'!$B$9,Paramètres!$A$1:$I$89,3,0)*0.475*44/12</f>
        <v>3.3552521950198982E-19</v>
      </c>
      <c r="AC161" s="22">
        <f t="shared" si="163"/>
        <v>8.9313935935300431E-2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-1.1368683772161603E-13</v>
      </c>
      <c r="AJ161" s="13">
        <f>AI161*VLOOKUP('Données projet'!$B$10,Paramètres!$A$1:$I$89,3,0)*VLOOKUP('Données projet'!$B$10,Paramètres!$A$1:$I$89,5,0)</f>
        <v>-1.1527845344971866E-13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324.30660429578262</v>
      </c>
      <c r="AO161" s="59">
        <f t="shared" si="144"/>
        <v>197.04549436738586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</v>
      </c>
      <c r="AV161" s="21">
        <f>EXP(-LN(2)/25)*AV160+(1-EXP(-LN(2)/25))/(LN(2)/25)*Calculateur!AQ161*Calculateur!AS161*VLOOKUP('Données projet'!$B$10,Paramètres!$A$1:$I$89,3,0)*0.475*44/12</f>
        <v>0.10009320406542281</v>
      </c>
      <c r="AW161" s="21">
        <f>EXP(-LN(2)/2)*AW160+(1-EXP(-LN(2)/2))/(LN(2)/2)*AQ161*AT161*VLOOKUP('Données projet'!$B$10,Paramètres!$A$1:$I$89,3,0)*0.475*44/12</f>
        <v>3.7601964254533337E-19</v>
      </c>
      <c r="AX161" s="21">
        <f t="shared" si="166"/>
        <v>0.10009320406542281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-1.1368683772161603E-13</v>
      </c>
      <c r="BE161" s="13">
        <f>BD161*VLOOKUP('Données projet'!$B$11,Paramètres!$A$1:$I$89,3,0)*VLOOKUP('Données projet'!$B$11,Paramètres!$A$1:$I$89,5,0)</f>
        <v>-5.3205440053716299E-14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252.98248842635206</v>
      </c>
      <c r="BJ161" s="59">
        <f t="shared" si="146"/>
        <v>207.11938580878308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0.24846766677323692</v>
      </c>
      <c r="BQ161" s="21">
        <f>EXP(-LN(2)/25)*BQ160+(1-EXP(-LN(2)/25))/(LN(2)/25)*Calculateur!BL161*Calculateur!BN161*VLOOKUP('Données projet'!$B$11,Paramètres!$A$1:$I$89,3,0)*0.475*44/12</f>
        <v>0.22589066526464002</v>
      </c>
      <c r="BR161" s="21">
        <f>EXP(-LN(2)/2)*BR160+(1-EXP(-LN(2)/2))/(LN(2)/2)*BL161*BO161*VLOOKUP('Données projet'!$B$11,Paramètres!$A$1:$I$89,3,0)*0.475*44/12</f>
        <v>5.3300335500988974E-19</v>
      </c>
      <c r="BS161" s="22">
        <f t="shared" si="169"/>
        <v>0.47435833203787692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-5.6843418860808015E-13</v>
      </c>
      <c r="BZ161" s="13">
        <f>BY161*VLOOKUP('Données projet'!$B$12,Paramètres!$A$1:$I$89,3,0)*VLOOKUP('Données projet'!$B$12,Paramètres!$A$1:$I$89,5,0)</f>
        <v>-3.39923644787632E-13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392.08740055894992</v>
      </c>
      <c r="CE161" s="59">
        <f t="shared" si="148"/>
        <v>395.10797100415783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0.31692053357489502</v>
      </c>
      <c r="CL161" s="21">
        <f>EXP(-LN(2)/25)*CL160+(1-EXP(-LN(2)/25))/(LN(2)/25)*Calculateur!CG161*Calculateur!CI161*VLOOKUP('Données projet'!$B$12,Paramètres!$A$1:$I$89,3,0)*0.475*44/12</f>
        <v>0.74779891163414336</v>
      </c>
      <c r="CM161" s="21">
        <f>EXP(-LN(2)/2)*CM160+(1-EXP(-LN(2)/2))/(LN(2)/2)*CG161*CJ161*VLOOKUP('Données projet'!$B$12,Paramètres!$A$1:$I$89,3,0)*0.475*44/12</f>
        <v>1.8843072389641772E-18</v>
      </c>
      <c r="CN161" s="22">
        <f t="shared" si="172"/>
        <v>1.0647194452090383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-1.1368683772161603E-13</v>
      </c>
      <c r="O162" s="13">
        <f>N162*VLOOKUP('Données projet'!$B$9,Paramètres!$A$1:$I$89,3,0)*VLOOKUP('Données projet'!$B$9,Paramètres!$A$1:$I$89,5,0)</f>
        <v>-1.0286385077051818E-13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282.32472952059817</v>
      </c>
      <c r="T162" s="59">
        <f t="shared" si="142"/>
        <v>172.32171001882176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</v>
      </c>
      <c r="AA162" s="21">
        <f>EXP(-LN(2)/25)*AA161+(1-EXP(-LN(2)/25))/(LN(2)/25)*Calculateur!V162*Calculateur!X162*VLOOKUP('Données projet'!$B$9,Paramètres!$A$1:$I$89,3,0)*0.475*44/12</f>
        <v>8.6871641660333884E-2</v>
      </c>
      <c r="AB162" s="21">
        <f>EXP(-LN(2)/2)*AB161+(1-EXP(-LN(2)/2))/(LN(2)/2)*V162*Y162*VLOOKUP('Données projet'!$B$9,Paramètres!$A$1:$I$89,3,0)*0.475*44/12</f>
        <v>2.3725215796896184E-19</v>
      </c>
      <c r="AC162" s="22">
        <f t="shared" si="163"/>
        <v>8.6871641660333884E-2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-1.1368683772161603E-13</v>
      </c>
      <c r="AJ162" s="13">
        <f>AI162*VLOOKUP('Données projet'!$B$10,Paramètres!$A$1:$I$89,3,0)*VLOOKUP('Données projet'!$B$10,Paramètres!$A$1:$I$89,5,0)</f>
        <v>-1.1527845344971866E-13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324.30660429578262</v>
      </c>
      <c r="AO162" s="59">
        <f t="shared" si="144"/>
        <v>197.04549436738586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</v>
      </c>
      <c r="AV162" s="21">
        <f>EXP(-LN(2)/25)*AV161+(1-EXP(-LN(2)/25))/(LN(2)/25)*Calculateur!AQ162*Calculateur!AS162*VLOOKUP('Données projet'!$B$10,Paramètres!$A$1:$I$89,3,0)*0.475*44/12</f>
        <v>9.7356150136580985E-2</v>
      </c>
      <c r="AW162" s="21">
        <f>EXP(-LN(2)/2)*AW161+(1-EXP(-LN(2)/2))/(LN(2)/2)*AQ162*AT162*VLOOKUP('Données projet'!$B$10,Paramètres!$A$1:$I$89,3,0)*0.475*44/12</f>
        <v>2.6588603910314685E-19</v>
      </c>
      <c r="AX162" s="21">
        <f t="shared" si="166"/>
        <v>9.7356150136580985E-2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-1.1368683772161603E-13</v>
      </c>
      <c r="BE162" s="13">
        <f>BD162*VLOOKUP('Données projet'!$B$11,Paramètres!$A$1:$I$89,3,0)*VLOOKUP('Données projet'!$B$11,Paramètres!$A$1:$I$89,5,0)</f>
        <v>-5.3205440053716299E-14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252.98248842635206</v>
      </c>
      <c r="BJ162" s="59">
        <f t="shared" si="146"/>
        <v>207.11938580878308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0.24359536737812612</v>
      </c>
      <c r="BQ162" s="21">
        <f>EXP(-LN(2)/25)*BQ161+(1-EXP(-LN(2)/25))/(LN(2)/25)*Calculateur!BL162*Calculateur!BN162*VLOOKUP('Données projet'!$B$11,Paramètres!$A$1:$I$89,3,0)*0.475*44/12</f>
        <v>0.21971367314390464</v>
      </c>
      <c r="BR162" s="21">
        <f>EXP(-LN(2)/2)*BR161+(1-EXP(-LN(2)/2))/(LN(2)/2)*BL162*BO162*VLOOKUP('Données projet'!$B$11,Paramètres!$A$1:$I$89,3,0)*0.475*44/12</f>
        <v>3.7689028672267382E-19</v>
      </c>
      <c r="BS162" s="22">
        <f t="shared" si="169"/>
        <v>0.46330904052203076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-5.6843418860808015E-13</v>
      </c>
      <c r="BZ162" s="13">
        <f>BY162*VLOOKUP('Données projet'!$B$12,Paramètres!$A$1:$I$89,3,0)*VLOOKUP('Données projet'!$B$12,Paramètres!$A$1:$I$89,5,0)</f>
        <v>-3.39923644787632E-13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392.08740055894992</v>
      </c>
      <c r="CE162" s="59">
        <f t="shared" si="148"/>
        <v>395.10797100415783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0.31070591521392976</v>
      </c>
      <c r="CL162" s="21">
        <f>EXP(-LN(2)/25)*CL161+(1-EXP(-LN(2)/25))/(LN(2)/25)*Calculateur!CG162*Calculateur!CI162*VLOOKUP('Données projet'!$B$12,Paramètres!$A$1:$I$89,3,0)*0.475*44/12</f>
        <v>0.7273503110704721</v>
      </c>
      <c r="CM162" s="21">
        <f>EXP(-LN(2)/2)*CM161+(1-EXP(-LN(2)/2))/(LN(2)/2)*CG162*CJ162*VLOOKUP('Données projet'!$B$12,Paramètres!$A$1:$I$89,3,0)*0.475*44/12</f>
        <v>1.33240642651047E-18</v>
      </c>
      <c r="CN162" s="22">
        <f t="shared" si="172"/>
        <v>1.038056226284402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-1.1368683772161603E-13</v>
      </c>
      <c r="O163" s="13">
        <f>N163*VLOOKUP('Données projet'!$B$9,Paramètres!$A$1:$I$89,3,0)*VLOOKUP('Données projet'!$B$9,Paramètres!$A$1:$I$89,5,0)</f>
        <v>-1.0286385077051818E-13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282.32472952059817</v>
      </c>
      <c r="T163" s="59">
        <f t="shared" si="142"/>
        <v>172.32171001882176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</v>
      </c>
      <c r="AA163" s="21">
        <f>EXP(-LN(2)/25)*AA162+(1-EXP(-LN(2)/25))/(LN(2)/25)*Calculateur!V163*Calculateur!X163*VLOOKUP('Données projet'!$B$9,Paramètres!$A$1:$I$89,3,0)*0.475*44/12</f>
        <v>8.4496132050750961E-2</v>
      </c>
      <c r="AB163" s="21">
        <f>EXP(-LN(2)/2)*AB162+(1-EXP(-LN(2)/2))/(LN(2)/2)*V163*Y163*VLOOKUP('Données projet'!$B$9,Paramètres!$A$1:$I$89,3,0)*0.475*44/12</f>
        <v>1.6776260975099491E-19</v>
      </c>
      <c r="AC163" s="22">
        <f t="shared" si="163"/>
        <v>8.4496132050750961E-2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-1.1368683772161603E-13</v>
      </c>
      <c r="AJ163" s="13">
        <f>AI163*VLOOKUP('Données projet'!$B$10,Paramètres!$A$1:$I$89,3,0)*VLOOKUP('Données projet'!$B$10,Paramètres!$A$1:$I$89,5,0)</f>
        <v>-1.1527845344971866E-13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324.30660429578262</v>
      </c>
      <c r="AO163" s="59">
        <f t="shared" si="144"/>
        <v>197.04549436738586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</v>
      </c>
      <c r="AV163" s="21">
        <f>EXP(-LN(2)/25)*AV162+(1-EXP(-LN(2)/25))/(LN(2)/25)*Calculateur!AQ163*Calculateur!AS163*VLOOKUP('Données projet'!$B$10,Paramètres!$A$1:$I$89,3,0)*0.475*44/12</f>
        <v>9.4693941091358758E-2</v>
      </c>
      <c r="AW163" s="21">
        <f>EXP(-LN(2)/2)*AW162+(1-EXP(-LN(2)/2))/(LN(2)/2)*AQ163*AT163*VLOOKUP('Données projet'!$B$10,Paramètres!$A$1:$I$89,3,0)*0.475*44/12</f>
        <v>1.8800982127266668E-19</v>
      </c>
      <c r="AX163" s="21">
        <f t="shared" si="166"/>
        <v>9.4693941091358758E-2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-1.1368683772161603E-13</v>
      </c>
      <c r="BE163" s="13">
        <f>BD163*VLOOKUP('Données projet'!$B$11,Paramètres!$A$1:$I$89,3,0)*VLOOKUP('Données projet'!$B$11,Paramètres!$A$1:$I$89,5,0)</f>
        <v>-5.3205440053716299E-14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252.98248842635206</v>
      </c>
      <c r="BJ163" s="59">
        <f t="shared" si="146"/>
        <v>207.11938580878308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0.23881861080234426</v>
      </c>
      <c r="BQ163" s="21">
        <f>EXP(-LN(2)/25)*BQ162+(1-EXP(-LN(2)/25))/(LN(2)/25)*Calculateur!BL163*Calculateur!BN163*VLOOKUP('Données projet'!$B$11,Paramètres!$A$1:$I$89,3,0)*0.475*44/12</f>
        <v>0.21370559119754465</v>
      </c>
      <c r="BR163" s="21">
        <f>EXP(-LN(2)/2)*BR162+(1-EXP(-LN(2)/2))/(LN(2)/2)*BL163*BO163*VLOOKUP('Données projet'!$B$11,Paramètres!$A$1:$I$89,3,0)*0.475*44/12</f>
        <v>2.6650167750494487E-19</v>
      </c>
      <c r="BS163" s="22">
        <f t="shared" si="169"/>
        <v>0.45252420199988891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-5.6843418860808015E-13</v>
      </c>
      <c r="BZ163" s="13">
        <f>BY163*VLOOKUP('Données projet'!$B$12,Paramètres!$A$1:$I$89,3,0)*VLOOKUP('Données projet'!$B$12,Paramètres!$A$1:$I$89,5,0)</f>
        <v>-3.39923644787632E-13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392.08740055894992</v>
      </c>
      <c r="CE163" s="59">
        <f t="shared" si="148"/>
        <v>395.10797100415783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0.30461316172848013</v>
      </c>
      <c r="CL163" s="21">
        <f>EXP(-LN(2)/25)*CL162+(1-EXP(-LN(2)/25))/(LN(2)/25)*Calculateur!CG163*Calculateur!CI163*VLOOKUP('Données projet'!$B$12,Paramètres!$A$1:$I$89,3,0)*0.475*44/12</f>
        <v>0.70746087856455953</v>
      </c>
      <c r="CM163" s="21">
        <f>EXP(-LN(2)/2)*CM162+(1-EXP(-LN(2)/2))/(LN(2)/2)*CG163*CJ163*VLOOKUP('Données projet'!$B$12,Paramètres!$A$1:$I$89,3,0)*0.475*44/12</f>
        <v>9.421536194820886E-19</v>
      </c>
      <c r="CN163" s="22">
        <f t="shared" si="172"/>
        <v>1.0120740402930397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-1.1368683772161603E-13</v>
      </c>
      <c r="O164" s="13">
        <f>N164*VLOOKUP('Données projet'!$B$9,Paramètres!$A$1:$I$89,3,0)*VLOOKUP('Données projet'!$B$9,Paramètres!$A$1:$I$89,5,0)</f>
        <v>-1.0286385077051818E-13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282.32472952059817</v>
      </c>
      <c r="T164" s="59">
        <f t="shared" si="142"/>
        <v>172.32171001882176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</v>
      </c>
      <c r="AA164" s="21">
        <f>EXP(-LN(2)/25)*AA163+(1-EXP(-LN(2)/25))/(LN(2)/25)*Calculateur!V164*Calculateur!X164*VLOOKUP('Données projet'!$B$9,Paramètres!$A$1:$I$89,3,0)*0.475*44/12</f>
        <v>8.2185580876364711E-2</v>
      </c>
      <c r="AB164" s="21">
        <f>EXP(-LN(2)/2)*AB163+(1-EXP(-LN(2)/2))/(LN(2)/2)*V164*Y164*VLOOKUP('Données projet'!$B$9,Paramètres!$A$1:$I$89,3,0)*0.475*44/12</f>
        <v>1.1862607898448092E-19</v>
      </c>
      <c r="AC164" s="22">
        <f t="shared" si="163"/>
        <v>8.2185580876364711E-2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-1.1368683772161603E-13</v>
      </c>
      <c r="AJ164" s="13">
        <f>AI164*VLOOKUP('Données projet'!$B$10,Paramètres!$A$1:$I$89,3,0)*VLOOKUP('Données projet'!$B$10,Paramètres!$A$1:$I$89,5,0)</f>
        <v>-1.1527845344971866E-13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324.30660429578262</v>
      </c>
      <c r="AO164" s="59">
        <f t="shared" si="144"/>
        <v>197.04549436738586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</v>
      </c>
      <c r="AV164" s="21">
        <f>EXP(-LN(2)/25)*AV163+(1-EXP(-LN(2)/25))/(LN(2)/25)*Calculateur!AQ164*Calculateur!AS164*VLOOKUP('Données projet'!$B$10,Paramètres!$A$1:$I$89,3,0)*0.475*44/12</f>
        <v>9.2104530292477615E-2</v>
      </c>
      <c r="AW164" s="21">
        <f>EXP(-LN(2)/2)*AW163+(1-EXP(-LN(2)/2))/(LN(2)/2)*AQ164*AT164*VLOOKUP('Données projet'!$B$10,Paramètres!$A$1:$I$89,3,0)*0.475*44/12</f>
        <v>1.3294301955157343E-19</v>
      </c>
      <c r="AX164" s="21">
        <f t="shared" si="166"/>
        <v>9.2104530292477615E-2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-1.1368683772161603E-13</v>
      </c>
      <c r="BE164" s="13">
        <f>BD164*VLOOKUP('Données projet'!$B$11,Paramètres!$A$1:$I$89,3,0)*VLOOKUP('Données projet'!$B$11,Paramètres!$A$1:$I$89,5,0)</f>
        <v>-5.3205440053716299E-14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252.98248842635206</v>
      </c>
      <c r="BJ164" s="59">
        <f t="shared" si="146"/>
        <v>207.11938580878308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0.23413552350947966</v>
      </c>
      <c r="BQ164" s="21">
        <f>EXP(-LN(2)/25)*BQ163+(1-EXP(-LN(2)/25))/(LN(2)/25)*Calculateur!BL164*Calculateur!BN164*VLOOKUP('Données projet'!$B$11,Paramètres!$A$1:$I$89,3,0)*0.475*44/12</f>
        <v>0.20786180056795917</v>
      </c>
      <c r="BR164" s="21">
        <f>EXP(-LN(2)/2)*BR163+(1-EXP(-LN(2)/2))/(LN(2)/2)*BL164*BO164*VLOOKUP('Données projet'!$B$11,Paramètres!$A$1:$I$89,3,0)*0.475*44/12</f>
        <v>1.8844514336133691E-19</v>
      </c>
      <c r="BS164" s="22">
        <f t="shared" si="169"/>
        <v>0.44199732407743886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-5.6843418860808015E-13</v>
      </c>
      <c r="BZ164" s="13">
        <f>BY164*VLOOKUP('Données projet'!$B$12,Paramètres!$A$1:$I$89,3,0)*VLOOKUP('Données projet'!$B$12,Paramètres!$A$1:$I$89,5,0)</f>
        <v>-3.39923644787632E-13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392.08740055894992</v>
      </c>
      <c r="CE164" s="59">
        <f t="shared" si="148"/>
        <v>395.10797100415783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0.29863988342266751</v>
      </c>
      <c r="CL164" s="21">
        <f>EXP(-LN(2)/25)*CL163+(1-EXP(-LN(2)/25))/(LN(2)/25)*Calculateur!CG164*Calculateur!CI164*VLOOKUP('Données projet'!$B$12,Paramètres!$A$1:$I$89,3,0)*0.475*44/12</f>
        <v>0.688115323636461</v>
      </c>
      <c r="CM164" s="21">
        <f>EXP(-LN(2)/2)*CM163+(1-EXP(-LN(2)/2))/(LN(2)/2)*CG164*CJ164*VLOOKUP('Données projet'!$B$12,Paramètres!$A$1:$I$89,3,0)*0.475*44/12</f>
        <v>6.6620321325523499E-19</v>
      </c>
      <c r="CN164" s="22">
        <f t="shared" si="172"/>
        <v>0.98675520705912856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-1.1368683772161603E-13</v>
      </c>
      <c r="O165" s="13">
        <f>N165*VLOOKUP('Données projet'!$B$9,Paramètres!$A$1:$I$89,3,0)*VLOOKUP('Données projet'!$B$9,Paramètres!$A$1:$I$89,5,0)</f>
        <v>-1.0286385077051818E-13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282.32472952059817</v>
      </c>
      <c r="T165" s="59">
        <f t="shared" si="142"/>
        <v>172.32171001882176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</v>
      </c>
      <c r="AA165" s="21">
        <f>EXP(-LN(2)/25)*AA164+(1-EXP(-LN(2)/25))/(LN(2)/25)*Calculateur!V165*Calculateur!X165*VLOOKUP('Données projet'!$B$9,Paramètres!$A$1:$I$89,3,0)*0.475*44/12</f>
        <v>7.9938211845348661E-2</v>
      </c>
      <c r="AB165" s="21">
        <f>EXP(-LN(2)/2)*AB164+(1-EXP(-LN(2)/2))/(LN(2)/2)*V165*Y165*VLOOKUP('Données projet'!$B$9,Paramètres!$A$1:$I$89,3,0)*0.475*44/12</f>
        <v>8.3881304875497456E-20</v>
      </c>
      <c r="AC165" s="22">
        <f t="shared" si="163"/>
        <v>7.9938211845348661E-2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-1.1368683772161603E-13</v>
      </c>
      <c r="AJ165" s="13">
        <f>AI165*VLOOKUP('Données projet'!$B$10,Paramètres!$A$1:$I$89,3,0)*VLOOKUP('Données projet'!$B$10,Paramètres!$A$1:$I$89,5,0)</f>
        <v>-1.1527845344971866E-13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324.30660429578262</v>
      </c>
      <c r="AO165" s="59">
        <f t="shared" si="144"/>
        <v>197.04549436738586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</v>
      </c>
      <c r="AV165" s="21">
        <f>EXP(-LN(2)/25)*AV164+(1-EXP(-LN(2)/25))/(LN(2)/25)*Calculateur!AQ165*Calculateur!AS165*VLOOKUP('Données projet'!$B$10,Paramètres!$A$1:$I$89,3,0)*0.475*44/12</f>
        <v>8.9585927068063079E-2</v>
      </c>
      <c r="AW165" s="21">
        <f>EXP(-LN(2)/2)*AW164+(1-EXP(-LN(2)/2))/(LN(2)/2)*AQ165*AT165*VLOOKUP('Données projet'!$B$10,Paramètres!$A$1:$I$89,3,0)*0.475*44/12</f>
        <v>9.4004910636333341E-20</v>
      </c>
      <c r="AX165" s="21">
        <f t="shared" si="166"/>
        <v>8.9585927068063079E-2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-1.1368683772161603E-13</v>
      </c>
      <c r="BE165" s="13">
        <f>BD165*VLOOKUP('Données projet'!$B$11,Paramètres!$A$1:$I$89,3,0)*VLOOKUP('Données projet'!$B$11,Paramètres!$A$1:$I$89,5,0)</f>
        <v>-5.3205440053716299E-14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252.98248842635206</v>
      </c>
      <c r="BJ165" s="59">
        <f t="shared" si="146"/>
        <v>207.11938580878308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0.22954426870202693</v>
      </c>
      <c r="BQ165" s="21">
        <f>EXP(-LN(2)/25)*BQ164+(1-EXP(-LN(2)/25))/(LN(2)/25)*Calculateur!BL165*Calculateur!BN165*VLOOKUP('Données projet'!$B$11,Paramètres!$A$1:$I$89,3,0)*0.475*44/12</f>
        <v>0.20217780870045129</v>
      </c>
      <c r="BR165" s="21">
        <f>EXP(-LN(2)/2)*BR164+(1-EXP(-LN(2)/2))/(LN(2)/2)*BL165*BO165*VLOOKUP('Données projet'!$B$11,Paramètres!$A$1:$I$89,3,0)*0.475*44/12</f>
        <v>1.3325083875247244E-19</v>
      </c>
      <c r="BS165" s="22">
        <f t="shared" si="169"/>
        <v>0.43172207740247825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-5.6843418860808015E-13</v>
      </c>
      <c r="BZ165" s="13">
        <f>BY165*VLOOKUP('Données projet'!$B$12,Paramètres!$A$1:$I$89,3,0)*VLOOKUP('Données projet'!$B$12,Paramètres!$A$1:$I$89,5,0)</f>
        <v>-3.39923644787632E-13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392.08740055894992</v>
      </c>
      <c r="CE165" s="59">
        <f t="shared" si="148"/>
        <v>395.10797100415783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0.29278373746109182</v>
      </c>
      <c r="CL165" s="21">
        <f>EXP(-LN(2)/25)*CL164+(1-EXP(-LN(2)/25))/(LN(2)/25)*Calculateur!CG165*Calculateur!CI165*VLOOKUP('Données projet'!$B$12,Paramètres!$A$1:$I$89,3,0)*0.475*44/12</f>
        <v>0.66929877392520976</v>
      </c>
      <c r="CM165" s="21">
        <f>EXP(-LN(2)/2)*CM164+(1-EXP(-LN(2)/2))/(LN(2)/2)*CG165*CJ165*VLOOKUP('Données projet'!$B$12,Paramètres!$A$1:$I$89,3,0)*0.475*44/12</f>
        <v>4.710768097410443E-19</v>
      </c>
      <c r="CN165" s="22">
        <f t="shared" si="172"/>
        <v>0.96208251138630163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-1.1368683772161603E-13</v>
      </c>
      <c r="O166" s="13">
        <f>N166*VLOOKUP('Données projet'!$B$9,Paramètres!$A$1:$I$89,3,0)*VLOOKUP('Données projet'!$B$9,Paramètres!$A$1:$I$89,5,0)</f>
        <v>-1.0286385077051818E-13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282.32472952059817</v>
      </c>
      <c r="T166" s="59">
        <f t="shared" si="142"/>
        <v>172.32171001882176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</v>
      </c>
      <c r="AA166" s="21">
        <f>EXP(-LN(2)/25)*AA165+(1-EXP(-LN(2)/25))/(LN(2)/25)*Calculateur!V166*Calculateur!X166*VLOOKUP('Données projet'!$B$9,Paramètres!$A$1:$I$89,3,0)*0.475*44/12</f>
        <v>7.7752297238669749E-2</v>
      </c>
      <c r="AB166" s="21">
        <f>EXP(-LN(2)/2)*AB165+(1-EXP(-LN(2)/2))/(LN(2)/2)*V166*Y166*VLOOKUP('Données projet'!$B$9,Paramètres!$A$1:$I$89,3,0)*0.475*44/12</f>
        <v>5.9313039492240461E-20</v>
      </c>
      <c r="AC166" s="22">
        <f t="shared" si="163"/>
        <v>7.7752297238669749E-2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-1.1368683772161603E-13</v>
      </c>
      <c r="AJ166" s="13">
        <f>AI166*VLOOKUP('Données projet'!$B$10,Paramètres!$A$1:$I$89,3,0)*VLOOKUP('Données projet'!$B$10,Paramètres!$A$1:$I$89,5,0)</f>
        <v>-1.1527845344971866E-13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324.30660429578262</v>
      </c>
      <c r="AO166" s="59">
        <f t="shared" si="144"/>
        <v>197.04549436738586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</v>
      </c>
      <c r="AV166" s="21">
        <f>EXP(-LN(2)/25)*AV165+(1-EXP(-LN(2)/25))/(LN(2)/25)*Calculateur!AQ166*Calculateur!AS166*VLOOKUP('Données projet'!$B$10,Paramètres!$A$1:$I$89,3,0)*0.475*44/12</f>
        <v>8.7136195181267737E-2</v>
      </c>
      <c r="AW166" s="21">
        <f>EXP(-LN(2)/2)*AW165+(1-EXP(-LN(2)/2))/(LN(2)/2)*AQ166*AT166*VLOOKUP('Données projet'!$B$10,Paramètres!$A$1:$I$89,3,0)*0.475*44/12</f>
        <v>6.6471509775786714E-20</v>
      </c>
      <c r="AX166" s="21">
        <f t="shared" si="166"/>
        <v>8.7136195181267737E-2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-1.1368683772161603E-13</v>
      </c>
      <c r="BE166" s="13">
        <f>BD166*VLOOKUP('Données projet'!$B$11,Paramètres!$A$1:$I$89,3,0)*VLOOKUP('Données projet'!$B$11,Paramètres!$A$1:$I$89,5,0)</f>
        <v>-5.3205440053716299E-14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252.98248842635206</v>
      </c>
      <c r="BJ166" s="59">
        <f t="shared" si="146"/>
        <v>207.11938580878308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0.22504304560095945</v>
      </c>
      <c r="BQ166" s="21">
        <f>EXP(-LN(2)/25)*BQ165+(1-EXP(-LN(2)/25))/(LN(2)/25)*Calculateur!BL166*Calculateur!BN166*VLOOKUP('Données projet'!$B$11,Paramètres!$A$1:$I$89,3,0)*0.475*44/12</f>
        <v>0.19664924588946858</v>
      </c>
      <c r="BR166" s="21">
        <f>EXP(-LN(2)/2)*BR165+(1-EXP(-LN(2)/2))/(LN(2)/2)*BL166*BO166*VLOOKUP('Données projet'!$B$11,Paramètres!$A$1:$I$89,3,0)*0.475*44/12</f>
        <v>9.4222571680668456E-20</v>
      </c>
      <c r="BS166" s="22">
        <f t="shared" si="169"/>
        <v>0.42169229149042803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-5.6843418860808015E-13</v>
      </c>
      <c r="BZ166" s="13">
        <f>BY166*VLOOKUP('Données projet'!$B$12,Paramètres!$A$1:$I$89,3,0)*VLOOKUP('Données projet'!$B$12,Paramètres!$A$1:$I$89,5,0)</f>
        <v>-3.39923644787632E-13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392.08740055894992</v>
      </c>
      <c r="CE166" s="59">
        <f t="shared" si="148"/>
        <v>395.10797100415783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0.28704242694992632</v>
      </c>
      <c r="CL166" s="21">
        <f>EXP(-LN(2)/25)*CL165+(1-EXP(-LN(2)/25))/(LN(2)/25)*Calculateur!CG166*Calculateur!CI166*VLOOKUP('Données projet'!$B$12,Paramètres!$A$1:$I$89,3,0)*0.475*44/12</f>
        <v>0.65099676375533211</v>
      </c>
      <c r="CM166" s="21">
        <f>EXP(-LN(2)/2)*CM165+(1-EXP(-LN(2)/2))/(LN(2)/2)*CG166*CJ166*VLOOKUP('Données projet'!$B$12,Paramètres!$A$1:$I$89,3,0)*0.475*44/12</f>
        <v>3.331016066276175E-19</v>
      </c>
      <c r="CN166" s="22">
        <f t="shared" si="172"/>
        <v>0.93803919070525843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-1.1368683772161603E-13</v>
      </c>
      <c r="O167" s="13">
        <f>N167*VLOOKUP('Données projet'!$B$9,Paramètres!$A$1:$I$89,3,0)*VLOOKUP('Données projet'!$B$9,Paramètres!$A$1:$I$89,5,0)</f>
        <v>-1.0286385077051818E-13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282.32472952059817</v>
      </c>
      <c r="T167" s="59">
        <f t="shared" si="142"/>
        <v>172.32171001882176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</v>
      </c>
      <c r="AA167" s="21">
        <f>EXP(-LN(2)/25)*AA166+(1-EXP(-LN(2)/25))/(LN(2)/25)*Calculateur!V167*Calculateur!X167*VLOOKUP('Données projet'!$B$9,Paramètres!$A$1:$I$89,3,0)*0.475*44/12</f>
        <v>7.5626156581862725E-2</v>
      </c>
      <c r="AB167" s="21">
        <f>EXP(-LN(2)/2)*AB166+(1-EXP(-LN(2)/2))/(LN(2)/2)*V167*Y167*VLOOKUP('Données projet'!$B$9,Paramètres!$A$1:$I$89,3,0)*0.475*44/12</f>
        <v>4.1940652437748728E-20</v>
      </c>
      <c r="AC167" s="22">
        <f t="shared" si="163"/>
        <v>7.5626156581862725E-2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-1.1368683772161603E-13</v>
      </c>
      <c r="AJ167" s="13">
        <f>AI167*VLOOKUP('Données projet'!$B$10,Paramètres!$A$1:$I$89,3,0)*VLOOKUP('Données projet'!$B$10,Paramètres!$A$1:$I$89,5,0)</f>
        <v>-1.1527845344971866E-13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324.30660429578262</v>
      </c>
      <c r="AO167" s="59">
        <f t="shared" si="144"/>
        <v>197.04549436738586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</v>
      </c>
      <c r="AV167" s="21">
        <f>EXP(-LN(2)/25)*AV166+(1-EXP(-LN(2)/25))/(LN(2)/25)*Calculateur!AQ167*Calculateur!AS167*VLOOKUP('Données projet'!$B$10,Paramètres!$A$1:$I$89,3,0)*0.475*44/12</f>
        <v>8.4753451341742614E-2</v>
      </c>
      <c r="AW167" s="21">
        <f>EXP(-LN(2)/2)*AW166+(1-EXP(-LN(2)/2))/(LN(2)/2)*AQ167*AT167*VLOOKUP('Données projet'!$B$10,Paramètres!$A$1:$I$89,3,0)*0.475*44/12</f>
        <v>4.7002455318166671E-20</v>
      </c>
      <c r="AX167" s="21">
        <f t="shared" si="166"/>
        <v>8.4753451341742614E-2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-1.1368683772161603E-13</v>
      </c>
      <c r="BE167" s="13">
        <f>BD167*VLOOKUP('Données projet'!$B$11,Paramètres!$A$1:$I$89,3,0)*VLOOKUP('Données projet'!$B$11,Paramètres!$A$1:$I$89,5,0)</f>
        <v>-5.3205440053716299E-14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252.98248842635206</v>
      </c>
      <c r="BJ167" s="59">
        <f t="shared" si="146"/>
        <v>207.11938580878308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0.22063008873942888</v>
      </c>
      <c r="BQ167" s="21">
        <f>EXP(-LN(2)/25)*BQ166+(1-EXP(-LN(2)/25))/(LN(2)/25)*Calculateur!BL167*Calculateur!BN167*VLOOKUP('Données projet'!$B$11,Paramètres!$A$1:$I$89,3,0)*0.475*44/12</f>
        <v>0.19127186191928666</v>
      </c>
      <c r="BR167" s="21">
        <f>EXP(-LN(2)/2)*BR166+(1-EXP(-LN(2)/2))/(LN(2)/2)*BL167*BO167*VLOOKUP('Données projet'!$B$11,Paramètres!$A$1:$I$89,3,0)*0.475*44/12</f>
        <v>6.6625419376236218E-20</v>
      </c>
      <c r="BS167" s="22">
        <f t="shared" si="169"/>
        <v>0.41190195065871554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-5.6843418860808015E-13</v>
      </c>
      <c r="BZ167" s="13">
        <f>BY167*VLOOKUP('Données projet'!$B$12,Paramètres!$A$1:$I$89,3,0)*VLOOKUP('Données projet'!$B$12,Paramètres!$A$1:$I$89,5,0)</f>
        <v>-3.39923644787632E-13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392.08740055894992</v>
      </c>
      <c r="CE167" s="59">
        <f t="shared" si="148"/>
        <v>395.10797100415783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0.28141370003603111</v>
      </c>
      <c r="CL167" s="21">
        <f>EXP(-LN(2)/25)*CL166+(1-EXP(-LN(2)/25))/(LN(2)/25)*Calculateur!CG167*Calculateur!CI167*VLOOKUP('Données projet'!$B$12,Paramètres!$A$1:$I$89,3,0)*0.475*44/12</f>
        <v>0.63319522301601061</v>
      </c>
      <c r="CM167" s="21">
        <f>EXP(-LN(2)/2)*CM166+(1-EXP(-LN(2)/2))/(LN(2)/2)*CG167*CJ167*VLOOKUP('Données projet'!$B$12,Paramètres!$A$1:$I$89,3,0)*0.475*44/12</f>
        <v>2.3553840487052215E-19</v>
      </c>
      <c r="CN167" s="22">
        <f t="shared" si="172"/>
        <v>0.91460892305204178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-1.1368683772161603E-13</v>
      </c>
      <c r="O168" s="13">
        <f>N168*VLOOKUP('Données projet'!$B$9,Paramètres!$A$1:$I$89,3,0)*VLOOKUP('Données projet'!$B$9,Paramètres!$A$1:$I$89,5,0)</f>
        <v>-1.0286385077051818E-13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282.32472952059817</v>
      </c>
      <c r="T168" s="59">
        <f t="shared" si="142"/>
        <v>172.32171001882176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</v>
      </c>
      <c r="AA168" s="21">
        <f>EXP(-LN(2)/25)*AA167+(1-EXP(-LN(2)/25))/(LN(2)/25)*Calculateur!V168*Calculateur!X168*VLOOKUP('Données projet'!$B$9,Paramètres!$A$1:$I$89,3,0)*0.475*44/12</f>
        <v>7.355815535312496E-2</v>
      </c>
      <c r="AB168" s="21">
        <f>EXP(-LN(2)/2)*AB167+(1-EXP(-LN(2)/2))/(LN(2)/2)*V168*Y168*VLOOKUP('Données projet'!$B$9,Paramètres!$A$1:$I$89,3,0)*0.475*44/12</f>
        <v>2.965651974612023E-20</v>
      </c>
      <c r="AC168" s="22">
        <f t="shared" si="163"/>
        <v>7.355815535312496E-2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-1.1368683772161603E-13</v>
      </c>
      <c r="AJ168" s="13">
        <f>AI168*VLOOKUP('Données projet'!$B$10,Paramètres!$A$1:$I$89,3,0)*VLOOKUP('Données projet'!$B$10,Paramètres!$A$1:$I$89,5,0)</f>
        <v>-1.1527845344971866E-13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324.30660429578262</v>
      </c>
      <c r="AO168" s="59">
        <f t="shared" si="144"/>
        <v>197.04549436738586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</v>
      </c>
      <c r="AV168" s="21">
        <f>EXP(-LN(2)/25)*AV167+(1-EXP(-LN(2)/25))/(LN(2)/25)*Calculateur!AQ168*Calculateur!AS168*VLOOKUP('Données projet'!$B$10,Paramètres!$A$1:$I$89,3,0)*0.475*44/12</f>
        <v>8.2435863757812367E-2</v>
      </c>
      <c r="AW168" s="21">
        <f>EXP(-LN(2)/2)*AW167+(1-EXP(-LN(2)/2))/(LN(2)/2)*AQ168*AT168*VLOOKUP('Données projet'!$B$10,Paramètres!$A$1:$I$89,3,0)*0.475*44/12</f>
        <v>3.3235754887893357E-20</v>
      </c>
      <c r="AX168" s="21">
        <f t="shared" si="166"/>
        <v>8.2435863757812367E-2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-1.1368683772161603E-13</v>
      </c>
      <c r="BE168" s="13">
        <f>BD168*VLOOKUP('Données projet'!$B$11,Paramètres!$A$1:$I$89,3,0)*VLOOKUP('Données projet'!$B$11,Paramètres!$A$1:$I$89,5,0)</f>
        <v>-5.3205440053716299E-14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252.98248842635206</v>
      </c>
      <c r="BJ168" s="59">
        <f t="shared" si="146"/>
        <v>207.11938580878308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0.21630366727031503</v>
      </c>
      <c r="BQ168" s="21">
        <f>EXP(-LN(2)/25)*BQ167+(1-EXP(-LN(2)/25))/(LN(2)/25)*Calculateur!BL168*Calculateur!BN168*VLOOKUP('Données projet'!$B$11,Paramètres!$A$1:$I$89,3,0)*0.475*44/12</f>
        <v>0.1860415227965537</v>
      </c>
      <c r="BR168" s="21">
        <f>EXP(-LN(2)/2)*BR167+(1-EXP(-LN(2)/2))/(LN(2)/2)*BL168*BO168*VLOOKUP('Données projet'!$B$11,Paramètres!$A$1:$I$89,3,0)*0.475*44/12</f>
        <v>4.7111285840334228E-20</v>
      </c>
      <c r="BS168" s="22">
        <f t="shared" si="169"/>
        <v>0.40234519006686875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-5.6843418860808015E-13</v>
      </c>
      <c r="BZ168" s="13">
        <f>BY168*VLOOKUP('Données projet'!$B$12,Paramètres!$A$1:$I$89,3,0)*VLOOKUP('Données projet'!$B$12,Paramètres!$A$1:$I$89,5,0)</f>
        <v>-3.39923644787632E-13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392.08740055894992</v>
      </c>
      <c r="CE168" s="59">
        <f t="shared" si="148"/>
        <v>395.10797100415783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0.27589534902373297</v>
      </c>
      <c r="CL168" s="21">
        <f>EXP(-LN(2)/25)*CL167+(1-EXP(-LN(2)/25))/(LN(2)/25)*Calculateur!CG168*Calculateur!CI168*VLOOKUP('Données projet'!$B$12,Paramètres!$A$1:$I$89,3,0)*0.475*44/12</f>
        <v>0.61588046634434823</v>
      </c>
      <c r="CM168" s="21">
        <f>EXP(-LN(2)/2)*CM167+(1-EXP(-LN(2)/2))/(LN(2)/2)*CG168*CJ168*VLOOKUP('Données projet'!$B$12,Paramètres!$A$1:$I$89,3,0)*0.475*44/12</f>
        <v>1.6655080331380875E-19</v>
      </c>
      <c r="CN168" s="22">
        <f t="shared" si="172"/>
        <v>0.89177581536808126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-1.1368683772161603E-13</v>
      </c>
      <c r="O169" s="13">
        <f>N169*VLOOKUP('Données projet'!$B$9,Paramètres!$A$1:$I$89,3,0)*VLOOKUP('Données projet'!$B$9,Paramètres!$A$1:$I$89,5,0)</f>
        <v>-1.0286385077051818E-13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282.32472952059817</v>
      </c>
      <c r="T169" s="59">
        <f t="shared" si="142"/>
        <v>172.32171001882176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</v>
      </c>
      <c r="AA169" s="21">
        <f>EXP(-LN(2)/25)*AA168+(1-EXP(-LN(2)/25))/(LN(2)/25)*Calculateur!V169*Calculateur!X169*VLOOKUP('Données projet'!$B$9,Paramètres!$A$1:$I$89,3,0)*0.475*44/12</f>
        <v>7.1546703726738492E-2</v>
      </c>
      <c r="AB169" s="21">
        <f>EXP(-LN(2)/2)*AB168+(1-EXP(-LN(2)/2))/(LN(2)/2)*V169*Y169*VLOOKUP('Données projet'!$B$9,Paramètres!$A$1:$I$89,3,0)*0.475*44/12</f>
        <v>2.0970326218874364E-20</v>
      </c>
      <c r="AC169" s="22">
        <f t="shared" si="163"/>
        <v>7.1546703726738492E-2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-1.1368683772161603E-13</v>
      </c>
      <c r="AJ169" s="13">
        <f>AI169*VLOOKUP('Données projet'!$B$10,Paramètres!$A$1:$I$89,3,0)*VLOOKUP('Données projet'!$B$10,Paramètres!$A$1:$I$89,5,0)</f>
        <v>-1.1527845344971866E-13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324.30660429578262</v>
      </c>
      <c r="AO169" s="59">
        <f t="shared" si="144"/>
        <v>197.04549436738586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</v>
      </c>
      <c r="AV169" s="21">
        <f>EXP(-LN(2)/25)*AV168+(1-EXP(-LN(2)/25))/(LN(2)/25)*Calculateur!AQ169*Calculateur!AS169*VLOOKUP('Données projet'!$B$10,Paramètres!$A$1:$I$89,3,0)*0.475*44/12</f>
        <v>8.0181650728241322E-2</v>
      </c>
      <c r="AW169" s="21">
        <f>EXP(-LN(2)/2)*AW168+(1-EXP(-LN(2)/2))/(LN(2)/2)*AQ169*AT169*VLOOKUP('Données projet'!$B$10,Paramètres!$A$1:$I$89,3,0)*0.475*44/12</f>
        <v>2.3501227659083335E-20</v>
      </c>
      <c r="AX169" s="21">
        <f t="shared" si="166"/>
        <v>8.0181650728241322E-2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-1.1368683772161603E-13</v>
      </c>
      <c r="BE169" s="13">
        <f>BD169*VLOOKUP('Données projet'!$B$11,Paramètres!$A$1:$I$89,3,0)*VLOOKUP('Données projet'!$B$11,Paramètres!$A$1:$I$89,5,0)</f>
        <v>-5.3205440053716299E-14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252.98248842635206</v>
      </c>
      <c r="BJ169" s="59">
        <f t="shared" si="146"/>
        <v>207.11938580878308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0.21206208428735396</v>
      </c>
      <c r="BQ169" s="21">
        <f>EXP(-LN(2)/25)*BQ168+(1-EXP(-LN(2)/25))/(LN(2)/25)*Calculateur!BL169*Calculateur!BN169*VLOOKUP('Données projet'!$B$11,Paramètres!$A$1:$I$89,3,0)*0.475*44/12</f>
        <v>0.18095420757218345</v>
      </c>
      <c r="BR169" s="21">
        <f>EXP(-LN(2)/2)*BR168+(1-EXP(-LN(2)/2))/(LN(2)/2)*BL169*BO169*VLOOKUP('Données projet'!$B$11,Paramètres!$A$1:$I$89,3,0)*0.475*44/12</f>
        <v>3.3312709688118109E-20</v>
      </c>
      <c r="BS169" s="22">
        <f t="shared" si="169"/>
        <v>0.3930162918595374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-5.6843418860808015E-13</v>
      </c>
      <c r="BZ169" s="13">
        <f>BY169*VLOOKUP('Données projet'!$B$12,Paramètres!$A$1:$I$89,3,0)*VLOOKUP('Données projet'!$B$12,Paramètres!$A$1:$I$89,5,0)</f>
        <v>-3.39923644787632E-13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392.08740055894992</v>
      </c>
      <c r="CE169" s="59">
        <f t="shared" si="148"/>
        <v>395.10797100415783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0.27048520950892424</v>
      </c>
      <c r="CL169" s="21">
        <f>EXP(-LN(2)/25)*CL168+(1-EXP(-LN(2)/25))/(LN(2)/25)*Calculateur!CG169*Calculateur!CI169*VLOOKUP('Données projet'!$B$12,Paramètres!$A$1:$I$89,3,0)*0.475*44/12</f>
        <v>0.59903918260441591</v>
      </c>
      <c r="CM169" s="21">
        <f>EXP(-LN(2)/2)*CM168+(1-EXP(-LN(2)/2))/(LN(2)/2)*CG169*CJ169*VLOOKUP('Données projet'!$B$12,Paramètres!$A$1:$I$89,3,0)*0.475*44/12</f>
        <v>1.1776920243526107E-19</v>
      </c>
      <c r="CN169" s="22">
        <f t="shared" si="172"/>
        <v>0.86952439211334021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-1.1368683772161603E-13</v>
      </c>
      <c r="O170" s="13">
        <f>N170*VLOOKUP('Données projet'!$B$9,Paramètres!$A$1:$I$89,3,0)*VLOOKUP('Données projet'!$B$9,Paramètres!$A$1:$I$89,5,0)</f>
        <v>-1.0286385077051818E-13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282.32472952059817</v>
      </c>
      <c r="T170" s="59">
        <f t="shared" si="142"/>
        <v>172.32171001882176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</v>
      </c>
      <c r="AA170" s="21">
        <f>EXP(-LN(2)/25)*AA169+(1-EXP(-LN(2)/25))/(LN(2)/25)*Calculateur!V170*Calculateur!X170*VLOOKUP('Données projet'!$B$9,Paramètres!$A$1:$I$89,3,0)*0.475*44/12</f>
        <v>6.9590255350853197E-2</v>
      </c>
      <c r="AB170" s="21">
        <f>EXP(-LN(2)/2)*AB169+(1-EXP(-LN(2)/2))/(LN(2)/2)*V170*Y170*VLOOKUP('Données projet'!$B$9,Paramètres!$A$1:$I$89,3,0)*0.475*44/12</f>
        <v>1.4828259873060115E-20</v>
      </c>
      <c r="AC170" s="22">
        <f t="shared" si="163"/>
        <v>6.9590255350853197E-2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-1.1368683772161603E-13</v>
      </c>
      <c r="AJ170" s="13">
        <f>AI170*VLOOKUP('Données projet'!$B$10,Paramètres!$A$1:$I$89,3,0)*VLOOKUP('Données projet'!$B$10,Paramètres!$A$1:$I$89,5,0)</f>
        <v>-1.1527845344971866E-13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324.30660429578262</v>
      </c>
      <c r="AO170" s="59">
        <f t="shared" si="144"/>
        <v>197.04549436738586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</v>
      </c>
      <c r="AV170" s="21">
        <f>EXP(-LN(2)/25)*AV169+(1-EXP(-LN(2)/25))/(LN(2)/25)*Calculateur!AQ170*Calculateur!AS170*VLOOKUP('Données projet'!$B$10,Paramètres!$A$1:$I$89,3,0)*0.475*44/12</f>
        <v>7.7989079272507811E-2</v>
      </c>
      <c r="AW170" s="21">
        <f>EXP(-LN(2)/2)*AW169+(1-EXP(-LN(2)/2))/(LN(2)/2)*AQ170*AT170*VLOOKUP('Données projet'!$B$10,Paramètres!$A$1:$I$89,3,0)*0.475*44/12</f>
        <v>1.6617877443946678E-20</v>
      </c>
      <c r="AX170" s="21">
        <f t="shared" si="166"/>
        <v>7.7989079272507811E-2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-1.1368683772161603E-13</v>
      </c>
      <c r="BE170" s="13">
        <f>BD170*VLOOKUP('Données projet'!$B$11,Paramètres!$A$1:$I$89,3,0)*VLOOKUP('Données projet'!$B$11,Paramètres!$A$1:$I$89,5,0)</f>
        <v>-5.3205440053716299E-14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252.98248842635206</v>
      </c>
      <c r="BJ170" s="59">
        <f t="shared" si="146"/>
        <v>207.11938580878308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0.20790367615957858</v>
      </c>
      <c r="BQ170" s="21">
        <f>EXP(-LN(2)/25)*BQ169+(1-EXP(-LN(2)/25))/(LN(2)/25)*Calculateur!BL170*Calculateur!BN170*VLOOKUP('Données projet'!$B$11,Paramètres!$A$1:$I$89,3,0)*0.475*44/12</f>
        <v>0.17600600525015389</v>
      </c>
      <c r="BR170" s="21">
        <f>EXP(-LN(2)/2)*BR169+(1-EXP(-LN(2)/2))/(LN(2)/2)*BL170*BO170*VLOOKUP('Données projet'!$B$11,Paramètres!$A$1:$I$89,3,0)*0.475*44/12</f>
        <v>2.3555642920167114E-20</v>
      </c>
      <c r="BS170" s="22">
        <f t="shared" si="169"/>
        <v>0.38390968140973247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-5.6843418860808015E-13</v>
      </c>
      <c r="BZ170" s="13">
        <f>BY170*VLOOKUP('Données projet'!$B$12,Paramètres!$A$1:$I$89,3,0)*VLOOKUP('Données projet'!$B$12,Paramètres!$A$1:$I$89,5,0)</f>
        <v>-3.39923644787632E-13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392.08740055894992</v>
      </c>
      <c r="CE170" s="59">
        <f t="shared" si="148"/>
        <v>395.10797100415783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0.26518115953014165</v>
      </c>
      <c r="CL170" s="21">
        <f>EXP(-LN(2)/25)*CL169+(1-EXP(-LN(2)/25))/(LN(2)/25)*Calculateur!CG170*Calculateur!CI170*VLOOKUP('Données projet'!$B$12,Paramètres!$A$1:$I$89,3,0)*0.475*44/12</f>
        <v>0.58265842465399664</v>
      </c>
      <c r="CM170" s="21">
        <f>EXP(-LN(2)/2)*CM169+(1-EXP(-LN(2)/2))/(LN(2)/2)*CG170*CJ170*VLOOKUP('Données projet'!$B$12,Paramètres!$A$1:$I$89,3,0)*0.475*44/12</f>
        <v>8.3275401656904374E-20</v>
      </c>
      <c r="CN170" s="22">
        <f t="shared" si="172"/>
        <v>0.8478395841841383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-1.1368683772161603E-13</v>
      </c>
      <c r="O171" s="13">
        <f>N171*VLOOKUP('Données projet'!$B$9,Paramètres!$A$1:$I$89,3,0)*VLOOKUP('Données projet'!$B$9,Paramètres!$A$1:$I$89,5,0)</f>
        <v>-1.0286385077051818E-13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282.32472952059817</v>
      </c>
      <c r="T171" s="59">
        <f t="shared" si="142"/>
        <v>172.32171001882176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</v>
      </c>
      <c r="AA171" s="21">
        <f>EXP(-LN(2)/25)*AA170+(1-EXP(-LN(2)/25))/(LN(2)/25)*Calculateur!V171*Calculateur!X171*VLOOKUP('Données projet'!$B$9,Paramètres!$A$1:$I$89,3,0)*0.475*44/12</f>
        <v>6.7687306158691632E-2</v>
      </c>
      <c r="AB171" s="21">
        <f>EXP(-LN(2)/2)*AB170+(1-EXP(-LN(2)/2))/(LN(2)/2)*V171*Y171*VLOOKUP('Données projet'!$B$9,Paramètres!$A$1:$I$89,3,0)*0.475*44/12</f>
        <v>1.0485163109437182E-20</v>
      </c>
      <c r="AC171" s="22">
        <f t="shared" si="163"/>
        <v>6.7687306158691632E-2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-1.1368683772161603E-13</v>
      </c>
      <c r="AJ171" s="13">
        <f>AI171*VLOOKUP('Données projet'!$B$10,Paramètres!$A$1:$I$89,3,0)*VLOOKUP('Données projet'!$B$10,Paramètres!$A$1:$I$89,5,0)</f>
        <v>-1.1527845344971866E-13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324.30660429578262</v>
      </c>
      <c r="AO171" s="59">
        <f t="shared" si="144"/>
        <v>197.04549436738586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</v>
      </c>
      <c r="AV171" s="21">
        <f>EXP(-LN(2)/25)*AV170+(1-EXP(-LN(2)/25))/(LN(2)/25)*Calculateur!AQ171*Calculateur!AS171*VLOOKUP('Données projet'!$B$10,Paramètres!$A$1:$I$89,3,0)*0.475*44/12</f>
        <v>7.5856463798533655E-2</v>
      </c>
      <c r="AW171" s="21">
        <f>EXP(-LN(2)/2)*AW170+(1-EXP(-LN(2)/2))/(LN(2)/2)*AQ171*AT171*VLOOKUP('Données projet'!$B$10,Paramètres!$A$1:$I$89,3,0)*0.475*44/12</f>
        <v>1.1750613829541668E-20</v>
      </c>
      <c r="AX171" s="21">
        <f t="shared" si="166"/>
        <v>7.5856463798533655E-2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-1.1368683772161603E-13</v>
      </c>
      <c r="BE171" s="13">
        <f>BD171*VLOOKUP('Données projet'!$B$11,Paramètres!$A$1:$I$89,3,0)*VLOOKUP('Données projet'!$B$11,Paramètres!$A$1:$I$89,5,0)</f>
        <v>-5.3205440053716299E-14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252.98248842635206</v>
      </c>
      <c r="BJ171" s="59">
        <f t="shared" si="146"/>
        <v>207.11938580878308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0.20382681187881038</v>
      </c>
      <c r="BQ171" s="21">
        <f>EXP(-LN(2)/25)*BQ170+(1-EXP(-LN(2)/25))/(LN(2)/25)*Calculateur!BL171*Calculateur!BN171*VLOOKUP('Données projet'!$B$11,Paramètres!$A$1:$I$89,3,0)*0.475*44/12</f>
        <v>0.17119311178083488</v>
      </c>
      <c r="BR171" s="21">
        <f>EXP(-LN(2)/2)*BR170+(1-EXP(-LN(2)/2))/(LN(2)/2)*BL171*BO171*VLOOKUP('Données projet'!$B$11,Paramètres!$A$1:$I$89,3,0)*0.475*44/12</f>
        <v>1.6656354844059055E-20</v>
      </c>
      <c r="BS171" s="22">
        <f t="shared" si="169"/>
        <v>0.37501992365964526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-5.6843418860808015E-13</v>
      </c>
      <c r="BZ171" s="13">
        <f>BY171*VLOOKUP('Données projet'!$B$12,Paramètres!$A$1:$I$89,3,0)*VLOOKUP('Données projet'!$B$12,Paramètres!$A$1:$I$89,5,0)</f>
        <v>-3.39923644787632E-13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392.08740055894992</v>
      </c>
      <c r="CE171" s="59">
        <f t="shared" si="148"/>
        <v>395.10797100415783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0.25998111873629193</v>
      </c>
      <c r="CL171" s="21">
        <f>EXP(-LN(2)/25)*CL170+(1-EXP(-LN(2)/25))/(LN(2)/25)*Calculateur!CG171*Calculateur!CI171*VLOOKUP('Données projet'!$B$12,Paramètres!$A$1:$I$89,3,0)*0.475*44/12</f>
        <v>0.56672559939115819</v>
      </c>
      <c r="CM171" s="21">
        <f>EXP(-LN(2)/2)*CM170+(1-EXP(-LN(2)/2))/(LN(2)/2)*CG171*CJ171*VLOOKUP('Données projet'!$B$12,Paramètres!$A$1:$I$89,3,0)*0.475*44/12</f>
        <v>5.8884601217630537E-20</v>
      </c>
      <c r="CN171" s="22">
        <f t="shared" si="172"/>
        <v>0.82670671812745011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-1.1368683772161603E-13</v>
      </c>
      <c r="O172" s="13">
        <f>N172*VLOOKUP('Données projet'!$B$9,Paramètres!$A$1:$I$89,3,0)*VLOOKUP('Données projet'!$B$9,Paramètres!$A$1:$I$89,5,0)</f>
        <v>-1.0286385077051818E-13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282.32472952059817</v>
      </c>
      <c r="T172" s="59">
        <f t="shared" si="142"/>
        <v>172.32171001882176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</v>
      </c>
      <c r="AA172" s="21">
        <f>EXP(-LN(2)/25)*AA171+(1-EXP(-LN(2)/25))/(LN(2)/25)*Calculateur!V172*Calculateur!X172*VLOOKUP('Données projet'!$B$9,Paramètres!$A$1:$I$89,3,0)*0.475*44/12</f>
        <v>6.5836393212261479E-2</v>
      </c>
      <c r="AB172" s="21">
        <f>EXP(-LN(2)/2)*AB171+(1-EXP(-LN(2)/2))/(LN(2)/2)*V172*Y172*VLOOKUP('Données projet'!$B$9,Paramètres!$A$1:$I$89,3,0)*0.475*44/12</f>
        <v>7.4141299365300576E-21</v>
      </c>
      <c r="AC172" s="22">
        <f t="shared" si="163"/>
        <v>6.5836393212261479E-2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-1.1368683772161603E-13</v>
      </c>
      <c r="AJ172" s="13">
        <f>AI172*VLOOKUP('Données projet'!$B$10,Paramètres!$A$1:$I$89,3,0)*VLOOKUP('Données projet'!$B$10,Paramètres!$A$1:$I$89,5,0)</f>
        <v>-1.1527845344971866E-13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324.30660429578262</v>
      </c>
      <c r="AO172" s="59">
        <f t="shared" si="144"/>
        <v>197.04549436738586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</v>
      </c>
      <c r="AV172" s="21">
        <f>EXP(-LN(2)/25)*AV171+(1-EXP(-LN(2)/25))/(LN(2)/25)*Calculateur!AQ172*Calculateur!AS172*VLOOKUP('Données projet'!$B$10,Paramètres!$A$1:$I$89,3,0)*0.475*44/12</f>
        <v>7.3782164806844699E-2</v>
      </c>
      <c r="AW172" s="21">
        <f>EXP(-LN(2)/2)*AW171+(1-EXP(-LN(2)/2))/(LN(2)/2)*AQ172*AT172*VLOOKUP('Données projet'!$B$10,Paramètres!$A$1:$I$89,3,0)*0.475*44/12</f>
        <v>8.3089387219733392E-21</v>
      </c>
      <c r="AX172" s="21">
        <f t="shared" si="166"/>
        <v>7.3782164806844699E-2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-1.1368683772161603E-13</v>
      </c>
      <c r="BE172" s="13">
        <f>BD172*VLOOKUP('Données projet'!$B$11,Paramètres!$A$1:$I$89,3,0)*VLOOKUP('Données projet'!$B$11,Paramètres!$A$1:$I$89,5,0)</f>
        <v>-5.3205440053716299E-14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252.98248842635206</v>
      </c>
      <c r="BJ172" s="59">
        <f t="shared" si="146"/>
        <v>207.11938580878308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0.19982989241994636</v>
      </c>
      <c r="BQ172" s="21">
        <f>EXP(-LN(2)/25)*BQ171+(1-EXP(-LN(2)/25))/(LN(2)/25)*Calculateur!BL172*Calculateur!BN172*VLOOKUP('Données projet'!$B$11,Paramètres!$A$1:$I$89,3,0)*0.475*44/12</f>
        <v>0.16651182713653348</v>
      </c>
      <c r="BR172" s="21">
        <f>EXP(-LN(2)/2)*BR171+(1-EXP(-LN(2)/2))/(LN(2)/2)*BL172*BO172*VLOOKUP('Données projet'!$B$11,Paramètres!$A$1:$I$89,3,0)*0.475*44/12</f>
        <v>1.1777821460083557E-20</v>
      </c>
      <c r="BS172" s="22">
        <f t="shared" si="169"/>
        <v>0.36634171955647987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-5.6843418860808015E-13</v>
      </c>
      <c r="BZ172" s="13">
        <f>BY172*VLOOKUP('Données projet'!$B$12,Paramètres!$A$1:$I$89,3,0)*VLOOKUP('Données projet'!$B$12,Paramètres!$A$1:$I$89,5,0)</f>
        <v>-3.39923644787632E-13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392.08740055894992</v>
      </c>
      <c r="CE172" s="59">
        <f t="shared" si="148"/>
        <v>395.10797100415783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0.25488304757069791</v>
      </c>
      <c r="CL172" s="21">
        <f>EXP(-LN(2)/25)*CL171+(1-EXP(-LN(2)/25))/(LN(2)/25)*Calculateur!CG172*Calculateur!CI172*VLOOKUP('Données projet'!$B$12,Paramètres!$A$1:$I$89,3,0)*0.475*44/12</f>
        <v>0.55122845807300291</v>
      </c>
      <c r="CM172" s="21">
        <f>EXP(-LN(2)/2)*CM171+(1-EXP(-LN(2)/2))/(LN(2)/2)*CG172*CJ172*VLOOKUP('Données projet'!$B$12,Paramètres!$A$1:$I$89,3,0)*0.475*44/12</f>
        <v>4.1637700828452187E-20</v>
      </c>
      <c r="CN172" s="22">
        <f t="shared" si="172"/>
        <v>0.80611150564370082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-1.1368683772161603E-13</v>
      </c>
      <c r="O173" s="13">
        <f>N173*VLOOKUP('Données projet'!$B$9,Paramètres!$A$1:$I$89,3,0)*VLOOKUP('Données projet'!$B$9,Paramètres!$A$1:$I$89,5,0)</f>
        <v>-1.0286385077051818E-13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282.32472952059817</v>
      </c>
      <c r="T173" s="59">
        <f t="shared" si="142"/>
        <v>172.32171001882176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</v>
      </c>
      <c r="AA173" s="21">
        <f>EXP(-LN(2)/25)*AA172+(1-EXP(-LN(2)/25))/(LN(2)/25)*Calculateur!V173*Calculateur!X173*VLOOKUP('Données projet'!$B$9,Paramètres!$A$1:$I$89,3,0)*0.475*44/12</f>
        <v>6.4036093577686748E-2</v>
      </c>
      <c r="AB173" s="21">
        <f>EXP(-LN(2)/2)*AB172+(1-EXP(-LN(2)/2))/(LN(2)/2)*V173*Y173*VLOOKUP('Données projet'!$B$9,Paramètres!$A$1:$I$89,3,0)*0.475*44/12</f>
        <v>5.242581554718591E-21</v>
      </c>
      <c r="AC173" s="22">
        <f t="shared" si="163"/>
        <v>6.4036093577686748E-2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-1.1368683772161603E-13</v>
      </c>
      <c r="AJ173" s="13">
        <f>AI173*VLOOKUP('Données projet'!$B$10,Paramètres!$A$1:$I$89,3,0)*VLOOKUP('Données projet'!$B$10,Paramètres!$A$1:$I$89,5,0)</f>
        <v>-1.1527845344971866E-13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324.30660429578262</v>
      </c>
      <c r="AO173" s="59">
        <f t="shared" si="144"/>
        <v>197.04549436738586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</v>
      </c>
      <c r="AV173" s="21">
        <f>EXP(-LN(2)/25)*AV172+(1-EXP(-LN(2)/25))/(LN(2)/25)*Calculateur!AQ173*Calculateur!AS173*VLOOKUP('Données projet'!$B$10,Paramètres!$A$1:$I$89,3,0)*0.475*44/12</f>
        <v>7.1764587630166118E-2</v>
      </c>
      <c r="AW173" s="21">
        <f>EXP(-LN(2)/2)*AW172+(1-EXP(-LN(2)/2))/(LN(2)/2)*AQ173*AT173*VLOOKUP('Données projet'!$B$10,Paramètres!$A$1:$I$89,3,0)*0.475*44/12</f>
        <v>5.8753069147708338E-21</v>
      </c>
      <c r="AX173" s="21">
        <f t="shared" si="166"/>
        <v>7.1764587630166118E-2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-1.1368683772161603E-13</v>
      </c>
      <c r="BE173" s="13">
        <f>BD173*VLOOKUP('Données projet'!$B$11,Paramètres!$A$1:$I$89,3,0)*VLOOKUP('Données projet'!$B$11,Paramètres!$A$1:$I$89,5,0)</f>
        <v>-5.3205440053716299E-14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252.98248842635206</v>
      </c>
      <c r="BJ173" s="59">
        <f t="shared" si="146"/>
        <v>207.11938580878308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0.19591135011379052</v>
      </c>
      <c r="BQ173" s="21">
        <f>EXP(-LN(2)/25)*BQ172+(1-EXP(-LN(2)/25))/(LN(2)/25)*Calculateur!BL173*Calculateur!BN173*VLOOKUP('Données projet'!$B$11,Paramètres!$A$1:$I$89,3,0)*0.475*44/12</f>
        <v>0.16195855246700855</v>
      </c>
      <c r="BR173" s="21">
        <f>EXP(-LN(2)/2)*BR172+(1-EXP(-LN(2)/2))/(LN(2)/2)*BL173*BO173*VLOOKUP('Données projet'!$B$11,Paramètres!$A$1:$I$89,3,0)*0.475*44/12</f>
        <v>8.3281774220295273E-21</v>
      </c>
      <c r="BS173" s="22">
        <f t="shared" si="169"/>
        <v>0.35786990258079909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-5.6843418860808015E-13</v>
      </c>
      <c r="BZ173" s="13">
        <f>BY173*VLOOKUP('Données projet'!$B$12,Paramètres!$A$1:$I$89,3,0)*VLOOKUP('Données projet'!$B$12,Paramètres!$A$1:$I$89,5,0)</f>
        <v>-3.39923644787632E-13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392.08740055894992</v>
      </c>
      <c r="CE173" s="59">
        <f t="shared" si="148"/>
        <v>395.10797100415783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0.24988494647114481</v>
      </c>
      <c r="CL173" s="21">
        <f>EXP(-LN(2)/25)*CL172+(1-EXP(-LN(2)/25))/(LN(2)/25)*Calculateur!CG173*Calculateur!CI173*VLOOKUP('Données projet'!$B$12,Paramètres!$A$1:$I$89,3,0)*0.475*44/12</f>
        <v>0.53615508689915192</v>
      </c>
      <c r="CM173" s="21">
        <f>EXP(-LN(2)/2)*CM172+(1-EXP(-LN(2)/2))/(LN(2)/2)*CG173*CJ173*VLOOKUP('Données projet'!$B$12,Paramètres!$A$1:$I$89,3,0)*0.475*44/12</f>
        <v>2.9442300608815269E-20</v>
      </c>
      <c r="CN173" s="22">
        <f t="shared" si="172"/>
        <v>0.78604003337029671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-1.1368683772161603E-13</v>
      </c>
      <c r="O174" s="13">
        <f>N174*VLOOKUP('Données projet'!$B$9,Paramètres!$A$1:$I$89,3,0)*VLOOKUP('Données projet'!$B$9,Paramètres!$A$1:$I$89,5,0)</f>
        <v>-1.0286385077051818E-13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282.32472952059817</v>
      </c>
      <c r="T174" s="59">
        <f t="shared" si="142"/>
        <v>172.32171001882176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</v>
      </c>
      <c r="AA174" s="21">
        <f>EXP(-LN(2)/25)*AA173+(1-EXP(-LN(2)/25))/(LN(2)/25)*Calculateur!V174*Calculateur!X174*VLOOKUP('Données projet'!$B$9,Paramètres!$A$1:$I$89,3,0)*0.475*44/12</f>
        <v>6.2285023231293098E-2</v>
      </c>
      <c r="AB174" s="21">
        <f>EXP(-LN(2)/2)*AB173+(1-EXP(-LN(2)/2))/(LN(2)/2)*V174*Y174*VLOOKUP('Données projet'!$B$9,Paramètres!$A$1:$I$89,3,0)*0.475*44/12</f>
        <v>3.7070649682650288E-21</v>
      </c>
      <c r="AC174" s="22">
        <f t="shared" si="163"/>
        <v>6.2285023231293098E-2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-1.1368683772161603E-13</v>
      </c>
      <c r="AJ174" s="13">
        <f>AI174*VLOOKUP('Données projet'!$B$10,Paramètres!$A$1:$I$89,3,0)*VLOOKUP('Données projet'!$B$10,Paramètres!$A$1:$I$89,5,0)</f>
        <v>-1.1527845344971866E-13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324.30660429578262</v>
      </c>
      <c r="AO174" s="59">
        <f t="shared" si="144"/>
        <v>197.04549436738586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</v>
      </c>
      <c r="AV174" s="21">
        <f>EXP(-LN(2)/25)*AV173+(1-EXP(-LN(2)/25))/(LN(2)/25)*Calculateur!AQ174*Calculateur!AS174*VLOOKUP('Données projet'!$B$10,Paramètres!$A$1:$I$89,3,0)*0.475*44/12</f>
        <v>6.9802181207483577E-2</v>
      </c>
      <c r="AW174" s="21">
        <f>EXP(-LN(2)/2)*AW173+(1-EXP(-LN(2)/2))/(LN(2)/2)*AQ174*AT174*VLOOKUP('Données projet'!$B$10,Paramètres!$A$1:$I$89,3,0)*0.475*44/12</f>
        <v>4.1544693609866696E-21</v>
      </c>
      <c r="AX174" s="21">
        <f t="shared" si="166"/>
        <v>6.9802181207483577E-2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-1.1368683772161603E-13</v>
      </c>
      <c r="BE174" s="13">
        <f>BD174*VLOOKUP('Données projet'!$B$11,Paramètres!$A$1:$I$89,3,0)*VLOOKUP('Données projet'!$B$11,Paramètres!$A$1:$I$89,5,0)</f>
        <v>-5.3205440053716299E-14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252.98248842635206</v>
      </c>
      <c r="BJ174" s="59">
        <f t="shared" si="146"/>
        <v>207.11938580878308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0.1920696480321836</v>
      </c>
      <c r="BQ174" s="21">
        <f>EXP(-LN(2)/25)*BQ173+(1-EXP(-LN(2)/25))/(LN(2)/25)*Calculateur!BL174*Calculateur!BN174*VLOOKUP('Données projet'!$B$11,Paramètres!$A$1:$I$89,3,0)*0.475*44/12</f>
        <v>0.1575297873327681</v>
      </c>
      <c r="BR174" s="21">
        <f>EXP(-LN(2)/2)*BR173+(1-EXP(-LN(2)/2))/(LN(2)/2)*BL174*BO174*VLOOKUP('Données projet'!$B$11,Paramètres!$A$1:$I$89,3,0)*0.475*44/12</f>
        <v>5.8889107300417785E-21</v>
      </c>
      <c r="BS174" s="22">
        <f t="shared" si="169"/>
        <v>0.34959943536495169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-5.6843418860808015E-13</v>
      </c>
      <c r="BZ174" s="13">
        <f>BY174*VLOOKUP('Données projet'!$B$12,Paramètres!$A$1:$I$89,3,0)*VLOOKUP('Données projet'!$B$12,Paramètres!$A$1:$I$89,5,0)</f>
        <v>-3.39923644787632E-13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392.08740055894992</v>
      </c>
      <c r="CE174" s="59">
        <f t="shared" si="148"/>
        <v>395.10797100415783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0.2449848550856133</v>
      </c>
      <c r="CL174" s="21">
        <f>EXP(-LN(2)/25)*CL173+(1-EXP(-LN(2)/25))/(LN(2)/25)*Calculateur!CG174*Calculateur!CI174*VLOOKUP('Données projet'!$B$12,Paramètres!$A$1:$I$89,3,0)*0.475*44/12</f>
        <v>0.52149389785272404</v>
      </c>
      <c r="CM174" s="21">
        <f>EXP(-LN(2)/2)*CM173+(1-EXP(-LN(2)/2))/(LN(2)/2)*CG174*CJ174*VLOOKUP('Données projet'!$B$12,Paramètres!$A$1:$I$89,3,0)*0.475*44/12</f>
        <v>2.0818850414226094E-20</v>
      </c>
      <c r="CN174" s="22">
        <f t="shared" si="172"/>
        <v>0.76647875293833734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-1.1368683772161603E-13</v>
      </c>
      <c r="O175" s="13">
        <f>N175*VLOOKUP('Données projet'!$B$9,Paramètres!$A$1:$I$89,3,0)*VLOOKUP('Données projet'!$B$9,Paramètres!$A$1:$I$89,5,0)</f>
        <v>-1.0286385077051818E-13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282.32472952059817</v>
      </c>
      <c r="T175" s="59">
        <f t="shared" si="142"/>
        <v>172.32171001882176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</v>
      </c>
      <c r="AA175" s="21">
        <f>EXP(-LN(2)/25)*AA174+(1-EXP(-LN(2)/25))/(LN(2)/25)*Calculateur!V175*Calculateur!X175*VLOOKUP('Données projet'!$B$9,Paramètres!$A$1:$I$89,3,0)*0.475*44/12</f>
        <v>6.0581835995606369E-2</v>
      </c>
      <c r="AB175" s="21">
        <f>EXP(-LN(2)/2)*AB174+(1-EXP(-LN(2)/2))/(LN(2)/2)*V175*Y175*VLOOKUP('Données projet'!$B$9,Paramètres!$A$1:$I$89,3,0)*0.475*44/12</f>
        <v>2.6212907773592955E-21</v>
      </c>
      <c r="AC175" s="22">
        <f t="shared" si="163"/>
        <v>6.0581835995606369E-2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-1.1368683772161603E-13</v>
      </c>
      <c r="AJ175" s="13">
        <f>AI175*VLOOKUP('Données projet'!$B$10,Paramètres!$A$1:$I$89,3,0)*VLOOKUP('Données projet'!$B$10,Paramètres!$A$1:$I$89,5,0)</f>
        <v>-1.1527845344971866E-13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324.30660429578262</v>
      </c>
      <c r="AO175" s="59">
        <f t="shared" si="144"/>
        <v>197.04549436738586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</v>
      </c>
      <c r="AV175" s="21">
        <f>EXP(-LN(2)/25)*AV174+(1-EXP(-LN(2)/25))/(LN(2)/25)*Calculateur!AQ175*Calculateur!AS175*VLOOKUP('Données projet'!$B$10,Paramètres!$A$1:$I$89,3,0)*0.475*44/12</f>
        <v>6.7893436891627759E-2</v>
      </c>
      <c r="AW175" s="21">
        <f>EXP(-LN(2)/2)*AW174+(1-EXP(-LN(2)/2))/(LN(2)/2)*AQ175*AT175*VLOOKUP('Données projet'!$B$10,Paramètres!$A$1:$I$89,3,0)*0.475*44/12</f>
        <v>2.9376534573854169E-21</v>
      </c>
      <c r="AX175" s="21">
        <f t="shared" si="166"/>
        <v>6.7893436891627759E-2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-1.1368683772161603E-13</v>
      </c>
      <c r="BE175" s="13">
        <f>BD175*VLOOKUP('Données projet'!$B$11,Paramètres!$A$1:$I$89,3,0)*VLOOKUP('Données projet'!$B$11,Paramètres!$A$1:$I$89,5,0)</f>
        <v>-5.3205440053716299E-14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252.98248842635206</v>
      </c>
      <c r="BJ175" s="59">
        <f t="shared" si="146"/>
        <v>207.11938580878308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0.18830327938519009</v>
      </c>
      <c r="BQ175" s="21">
        <f>EXP(-LN(2)/25)*BQ174+(1-EXP(-LN(2)/25))/(LN(2)/25)*Calculateur!BL175*Calculateur!BN175*VLOOKUP('Données projet'!$B$11,Paramètres!$A$1:$I$89,3,0)*0.475*44/12</f>
        <v>0.15322212701402207</v>
      </c>
      <c r="BR175" s="21">
        <f>EXP(-LN(2)/2)*BR174+(1-EXP(-LN(2)/2))/(LN(2)/2)*BL175*BO175*VLOOKUP('Données projet'!$B$11,Paramètres!$A$1:$I$89,3,0)*0.475*44/12</f>
        <v>4.1640887110147636E-21</v>
      </c>
      <c r="BS175" s="22">
        <f t="shared" si="169"/>
        <v>0.34152540639921214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-5.6843418860808015E-13</v>
      </c>
      <c r="BZ175" s="13">
        <f>BY175*VLOOKUP('Données projet'!$B$12,Paramètres!$A$1:$I$89,3,0)*VLOOKUP('Données projet'!$B$12,Paramètres!$A$1:$I$89,5,0)</f>
        <v>-3.39923644787632E-13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392.08740055894992</v>
      </c>
      <c r="CE175" s="59">
        <f t="shared" si="148"/>
        <v>395.10797100415783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0.24018085150339144</v>
      </c>
      <c r="CL175" s="21">
        <f>EXP(-LN(2)/25)*CL174+(1-EXP(-LN(2)/25))/(LN(2)/25)*Calculateur!CG175*Calculateur!CI175*VLOOKUP('Données projet'!$B$12,Paramètres!$A$1:$I$89,3,0)*0.475*44/12</f>
        <v>0.50723361979176906</v>
      </c>
      <c r="CM175" s="21">
        <f>EXP(-LN(2)/2)*CM174+(1-EXP(-LN(2)/2))/(LN(2)/2)*CG175*CJ175*VLOOKUP('Données projet'!$B$12,Paramètres!$A$1:$I$89,3,0)*0.475*44/12</f>
        <v>1.4721150304407634E-20</v>
      </c>
      <c r="CN175" s="22">
        <f t="shared" si="172"/>
        <v>0.74741447129516048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-1.1368683772161603E-13</v>
      </c>
      <c r="O176" s="13">
        <f>N176*VLOOKUP('Données projet'!$B$9,Paramètres!$A$1:$I$89,3,0)*VLOOKUP('Données projet'!$B$9,Paramètres!$A$1:$I$89,5,0)</f>
        <v>-1.0286385077051818E-13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282.32472952059817</v>
      </c>
      <c r="T176" s="59">
        <f t="shared" si="142"/>
        <v>172.32171001882176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</v>
      </c>
      <c r="AA176" s="21">
        <f>EXP(-LN(2)/25)*AA175+(1-EXP(-LN(2)/25))/(LN(2)/25)*Calculateur!V176*Calculateur!X176*VLOOKUP('Données projet'!$B$9,Paramètres!$A$1:$I$89,3,0)*0.475*44/12</f>
        <v>5.892522250444622E-2</v>
      </c>
      <c r="AB176" s="21">
        <f>EXP(-LN(2)/2)*AB175+(1-EXP(-LN(2)/2))/(LN(2)/2)*V176*Y176*VLOOKUP('Données projet'!$B$9,Paramètres!$A$1:$I$89,3,0)*0.475*44/12</f>
        <v>1.8535324841325144E-21</v>
      </c>
      <c r="AC176" s="22">
        <f t="shared" si="163"/>
        <v>5.892522250444622E-2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-1.1368683772161603E-13</v>
      </c>
      <c r="AJ176" s="13">
        <f>AI176*VLOOKUP('Données projet'!$B$10,Paramètres!$A$1:$I$89,3,0)*VLOOKUP('Données projet'!$B$10,Paramètres!$A$1:$I$89,5,0)</f>
        <v>-1.1527845344971866E-13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324.30660429578262</v>
      </c>
      <c r="AO176" s="59">
        <f t="shared" si="144"/>
        <v>197.04549436738586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</v>
      </c>
      <c r="AV176" s="21">
        <f>EXP(-LN(2)/25)*AV175+(1-EXP(-LN(2)/25))/(LN(2)/25)*Calculateur!AQ176*Calculateur!AS176*VLOOKUP('Données projet'!$B$10,Paramètres!$A$1:$I$89,3,0)*0.475*44/12</f>
        <v>6.6036887289465523E-2</v>
      </c>
      <c r="AW176" s="21">
        <f>EXP(-LN(2)/2)*AW175+(1-EXP(-LN(2)/2))/(LN(2)/2)*AQ176*AT176*VLOOKUP('Données projet'!$B$10,Paramètres!$A$1:$I$89,3,0)*0.475*44/12</f>
        <v>2.0772346804933348E-21</v>
      </c>
      <c r="AX176" s="21">
        <f t="shared" si="166"/>
        <v>6.6036887289465523E-2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-1.1368683772161603E-13</v>
      </c>
      <c r="BE176" s="13">
        <f>BD176*VLOOKUP('Données projet'!$B$11,Paramètres!$A$1:$I$89,3,0)*VLOOKUP('Données projet'!$B$11,Paramètres!$A$1:$I$89,5,0)</f>
        <v>-5.3205440053716299E-14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252.98248842635206</v>
      </c>
      <c r="BJ176" s="59">
        <f t="shared" si="146"/>
        <v>207.11938580878308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0.18461076693010608</v>
      </c>
      <c r="BQ176" s="21">
        <f>EXP(-LN(2)/25)*BQ175+(1-EXP(-LN(2)/25))/(LN(2)/25)*Calculateur!BL176*Calculateur!BN176*VLOOKUP('Données projet'!$B$11,Paramètres!$A$1:$I$89,3,0)*0.475*44/12</f>
        <v>0.14903225989322216</v>
      </c>
      <c r="BR176" s="21">
        <f>EXP(-LN(2)/2)*BR175+(1-EXP(-LN(2)/2))/(LN(2)/2)*BL176*BO176*VLOOKUP('Données projet'!$B$11,Paramètres!$A$1:$I$89,3,0)*0.475*44/12</f>
        <v>2.9444553650208892E-21</v>
      </c>
      <c r="BS176" s="22">
        <f t="shared" si="169"/>
        <v>0.33364302682332825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-5.6843418860808015E-13</v>
      </c>
      <c r="BZ176" s="13">
        <f>BY176*VLOOKUP('Données projet'!$B$12,Paramètres!$A$1:$I$89,3,0)*VLOOKUP('Données projet'!$B$12,Paramètres!$A$1:$I$89,5,0)</f>
        <v>-3.39923644787632E-13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392.08740055894992</v>
      </c>
      <c r="CE176" s="59">
        <f t="shared" si="148"/>
        <v>395.10797100415783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0.2354710515012641</v>
      </c>
      <c r="CL176" s="21">
        <f>EXP(-LN(2)/25)*CL175+(1-EXP(-LN(2)/25))/(LN(2)/25)*Calculateur!CG176*Calculateur!CI176*VLOOKUP('Données projet'!$B$12,Paramètres!$A$1:$I$89,3,0)*0.475*44/12</f>
        <v>0.49336328978430638</v>
      </c>
      <c r="CM176" s="21">
        <f>EXP(-LN(2)/2)*CM175+(1-EXP(-LN(2)/2))/(LN(2)/2)*CG176*CJ176*VLOOKUP('Données projet'!$B$12,Paramètres!$A$1:$I$89,3,0)*0.475*44/12</f>
        <v>1.0409425207113047E-20</v>
      </c>
      <c r="CN176" s="22">
        <f t="shared" si="172"/>
        <v>0.72883434128557045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-1.1368683772161603E-13</v>
      </c>
      <c r="O177" s="13">
        <f>N177*VLOOKUP('Données projet'!$B$9,Paramètres!$A$1:$I$89,3,0)*VLOOKUP('Données projet'!$B$9,Paramètres!$A$1:$I$89,5,0)</f>
        <v>-1.0286385077051818E-13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282.32472952059817</v>
      </c>
      <c r="T177" s="59">
        <f t="shared" si="142"/>
        <v>172.32171001882176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</v>
      </c>
      <c r="AA177" s="21">
        <f>EXP(-LN(2)/25)*AA176+(1-EXP(-LN(2)/25))/(LN(2)/25)*Calculateur!V177*Calculateur!X177*VLOOKUP('Données projet'!$B$9,Paramètres!$A$1:$I$89,3,0)*0.475*44/12</f>
        <v>5.731390919631936E-2</v>
      </c>
      <c r="AB177" s="21">
        <f>EXP(-LN(2)/2)*AB176+(1-EXP(-LN(2)/2))/(LN(2)/2)*V177*Y177*VLOOKUP('Données projet'!$B$9,Paramètres!$A$1:$I$89,3,0)*0.475*44/12</f>
        <v>1.3106453886796478E-21</v>
      </c>
      <c r="AC177" s="22">
        <f t="shared" si="163"/>
        <v>5.731390919631936E-2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-1.1368683772161603E-13</v>
      </c>
      <c r="AJ177" s="13">
        <f>AI177*VLOOKUP('Données projet'!$B$10,Paramètres!$A$1:$I$89,3,0)*VLOOKUP('Données projet'!$B$10,Paramètres!$A$1:$I$89,5,0)</f>
        <v>-1.1527845344971866E-13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324.30660429578262</v>
      </c>
      <c r="AO177" s="59">
        <f t="shared" si="144"/>
        <v>197.04549436738586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</v>
      </c>
      <c r="AV177" s="21">
        <f>EXP(-LN(2)/25)*AV176+(1-EXP(-LN(2)/25))/(LN(2)/25)*Calculateur!AQ177*Calculateur!AS177*VLOOKUP('Données projet'!$B$10,Paramètres!$A$1:$I$89,3,0)*0.475*44/12</f>
        <v>6.4231105133806116E-2</v>
      </c>
      <c r="AW177" s="21">
        <f>EXP(-LN(2)/2)*AW176+(1-EXP(-LN(2)/2))/(LN(2)/2)*AQ177*AT177*VLOOKUP('Données projet'!$B$10,Paramètres!$A$1:$I$89,3,0)*0.475*44/12</f>
        <v>1.4688267286927085E-21</v>
      </c>
      <c r="AX177" s="21">
        <f t="shared" si="166"/>
        <v>6.4231105133806116E-2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-1.1368683772161603E-13</v>
      </c>
      <c r="BE177" s="13">
        <f>BD177*VLOOKUP('Données projet'!$B$11,Paramètres!$A$1:$I$89,3,0)*VLOOKUP('Données projet'!$B$11,Paramètres!$A$1:$I$89,5,0)</f>
        <v>-5.3205440053716299E-14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252.98248842635206</v>
      </c>
      <c r="BJ177" s="59">
        <f t="shared" si="146"/>
        <v>207.11938580878308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0.18099066239205605</v>
      </c>
      <c r="BQ177" s="21">
        <f>EXP(-LN(2)/25)*BQ176+(1-EXP(-LN(2)/25))/(LN(2)/25)*Calculateur!BL177*Calculateur!BN177*VLOOKUP('Données projet'!$B$11,Paramètres!$A$1:$I$89,3,0)*0.475*44/12</f>
        <v>0.14495696490917606</v>
      </c>
      <c r="BR177" s="21">
        <f>EXP(-LN(2)/2)*BR176+(1-EXP(-LN(2)/2))/(LN(2)/2)*BL177*BO177*VLOOKUP('Données projet'!$B$11,Paramètres!$A$1:$I$89,3,0)*0.475*44/12</f>
        <v>2.0820443555073818E-21</v>
      </c>
      <c r="BS177" s="22">
        <f t="shared" si="169"/>
        <v>0.32594762730123211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-5.6843418860808015E-13</v>
      </c>
      <c r="BZ177" s="13">
        <f>BY177*VLOOKUP('Données projet'!$B$12,Paramètres!$A$1:$I$89,3,0)*VLOOKUP('Données projet'!$B$12,Paramètres!$A$1:$I$89,5,0)</f>
        <v>-3.39923644787632E-13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392.08740055894992</v>
      </c>
      <c r="CE177" s="59">
        <f t="shared" si="148"/>
        <v>395.10797100415783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0.23085360780448411</v>
      </c>
      <c r="CL177" s="21">
        <f>EXP(-LN(2)/25)*CL176+(1-EXP(-LN(2)/25))/(LN(2)/25)*Calculateur!CG177*Calculateur!CI177*VLOOKUP('Données projet'!$B$12,Paramètres!$A$1:$I$89,3,0)*0.475*44/12</f>
        <v>0.4798722446803067</v>
      </c>
      <c r="CM177" s="21">
        <f>EXP(-LN(2)/2)*CM176+(1-EXP(-LN(2)/2))/(LN(2)/2)*CG177*CJ177*VLOOKUP('Données projet'!$B$12,Paramètres!$A$1:$I$89,3,0)*0.475*44/12</f>
        <v>7.3605751522038172E-21</v>
      </c>
      <c r="CN177" s="22">
        <f t="shared" si="172"/>
        <v>0.71072585248479081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-1.1368683772161603E-13</v>
      </c>
      <c r="O178" s="13">
        <f>N178*VLOOKUP('Données projet'!$B$9,Paramètres!$A$1:$I$89,3,0)*VLOOKUP('Données projet'!$B$9,Paramètres!$A$1:$I$89,5,0)</f>
        <v>-1.0286385077051818E-13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282.32472952059817</v>
      </c>
      <c r="T178" s="59">
        <f t="shared" si="142"/>
        <v>172.32171001882176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</v>
      </c>
      <c r="AA178" s="21">
        <f>EXP(-LN(2)/25)*AA177+(1-EXP(-LN(2)/25))/(LN(2)/25)*Calculateur!V178*Calculateur!X178*VLOOKUP('Données projet'!$B$9,Paramètres!$A$1:$I$89,3,0)*0.475*44/12</f>
        <v>5.5746657335338512E-2</v>
      </c>
      <c r="AB178" s="21">
        <f>EXP(-LN(2)/2)*AB177+(1-EXP(-LN(2)/2))/(LN(2)/2)*V178*Y178*VLOOKUP('Données projet'!$B$9,Paramètres!$A$1:$I$89,3,0)*0.475*44/12</f>
        <v>9.267662420662572E-22</v>
      </c>
      <c r="AC178" s="22">
        <f t="shared" si="163"/>
        <v>5.5746657335338512E-2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-1.1368683772161603E-13</v>
      </c>
      <c r="AJ178" s="13">
        <f>AI178*VLOOKUP('Données projet'!$B$10,Paramètres!$A$1:$I$89,3,0)*VLOOKUP('Données projet'!$B$10,Paramètres!$A$1:$I$89,5,0)</f>
        <v>-1.1527845344971866E-13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324.30660429578262</v>
      </c>
      <c r="AO178" s="59">
        <f t="shared" si="144"/>
        <v>197.04549436738586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</v>
      </c>
      <c r="AV178" s="21">
        <f>EXP(-LN(2)/25)*AV177+(1-EXP(-LN(2)/25))/(LN(2)/25)*Calculateur!AQ178*Calculateur!AS178*VLOOKUP('Données projet'!$B$10,Paramètres!$A$1:$I$89,3,0)*0.475*44/12</f>
        <v>6.2474702186155168E-2</v>
      </c>
      <c r="AW178" s="21">
        <f>EXP(-LN(2)/2)*AW177+(1-EXP(-LN(2)/2))/(LN(2)/2)*AQ178*AT178*VLOOKUP('Données projet'!$B$10,Paramètres!$A$1:$I$89,3,0)*0.475*44/12</f>
        <v>1.0386173402466674E-21</v>
      </c>
      <c r="AX178" s="21">
        <f t="shared" si="166"/>
        <v>6.2474702186155168E-2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-1.1368683772161603E-13</v>
      </c>
      <c r="BE178" s="13">
        <f>BD178*VLOOKUP('Données projet'!$B$11,Paramètres!$A$1:$I$89,3,0)*VLOOKUP('Données projet'!$B$11,Paramètres!$A$1:$I$89,5,0)</f>
        <v>-5.3205440053716299E-14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252.98248842635206</v>
      </c>
      <c r="BJ178" s="59">
        <f t="shared" si="146"/>
        <v>207.11938580878308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0.17744154589595146</v>
      </c>
      <c r="BQ178" s="21">
        <f>EXP(-LN(2)/25)*BQ177+(1-EXP(-LN(2)/25))/(LN(2)/25)*Calculateur!BL178*Calculateur!BN178*VLOOKUP('Données projet'!$B$11,Paramètres!$A$1:$I$89,3,0)*0.475*44/12</f>
        <v>0.14099310908077917</v>
      </c>
      <c r="BR178" s="21">
        <f>EXP(-LN(2)/2)*BR177+(1-EXP(-LN(2)/2))/(LN(2)/2)*BL178*BO178*VLOOKUP('Données projet'!$B$11,Paramètres!$A$1:$I$89,3,0)*0.475*44/12</f>
        <v>1.4722276825104446E-21</v>
      </c>
      <c r="BS178" s="22">
        <f t="shared" si="169"/>
        <v>0.31843465497673062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-5.6843418860808015E-13</v>
      </c>
      <c r="BZ178" s="13">
        <f>BY178*VLOOKUP('Données projet'!$B$12,Paramètres!$A$1:$I$89,3,0)*VLOOKUP('Données projet'!$B$12,Paramètres!$A$1:$I$89,5,0)</f>
        <v>-3.39923644787632E-13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392.08740055894992</v>
      </c>
      <c r="CE178" s="59">
        <f t="shared" si="148"/>
        <v>395.10797100415783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0.22632670936223542</v>
      </c>
      <c r="CL178" s="21">
        <f>EXP(-LN(2)/25)*CL177+(1-EXP(-LN(2)/25))/(LN(2)/25)*Calculateur!CG178*Calculateur!CI178*VLOOKUP('Données projet'!$B$12,Paramètres!$A$1:$I$89,3,0)*0.475*44/12</f>
        <v>0.46675011291413915</v>
      </c>
      <c r="CM178" s="21">
        <f>EXP(-LN(2)/2)*CM177+(1-EXP(-LN(2)/2))/(LN(2)/2)*CG178*CJ178*VLOOKUP('Données projet'!$B$12,Paramètres!$A$1:$I$89,3,0)*0.475*44/12</f>
        <v>5.2047126035565234E-21</v>
      </c>
      <c r="CN178" s="22">
        <f t="shared" si="172"/>
        <v>0.69307682227637457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-1.1368683772161603E-13</v>
      </c>
      <c r="O179" s="13">
        <f>N179*VLOOKUP('Données projet'!$B$9,Paramètres!$A$1:$I$89,3,0)*VLOOKUP('Données projet'!$B$9,Paramètres!$A$1:$I$89,5,0)</f>
        <v>-1.0286385077051818E-13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282.32472952059817</v>
      </c>
      <c r="T179" s="59">
        <f t="shared" si="142"/>
        <v>172.32171001882176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</v>
      </c>
      <c r="AA179" s="21">
        <f>EXP(-LN(2)/25)*AA178+(1-EXP(-LN(2)/25))/(LN(2)/25)*Calculateur!V179*Calculateur!X179*VLOOKUP('Données projet'!$B$9,Paramètres!$A$1:$I$89,3,0)*0.475*44/12</f>
        <v>5.4222262058914381E-2</v>
      </c>
      <c r="AB179" s="21">
        <f>EXP(-LN(2)/2)*AB178+(1-EXP(-LN(2)/2))/(LN(2)/2)*V179*Y179*VLOOKUP('Données projet'!$B$9,Paramètres!$A$1:$I$89,3,0)*0.475*44/12</f>
        <v>6.5532269433982388E-22</v>
      </c>
      <c r="AC179" s="22">
        <f t="shared" si="163"/>
        <v>5.4222262058914381E-2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-1.1368683772161603E-13</v>
      </c>
      <c r="AJ179" s="13">
        <f>AI179*VLOOKUP('Données projet'!$B$10,Paramètres!$A$1:$I$89,3,0)*VLOOKUP('Données projet'!$B$10,Paramètres!$A$1:$I$89,5,0)</f>
        <v>-1.1527845344971866E-13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324.30660429578262</v>
      </c>
      <c r="AO179" s="59">
        <f t="shared" si="144"/>
        <v>197.04549436738586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</v>
      </c>
      <c r="AV179" s="21">
        <f>EXP(-LN(2)/25)*AV178+(1-EXP(-LN(2)/25))/(LN(2)/25)*Calculateur!AQ179*Calculateur!AS179*VLOOKUP('Données projet'!$B$10,Paramètres!$A$1:$I$89,3,0)*0.475*44/12</f>
        <v>6.0766328169472958E-2</v>
      </c>
      <c r="AW179" s="21">
        <f>EXP(-LN(2)/2)*AW178+(1-EXP(-LN(2)/2))/(LN(2)/2)*AQ179*AT179*VLOOKUP('Données projet'!$B$10,Paramètres!$A$1:$I$89,3,0)*0.475*44/12</f>
        <v>7.3441336434635423E-22</v>
      </c>
      <c r="AX179" s="21">
        <f t="shared" si="166"/>
        <v>6.0766328169472958E-2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-1.1368683772161603E-13</v>
      </c>
      <c r="BE179" s="13">
        <f>BD179*VLOOKUP('Données projet'!$B$11,Paramètres!$A$1:$I$89,3,0)*VLOOKUP('Données projet'!$B$11,Paramètres!$A$1:$I$89,5,0)</f>
        <v>-5.3205440053716299E-14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252.98248842635206</v>
      </c>
      <c r="BJ179" s="59">
        <f t="shared" si="146"/>
        <v>207.11938580878308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0.17396202540958816</v>
      </c>
      <c r="BQ179" s="21">
        <f>EXP(-LN(2)/25)*BQ178+(1-EXP(-LN(2)/25))/(LN(2)/25)*Calculateur!BL179*Calculateur!BN179*VLOOKUP('Données projet'!$B$11,Paramètres!$A$1:$I$89,3,0)*0.475*44/12</f>
        <v>0.13713764509845991</v>
      </c>
      <c r="BR179" s="21">
        <f>EXP(-LN(2)/2)*BR178+(1-EXP(-LN(2)/2))/(LN(2)/2)*BL179*BO179*VLOOKUP('Données projet'!$B$11,Paramètres!$A$1:$I$89,3,0)*0.475*44/12</f>
        <v>1.0410221777536909E-21</v>
      </c>
      <c r="BS179" s="22">
        <f t="shared" si="169"/>
        <v>0.3110996705080481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-5.6843418860808015E-13</v>
      </c>
      <c r="BZ179" s="13">
        <f>BY179*VLOOKUP('Données projet'!$B$12,Paramètres!$A$1:$I$89,3,0)*VLOOKUP('Données projet'!$B$12,Paramètres!$A$1:$I$89,5,0)</f>
        <v>-3.39923644787632E-13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392.08740055894992</v>
      </c>
      <c r="CE179" s="59">
        <f t="shared" si="148"/>
        <v>395.10797100415783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0.22188858063730382</v>
      </c>
      <c r="CL179" s="21">
        <f>EXP(-LN(2)/25)*CL178+(1-EXP(-LN(2)/25))/(LN(2)/25)*Calculateur!CG179*Calculateur!CI179*VLOOKUP('Données projet'!$B$12,Paramètres!$A$1:$I$89,3,0)*0.475*44/12</f>
        <v>0.45398680653118034</v>
      </c>
      <c r="CM179" s="21">
        <f>EXP(-LN(2)/2)*CM178+(1-EXP(-LN(2)/2))/(LN(2)/2)*CG179*CJ179*VLOOKUP('Données projet'!$B$12,Paramètres!$A$1:$I$89,3,0)*0.475*44/12</f>
        <v>3.6802875761019086E-21</v>
      </c>
      <c r="CN179" s="22">
        <f t="shared" si="172"/>
        <v>0.67587538716848417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-1.1368683772161603E-13</v>
      </c>
      <c r="O180" s="13">
        <f>N180*VLOOKUP('Données projet'!$B$9,Paramètres!$A$1:$I$89,3,0)*VLOOKUP('Données projet'!$B$9,Paramètres!$A$1:$I$89,5,0)</f>
        <v>-1.0286385077051818E-13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282.32472952059817</v>
      </c>
      <c r="T180" s="59">
        <f t="shared" si="142"/>
        <v>172.32171001882176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</v>
      </c>
      <c r="AA180" s="21">
        <f>EXP(-LN(2)/25)*AA179+(1-EXP(-LN(2)/25))/(LN(2)/25)*Calculateur!V180*Calculateur!X180*VLOOKUP('Données projet'!$B$9,Paramètres!$A$1:$I$89,3,0)*0.475*44/12</f>
        <v>5.273955145148853E-2</v>
      </c>
      <c r="AB180" s="21">
        <f>EXP(-LN(2)/2)*AB179+(1-EXP(-LN(2)/2))/(LN(2)/2)*V180*Y180*VLOOKUP('Données projet'!$B$9,Paramètres!$A$1:$I$89,3,0)*0.475*44/12</f>
        <v>4.633831210331286E-22</v>
      </c>
      <c r="AC180" s="22">
        <f t="shared" si="163"/>
        <v>5.273955145148853E-2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-1.1368683772161603E-13</v>
      </c>
      <c r="AJ180" s="13">
        <f>AI180*VLOOKUP('Données projet'!$B$10,Paramètres!$A$1:$I$89,3,0)*VLOOKUP('Données projet'!$B$10,Paramètres!$A$1:$I$89,5,0)</f>
        <v>-1.1527845344971866E-13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324.30660429578262</v>
      </c>
      <c r="AO180" s="59">
        <f t="shared" si="144"/>
        <v>197.04549436738586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</v>
      </c>
      <c r="AV180" s="21">
        <f>EXP(-LN(2)/25)*AV179+(1-EXP(-LN(2)/25))/(LN(2)/25)*Calculateur!AQ180*Calculateur!AS180*VLOOKUP('Données projet'!$B$10,Paramètres!$A$1:$I$89,3,0)*0.475*44/12</f>
        <v>5.9104669730116403E-2</v>
      </c>
      <c r="AW180" s="21">
        <f>EXP(-LN(2)/2)*AW179+(1-EXP(-LN(2)/2))/(LN(2)/2)*AQ180*AT180*VLOOKUP('Données projet'!$B$10,Paramètres!$A$1:$I$89,3,0)*0.475*44/12</f>
        <v>5.193086701233337E-22</v>
      </c>
      <c r="AX180" s="21">
        <f t="shared" si="166"/>
        <v>5.9104669730116403E-2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-1.1368683772161603E-13</v>
      </c>
      <c r="BE180" s="13">
        <f>BD180*VLOOKUP('Données projet'!$B$11,Paramètres!$A$1:$I$89,3,0)*VLOOKUP('Données projet'!$B$11,Paramètres!$A$1:$I$89,5,0)</f>
        <v>-5.3205440053716299E-14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252.98248842635206</v>
      </c>
      <c r="BJ180" s="59">
        <f t="shared" si="146"/>
        <v>207.11938580878308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0.1705507361976645</v>
      </c>
      <c r="BQ180" s="21">
        <f>EXP(-LN(2)/25)*BQ179+(1-EXP(-LN(2)/25))/(LN(2)/25)*Calculateur!BL180*Calculateur!BN180*VLOOKUP('Données projet'!$B$11,Paramètres!$A$1:$I$89,3,0)*0.475*44/12</f>
        <v>0.13338760898148719</v>
      </c>
      <c r="BR180" s="21">
        <f>EXP(-LN(2)/2)*BR179+(1-EXP(-LN(2)/2))/(LN(2)/2)*BL180*BO180*VLOOKUP('Données projet'!$B$11,Paramètres!$A$1:$I$89,3,0)*0.475*44/12</f>
        <v>7.3611384125522231E-22</v>
      </c>
      <c r="BS180" s="22">
        <f t="shared" si="169"/>
        <v>0.30393834517915169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-5.6843418860808015E-13</v>
      </c>
      <c r="BZ180" s="13">
        <f>BY180*VLOOKUP('Données projet'!$B$12,Paramètres!$A$1:$I$89,3,0)*VLOOKUP('Données projet'!$B$12,Paramètres!$A$1:$I$89,5,0)</f>
        <v>-3.39923644787632E-13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392.08740055894992</v>
      </c>
      <c r="CE180" s="59">
        <f t="shared" si="148"/>
        <v>395.10797100415783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0.21753748090967689</v>
      </c>
      <c r="CL180" s="21">
        <f>EXP(-LN(2)/25)*CL179+(1-EXP(-LN(2)/25))/(LN(2)/25)*Calculateur!CG180*Calculateur!CI180*VLOOKUP('Données projet'!$B$12,Paramètres!$A$1:$I$89,3,0)*0.475*44/12</f>
        <v>0.44157251343245668</v>
      </c>
      <c r="CM180" s="21">
        <f>EXP(-LN(2)/2)*CM179+(1-EXP(-LN(2)/2))/(LN(2)/2)*CG180*CJ180*VLOOKUP('Données projet'!$B$12,Paramètres!$A$1:$I$89,3,0)*0.475*44/12</f>
        <v>2.6023563017782617E-21</v>
      </c>
      <c r="CN180" s="22">
        <f t="shared" si="172"/>
        <v>0.65910999434213358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-1.1368683772161603E-13</v>
      </c>
      <c r="O181" s="13">
        <f>N181*VLOOKUP('Données projet'!$B$9,Paramètres!$A$1:$I$89,3,0)*VLOOKUP('Données projet'!$B$9,Paramètres!$A$1:$I$89,5,0)</f>
        <v>-1.0286385077051818E-13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282.32472952059817</v>
      </c>
      <c r="T181" s="59">
        <f t="shared" si="142"/>
        <v>172.32171001882176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</v>
      </c>
      <c r="AA181" s="21">
        <f>EXP(-LN(2)/25)*AA180+(1-EXP(-LN(2)/25))/(LN(2)/25)*Calculateur!V181*Calculateur!X181*VLOOKUP('Données projet'!$B$9,Paramètres!$A$1:$I$89,3,0)*0.475*44/12</f>
        <v>5.1297385643595102E-2</v>
      </c>
      <c r="AB181" s="21">
        <f>EXP(-LN(2)/2)*AB180+(1-EXP(-LN(2)/2))/(LN(2)/2)*V181*Y181*VLOOKUP('Données projet'!$B$9,Paramètres!$A$1:$I$89,3,0)*0.475*44/12</f>
        <v>3.2766134716991194E-22</v>
      </c>
      <c r="AC181" s="22">
        <f t="shared" si="163"/>
        <v>5.1297385643595102E-2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-1.1368683772161603E-13</v>
      </c>
      <c r="AJ181" s="13">
        <f>AI181*VLOOKUP('Données projet'!$B$10,Paramètres!$A$1:$I$89,3,0)*VLOOKUP('Données projet'!$B$10,Paramètres!$A$1:$I$89,5,0)</f>
        <v>-1.1527845344971866E-13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324.30660429578262</v>
      </c>
      <c r="AO181" s="59">
        <f t="shared" si="144"/>
        <v>197.04549436738586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</v>
      </c>
      <c r="AV181" s="21">
        <f>EXP(-LN(2)/25)*AV180+(1-EXP(-LN(2)/25))/(LN(2)/25)*Calculateur!AQ181*Calculateur!AS181*VLOOKUP('Données projet'!$B$10,Paramètres!$A$1:$I$89,3,0)*0.475*44/12</f>
        <v>5.7488449428166874E-2</v>
      </c>
      <c r="AW181" s="21">
        <f>EXP(-LN(2)/2)*AW180+(1-EXP(-LN(2)/2))/(LN(2)/2)*AQ181*AT181*VLOOKUP('Données projet'!$B$10,Paramètres!$A$1:$I$89,3,0)*0.475*44/12</f>
        <v>3.6720668217317711E-22</v>
      </c>
      <c r="AX181" s="21">
        <f t="shared" si="166"/>
        <v>5.7488449428166874E-2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-1.1368683772161603E-13</v>
      </c>
      <c r="BE181" s="13">
        <f>BD181*VLOOKUP('Données projet'!$B$11,Paramètres!$A$1:$I$89,3,0)*VLOOKUP('Données projet'!$B$11,Paramètres!$A$1:$I$89,5,0)</f>
        <v>-5.3205440053716299E-14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252.98248842635206</v>
      </c>
      <c r="BJ181" s="59">
        <f t="shared" si="146"/>
        <v>207.11938580878308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0.16720634028650569</v>
      </c>
      <c r="BQ181" s="21">
        <f>EXP(-LN(2)/25)*BQ180+(1-EXP(-LN(2)/25))/(LN(2)/25)*Calculateur!BL181*Calculateur!BN181*VLOOKUP('Données projet'!$B$11,Paramètres!$A$1:$I$89,3,0)*0.475*44/12</f>
        <v>0.12974011779933892</v>
      </c>
      <c r="BR181" s="21">
        <f>EXP(-LN(2)/2)*BR180+(1-EXP(-LN(2)/2))/(LN(2)/2)*BL181*BO181*VLOOKUP('Données projet'!$B$11,Paramètres!$A$1:$I$89,3,0)*0.475*44/12</f>
        <v>5.2051108887684545E-22</v>
      </c>
      <c r="BS181" s="22">
        <f t="shared" si="169"/>
        <v>0.29694645808584463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-5.6843418860808015E-13</v>
      </c>
      <c r="BZ181" s="13">
        <f>BY181*VLOOKUP('Données projet'!$B$12,Paramètres!$A$1:$I$89,3,0)*VLOOKUP('Données projet'!$B$12,Paramètres!$A$1:$I$89,5,0)</f>
        <v>-3.39923644787632E-13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392.08740055894992</v>
      </c>
      <c r="CE181" s="59">
        <f t="shared" si="148"/>
        <v>395.10797100415783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0.21327170359379996</v>
      </c>
      <c r="CL181" s="21">
        <f>EXP(-LN(2)/25)*CL180+(1-EXP(-LN(2)/25))/(LN(2)/25)*Calculateur!CG181*Calculateur!CI181*VLOOKUP('Données projet'!$B$12,Paramètres!$A$1:$I$89,3,0)*0.475*44/12</f>
        <v>0.42949768983135689</v>
      </c>
      <c r="CM181" s="21">
        <f>EXP(-LN(2)/2)*CM180+(1-EXP(-LN(2)/2))/(LN(2)/2)*CG181*CJ181*VLOOKUP('Données projet'!$B$12,Paramètres!$A$1:$I$89,3,0)*0.475*44/12</f>
        <v>1.8401437880509543E-21</v>
      </c>
      <c r="CN181" s="22">
        <f t="shared" si="172"/>
        <v>0.64276939342515682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-1.1368683772161603E-13</v>
      </c>
      <c r="O182" s="13">
        <f>N182*VLOOKUP('Données projet'!$B$9,Paramètres!$A$1:$I$89,3,0)*VLOOKUP('Données projet'!$B$9,Paramètres!$A$1:$I$89,5,0)</f>
        <v>-1.0286385077051818E-13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282.32472952059817</v>
      </c>
      <c r="T182" s="59">
        <f t="shared" si="142"/>
        <v>172.32171001882176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</v>
      </c>
      <c r="AA182" s="21">
        <f>EXP(-LN(2)/25)*AA181+(1-EXP(-LN(2)/25))/(LN(2)/25)*Calculateur!V182*Calculateur!X182*VLOOKUP('Données projet'!$B$9,Paramètres!$A$1:$I$89,3,0)*0.475*44/12</f>
        <v>4.9894655935558724E-2</v>
      </c>
      <c r="AB182" s="21">
        <f>EXP(-LN(2)/2)*AB181+(1-EXP(-LN(2)/2))/(LN(2)/2)*V182*Y182*VLOOKUP('Données projet'!$B$9,Paramètres!$A$1:$I$89,3,0)*0.475*44/12</f>
        <v>2.316915605165643E-22</v>
      </c>
      <c r="AC182" s="22">
        <f t="shared" si="163"/>
        <v>4.9894655935558724E-2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-1.1368683772161603E-13</v>
      </c>
      <c r="AJ182" s="13">
        <f>AI182*VLOOKUP('Données projet'!$B$10,Paramètres!$A$1:$I$89,3,0)*VLOOKUP('Données projet'!$B$10,Paramètres!$A$1:$I$89,5,0)</f>
        <v>-1.1527845344971866E-13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324.30660429578262</v>
      </c>
      <c r="AO182" s="59">
        <f t="shared" si="144"/>
        <v>197.04549436738586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</v>
      </c>
      <c r="AV182" s="21">
        <f>EXP(-LN(2)/25)*AV181+(1-EXP(-LN(2)/25))/(LN(2)/25)*Calculateur!AQ182*Calculateur!AS182*VLOOKUP('Données projet'!$B$10,Paramètres!$A$1:$I$89,3,0)*0.475*44/12</f>
        <v>5.591642475536749E-2</v>
      </c>
      <c r="AW182" s="21">
        <f>EXP(-LN(2)/2)*AW181+(1-EXP(-LN(2)/2))/(LN(2)/2)*AQ182*AT182*VLOOKUP('Données projet'!$B$10,Paramètres!$A$1:$I$89,3,0)*0.475*44/12</f>
        <v>2.5965433506166685E-22</v>
      </c>
      <c r="AX182" s="21">
        <f t="shared" si="166"/>
        <v>5.591642475536749E-2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-1.1368683772161603E-13</v>
      </c>
      <c r="BE182" s="13">
        <f>BD182*VLOOKUP('Données projet'!$B$11,Paramètres!$A$1:$I$89,3,0)*VLOOKUP('Données projet'!$B$11,Paramètres!$A$1:$I$89,5,0)</f>
        <v>-5.3205440053716299E-14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252.98248842635206</v>
      </c>
      <c r="BJ182" s="59">
        <f t="shared" si="146"/>
        <v>207.11938580878308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0.16392752593928461</v>
      </c>
      <c r="BQ182" s="21">
        <f>EXP(-LN(2)/25)*BQ181+(1-EXP(-LN(2)/25))/(LN(2)/25)*Calculateur!BL182*Calculateur!BN182*VLOOKUP('Données projet'!$B$11,Paramètres!$A$1:$I$89,3,0)*0.475*44/12</f>
        <v>0.12619236745537973</v>
      </c>
      <c r="BR182" s="21">
        <f>EXP(-LN(2)/2)*BR181+(1-EXP(-LN(2)/2))/(LN(2)/2)*BL182*BO182*VLOOKUP('Données projet'!$B$11,Paramètres!$A$1:$I$89,3,0)*0.475*44/12</f>
        <v>3.6805692062761116E-22</v>
      </c>
      <c r="BS182" s="22">
        <f t="shared" si="169"/>
        <v>0.29011989339466437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-5.6843418860808015E-13</v>
      </c>
      <c r="BZ182" s="13">
        <f>BY182*VLOOKUP('Données projet'!$B$12,Paramètres!$A$1:$I$89,3,0)*VLOOKUP('Données projet'!$B$12,Paramètres!$A$1:$I$89,5,0)</f>
        <v>-3.39923644787632E-13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392.08740055894992</v>
      </c>
      <c r="CE182" s="59">
        <f t="shared" si="148"/>
        <v>395.10797100415783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0.20908957556922012</v>
      </c>
      <c r="CL182" s="21">
        <f>EXP(-LN(2)/25)*CL181+(1-EXP(-LN(2)/25))/(LN(2)/25)*Calculateur!CG182*Calculateur!CI182*VLOOKUP('Données projet'!$B$12,Paramètres!$A$1:$I$89,3,0)*0.475*44/12</f>
        <v>0.41775305291661657</v>
      </c>
      <c r="CM182" s="21">
        <f>EXP(-LN(2)/2)*CM181+(1-EXP(-LN(2)/2))/(LN(2)/2)*CG182*CJ182*VLOOKUP('Données projet'!$B$12,Paramètres!$A$1:$I$89,3,0)*0.475*44/12</f>
        <v>1.3011781508891308E-21</v>
      </c>
      <c r="CN182" s="22">
        <f t="shared" si="172"/>
        <v>0.62684262848583672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-1.1368683772161603E-13</v>
      </c>
      <c r="O183" s="13">
        <f>N183*VLOOKUP('Données projet'!$B$9,Paramètres!$A$1:$I$89,3,0)*VLOOKUP('Données projet'!$B$9,Paramètres!$A$1:$I$89,5,0)</f>
        <v>-1.0286385077051818E-13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282.32472952059817</v>
      </c>
      <c r="T183" s="59">
        <f t="shared" si="142"/>
        <v>172.32171001882176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</v>
      </c>
      <c r="AA183" s="21">
        <f>EXP(-LN(2)/25)*AA182+(1-EXP(-LN(2)/25))/(LN(2)/25)*Calculateur!V183*Calculateur!X183*VLOOKUP('Données projet'!$B$9,Paramètres!$A$1:$I$89,3,0)*0.475*44/12</f>
        <v>4.8530283945154948E-2</v>
      </c>
      <c r="AB183" s="21">
        <f>EXP(-LN(2)/2)*AB182+(1-EXP(-LN(2)/2))/(LN(2)/2)*V183*Y183*VLOOKUP('Données projet'!$B$9,Paramètres!$A$1:$I$89,3,0)*0.475*44/12</f>
        <v>1.6383067358495597E-22</v>
      </c>
      <c r="AC183" s="22">
        <f t="shared" si="163"/>
        <v>4.8530283945154948E-2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-1.1368683772161603E-13</v>
      </c>
      <c r="AJ183" s="13">
        <f>AI183*VLOOKUP('Données projet'!$B$10,Paramètres!$A$1:$I$89,3,0)*VLOOKUP('Données projet'!$B$10,Paramètres!$A$1:$I$89,5,0)</f>
        <v>-1.1527845344971866E-13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324.30660429578262</v>
      </c>
      <c r="AO183" s="59">
        <f t="shared" si="144"/>
        <v>197.04549436738586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</v>
      </c>
      <c r="AV183" s="21">
        <f>EXP(-LN(2)/25)*AV182+(1-EXP(-LN(2)/25))/(LN(2)/25)*Calculateur!AQ183*Calculateur!AS183*VLOOKUP('Données projet'!$B$10,Paramètres!$A$1:$I$89,3,0)*0.475*44/12</f>
        <v>5.4387387179914988E-2</v>
      </c>
      <c r="AW183" s="21">
        <f>EXP(-LN(2)/2)*AW182+(1-EXP(-LN(2)/2))/(LN(2)/2)*AQ183*AT183*VLOOKUP('Données projet'!$B$10,Paramètres!$A$1:$I$89,3,0)*0.475*44/12</f>
        <v>1.8360334108658856E-22</v>
      </c>
      <c r="AX183" s="21">
        <f t="shared" si="166"/>
        <v>5.4387387179914988E-2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-1.1368683772161603E-13</v>
      </c>
      <c r="BE183" s="13">
        <f>BD183*VLOOKUP('Données projet'!$B$11,Paramètres!$A$1:$I$89,3,0)*VLOOKUP('Données projet'!$B$11,Paramètres!$A$1:$I$89,5,0)</f>
        <v>-5.3205440053716299E-14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252.98248842635206</v>
      </c>
      <c r="BJ183" s="59">
        <f t="shared" si="146"/>
        <v>207.11938580878308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0.16071300714153328</v>
      </c>
      <c r="BQ183" s="21">
        <f>EXP(-LN(2)/25)*BQ182+(1-EXP(-LN(2)/25))/(LN(2)/25)*Calculateur!BL183*Calculateur!BN183*VLOOKUP('Données projet'!$B$11,Paramètres!$A$1:$I$89,3,0)*0.475*44/12</f>
        <v>0.12274163053114419</v>
      </c>
      <c r="BR183" s="21">
        <f>EXP(-LN(2)/2)*BR182+(1-EXP(-LN(2)/2))/(LN(2)/2)*BL183*BO183*VLOOKUP('Données projet'!$B$11,Paramètres!$A$1:$I$89,3,0)*0.475*44/12</f>
        <v>2.6025554443842273E-22</v>
      </c>
      <c r="BS183" s="22">
        <f t="shared" si="169"/>
        <v>0.28345463767267748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-5.6843418860808015E-13</v>
      </c>
      <c r="BZ183" s="13">
        <f>BY183*VLOOKUP('Données projet'!$B$12,Paramètres!$A$1:$I$89,3,0)*VLOOKUP('Données projet'!$B$12,Paramètres!$A$1:$I$89,5,0)</f>
        <v>-3.39923644787632E-13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392.08740055894992</v>
      </c>
      <c r="CE183" s="59">
        <f t="shared" si="148"/>
        <v>395.10797100415783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0.20498945652435607</v>
      </c>
      <c r="CL183" s="21">
        <f>EXP(-LN(2)/25)*CL182+(1-EXP(-LN(2)/25))/(LN(2)/25)*Calculateur!CG183*Calculateur!CI183*VLOOKUP('Données projet'!$B$12,Paramètres!$A$1:$I$89,3,0)*0.475*44/12</f>
        <v>0.40632957371593342</v>
      </c>
      <c r="CM183" s="21">
        <f>EXP(-LN(2)/2)*CM182+(1-EXP(-LN(2)/2))/(LN(2)/2)*CG183*CJ183*VLOOKUP('Données projet'!$B$12,Paramètres!$A$1:$I$89,3,0)*0.475*44/12</f>
        <v>9.2007189402547715E-22</v>
      </c>
      <c r="CN183" s="22">
        <f t="shared" si="172"/>
        <v>0.61131903024028955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-1.1368683772161603E-13</v>
      </c>
      <c r="O184" s="13">
        <f>N184*VLOOKUP('Données projet'!$B$9,Paramètres!$A$1:$I$89,3,0)*VLOOKUP('Données projet'!$B$9,Paramètres!$A$1:$I$89,5,0)</f>
        <v>-1.0286385077051818E-13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282.32472952059817</v>
      </c>
      <c r="T184" s="59">
        <f t="shared" si="142"/>
        <v>172.32171001882176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</v>
      </c>
      <c r="AA184" s="21">
        <f>EXP(-LN(2)/25)*AA183+(1-EXP(-LN(2)/25))/(LN(2)/25)*Calculateur!V184*Calculateur!X184*VLOOKUP('Données projet'!$B$9,Paramètres!$A$1:$I$89,3,0)*0.475*44/12</f>
        <v>4.720322077857797E-2</v>
      </c>
      <c r="AB184" s="21">
        <f>EXP(-LN(2)/2)*AB183+(1-EXP(-LN(2)/2))/(LN(2)/2)*V184*Y184*VLOOKUP('Données projet'!$B$9,Paramètres!$A$1:$I$89,3,0)*0.475*44/12</f>
        <v>1.1584578025828215E-22</v>
      </c>
      <c r="AC184" s="22">
        <f t="shared" si="163"/>
        <v>4.720322077857797E-2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-1.1368683772161603E-13</v>
      </c>
      <c r="AJ184" s="13">
        <f>AI184*VLOOKUP('Données projet'!$B$10,Paramètres!$A$1:$I$89,3,0)*VLOOKUP('Données projet'!$B$10,Paramètres!$A$1:$I$89,5,0)</f>
        <v>-1.1527845344971866E-13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324.30660429578262</v>
      </c>
      <c r="AO184" s="59">
        <f t="shared" si="144"/>
        <v>197.04549436738586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</v>
      </c>
      <c r="AV184" s="21">
        <f>EXP(-LN(2)/25)*AV183+(1-EXP(-LN(2)/25))/(LN(2)/25)*Calculateur!AQ184*Calculateur!AS184*VLOOKUP('Données projet'!$B$10,Paramètres!$A$1:$I$89,3,0)*0.475*44/12</f>
        <v>5.2900161217371823E-2</v>
      </c>
      <c r="AW184" s="21">
        <f>EXP(-LN(2)/2)*AW183+(1-EXP(-LN(2)/2))/(LN(2)/2)*AQ184*AT184*VLOOKUP('Données projet'!$B$10,Paramètres!$A$1:$I$89,3,0)*0.475*44/12</f>
        <v>1.2982716753083343E-22</v>
      </c>
      <c r="AX184" s="21">
        <f t="shared" si="166"/>
        <v>5.2900161217371823E-2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-1.1368683772161603E-13</v>
      </c>
      <c r="BE184" s="13">
        <f>BD184*VLOOKUP('Données projet'!$B$11,Paramètres!$A$1:$I$89,3,0)*VLOOKUP('Données projet'!$B$11,Paramètres!$A$1:$I$89,5,0)</f>
        <v>-5.3205440053716299E-14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252.98248842635206</v>
      </c>
      <c r="BJ184" s="59">
        <f t="shared" si="146"/>
        <v>207.11938580878308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0.15756152309674298</v>
      </c>
      <c r="BQ184" s="21">
        <f>EXP(-LN(2)/25)*BQ183+(1-EXP(-LN(2)/25))/(LN(2)/25)*Calculateur!BL184*Calculateur!BN184*VLOOKUP('Données projet'!$B$11,Paramètres!$A$1:$I$89,3,0)*0.475*44/12</f>
        <v>0.11938525418956823</v>
      </c>
      <c r="BR184" s="21">
        <f>EXP(-LN(2)/2)*BR183+(1-EXP(-LN(2)/2))/(LN(2)/2)*BL184*BO184*VLOOKUP('Données projet'!$B$11,Paramètres!$A$1:$I$89,3,0)*0.475*44/12</f>
        <v>1.8402846031380558E-22</v>
      </c>
      <c r="BS184" s="22">
        <f t="shared" si="169"/>
        <v>0.27694677728631123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-5.6843418860808015E-13</v>
      </c>
      <c r="BZ184" s="13">
        <f>BY184*VLOOKUP('Données projet'!$B$12,Paramètres!$A$1:$I$89,3,0)*VLOOKUP('Données projet'!$B$12,Paramètres!$A$1:$I$89,5,0)</f>
        <v>-3.39923644787632E-13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392.08740055894992</v>
      </c>
      <c r="CE184" s="59">
        <f t="shared" si="148"/>
        <v>395.10797100415783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0.20096973831313611</v>
      </c>
      <c r="CL184" s="21">
        <f>EXP(-LN(2)/25)*CL183+(1-EXP(-LN(2)/25))/(LN(2)/25)*Calculateur!CG184*Calculateur!CI184*VLOOKUP('Données projet'!$B$12,Paramètres!$A$1:$I$89,3,0)*0.475*44/12</f>
        <v>0.39521847015472761</v>
      </c>
      <c r="CM184" s="21">
        <f>EXP(-LN(2)/2)*CM183+(1-EXP(-LN(2)/2))/(LN(2)/2)*CG184*CJ184*VLOOKUP('Données projet'!$B$12,Paramètres!$A$1:$I$89,3,0)*0.475*44/12</f>
        <v>6.5058907544456542E-22</v>
      </c>
      <c r="CN184" s="22">
        <f t="shared" si="172"/>
        <v>0.59618820846786369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-1.1368683772161603E-13</v>
      </c>
      <c r="O185" s="13">
        <f>N185*VLOOKUP('Données projet'!$B$9,Paramètres!$A$1:$I$89,3,0)*VLOOKUP('Données projet'!$B$9,Paramètres!$A$1:$I$89,5,0)</f>
        <v>-1.0286385077051818E-13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282.32472952059817</v>
      </c>
      <c r="T185" s="59">
        <f t="shared" si="142"/>
        <v>172.32171001882176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</v>
      </c>
      <c r="AA185" s="21">
        <f>EXP(-LN(2)/25)*AA184+(1-EXP(-LN(2)/25))/(LN(2)/25)*Calculateur!V185*Calculateur!X185*VLOOKUP('Données projet'!$B$9,Paramètres!$A$1:$I$89,3,0)*0.475*44/12</f>
        <v>4.5912446224078259E-2</v>
      </c>
      <c r="AB185" s="21">
        <f>EXP(-LN(2)/2)*AB184+(1-EXP(-LN(2)/2))/(LN(2)/2)*V185*Y185*VLOOKUP('Données projet'!$B$9,Paramètres!$A$1:$I$89,3,0)*0.475*44/12</f>
        <v>8.1915336792477985E-23</v>
      </c>
      <c r="AC185" s="22">
        <f t="shared" si="163"/>
        <v>4.5912446224078259E-2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-1.1368683772161603E-13</v>
      </c>
      <c r="AJ185" s="13">
        <f>AI185*VLOOKUP('Données projet'!$B$10,Paramètres!$A$1:$I$89,3,0)*VLOOKUP('Données projet'!$B$10,Paramètres!$A$1:$I$89,5,0)</f>
        <v>-1.1527845344971866E-13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324.30660429578262</v>
      </c>
      <c r="AO185" s="59">
        <f t="shared" si="144"/>
        <v>197.04549436738586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</v>
      </c>
      <c r="AV185" s="21">
        <f>EXP(-LN(2)/25)*AV184+(1-EXP(-LN(2)/25))/(LN(2)/25)*Calculateur!AQ185*Calculateur!AS185*VLOOKUP('Données projet'!$B$10,Paramètres!$A$1:$I$89,3,0)*0.475*44/12</f>
        <v>5.1453603526984214E-2</v>
      </c>
      <c r="AW185" s="21">
        <f>EXP(-LN(2)/2)*AW184+(1-EXP(-LN(2)/2))/(LN(2)/2)*AQ185*AT185*VLOOKUP('Données projet'!$B$10,Paramètres!$A$1:$I$89,3,0)*0.475*44/12</f>
        <v>9.1801670543294279E-23</v>
      </c>
      <c r="AX185" s="21">
        <f t="shared" si="166"/>
        <v>5.1453603526984214E-2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-1.1368683772161603E-13</v>
      </c>
      <c r="BE185" s="13">
        <f>BD185*VLOOKUP('Données projet'!$B$11,Paramètres!$A$1:$I$89,3,0)*VLOOKUP('Données projet'!$B$11,Paramètres!$A$1:$I$89,5,0)</f>
        <v>-5.3205440053716299E-14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252.98248842635206</v>
      </c>
      <c r="BJ185" s="59">
        <f t="shared" si="146"/>
        <v>207.11938580878308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0.15447183773185555</v>
      </c>
      <c r="BQ185" s="21">
        <f>EXP(-LN(2)/25)*BQ184+(1-EXP(-LN(2)/25))/(LN(2)/25)*Calculateur!BL185*Calculateur!BN185*VLOOKUP('Données projet'!$B$11,Paramètres!$A$1:$I$89,3,0)*0.475*44/12</f>
        <v>0.11612065813555683</v>
      </c>
      <c r="BR185" s="21">
        <f>EXP(-LN(2)/2)*BR184+(1-EXP(-LN(2)/2))/(LN(2)/2)*BL185*BO185*VLOOKUP('Données projet'!$B$11,Paramètres!$A$1:$I$89,3,0)*0.475*44/12</f>
        <v>1.3012777221921136E-22</v>
      </c>
      <c r="BS185" s="22">
        <f t="shared" si="169"/>
        <v>0.27059249586741241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-5.6843418860808015E-13</v>
      </c>
      <c r="BZ185" s="13">
        <f>BY185*VLOOKUP('Données projet'!$B$12,Paramètres!$A$1:$I$89,3,0)*VLOOKUP('Données projet'!$B$12,Paramètres!$A$1:$I$89,5,0)</f>
        <v>-3.39923644787632E-13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392.08740055894992</v>
      </c>
      <c r="CE185" s="59">
        <f t="shared" si="148"/>
        <v>395.10797100415783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0.19702884432425216</v>
      </c>
      <c r="CL185" s="21">
        <f>EXP(-LN(2)/25)*CL184+(1-EXP(-LN(2)/25))/(LN(2)/25)*Calculateur!CG185*Calculateur!CI185*VLOOKUP('Données projet'!$B$12,Paramètres!$A$1:$I$89,3,0)*0.475*44/12</f>
        <v>0.38441120030471054</v>
      </c>
      <c r="CM185" s="21">
        <f>EXP(-LN(2)/2)*CM184+(1-EXP(-LN(2)/2))/(LN(2)/2)*CG185*CJ185*VLOOKUP('Données projet'!$B$12,Paramètres!$A$1:$I$89,3,0)*0.475*44/12</f>
        <v>4.6003594701273857E-22</v>
      </c>
      <c r="CN185" s="22">
        <f t="shared" si="172"/>
        <v>0.5814400446289627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-1.1368683772161603E-13</v>
      </c>
      <c r="O186" s="13">
        <f>N186*VLOOKUP('Données projet'!$B$9,Paramètres!$A$1:$I$89,3,0)*VLOOKUP('Données projet'!$B$9,Paramètres!$A$1:$I$89,5,0)</f>
        <v>-1.0286385077051818E-13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282.32472952059817</v>
      </c>
      <c r="T186" s="59">
        <f t="shared" si="142"/>
        <v>172.32171001882176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</v>
      </c>
      <c r="AA186" s="21">
        <f>EXP(-LN(2)/25)*AA185+(1-EXP(-LN(2)/25))/(LN(2)/25)*Calculateur!V186*Calculateur!X186*VLOOKUP('Données projet'!$B$9,Paramètres!$A$1:$I$89,3,0)*0.475*44/12</f>
        <v>4.4656967967650223E-2</v>
      </c>
      <c r="AB186" s="21">
        <f>EXP(-LN(2)/2)*AB185+(1-EXP(-LN(2)/2))/(LN(2)/2)*V186*Y186*VLOOKUP('Données projet'!$B$9,Paramètres!$A$1:$I$89,3,0)*0.475*44/12</f>
        <v>5.7922890129141075E-23</v>
      </c>
      <c r="AC186" s="22">
        <f t="shared" si="163"/>
        <v>4.4656967967650223E-2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-1.1368683772161603E-13</v>
      </c>
      <c r="AJ186" s="13">
        <f>AI186*VLOOKUP('Données projet'!$B$10,Paramètres!$A$1:$I$89,3,0)*VLOOKUP('Données projet'!$B$10,Paramètres!$A$1:$I$89,5,0)</f>
        <v>-1.1527845344971866E-13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324.30660429578262</v>
      </c>
      <c r="AO186" s="59">
        <f t="shared" si="144"/>
        <v>197.04549436738586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</v>
      </c>
      <c r="AV186" s="21">
        <f>EXP(-LN(2)/25)*AV185+(1-EXP(-LN(2)/25))/(LN(2)/25)*Calculateur!AQ186*Calculateur!AS186*VLOOKUP('Données projet'!$B$10,Paramètres!$A$1:$I$89,3,0)*0.475*44/12</f>
        <v>5.0046602032711419E-2</v>
      </c>
      <c r="AW186" s="21">
        <f>EXP(-LN(2)/2)*AW185+(1-EXP(-LN(2)/2))/(LN(2)/2)*AQ186*AT186*VLOOKUP('Données projet'!$B$10,Paramètres!$A$1:$I$89,3,0)*0.475*44/12</f>
        <v>6.4913583765416713E-23</v>
      </c>
      <c r="AX186" s="21">
        <f t="shared" si="166"/>
        <v>5.0046602032711419E-2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-1.1368683772161603E-13</v>
      </c>
      <c r="BE186" s="13">
        <f>BD186*VLOOKUP('Données projet'!$B$11,Paramètres!$A$1:$I$89,3,0)*VLOOKUP('Données projet'!$B$11,Paramètres!$A$1:$I$89,5,0)</f>
        <v>-5.3205440053716299E-14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252.98248842635206</v>
      </c>
      <c r="BJ186" s="59">
        <f t="shared" si="146"/>
        <v>207.11938580878308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0.15144273921245158</v>
      </c>
      <c r="BQ186" s="21">
        <f>EXP(-LN(2)/25)*BQ185+(1-EXP(-LN(2)/25))/(LN(2)/25)*Calculateur!BL186*Calculateur!BN186*VLOOKUP('Données projet'!$B$11,Paramètres!$A$1:$I$89,3,0)*0.475*44/12</f>
        <v>0.11294533263232001</v>
      </c>
      <c r="BR186" s="21">
        <f>EXP(-LN(2)/2)*BR185+(1-EXP(-LN(2)/2))/(LN(2)/2)*BL186*BO186*VLOOKUP('Données projet'!$B$11,Paramètres!$A$1:$I$89,3,0)*0.475*44/12</f>
        <v>9.2014230156902789E-23</v>
      </c>
      <c r="BS186" s="22">
        <f t="shared" si="169"/>
        <v>0.26438807184477159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-5.6843418860808015E-13</v>
      </c>
      <c r="BZ186" s="13">
        <f>BY186*VLOOKUP('Données projet'!$B$12,Paramètres!$A$1:$I$89,3,0)*VLOOKUP('Données projet'!$B$12,Paramètres!$A$1:$I$89,5,0)</f>
        <v>-3.39923644787632E-13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392.08740055894992</v>
      </c>
      <c r="CE186" s="59">
        <f t="shared" si="148"/>
        <v>395.10797100415783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0.19316522886278226</v>
      </c>
      <c r="CL186" s="21">
        <f>EXP(-LN(2)/25)*CL185+(1-EXP(-LN(2)/25))/(LN(2)/25)*Calculateur!CG186*Calculateur!CI186*VLOOKUP('Données projet'!$B$12,Paramètres!$A$1:$I$89,3,0)*0.475*44/12</f>
        <v>0.37389945581707179</v>
      </c>
      <c r="CM186" s="21">
        <f>EXP(-LN(2)/2)*CM185+(1-EXP(-LN(2)/2))/(LN(2)/2)*CG186*CJ186*VLOOKUP('Données projet'!$B$12,Paramètres!$A$1:$I$89,3,0)*0.475*44/12</f>
        <v>3.2529453772228271E-22</v>
      </c>
      <c r="CN186" s="22">
        <f t="shared" si="172"/>
        <v>0.56706468467985405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-1.1368683772161603E-13</v>
      </c>
      <c r="O187" s="13">
        <f>N187*VLOOKUP('Données projet'!$B$9,Paramètres!$A$1:$I$89,3,0)*VLOOKUP('Données projet'!$B$9,Paramètres!$A$1:$I$89,5,0)</f>
        <v>-1.0286385077051818E-13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282.32472952059817</v>
      </c>
      <c r="T187" s="59">
        <f t="shared" si="142"/>
        <v>172.32171001882176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</v>
      </c>
      <c r="AA187" s="21">
        <f>EXP(-LN(2)/25)*AA186+(1-EXP(-LN(2)/25))/(LN(2)/25)*Calculateur!V187*Calculateur!X187*VLOOKUP('Données projet'!$B$9,Paramètres!$A$1:$I$89,3,0)*0.475*44/12</f>
        <v>4.3435820830166949E-2</v>
      </c>
      <c r="AB187" s="21">
        <f>EXP(-LN(2)/2)*AB186+(1-EXP(-LN(2)/2))/(LN(2)/2)*V187*Y187*VLOOKUP('Données projet'!$B$9,Paramètres!$A$1:$I$89,3,0)*0.475*44/12</f>
        <v>4.0957668396238992E-23</v>
      </c>
      <c r="AC187" s="22">
        <f t="shared" si="163"/>
        <v>4.3435820830166949E-2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-1.1368683772161603E-13</v>
      </c>
      <c r="AJ187" s="13">
        <f>AI187*VLOOKUP('Données projet'!$B$10,Paramètres!$A$1:$I$89,3,0)*VLOOKUP('Données projet'!$B$10,Paramètres!$A$1:$I$89,5,0)</f>
        <v>-1.1527845344971866E-13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324.30660429578262</v>
      </c>
      <c r="AO187" s="59">
        <f t="shared" si="144"/>
        <v>197.04549436738586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</v>
      </c>
      <c r="AV187" s="21">
        <f>EXP(-LN(2)/25)*AV186+(1-EXP(-LN(2)/25))/(LN(2)/25)*Calculateur!AQ187*Calculateur!AS187*VLOOKUP('Données projet'!$B$10,Paramètres!$A$1:$I$89,3,0)*0.475*44/12</f>
        <v>4.8678075068290506E-2</v>
      </c>
      <c r="AW187" s="21">
        <f>EXP(-LN(2)/2)*AW186+(1-EXP(-LN(2)/2))/(LN(2)/2)*AQ187*AT187*VLOOKUP('Données projet'!$B$10,Paramètres!$A$1:$I$89,3,0)*0.475*44/12</f>
        <v>4.5900835271647139E-23</v>
      </c>
      <c r="AX187" s="21">
        <f t="shared" si="166"/>
        <v>4.8678075068290506E-2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-1.1368683772161603E-13</v>
      </c>
      <c r="BE187" s="13">
        <f>BD187*VLOOKUP('Données projet'!$B$11,Paramètres!$A$1:$I$89,3,0)*VLOOKUP('Données projet'!$B$11,Paramètres!$A$1:$I$89,5,0)</f>
        <v>-5.3205440053716299E-14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252.98248842635206</v>
      </c>
      <c r="BJ187" s="59">
        <f t="shared" si="146"/>
        <v>207.11938580878308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0.14847303946744544</v>
      </c>
      <c r="BQ187" s="21">
        <f>EXP(-LN(2)/25)*BQ186+(1-EXP(-LN(2)/25))/(LN(2)/25)*Calculateur!BL187*Calculateur!BN187*VLOOKUP('Données projet'!$B$11,Paramètres!$A$1:$I$89,3,0)*0.475*44/12</f>
        <v>0.10985683657195232</v>
      </c>
      <c r="BR187" s="21">
        <f>EXP(-LN(2)/2)*BR186+(1-EXP(-LN(2)/2))/(LN(2)/2)*BL187*BO187*VLOOKUP('Données projet'!$B$11,Paramètres!$A$1:$I$89,3,0)*0.475*44/12</f>
        <v>6.5063886109605682E-23</v>
      </c>
      <c r="BS187" s="22">
        <f t="shared" si="169"/>
        <v>0.25832987603939778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-5.6843418860808015E-13</v>
      </c>
      <c r="BZ187" s="13">
        <f>BY187*VLOOKUP('Données projet'!$B$12,Paramètres!$A$1:$I$89,3,0)*VLOOKUP('Données projet'!$B$12,Paramètres!$A$1:$I$89,5,0)</f>
        <v>-3.39923644787632E-13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392.08740055894992</v>
      </c>
      <c r="CE187" s="59">
        <f t="shared" si="148"/>
        <v>395.10797100415783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0.18937737654393902</v>
      </c>
      <c r="CL187" s="21">
        <f>EXP(-LN(2)/25)*CL186+(1-EXP(-LN(2)/25))/(LN(2)/25)*Calculateur!CG187*Calculateur!CI187*VLOOKUP('Données projet'!$B$12,Paramètres!$A$1:$I$89,3,0)*0.475*44/12</f>
        <v>0.36367515553523616</v>
      </c>
      <c r="CM187" s="21">
        <f>EXP(-LN(2)/2)*CM186+(1-EXP(-LN(2)/2))/(LN(2)/2)*CG187*CJ187*VLOOKUP('Données projet'!$B$12,Paramètres!$A$1:$I$89,3,0)*0.475*44/12</f>
        <v>2.3001797350636929E-22</v>
      </c>
      <c r="CN187" s="22">
        <f t="shared" si="172"/>
        <v>0.55305253207917515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-1.1368683772161603E-13</v>
      </c>
      <c r="O188" s="13">
        <f>N188*VLOOKUP('Données projet'!$B$9,Paramètres!$A$1:$I$89,3,0)*VLOOKUP('Données projet'!$B$9,Paramètres!$A$1:$I$89,5,0)</f>
        <v>-1.0286385077051818E-13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282.32472952059817</v>
      </c>
      <c r="T188" s="59">
        <f t="shared" si="142"/>
        <v>172.32171001882176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</v>
      </c>
      <c r="AA188" s="21">
        <f>EXP(-LN(2)/25)*AA187+(1-EXP(-LN(2)/25))/(LN(2)/25)*Calculateur!V188*Calculateur!X188*VLOOKUP('Données projet'!$B$9,Paramètres!$A$1:$I$89,3,0)*0.475*44/12</f>
        <v>4.2248066025375487E-2</v>
      </c>
      <c r="AB188" s="21">
        <f>EXP(-LN(2)/2)*AB187+(1-EXP(-LN(2)/2))/(LN(2)/2)*V188*Y188*VLOOKUP('Données projet'!$B$9,Paramètres!$A$1:$I$89,3,0)*0.475*44/12</f>
        <v>2.8961445064570538E-23</v>
      </c>
      <c r="AC188" s="22">
        <f t="shared" si="163"/>
        <v>4.2248066025375487E-2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-1.1368683772161603E-13</v>
      </c>
      <c r="AJ188" s="13">
        <f>AI188*VLOOKUP('Données projet'!$B$10,Paramètres!$A$1:$I$89,3,0)*VLOOKUP('Données projet'!$B$10,Paramètres!$A$1:$I$89,5,0)</f>
        <v>-1.1527845344971866E-13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324.30660429578262</v>
      </c>
      <c r="AO188" s="59">
        <f t="shared" si="144"/>
        <v>197.04549436738586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</v>
      </c>
      <c r="AV188" s="21">
        <f>EXP(-LN(2)/25)*AV187+(1-EXP(-LN(2)/25))/(LN(2)/25)*Calculateur!AQ188*Calculateur!AS188*VLOOKUP('Données projet'!$B$10,Paramètres!$A$1:$I$89,3,0)*0.475*44/12</f>
        <v>4.7346970545679393E-2</v>
      </c>
      <c r="AW188" s="21">
        <f>EXP(-LN(2)/2)*AW187+(1-EXP(-LN(2)/2))/(LN(2)/2)*AQ188*AT188*VLOOKUP('Données projet'!$B$10,Paramètres!$A$1:$I$89,3,0)*0.475*44/12</f>
        <v>3.2456791882708356E-23</v>
      </c>
      <c r="AX188" s="21">
        <f t="shared" si="166"/>
        <v>4.7346970545679393E-2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-1.1368683772161603E-13</v>
      </c>
      <c r="BE188" s="13">
        <f>BD188*VLOOKUP('Données projet'!$B$11,Paramètres!$A$1:$I$89,3,0)*VLOOKUP('Données projet'!$B$11,Paramètres!$A$1:$I$89,5,0)</f>
        <v>-5.3205440053716299E-14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252.98248842635206</v>
      </c>
      <c r="BJ188" s="59">
        <f t="shared" si="146"/>
        <v>207.11938580878308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0.14556157372310088</v>
      </c>
      <c r="BQ188" s="21">
        <f>EXP(-LN(2)/25)*BQ187+(1-EXP(-LN(2)/25))/(LN(2)/25)*Calculateur!BL188*Calculateur!BN188*VLOOKUP('Données projet'!$B$11,Paramètres!$A$1:$I$89,3,0)*0.475*44/12</f>
        <v>0.10685279559877232</v>
      </c>
      <c r="BR188" s="21">
        <f>EXP(-LN(2)/2)*BR187+(1-EXP(-LN(2)/2))/(LN(2)/2)*BL188*BO188*VLOOKUP('Données projet'!$B$11,Paramètres!$A$1:$I$89,3,0)*0.475*44/12</f>
        <v>4.6007115078451394E-23</v>
      </c>
      <c r="BS188" s="22">
        <f t="shared" si="169"/>
        <v>0.25241436932187322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-5.6843418860808015E-13</v>
      </c>
      <c r="BZ188" s="13">
        <f>BY188*VLOOKUP('Données projet'!$B$12,Paramètres!$A$1:$I$89,3,0)*VLOOKUP('Données projet'!$B$12,Paramètres!$A$1:$I$89,5,0)</f>
        <v>-3.39923644787632E-13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392.08740055894992</v>
      </c>
      <c r="CE188" s="59">
        <f t="shared" si="148"/>
        <v>395.10797100415783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0.18566380169870653</v>
      </c>
      <c r="CL188" s="21">
        <f>EXP(-LN(2)/25)*CL187+(1-EXP(-LN(2)/25))/(LN(2)/25)*Calculateur!CG188*Calculateur!CI188*VLOOKUP('Données projet'!$B$12,Paramètres!$A$1:$I$89,3,0)*0.475*44/12</f>
        <v>0.35373043928227987</v>
      </c>
      <c r="CM188" s="21">
        <f>EXP(-LN(2)/2)*CM187+(1-EXP(-LN(2)/2))/(LN(2)/2)*CG188*CJ188*VLOOKUP('Données projet'!$B$12,Paramètres!$A$1:$I$89,3,0)*0.475*44/12</f>
        <v>1.6264726886114136E-22</v>
      </c>
      <c r="CN188" s="22">
        <f t="shared" si="172"/>
        <v>0.53939424098098643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-1.1368683772161603E-13</v>
      </c>
      <c r="O189" s="13">
        <f>N189*VLOOKUP('Données projet'!$B$9,Paramètres!$A$1:$I$89,3,0)*VLOOKUP('Données projet'!$B$9,Paramètres!$A$1:$I$89,5,0)</f>
        <v>-1.0286385077051818E-13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282.32472952059817</v>
      </c>
      <c r="T189" s="59">
        <f t="shared" si="142"/>
        <v>172.32171001882176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</v>
      </c>
      <c r="AA189" s="21">
        <f>EXP(-LN(2)/25)*AA188+(1-EXP(-LN(2)/25))/(LN(2)/25)*Calculateur!V189*Calculateur!X189*VLOOKUP('Données projet'!$B$9,Paramètres!$A$1:$I$89,3,0)*0.475*44/12</f>
        <v>4.1092790438182362E-2</v>
      </c>
      <c r="AB189" s="21">
        <f>EXP(-LN(2)/2)*AB188+(1-EXP(-LN(2)/2))/(LN(2)/2)*V189*Y189*VLOOKUP('Données projet'!$B$9,Paramètres!$A$1:$I$89,3,0)*0.475*44/12</f>
        <v>2.0478834198119496E-23</v>
      </c>
      <c r="AC189" s="22">
        <f t="shared" si="163"/>
        <v>4.1092790438182362E-2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-1.1368683772161603E-13</v>
      </c>
      <c r="AJ189" s="13">
        <f>AI189*VLOOKUP('Données projet'!$B$10,Paramètres!$A$1:$I$89,3,0)*VLOOKUP('Données projet'!$B$10,Paramètres!$A$1:$I$89,5,0)</f>
        <v>-1.1527845344971866E-13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324.30660429578262</v>
      </c>
      <c r="AO189" s="59">
        <f t="shared" si="144"/>
        <v>197.04549436738586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</v>
      </c>
      <c r="AV189" s="21">
        <f>EXP(-LN(2)/25)*AV188+(1-EXP(-LN(2)/25))/(LN(2)/25)*Calculateur!AQ189*Calculateur!AS189*VLOOKUP('Données projet'!$B$10,Paramètres!$A$1:$I$89,3,0)*0.475*44/12</f>
        <v>4.6052265146238822E-2</v>
      </c>
      <c r="AW189" s="21">
        <f>EXP(-LN(2)/2)*AW188+(1-EXP(-LN(2)/2))/(LN(2)/2)*AQ189*AT189*VLOOKUP('Données projet'!$B$10,Paramètres!$A$1:$I$89,3,0)*0.475*44/12</f>
        <v>2.295041763582357E-23</v>
      </c>
      <c r="AX189" s="21">
        <f t="shared" si="166"/>
        <v>4.6052265146238822E-2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-1.1368683772161603E-13</v>
      </c>
      <c r="BE189" s="13">
        <f>BD189*VLOOKUP('Données projet'!$B$11,Paramètres!$A$1:$I$89,3,0)*VLOOKUP('Données projet'!$B$11,Paramètres!$A$1:$I$89,5,0)</f>
        <v>-5.3205440053716299E-14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252.98248842635206</v>
      </c>
      <c r="BJ189" s="59">
        <f t="shared" si="146"/>
        <v>207.11938580878308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0.14270720004618417</v>
      </c>
      <c r="BQ189" s="21">
        <f>EXP(-LN(2)/25)*BQ188+(1-EXP(-LN(2)/25))/(LN(2)/25)*Calculateur!BL189*Calculateur!BN189*VLOOKUP('Données projet'!$B$11,Paramètres!$A$1:$I$89,3,0)*0.475*44/12</f>
        <v>0.10393090028397958</v>
      </c>
      <c r="BR189" s="21">
        <f>EXP(-LN(2)/2)*BR188+(1-EXP(-LN(2)/2))/(LN(2)/2)*BL189*BO189*VLOOKUP('Données projet'!$B$11,Paramètres!$A$1:$I$89,3,0)*0.475*44/12</f>
        <v>3.2531943054802841E-23</v>
      </c>
      <c r="BS189" s="22">
        <f t="shared" si="169"/>
        <v>0.24663810033016376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-5.6843418860808015E-13</v>
      </c>
      <c r="BZ189" s="13">
        <f>BY189*VLOOKUP('Données projet'!$B$12,Paramètres!$A$1:$I$89,3,0)*VLOOKUP('Données projet'!$B$12,Paramètres!$A$1:$I$89,5,0)</f>
        <v>-3.39923644787632E-13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392.08740055894992</v>
      </c>
      <c r="CE189" s="59">
        <f t="shared" si="148"/>
        <v>395.10797100415783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0.18202304779113204</v>
      </c>
      <c r="CL189" s="21">
        <f>EXP(-LN(2)/25)*CL188+(1-EXP(-LN(2)/25))/(LN(2)/25)*Calculateur!CG189*Calculateur!CI189*VLOOKUP('Données projet'!$B$12,Paramètres!$A$1:$I$89,3,0)*0.475*44/12</f>
        <v>0.34405766181823061</v>
      </c>
      <c r="CM189" s="21">
        <f>EXP(-LN(2)/2)*CM188+(1-EXP(-LN(2)/2))/(LN(2)/2)*CG189*CJ189*VLOOKUP('Données projet'!$B$12,Paramètres!$A$1:$I$89,3,0)*0.475*44/12</f>
        <v>1.1500898675318464E-22</v>
      </c>
      <c r="CN189" s="22">
        <f t="shared" si="172"/>
        <v>0.52608070960936271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-1.1368683772161603E-13</v>
      </c>
      <c r="O190" s="13">
        <f>N190*VLOOKUP('Données projet'!$B$9,Paramètres!$A$1:$I$89,3,0)*VLOOKUP('Données projet'!$B$9,Paramètres!$A$1:$I$89,5,0)</f>
        <v>-1.0286385077051818E-13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282.32472952059817</v>
      </c>
      <c r="T190" s="59">
        <f t="shared" si="142"/>
        <v>172.32171001882176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</v>
      </c>
      <c r="AA190" s="21">
        <f>EXP(-LN(2)/25)*AA189+(1-EXP(-LN(2)/25))/(LN(2)/25)*Calculateur!V190*Calculateur!X190*VLOOKUP('Données projet'!$B$9,Paramètres!$A$1:$I$89,3,0)*0.475*44/12</f>
        <v>3.9969105922674338E-2</v>
      </c>
      <c r="AB190" s="21">
        <f>EXP(-LN(2)/2)*AB189+(1-EXP(-LN(2)/2))/(LN(2)/2)*V190*Y190*VLOOKUP('Données projet'!$B$9,Paramètres!$A$1:$I$89,3,0)*0.475*44/12</f>
        <v>1.4480722532285269E-23</v>
      </c>
      <c r="AC190" s="22">
        <f t="shared" si="163"/>
        <v>3.9969105922674338E-2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-1.1368683772161603E-13</v>
      </c>
      <c r="AJ190" s="13">
        <f>AI190*VLOOKUP('Données projet'!$B$10,Paramètres!$A$1:$I$89,3,0)*VLOOKUP('Données projet'!$B$10,Paramètres!$A$1:$I$89,5,0)</f>
        <v>-1.1527845344971866E-13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324.30660429578262</v>
      </c>
      <c r="AO190" s="59">
        <f t="shared" si="144"/>
        <v>197.04549436738586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</v>
      </c>
      <c r="AV190" s="21">
        <f>EXP(-LN(2)/25)*AV189+(1-EXP(-LN(2)/25))/(LN(2)/25)*Calculateur!AQ190*Calculateur!AS190*VLOOKUP('Données projet'!$B$10,Paramètres!$A$1:$I$89,3,0)*0.475*44/12</f>
        <v>4.4792963534031553E-2</v>
      </c>
      <c r="AW190" s="21">
        <f>EXP(-LN(2)/2)*AW189+(1-EXP(-LN(2)/2))/(LN(2)/2)*AQ190*AT190*VLOOKUP('Données projet'!$B$10,Paramètres!$A$1:$I$89,3,0)*0.475*44/12</f>
        <v>1.6228395941354178E-23</v>
      </c>
      <c r="AX190" s="21">
        <f t="shared" si="166"/>
        <v>4.4792963534031553E-2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-1.1368683772161603E-13</v>
      </c>
      <c r="BE190" s="13">
        <f>BD190*VLOOKUP('Données projet'!$B$11,Paramètres!$A$1:$I$89,3,0)*VLOOKUP('Données projet'!$B$11,Paramètres!$A$1:$I$89,5,0)</f>
        <v>-5.3205440053716299E-14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252.98248842635206</v>
      </c>
      <c r="BJ190" s="59">
        <f t="shared" si="146"/>
        <v>207.11938580878308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0.13990879889607577</v>
      </c>
      <c r="BQ190" s="21">
        <f>EXP(-LN(2)/25)*BQ189+(1-EXP(-LN(2)/25))/(LN(2)/25)*Calculateur!BL190*Calculateur!BN190*VLOOKUP('Données projet'!$B$11,Paramètres!$A$1:$I$89,3,0)*0.475*44/12</f>
        <v>0.10108890435022565</v>
      </c>
      <c r="BR190" s="21">
        <f>EXP(-LN(2)/2)*BR189+(1-EXP(-LN(2)/2))/(LN(2)/2)*BL190*BO190*VLOOKUP('Données projet'!$B$11,Paramètres!$A$1:$I$89,3,0)*0.475*44/12</f>
        <v>2.3003557539225697E-23</v>
      </c>
      <c r="BS190" s="22">
        <f t="shared" si="169"/>
        <v>0.24099770324630143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-5.6843418860808015E-13</v>
      </c>
      <c r="BZ190" s="13">
        <f>BY190*VLOOKUP('Données projet'!$B$12,Paramètres!$A$1:$I$89,3,0)*VLOOKUP('Données projet'!$B$12,Paramètres!$A$1:$I$89,5,0)</f>
        <v>-3.39923644787632E-13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392.08740055894992</v>
      </c>
      <c r="CE190" s="59">
        <f t="shared" si="148"/>
        <v>395.10797100415783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0.17845368684704446</v>
      </c>
      <c r="CL190" s="21">
        <f>EXP(-LN(2)/25)*CL189+(1-EXP(-LN(2)/25))/(LN(2)/25)*Calculateur!CG190*Calculateur!CI190*VLOOKUP('Données projet'!$B$12,Paramètres!$A$1:$I$89,3,0)*0.475*44/12</f>
        <v>0.33464938696260499</v>
      </c>
      <c r="CM190" s="21">
        <f>EXP(-LN(2)/2)*CM189+(1-EXP(-LN(2)/2))/(LN(2)/2)*CG190*CJ190*VLOOKUP('Données projet'!$B$12,Paramètres!$A$1:$I$89,3,0)*0.475*44/12</f>
        <v>8.1323634430570678E-23</v>
      </c>
      <c r="CN190" s="22">
        <f t="shared" si="172"/>
        <v>0.51310307380964948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-1.1368683772161603E-13</v>
      </c>
      <c r="O191" s="13">
        <f>N191*VLOOKUP('Données projet'!$B$9,Paramètres!$A$1:$I$89,3,0)*VLOOKUP('Données projet'!$B$9,Paramètres!$A$1:$I$89,5,0)</f>
        <v>-1.0286385077051818E-13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282.32472952059817</v>
      </c>
      <c r="T191" s="59">
        <f t="shared" si="142"/>
        <v>172.32171001882176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</v>
      </c>
      <c r="AA191" s="21">
        <f>EXP(-LN(2)/25)*AA190+(1-EXP(-LN(2)/25))/(LN(2)/25)*Calculateur!V191*Calculateur!X191*VLOOKUP('Données projet'!$B$9,Paramètres!$A$1:$I$89,3,0)*0.475*44/12</f>
        <v>3.8876148619334881E-2</v>
      </c>
      <c r="AB191" s="21">
        <f>EXP(-LN(2)/2)*AB190+(1-EXP(-LN(2)/2))/(LN(2)/2)*V191*Y191*VLOOKUP('Données projet'!$B$9,Paramètres!$A$1:$I$89,3,0)*0.475*44/12</f>
        <v>1.0239417099059748E-23</v>
      </c>
      <c r="AC191" s="22">
        <f t="shared" si="163"/>
        <v>3.8876148619334881E-2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-1.1368683772161603E-13</v>
      </c>
      <c r="AJ191" s="13">
        <f>AI191*VLOOKUP('Données projet'!$B$10,Paramètres!$A$1:$I$89,3,0)*VLOOKUP('Données projet'!$B$10,Paramètres!$A$1:$I$89,5,0)</f>
        <v>-1.1527845344971866E-13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324.30660429578262</v>
      </c>
      <c r="AO191" s="59">
        <f t="shared" si="144"/>
        <v>197.04549436738586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</v>
      </c>
      <c r="AV191" s="21">
        <f>EXP(-LN(2)/25)*AV190+(1-EXP(-LN(2)/25))/(LN(2)/25)*Calculateur!AQ191*Calculateur!AS191*VLOOKUP('Données projet'!$B$10,Paramètres!$A$1:$I$89,3,0)*0.475*44/12</f>
        <v>4.3568097590633882E-2</v>
      </c>
      <c r="AW191" s="21">
        <f>EXP(-LN(2)/2)*AW190+(1-EXP(-LN(2)/2))/(LN(2)/2)*AQ191*AT191*VLOOKUP('Données projet'!$B$10,Paramètres!$A$1:$I$89,3,0)*0.475*44/12</f>
        <v>1.1475208817911785E-23</v>
      </c>
      <c r="AX191" s="21">
        <f t="shared" si="166"/>
        <v>4.3568097590633882E-2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-1.1368683772161603E-13</v>
      </c>
      <c r="BE191" s="13">
        <f>BD191*VLOOKUP('Données projet'!$B$11,Paramètres!$A$1:$I$89,3,0)*VLOOKUP('Données projet'!$B$11,Paramètres!$A$1:$I$89,5,0)</f>
        <v>-5.3205440053716299E-14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252.98248842635206</v>
      </c>
      <c r="BJ191" s="59">
        <f t="shared" si="146"/>
        <v>207.11938580878308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0.13716527268566484</v>
      </c>
      <c r="BQ191" s="21">
        <f>EXP(-LN(2)/25)*BQ190+(1-EXP(-LN(2)/25))/(LN(2)/25)*Calculateur!BL191*Calculateur!BN191*VLOOKUP('Données projet'!$B$11,Paramètres!$A$1:$I$89,3,0)*0.475*44/12</f>
        <v>9.8324622944734291E-2</v>
      </c>
      <c r="BR191" s="21">
        <f>EXP(-LN(2)/2)*BR190+(1-EXP(-LN(2)/2))/(LN(2)/2)*BL191*BO191*VLOOKUP('Données projet'!$B$11,Paramètres!$A$1:$I$89,3,0)*0.475*44/12</f>
        <v>1.626597152740142E-23</v>
      </c>
      <c r="BS191" s="22">
        <f t="shared" si="169"/>
        <v>0.23548989563039913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-5.6843418860808015E-13</v>
      </c>
      <c r="BZ191" s="13">
        <f>BY191*VLOOKUP('Données projet'!$B$12,Paramètres!$A$1:$I$89,3,0)*VLOOKUP('Données projet'!$B$12,Paramètres!$A$1:$I$89,5,0)</f>
        <v>-3.39923644787632E-13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392.08740055894992</v>
      </c>
      <c r="CE191" s="59">
        <f t="shared" si="148"/>
        <v>395.10797100415783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0.17495431889397525</v>
      </c>
      <c r="CL191" s="21">
        <f>EXP(-LN(2)/25)*CL190+(1-EXP(-LN(2)/25))/(LN(2)/25)*Calculateur!CG191*Calculateur!CI191*VLOOKUP('Données projet'!$B$12,Paramètres!$A$1:$I$89,3,0)*0.475*44/12</f>
        <v>0.32549838187766617</v>
      </c>
      <c r="CM191" s="21">
        <f>EXP(-LN(2)/2)*CM190+(1-EXP(-LN(2)/2))/(LN(2)/2)*CG191*CJ191*VLOOKUP('Données projet'!$B$12,Paramètres!$A$1:$I$89,3,0)*0.475*44/12</f>
        <v>5.7504493376592322E-23</v>
      </c>
      <c r="CN191" s="22">
        <f t="shared" si="172"/>
        <v>0.50045270077164139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-1.1368683772161603E-13</v>
      </c>
      <c r="O192" s="13">
        <f>N192*VLOOKUP('Données projet'!$B$9,Paramètres!$A$1:$I$89,3,0)*VLOOKUP('Données projet'!$B$9,Paramètres!$A$1:$I$89,5,0)</f>
        <v>-1.0286385077051818E-13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282.32472952059817</v>
      </c>
      <c r="T192" s="59">
        <f t="shared" si="142"/>
        <v>172.32171001882176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</v>
      </c>
      <c r="AA192" s="21">
        <f>EXP(-LN(2)/25)*AA191+(1-EXP(-LN(2)/25))/(LN(2)/25)*Calculateur!V192*Calculateur!X192*VLOOKUP('Données projet'!$B$9,Paramètres!$A$1:$I$89,3,0)*0.475*44/12</f>
        <v>3.7813078290931362E-2</v>
      </c>
      <c r="AB192" s="21">
        <f>EXP(-LN(2)/2)*AB191+(1-EXP(-LN(2)/2))/(LN(2)/2)*V192*Y192*VLOOKUP('Données projet'!$B$9,Paramètres!$A$1:$I$89,3,0)*0.475*44/12</f>
        <v>7.2403612661426344E-24</v>
      </c>
      <c r="AC192" s="22">
        <f t="shared" si="163"/>
        <v>3.7813078290931362E-2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-1.1368683772161603E-13</v>
      </c>
      <c r="AJ192" s="13">
        <f>AI192*VLOOKUP('Données projet'!$B$10,Paramètres!$A$1:$I$89,3,0)*VLOOKUP('Données projet'!$B$10,Paramètres!$A$1:$I$89,5,0)</f>
        <v>-1.1527845344971866E-13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324.30660429578262</v>
      </c>
      <c r="AO192" s="59">
        <f t="shared" si="144"/>
        <v>197.04549436738586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</v>
      </c>
      <c r="AV192" s="21">
        <f>EXP(-LN(2)/25)*AV191+(1-EXP(-LN(2)/25))/(LN(2)/25)*Calculateur!AQ192*Calculateur!AS192*VLOOKUP('Données projet'!$B$10,Paramètres!$A$1:$I$89,3,0)*0.475*44/12</f>
        <v>4.2376725670871321E-2</v>
      </c>
      <c r="AW192" s="21">
        <f>EXP(-LN(2)/2)*AW191+(1-EXP(-LN(2)/2))/(LN(2)/2)*AQ192*AT192*VLOOKUP('Données projet'!$B$10,Paramètres!$A$1:$I$89,3,0)*0.475*44/12</f>
        <v>8.1141979706770891E-24</v>
      </c>
      <c r="AX192" s="21">
        <f t="shared" si="166"/>
        <v>4.2376725670871321E-2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-1.1368683772161603E-13</v>
      </c>
      <c r="BE192" s="13">
        <f>BD192*VLOOKUP('Données projet'!$B$11,Paramètres!$A$1:$I$89,3,0)*VLOOKUP('Données projet'!$B$11,Paramètres!$A$1:$I$89,5,0)</f>
        <v>-5.3205440053716299E-14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252.98248842635206</v>
      </c>
      <c r="BJ192" s="59">
        <f t="shared" si="146"/>
        <v>207.11938580878308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0.13447554535085429</v>
      </c>
      <c r="BQ192" s="21">
        <f>EXP(-LN(2)/25)*BQ191+(1-EXP(-LN(2)/25))/(LN(2)/25)*Calculateur!BL192*Calculateur!BN192*VLOOKUP('Données projet'!$B$11,Paramètres!$A$1:$I$89,3,0)*0.475*44/12</f>
        <v>9.5635930959643331E-2</v>
      </c>
      <c r="BR192" s="21">
        <f>EXP(-LN(2)/2)*BR191+(1-EXP(-LN(2)/2))/(LN(2)/2)*BL192*BO192*VLOOKUP('Données projet'!$B$11,Paramètres!$A$1:$I$89,3,0)*0.475*44/12</f>
        <v>1.1501778769612849E-23</v>
      </c>
      <c r="BS192" s="22">
        <f t="shared" si="169"/>
        <v>0.23011147631049761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-5.6843418860808015E-13</v>
      </c>
      <c r="BZ192" s="13">
        <f>BY192*VLOOKUP('Données projet'!$B$12,Paramètres!$A$1:$I$89,3,0)*VLOOKUP('Données projet'!$B$12,Paramètres!$A$1:$I$89,5,0)</f>
        <v>-3.39923644787632E-13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392.08740055894992</v>
      </c>
      <c r="CE192" s="59">
        <f t="shared" si="148"/>
        <v>395.10797100415783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0.17152357141206204</v>
      </c>
      <c r="CL192" s="21">
        <f>EXP(-LN(2)/25)*CL191+(1-EXP(-LN(2)/25))/(LN(2)/25)*Calculateur!CG192*Calculateur!CI192*VLOOKUP('Données projet'!$B$12,Paramètres!$A$1:$I$89,3,0)*0.475*44/12</f>
        <v>0.31659761150800542</v>
      </c>
      <c r="CM192" s="21">
        <f>EXP(-LN(2)/2)*CM191+(1-EXP(-LN(2)/2))/(LN(2)/2)*CG192*CJ192*VLOOKUP('Données projet'!$B$12,Paramètres!$A$1:$I$89,3,0)*0.475*44/12</f>
        <v>4.0661817215285339E-23</v>
      </c>
      <c r="CN192" s="22">
        <f t="shared" si="172"/>
        <v>0.48812118292006745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-1.1368683772161603E-13</v>
      </c>
      <c r="O193" s="13">
        <f>N193*VLOOKUP('Données projet'!$B$9,Paramètres!$A$1:$I$89,3,0)*VLOOKUP('Données projet'!$B$9,Paramètres!$A$1:$I$89,5,0)</f>
        <v>-1.0286385077051818E-13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282.32472952059817</v>
      </c>
      <c r="T193" s="59">
        <f t="shared" si="142"/>
        <v>172.32171001882176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</v>
      </c>
      <c r="AA193" s="21">
        <f>EXP(-LN(2)/25)*AA192+(1-EXP(-LN(2)/25))/(LN(2)/25)*Calculateur!V193*Calculateur!X193*VLOOKUP('Données projet'!$B$9,Paramètres!$A$1:$I$89,3,0)*0.475*44/12</f>
        <v>3.677907767656248E-2</v>
      </c>
      <c r="AB193" s="21">
        <f>EXP(-LN(2)/2)*AB192+(1-EXP(-LN(2)/2))/(LN(2)/2)*V193*Y193*VLOOKUP('Données projet'!$B$9,Paramètres!$A$1:$I$89,3,0)*0.475*44/12</f>
        <v>5.119708549529874E-24</v>
      </c>
      <c r="AC193" s="22">
        <f t="shared" si="163"/>
        <v>3.677907767656248E-2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-1.1368683772161603E-13</v>
      </c>
      <c r="AJ193" s="13">
        <f>AI193*VLOOKUP('Données projet'!$B$10,Paramètres!$A$1:$I$89,3,0)*VLOOKUP('Données projet'!$B$10,Paramètres!$A$1:$I$89,5,0)</f>
        <v>-1.1527845344971866E-13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324.30660429578262</v>
      </c>
      <c r="AO193" s="59">
        <f t="shared" si="144"/>
        <v>197.04549436738586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</v>
      </c>
      <c r="AV193" s="21">
        <f>EXP(-LN(2)/25)*AV192+(1-EXP(-LN(2)/25))/(LN(2)/25)*Calculateur!AQ193*Calculateur!AS193*VLOOKUP('Données projet'!$B$10,Paramètres!$A$1:$I$89,3,0)*0.475*44/12</f>
        <v>4.1217931878906197E-2</v>
      </c>
      <c r="AW193" s="21">
        <f>EXP(-LN(2)/2)*AW192+(1-EXP(-LN(2)/2))/(LN(2)/2)*AQ193*AT193*VLOOKUP('Données projet'!$B$10,Paramètres!$A$1:$I$89,3,0)*0.475*44/12</f>
        <v>5.7376044089558924E-24</v>
      </c>
      <c r="AX193" s="21">
        <f t="shared" si="166"/>
        <v>4.1217931878906197E-2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-1.1368683772161603E-13</v>
      </c>
      <c r="BE193" s="13">
        <f>BD193*VLOOKUP('Données projet'!$B$11,Paramètres!$A$1:$I$89,3,0)*VLOOKUP('Données projet'!$B$11,Paramètres!$A$1:$I$89,5,0)</f>
        <v>-5.3205440053716299E-14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252.98248842635206</v>
      </c>
      <c r="BJ193" s="59">
        <f t="shared" si="146"/>
        <v>207.11938580878308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0.13183856192850771</v>
      </c>
      <c r="BQ193" s="21">
        <f>EXP(-LN(2)/25)*BQ192+(1-EXP(-LN(2)/25))/(LN(2)/25)*Calculateur!BL193*Calculateur!BN193*VLOOKUP('Données projet'!$B$11,Paramètres!$A$1:$I$89,3,0)*0.475*44/12</f>
        <v>9.3020761398276849E-2</v>
      </c>
      <c r="BR193" s="21">
        <f>EXP(-LN(2)/2)*BR192+(1-EXP(-LN(2)/2))/(LN(2)/2)*BL193*BO193*VLOOKUP('Données projet'!$B$11,Paramètres!$A$1:$I$89,3,0)*0.475*44/12</f>
        <v>8.1329857637007102E-24</v>
      </c>
      <c r="BS193" s="22">
        <f t="shared" si="169"/>
        <v>0.22485932332678454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-5.6843418860808015E-13</v>
      </c>
      <c r="BZ193" s="13">
        <f>BY193*VLOOKUP('Données projet'!$B$12,Paramètres!$A$1:$I$89,3,0)*VLOOKUP('Données projet'!$B$12,Paramètres!$A$1:$I$89,5,0)</f>
        <v>-3.39923644787632E-13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392.08740055894992</v>
      </c>
      <c r="CE193" s="59">
        <f t="shared" si="148"/>
        <v>395.10797100415783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0.16816009879571978</v>
      </c>
      <c r="CL193" s="21">
        <f>EXP(-LN(2)/25)*CL192+(1-EXP(-LN(2)/25))/(LN(2)/25)*Calculateur!CG193*Calculateur!CI193*VLOOKUP('Données projet'!$B$12,Paramètres!$A$1:$I$89,3,0)*0.475*44/12</f>
        <v>0.30794023317217423</v>
      </c>
      <c r="CM193" s="21">
        <f>EXP(-LN(2)/2)*CM192+(1-EXP(-LN(2)/2))/(LN(2)/2)*CG193*CJ193*VLOOKUP('Données projet'!$B$12,Paramètres!$A$1:$I$89,3,0)*0.475*44/12</f>
        <v>2.8752246688296161E-23</v>
      </c>
      <c r="CN193" s="22">
        <f t="shared" si="172"/>
        <v>0.47610033196789403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-1.1368683772161603E-13</v>
      </c>
      <c r="O194" s="13">
        <f>N194*VLOOKUP('Données projet'!$B$9,Paramètres!$A$1:$I$89,3,0)*VLOOKUP('Données projet'!$B$9,Paramètres!$A$1:$I$89,5,0)</f>
        <v>-1.0286385077051818E-13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282.32472952059817</v>
      </c>
      <c r="T194" s="59">
        <f t="shared" si="142"/>
        <v>172.32171001882176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</v>
      </c>
      <c r="AA194" s="21">
        <f>EXP(-LN(2)/25)*AA193+(1-EXP(-LN(2)/25))/(LN(2)/25)*Calculateur!V194*Calculateur!X194*VLOOKUP('Données projet'!$B$9,Paramètres!$A$1:$I$89,3,0)*0.475*44/12</f>
        <v>3.5773351863369246E-2</v>
      </c>
      <c r="AB194" s="21">
        <f>EXP(-LN(2)/2)*AB193+(1-EXP(-LN(2)/2))/(LN(2)/2)*V194*Y194*VLOOKUP('Données projet'!$B$9,Paramètres!$A$1:$I$89,3,0)*0.475*44/12</f>
        <v>3.6201806330713172E-24</v>
      </c>
      <c r="AC194" s="22">
        <f t="shared" si="163"/>
        <v>3.5773351863369246E-2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-1.1368683772161603E-13</v>
      </c>
      <c r="AJ194" s="13">
        <f>AI194*VLOOKUP('Données projet'!$B$10,Paramètres!$A$1:$I$89,3,0)*VLOOKUP('Données projet'!$B$10,Paramètres!$A$1:$I$89,5,0)</f>
        <v>-1.1527845344971866E-13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324.30660429578262</v>
      </c>
      <c r="AO194" s="59">
        <f t="shared" si="144"/>
        <v>197.04549436738586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</v>
      </c>
      <c r="AV194" s="21">
        <f>EXP(-LN(2)/25)*AV193+(1-EXP(-LN(2)/25))/(LN(2)/25)*Calculateur!AQ194*Calculateur!AS194*VLOOKUP('Données projet'!$B$10,Paramètres!$A$1:$I$89,3,0)*0.475*44/12</f>
        <v>4.0090825364120675E-2</v>
      </c>
      <c r="AW194" s="21">
        <f>EXP(-LN(2)/2)*AW193+(1-EXP(-LN(2)/2))/(LN(2)/2)*AQ194*AT194*VLOOKUP('Données projet'!$B$10,Paramètres!$A$1:$I$89,3,0)*0.475*44/12</f>
        <v>4.0570989853385445E-24</v>
      </c>
      <c r="AX194" s="21">
        <f t="shared" si="166"/>
        <v>4.0090825364120675E-2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-1.1368683772161603E-13</v>
      </c>
      <c r="BE194" s="13">
        <f>BD194*VLOOKUP('Données projet'!$B$11,Paramètres!$A$1:$I$89,3,0)*VLOOKUP('Données projet'!$B$11,Paramètres!$A$1:$I$89,5,0)</f>
        <v>-5.3205440053716299E-14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252.98248842635206</v>
      </c>
      <c r="BJ194" s="59">
        <f t="shared" si="146"/>
        <v>207.11938580878308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0.12925328814267226</v>
      </c>
      <c r="BQ194" s="21">
        <f>EXP(-LN(2)/25)*BQ193+(1-EXP(-LN(2)/25))/(LN(2)/25)*Calculateur!BL194*Calculateur!BN194*VLOOKUP('Données projet'!$B$11,Paramètres!$A$1:$I$89,3,0)*0.475*44/12</f>
        <v>9.0477103786091723E-2</v>
      </c>
      <c r="BR194" s="21">
        <f>EXP(-LN(2)/2)*BR193+(1-EXP(-LN(2)/2))/(LN(2)/2)*BL194*BO194*VLOOKUP('Données projet'!$B$11,Paramètres!$A$1:$I$89,3,0)*0.475*44/12</f>
        <v>5.7508893848064243E-24</v>
      </c>
      <c r="BS194" s="22">
        <f t="shared" si="169"/>
        <v>0.21973039192876398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-5.6843418860808015E-13</v>
      </c>
      <c r="BZ194" s="13">
        <f>BY194*VLOOKUP('Données projet'!$B$12,Paramètres!$A$1:$I$89,3,0)*VLOOKUP('Données projet'!$B$12,Paramètres!$A$1:$I$89,5,0)</f>
        <v>-3.39923644787632E-13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392.08740055894992</v>
      </c>
      <c r="CE194" s="59">
        <f t="shared" si="148"/>
        <v>395.10797100415783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0.16486258182586827</v>
      </c>
      <c r="CL194" s="21">
        <f>EXP(-LN(2)/25)*CL193+(1-EXP(-LN(2)/25))/(LN(2)/25)*Calculateur!CG194*Calculateur!CI194*VLOOKUP('Données projet'!$B$12,Paramètres!$A$1:$I$89,3,0)*0.475*44/12</f>
        <v>0.29951959130220807</v>
      </c>
      <c r="CM194" s="21">
        <f>EXP(-LN(2)/2)*CM193+(1-EXP(-LN(2)/2))/(LN(2)/2)*CG194*CJ194*VLOOKUP('Données projet'!$B$12,Paramètres!$A$1:$I$89,3,0)*0.475*44/12</f>
        <v>2.033090860764267E-23</v>
      </c>
      <c r="CN194" s="22">
        <f t="shared" si="172"/>
        <v>0.46438217312807634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-1.1368683772161603E-13</v>
      </c>
      <c r="O195" s="13">
        <f>N195*VLOOKUP('Données projet'!$B$9,Paramètres!$A$1:$I$89,3,0)*VLOOKUP('Données projet'!$B$9,Paramètres!$A$1:$I$89,5,0)</f>
        <v>-1.0286385077051818E-13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282.32472952059817</v>
      </c>
      <c r="T195" s="59">
        <f t="shared" si="142"/>
        <v>172.32171001882176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</v>
      </c>
      <c r="AA195" s="21">
        <f>EXP(-LN(2)/25)*AA194+(1-EXP(-LN(2)/25))/(LN(2)/25)*Calculateur!V195*Calculateur!X195*VLOOKUP('Données projet'!$B$9,Paramètres!$A$1:$I$89,3,0)*0.475*44/12</f>
        <v>3.4795127675426599E-2</v>
      </c>
      <c r="AB195" s="21">
        <f>EXP(-LN(2)/2)*AB194+(1-EXP(-LN(2)/2))/(LN(2)/2)*V195*Y195*VLOOKUP('Données projet'!$B$9,Paramètres!$A$1:$I$89,3,0)*0.475*44/12</f>
        <v>2.559854274764937E-24</v>
      </c>
      <c r="AC195" s="22">
        <f t="shared" si="163"/>
        <v>3.4795127675426599E-2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-1.1368683772161603E-13</v>
      </c>
      <c r="AJ195" s="13">
        <f>AI195*VLOOKUP('Données projet'!$B$10,Paramètres!$A$1:$I$89,3,0)*VLOOKUP('Données projet'!$B$10,Paramètres!$A$1:$I$89,5,0)</f>
        <v>-1.1527845344971866E-13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324.30660429578262</v>
      </c>
      <c r="AO195" s="59">
        <f t="shared" si="144"/>
        <v>197.04549436738586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</v>
      </c>
      <c r="AV195" s="21">
        <f>EXP(-LN(2)/25)*AV194+(1-EXP(-LN(2)/25))/(LN(2)/25)*Calculateur!AQ195*Calculateur!AS195*VLOOKUP('Données projet'!$B$10,Paramètres!$A$1:$I$89,3,0)*0.475*44/12</f>
        <v>3.8994539636253919E-2</v>
      </c>
      <c r="AW195" s="21">
        <f>EXP(-LN(2)/2)*AW194+(1-EXP(-LN(2)/2))/(LN(2)/2)*AQ195*AT195*VLOOKUP('Données projet'!$B$10,Paramètres!$A$1:$I$89,3,0)*0.475*44/12</f>
        <v>2.8688022044779462E-24</v>
      </c>
      <c r="AX195" s="21">
        <f t="shared" si="166"/>
        <v>3.8994539636253919E-2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-1.1368683772161603E-13</v>
      </c>
      <c r="BE195" s="13">
        <f>BD195*VLOOKUP('Données projet'!$B$11,Paramètres!$A$1:$I$89,3,0)*VLOOKUP('Données projet'!$B$11,Paramètres!$A$1:$I$89,5,0)</f>
        <v>-5.3205440053716299E-14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252.98248842635206</v>
      </c>
      <c r="BJ195" s="59">
        <f t="shared" si="146"/>
        <v>207.11938580878308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0.12671870999891574</v>
      </c>
      <c r="BQ195" s="21">
        <f>EXP(-LN(2)/25)*BQ194+(1-EXP(-LN(2)/25))/(LN(2)/25)*Calculateur!BL195*Calculateur!BN195*VLOOKUP('Données projet'!$B$11,Paramètres!$A$1:$I$89,3,0)*0.475*44/12</f>
        <v>8.8003002625076945E-2</v>
      </c>
      <c r="BR195" s="21">
        <f>EXP(-LN(2)/2)*BR194+(1-EXP(-LN(2)/2))/(LN(2)/2)*BL195*BO195*VLOOKUP('Données projet'!$B$11,Paramètres!$A$1:$I$89,3,0)*0.475*44/12</f>
        <v>4.0664928818503551E-24</v>
      </c>
      <c r="BS195" s="22">
        <f t="shared" si="169"/>
        <v>0.2147217126239927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-5.6843418860808015E-13</v>
      </c>
      <c r="BZ195" s="13">
        <f>BY195*VLOOKUP('Données projet'!$B$12,Paramètres!$A$1:$I$89,3,0)*VLOOKUP('Données projet'!$B$12,Paramètres!$A$1:$I$89,5,0)</f>
        <v>-3.39923644787632E-13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392.08740055894992</v>
      </c>
      <c r="CE195" s="59">
        <f t="shared" si="148"/>
        <v>395.10797100415783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0.16162972715250881</v>
      </c>
      <c r="CL195" s="21">
        <f>EXP(-LN(2)/25)*CL194+(1-EXP(-LN(2)/25))/(LN(2)/25)*Calculateur!CG195*Calculateur!CI195*VLOOKUP('Données projet'!$B$12,Paramètres!$A$1:$I$89,3,0)*0.475*44/12</f>
        <v>0.29132921232699843</v>
      </c>
      <c r="CM195" s="21">
        <f>EXP(-LN(2)/2)*CM194+(1-EXP(-LN(2)/2))/(LN(2)/2)*CG195*CJ195*VLOOKUP('Données projet'!$B$12,Paramètres!$A$1:$I$89,3,0)*0.475*44/12</f>
        <v>1.437612334414808E-23</v>
      </c>
      <c r="CN195" s="22">
        <f t="shared" si="172"/>
        <v>0.45295893947950727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-1.1368683772161603E-13</v>
      </c>
      <c r="O196" s="13">
        <f>N196*VLOOKUP('Données projet'!$B$9,Paramètres!$A$1:$I$89,3,0)*VLOOKUP('Données projet'!$B$9,Paramètres!$A$1:$I$89,5,0)</f>
        <v>-1.0286385077051818E-13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282.32472952059817</v>
      </c>
      <c r="T196" s="59">
        <f t="shared" si="142"/>
        <v>172.32171001882176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</v>
      </c>
      <c r="AA196" s="21">
        <f>EXP(-LN(2)/25)*AA195+(1-EXP(-LN(2)/25))/(LN(2)/25)*Calculateur!V196*Calculateur!X196*VLOOKUP('Données projet'!$B$9,Paramètres!$A$1:$I$89,3,0)*0.475*44/12</f>
        <v>3.3843653079345816E-2</v>
      </c>
      <c r="AB196" s="21">
        <f>EXP(-LN(2)/2)*AB195+(1-EXP(-LN(2)/2))/(LN(2)/2)*V196*Y196*VLOOKUP('Données projet'!$B$9,Paramètres!$A$1:$I$89,3,0)*0.475*44/12</f>
        <v>1.8100903165356586E-24</v>
      </c>
      <c r="AC196" s="22">
        <f t="shared" si="163"/>
        <v>3.3843653079345816E-2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-1.1368683772161603E-13</v>
      </c>
      <c r="AJ196" s="13">
        <f>AI196*VLOOKUP('Données projet'!$B$10,Paramètres!$A$1:$I$89,3,0)*VLOOKUP('Données projet'!$B$10,Paramètres!$A$1:$I$89,5,0)</f>
        <v>-1.1527845344971866E-13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324.30660429578262</v>
      </c>
      <c r="AO196" s="59">
        <f t="shared" si="144"/>
        <v>197.04549436738586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</v>
      </c>
      <c r="AV196" s="21">
        <f>EXP(-LN(2)/25)*AV195+(1-EXP(-LN(2)/25))/(LN(2)/25)*Calculateur!AQ196*Calculateur!AS196*VLOOKUP('Données projet'!$B$10,Paramètres!$A$1:$I$89,3,0)*0.475*44/12</f>
        <v>3.7928231899266841E-2</v>
      </c>
      <c r="AW196" s="21">
        <f>EXP(-LN(2)/2)*AW195+(1-EXP(-LN(2)/2))/(LN(2)/2)*AQ196*AT196*VLOOKUP('Données projet'!$B$10,Paramètres!$A$1:$I$89,3,0)*0.475*44/12</f>
        <v>2.0285494926692723E-24</v>
      </c>
      <c r="AX196" s="21">
        <f t="shared" si="166"/>
        <v>3.7928231899266841E-2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-1.1368683772161603E-13</v>
      </c>
      <c r="BE196" s="13">
        <f>BD196*VLOOKUP('Données projet'!$B$11,Paramètres!$A$1:$I$89,3,0)*VLOOKUP('Données projet'!$B$11,Paramètres!$A$1:$I$89,5,0)</f>
        <v>-5.3205440053716299E-14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252.98248842635206</v>
      </c>
      <c r="BJ196" s="59">
        <f t="shared" si="146"/>
        <v>207.11938580878308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0.12423383338661827</v>
      </c>
      <c r="BQ196" s="21">
        <f>EXP(-LN(2)/25)*BQ195+(1-EXP(-LN(2)/25))/(LN(2)/25)*Calculateur!BL196*Calculateur!BN196*VLOOKUP('Données projet'!$B$11,Paramètres!$A$1:$I$89,3,0)*0.475*44/12</f>
        <v>8.5596555890417439E-2</v>
      </c>
      <c r="BR196" s="21">
        <f>EXP(-LN(2)/2)*BR195+(1-EXP(-LN(2)/2))/(LN(2)/2)*BL196*BO196*VLOOKUP('Données projet'!$B$11,Paramètres!$A$1:$I$89,3,0)*0.475*44/12</f>
        <v>2.8754446924032122E-24</v>
      </c>
      <c r="BS196" s="22">
        <f t="shared" si="169"/>
        <v>0.20983038927703571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-5.6843418860808015E-13</v>
      </c>
      <c r="BZ196" s="13">
        <f>BY196*VLOOKUP('Données projet'!$B$12,Paramètres!$A$1:$I$89,3,0)*VLOOKUP('Données projet'!$B$12,Paramètres!$A$1:$I$89,5,0)</f>
        <v>-3.39923644787632E-13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392.08740055894992</v>
      </c>
      <c r="CE196" s="59">
        <f t="shared" si="148"/>
        <v>395.10797100415783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0.15846026678744726</v>
      </c>
      <c r="CL196" s="21">
        <f>EXP(-LN(2)/25)*CL195+(1-EXP(-LN(2)/25))/(LN(2)/25)*Calculateur!CG196*Calculateur!CI196*VLOOKUP('Données projet'!$B$12,Paramètres!$A$1:$I$89,3,0)*0.475*44/12</f>
        <v>0.2833627996955792</v>
      </c>
      <c r="CM196" s="21">
        <f>EXP(-LN(2)/2)*CM195+(1-EXP(-LN(2)/2))/(LN(2)/2)*CG196*CJ196*VLOOKUP('Données projet'!$B$12,Paramètres!$A$1:$I$89,3,0)*0.475*44/12</f>
        <v>1.0165454303821335E-23</v>
      </c>
      <c r="CN196" s="22">
        <f t="shared" si="172"/>
        <v>0.44182306648302649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-1.1368683772161603E-13</v>
      </c>
      <c r="O197" s="13">
        <f>N197*VLOOKUP('Données projet'!$B$9,Paramètres!$A$1:$I$89,3,0)*VLOOKUP('Données projet'!$B$9,Paramètres!$A$1:$I$89,5,0)</f>
        <v>-1.0286385077051818E-13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282.32472952059817</v>
      </c>
      <c r="T197" s="59">
        <f t="shared" ref="T197:T203" si="204">$T$3</f>
        <v>172.32171001882176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</v>
      </c>
      <c r="AA197" s="21">
        <f>EXP(-LN(2)/25)*AA196+(1-EXP(-LN(2)/25))/(LN(2)/25)*Calculateur!V197*Calculateur!X197*VLOOKUP('Données projet'!$B$9,Paramètres!$A$1:$I$89,3,0)*0.475*44/12</f>
        <v>3.291819660613074E-2</v>
      </c>
      <c r="AB197" s="21">
        <f>EXP(-LN(2)/2)*AB196+(1-EXP(-LN(2)/2))/(LN(2)/2)*V197*Y197*VLOOKUP('Données projet'!$B$9,Paramètres!$A$1:$I$89,3,0)*0.475*44/12</f>
        <v>1.2799271373824685E-24</v>
      </c>
      <c r="AC197" s="22">
        <f t="shared" si="163"/>
        <v>3.291819660613074E-2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-1.1368683772161603E-13</v>
      </c>
      <c r="AJ197" s="13">
        <f>AI197*VLOOKUP('Données projet'!$B$10,Paramètres!$A$1:$I$89,3,0)*VLOOKUP('Données projet'!$B$10,Paramètres!$A$1:$I$89,5,0)</f>
        <v>-1.1527845344971866E-13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324.30660429578262</v>
      </c>
      <c r="AO197" s="59">
        <f t="shared" ref="AO197:AO203" si="205">$AO$3</f>
        <v>197.04549436738586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</v>
      </c>
      <c r="AV197" s="21">
        <f>EXP(-LN(2)/25)*AV196+(1-EXP(-LN(2)/25))/(LN(2)/25)*Calculateur!AQ197*Calculateur!AS197*VLOOKUP('Données projet'!$B$10,Paramètres!$A$1:$I$89,3,0)*0.475*44/12</f>
        <v>3.6891082403422357E-2</v>
      </c>
      <c r="AW197" s="21">
        <f>EXP(-LN(2)/2)*AW196+(1-EXP(-LN(2)/2))/(LN(2)/2)*AQ197*AT197*VLOOKUP('Données projet'!$B$10,Paramètres!$A$1:$I$89,3,0)*0.475*44/12</f>
        <v>1.4344011022389731E-24</v>
      </c>
      <c r="AX197" s="21">
        <f t="shared" si="166"/>
        <v>3.6891082403422357E-2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-1.1368683772161603E-13</v>
      </c>
      <c r="BE197" s="13">
        <f>BD197*VLOOKUP('Données projet'!$B$11,Paramètres!$A$1:$I$89,3,0)*VLOOKUP('Données projet'!$B$11,Paramètres!$A$1:$I$89,5,0)</f>
        <v>-5.3205440053716299E-14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252.98248842635206</v>
      </c>
      <c r="BJ197" s="59">
        <f t="shared" ref="BJ197:BJ203" si="206">$BJ$3</f>
        <v>207.11938580878308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0.12179768368906288</v>
      </c>
      <c r="BQ197" s="21">
        <f>EXP(-LN(2)/25)*BQ196+(1-EXP(-LN(2)/25))/(LN(2)/25)*Calculateur!BL197*Calculateur!BN197*VLOOKUP('Données projet'!$B$11,Paramètres!$A$1:$I$89,3,0)*0.475*44/12</f>
        <v>8.325591356826674E-2</v>
      </c>
      <c r="BR197" s="21">
        <f>EXP(-LN(2)/2)*BR196+(1-EXP(-LN(2)/2))/(LN(2)/2)*BL197*BO197*VLOOKUP('Données projet'!$B$11,Paramètres!$A$1:$I$89,3,0)*0.475*44/12</f>
        <v>2.0332464409251776E-24</v>
      </c>
      <c r="BS197" s="22">
        <f t="shared" si="169"/>
        <v>0.20505359725732963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-5.6843418860808015E-13</v>
      </c>
      <c r="BZ197" s="13">
        <f>BY197*VLOOKUP('Données projet'!$B$12,Paramètres!$A$1:$I$89,3,0)*VLOOKUP('Données projet'!$B$12,Paramètres!$A$1:$I$89,5,0)</f>
        <v>-3.39923644787632E-13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392.08740055894992</v>
      </c>
      <c r="CE197" s="59">
        <f t="shared" ref="CE197:CE203" si="207">$CE$3</f>
        <v>395.10797100415783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0.15535295760696466</v>
      </c>
      <c r="CL197" s="21">
        <f>EXP(-LN(2)/25)*CL196+(1-EXP(-LN(2)/25))/(LN(2)/25)*Calculateur!CG197*Calculateur!CI197*VLOOKUP('Données projet'!$B$12,Paramètres!$A$1:$I$89,3,0)*0.475*44/12</f>
        <v>0.27561422903650157</v>
      </c>
      <c r="CM197" s="21">
        <f>EXP(-LN(2)/2)*CM196+(1-EXP(-LN(2)/2))/(LN(2)/2)*CG197*CJ197*VLOOKUP('Données projet'!$B$12,Paramètres!$A$1:$I$89,3,0)*0.475*44/12</f>
        <v>7.1880616720740402E-24</v>
      </c>
      <c r="CN197" s="22">
        <f t="shared" si="172"/>
        <v>0.43096718664346623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-1.1368683772161603E-13</v>
      </c>
      <c r="O198" s="13">
        <f>N198*VLOOKUP('Données projet'!$B$9,Paramètres!$A$1:$I$89,3,0)*VLOOKUP('Données projet'!$B$9,Paramètres!$A$1:$I$89,5,0)</f>
        <v>-1.0286385077051818E-13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282.32472952059817</v>
      </c>
      <c r="T198" s="59">
        <f t="shared" si="204"/>
        <v>172.32171001882176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</v>
      </c>
      <c r="AA198" s="21">
        <f>EXP(-LN(2)/25)*AA197+(1-EXP(-LN(2)/25))/(LN(2)/25)*Calculateur!V198*Calculateur!X198*VLOOKUP('Données projet'!$B$9,Paramètres!$A$1:$I$89,3,0)*0.475*44/12</f>
        <v>3.2018046788843374E-2</v>
      </c>
      <c r="AB198" s="21">
        <f>EXP(-LN(2)/2)*AB197+(1-EXP(-LN(2)/2))/(LN(2)/2)*V198*Y198*VLOOKUP('Données projet'!$B$9,Paramètres!$A$1:$I$89,3,0)*0.475*44/12</f>
        <v>9.050451582678293E-25</v>
      </c>
      <c r="AC198" s="22">
        <f t="shared" si="163"/>
        <v>3.2018046788843374E-2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-1.1368683772161603E-13</v>
      </c>
      <c r="AJ198" s="13">
        <f>AI198*VLOOKUP('Données projet'!$B$10,Paramètres!$A$1:$I$89,3,0)*VLOOKUP('Données projet'!$B$10,Paramètres!$A$1:$I$89,5,0)</f>
        <v>-1.1527845344971866E-13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324.30660429578262</v>
      </c>
      <c r="AO198" s="59">
        <f t="shared" si="205"/>
        <v>197.04549436738586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</v>
      </c>
      <c r="AV198" s="21">
        <f>EXP(-LN(2)/25)*AV197+(1-EXP(-LN(2)/25))/(LN(2)/25)*Calculateur!AQ198*Calculateur!AS198*VLOOKUP('Données projet'!$B$10,Paramètres!$A$1:$I$89,3,0)*0.475*44/12</f>
        <v>3.5882293815083066E-2</v>
      </c>
      <c r="AW198" s="21">
        <f>EXP(-LN(2)/2)*AW197+(1-EXP(-LN(2)/2))/(LN(2)/2)*AQ198*AT198*VLOOKUP('Données projet'!$B$10,Paramètres!$A$1:$I$89,3,0)*0.475*44/12</f>
        <v>1.0142747463346361E-24</v>
      </c>
      <c r="AX198" s="21">
        <f t="shared" si="166"/>
        <v>3.5882293815083066E-2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-1.1368683772161603E-13</v>
      </c>
      <c r="BE198" s="13">
        <f>BD198*VLOOKUP('Données projet'!$B$11,Paramètres!$A$1:$I$89,3,0)*VLOOKUP('Données projet'!$B$11,Paramètres!$A$1:$I$89,5,0)</f>
        <v>-5.3205440053716299E-14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252.98248842635206</v>
      </c>
      <c r="BJ198" s="59">
        <f t="shared" si="206"/>
        <v>207.11938580878308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0.11940930540117195</v>
      </c>
      <c r="BQ198" s="21">
        <f>EXP(-LN(2)/25)*BQ197+(1-EXP(-LN(2)/25))/(LN(2)/25)*Calculateur!BL198*Calculateur!BN198*VLOOKUP('Données projet'!$B$11,Paramètres!$A$1:$I$89,3,0)*0.475*44/12</f>
        <v>8.0979276233504274E-2</v>
      </c>
      <c r="BR198" s="21">
        <f>EXP(-LN(2)/2)*BR197+(1-EXP(-LN(2)/2))/(LN(2)/2)*BL198*BO198*VLOOKUP('Données projet'!$B$11,Paramètres!$A$1:$I$89,3,0)*0.475*44/12</f>
        <v>1.4377223462016061E-24</v>
      </c>
      <c r="BS198" s="22">
        <f t="shared" si="169"/>
        <v>0.20038858163467621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-5.6843418860808015E-13</v>
      </c>
      <c r="BZ198" s="13">
        <f>BY198*VLOOKUP('Données projet'!$B$12,Paramètres!$A$1:$I$89,3,0)*VLOOKUP('Données projet'!$B$12,Paramètres!$A$1:$I$89,5,0)</f>
        <v>-3.39923644787632E-13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392.08740055894992</v>
      </c>
      <c r="CE198" s="59">
        <f t="shared" si="207"/>
        <v>395.10797100415783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0.15230658086423984</v>
      </c>
      <c r="CL198" s="21">
        <f>EXP(-LN(2)/25)*CL197+(1-EXP(-LN(2)/25))/(LN(2)/25)*Calculateur!CG198*Calculateur!CI198*VLOOKUP('Données projet'!$B$12,Paramètres!$A$1:$I$89,3,0)*0.475*44/12</f>
        <v>0.26807754344957607</v>
      </c>
      <c r="CM198" s="21">
        <f>EXP(-LN(2)/2)*CM197+(1-EXP(-LN(2)/2))/(LN(2)/2)*CG198*CJ198*VLOOKUP('Données projet'!$B$12,Paramètres!$A$1:$I$89,3,0)*0.475*44/12</f>
        <v>5.0827271519106674E-24</v>
      </c>
      <c r="CN198" s="22">
        <f t="shared" si="172"/>
        <v>0.42038412431381589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-1.1368683772161603E-13</v>
      </c>
      <c r="O199" s="13">
        <f>N199*VLOOKUP('Données projet'!$B$9,Paramètres!$A$1:$I$89,3,0)*VLOOKUP('Données projet'!$B$9,Paramètres!$A$1:$I$89,5,0)</f>
        <v>-1.0286385077051818E-13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282.32472952059817</v>
      </c>
      <c r="T199" s="59">
        <f t="shared" si="204"/>
        <v>172.32171001882176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</v>
      </c>
      <c r="AA199" s="21">
        <f>EXP(-LN(2)/25)*AA198+(1-EXP(-LN(2)/25))/(LN(2)/25)*Calculateur!V199*Calculateur!X199*VLOOKUP('Données projet'!$B$9,Paramètres!$A$1:$I$89,3,0)*0.475*44/12</f>
        <v>3.1142511615646549E-2</v>
      </c>
      <c r="AB199" s="21">
        <f>EXP(-LN(2)/2)*AB198+(1-EXP(-LN(2)/2))/(LN(2)/2)*V199*Y199*VLOOKUP('Données projet'!$B$9,Paramètres!$A$1:$I$89,3,0)*0.475*44/12</f>
        <v>6.3996356869123425E-25</v>
      </c>
      <c r="AC199" s="22">
        <f t="shared" si="163"/>
        <v>3.1142511615646549E-2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-1.1368683772161603E-13</v>
      </c>
      <c r="AJ199" s="13">
        <f>AI199*VLOOKUP('Données projet'!$B$10,Paramètres!$A$1:$I$89,3,0)*VLOOKUP('Données projet'!$B$10,Paramètres!$A$1:$I$89,5,0)</f>
        <v>-1.1527845344971866E-13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324.30660429578262</v>
      </c>
      <c r="AO199" s="59">
        <f t="shared" si="205"/>
        <v>197.04549436738586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</v>
      </c>
      <c r="AV199" s="21">
        <f>EXP(-LN(2)/25)*AV198+(1-EXP(-LN(2)/25))/(LN(2)/25)*Calculateur!AQ199*Calculateur!AS199*VLOOKUP('Données projet'!$B$10,Paramètres!$A$1:$I$89,3,0)*0.475*44/12</f>
        <v>3.4901090603741795E-2</v>
      </c>
      <c r="AW199" s="21">
        <f>EXP(-LN(2)/2)*AW198+(1-EXP(-LN(2)/2))/(LN(2)/2)*AQ199*AT199*VLOOKUP('Données projet'!$B$10,Paramètres!$A$1:$I$89,3,0)*0.475*44/12</f>
        <v>7.1720055111948655E-25</v>
      </c>
      <c r="AX199" s="21">
        <f t="shared" si="166"/>
        <v>3.4901090603741795E-2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-1.1368683772161603E-13</v>
      </c>
      <c r="BE199" s="13">
        <f>BD199*VLOOKUP('Données projet'!$B$11,Paramètres!$A$1:$I$89,3,0)*VLOOKUP('Données projet'!$B$11,Paramètres!$A$1:$I$89,5,0)</f>
        <v>-5.3205440053716299E-14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252.98248842635206</v>
      </c>
      <c r="BJ199" s="59">
        <f t="shared" si="206"/>
        <v>207.11938580878308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0.11706776175473965</v>
      </c>
      <c r="BQ199" s="21">
        <f>EXP(-LN(2)/25)*BQ198+(1-EXP(-LN(2)/25))/(LN(2)/25)*Calculateur!BL199*Calculateur!BN199*VLOOKUP('Données projet'!$B$11,Paramètres!$A$1:$I$89,3,0)*0.475*44/12</f>
        <v>7.8764893666384048E-2</v>
      </c>
      <c r="BR199" s="21">
        <f>EXP(-LN(2)/2)*BR198+(1-EXP(-LN(2)/2))/(LN(2)/2)*BL199*BO199*VLOOKUP('Données projet'!$B$11,Paramètres!$A$1:$I$89,3,0)*0.475*44/12</f>
        <v>1.0166232204625888E-24</v>
      </c>
      <c r="BS199" s="22">
        <f t="shared" si="169"/>
        <v>0.19583265542112371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-5.6843418860808015E-13</v>
      </c>
      <c r="BZ199" s="13">
        <f>BY199*VLOOKUP('Données projet'!$B$12,Paramètres!$A$1:$I$89,3,0)*VLOOKUP('Données projet'!$B$12,Paramètres!$A$1:$I$89,5,0)</f>
        <v>-3.39923644787632E-13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392.08740055894992</v>
      </c>
      <c r="CE199" s="59">
        <f t="shared" si="207"/>
        <v>395.10797100415783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0.14931994171133353</v>
      </c>
      <c r="CL199" s="21">
        <f>EXP(-LN(2)/25)*CL198+(1-EXP(-LN(2)/25))/(LN(2)/25)*Calculateur!CG199*Calculateur!CI199*VLOOKUP('Données projet'!$B$12,Paramètres!$A$1:$I$89,3,0)*0.475*44/12</f>
        <v>0.26074694892636208</v>
      </c>
      <c r="CM199" s="21">
        <f>EXP(-LN(2)/2)*CM198+(1-EXP(-LN(2)/2))/(LN(2)/2)*CG199*CJ199*VLOOKUP('Données projet'!$B$12,Paramètres!$A$1:$I$89,3,0)*0.475*44/12</f>
        <v>3.5940308360370201E-24</v>
      </c>
      <c r="CN199" s="22">
        <f t="shared" si="172"/>
        <v>0.41006689063769564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-1.1368683772161603E-13</v>
      </c>
      <c r="O200" s="13">
        <f>N200*VLOOKUP('Données projet'!$B$9,Paramètres!$A$1:$I$89,3,0)*VLOOKUP('Données projet'!$B$9,Paramètres!$A$1:$I$89,5,0)</f>
        <v>-1.0286385077051818E-13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282.32472952059817</v>
      </c>
      <c r="T200" s="59">
        <f t="shared" si="204"/>
        <v>172.32171001882176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</v>
      </c>
      <c r="AA200" s="21">
        <f>EXP(-LN(2)/25)*AA199+(1-EXP(-LN(2)/25))/(LN(2)/25)*Calculateur!V200*Calculateur!X200*VLOOKUP('Données projet'!$B$9,Paramètres!$A$1:$I$89,3,0)*0.475*44/12</f>
        <v>3.0290917997803184E-2</v>
      </c>
      <c r="AB200" s="21">
        <f>EXP(-LN(2)/2)*AB199+(1-EXP(-LN(2)/2))/(LN(2)/2)*V200*Y200*VLOOKUP('Données projet'!$B$9,Paramètres!$A$1:$I$89,3,0)*0.475*44/12</f>
        <v>4.5252257913391465E-25</v>
      </c>
      <c r="AC200" s="22">
        <f t="shared" si="163"/>
        <v>3.0290917997803184E-2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-1.1368683772161603E-13</v>
      </c>
      <c r="AJ200" s="13">
        <f>AI200*VLOOKUP('Données projet'!$B$10,Paramètres!$A$1:$I$89,3,0)*VLOOKUP('Données projet'!$B$10,Paramètres!$A$1:$I$89,5,0)</f>
        <v>-1.1527845344971866E-13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324.30660429578262</v>
      </c>
      <c r="AO200" s="59">
        <f t="shared" si="205"/>
        <v>197.04549436738586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</v>
      </c>
      <c r="AV200" s="21">
        <f>EXP(-LN(2)/25)*AV199+(1-EXP(-LN(2)/25))/(LN(2)/25)*Calculateur!AQ200*Calculateur!AS200*VLOOKUP('Données projet'!$B$10,Paramètres!$A$1:$I$89,3,0)*0.475*44/12</f>
        <v>3.3946718445813887E-2</v>
      </c>
      <c r="AW200" s="21">
        <f>EXP(-LN(2)/2)*AW199+(1-EXP(-LN(2)/2))/(LN(2)/2)*AQ200*AT200*VLOOKUP('Données projet'!$B$10,Paramètres!$A$1:$I$89,3,0)*0.475*44/12</f>
        <v>5.0713737316731807E-25</v>
      </c>
      <c r="AX200" s="21">
        <f t="shared" si="166"/>
        <v>3.3946718445813887E-2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-1.1368683772161603E-13</v>
      </c>
      <c r="BE200" s="13">
        <f>BD200*VLOOKUP('Données projet'!$B$11,Paramètres!$A$1:$I$89,3,0)*VLOOKUP('Données projet'!$B$11,Paramètres!$A$1:$I$89,5,0)</f>
        <v>-5.3205440053716299E-14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252.98248842635206</v>
      </c>
      <c r="BJ200" s="59">
        <f t="shared" si="206"/>
        <v>207.11938580878308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0.11477213435101329</v>
      </c>
      <c r="BQ200" s="21">
        <f>EXP(-LN(2)/25)*BQ199+(1-EXP(-LN(2)/25))/(LN(2)/25)*Calculateur!BL200*Calculateur!BN200*VLOOKUP('Données projet'!$B$11,Paramètres!$A$1:$I$89,3,0)*0.475*44/12</f>
        <v>7.6611063507011037E-2</v>
      </c>
      <c r="BR200" s="21">
        <f>EXP(-LN(2)/2)*BR199+(1-EXP(-LN(2)/2))/(LN(2)/2)*BL200*BO200*VLOOKUP('Données projet'!$B$11,Paramètres!$A$1:$I$89,3,0)*0.475*44/12</f>
        <v>7.1886117310080304E-25</v>
      </c>
      <c r="BS200" s="22">
        <f t="shared" si="169"/>
        <v>0.19138319785802432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-5.6843418860808015E-13</v>
      </c>
      <c r="BZ200" s="13">
        <f>BY200*VLOOKUP('Données projet'!$B$12,Paramètres!$A$1:$I$89,3,0)*VLOOKUP('Données projet'!$B$12,Paramètres!$A$1:$I$89,5,0)</f>
        <v>-3.39923644787632E-13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392.08740055894992</v>
      </c>
      <c r="CE200" s="59">
        <f t="shared" si="207"/>
        <v>395.10797100415783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0.14639186873054569</v>
      </c>
      <c r="CL200" s="21">
        <f>EXP(-LN(2)/25)*CL199+(1-EXP(-LN(2)/25))/(LN(2)/25)*Calculateur!CG200*Calculateur!CI200*VLOOKUP('Données projet'!$B$12,Paramètres!$A$1:$I$89,3,0)*0.475*44/12</f>
        <v>0.25361680989588459</v>
      </c>
      <c r="CM200" s="21">
        <f>EXP(-LN(2)/2)*CM199+(1-EXP(-LN(2)/2))/(LN(2)/2)*CG200*CJ200*VLOOKUP('Données projet'!$B$12,Paramètres!$A$1:$I$89,3,0)*0.475*44/12</f>
        <v>2.5413635759553337E-24</v>
      </c>
      <c r="CN200" s="22">
        <f t="shared" si="172"/>
        <v>0.4000086786264303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-1.1368683772161603E-13</v>
      </c>
      <c r="O201" s="13">
        <f>N201*VLOOKUP('Données projet'!$B$9,Paramètres!$A$1:$I$89,3,0)*VLOOKUP('Données projet'!$B$9,Paramètres!$A$1:$I$89,5,0)</f>
        <v>-1.0286385077051818E-13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282.32472952059817</v>
      </c>
      <c r="T201" s="59">
        <f t="shared" si="204"/>
        <v>172.32171001882176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</v>
      </c>
      <c r="AA201" s="21">
        <f>EXP(-LN(2)/25)*AA200+(1-EXP(-LN(2)/25))/(LN(2)/25)*Calculateur!V201*Calculateur!X201*VLOOKUP('Données projet'!$B$9,Paramètres!$A$1:$I$89,3,0)*0.475*44/12</f>
        <v>2.946261125222311E-2</v>
      </c>
      <c r="AB201" s="21">
        <f>EXP(-LN(2)/2)*AB200+(1-EXP(-LN(2)/2))/(LN(2)/2)*V201*Y201*VLOOKUP('Données projet'!$B$9,Paramètres!$A$1:$I$89,3,0)*0.475*44/12</f>
        <v>3.1998178434561713E-25</v>
      </c>
      <c r="AC201" s="22">
        <f t="shared" si="163"/>
        <v>2.946261125222311E-2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-1.1368683772161603E-13</v>
      </c>
      <c r="AJ201" s="13">
        <f>AI201*VLOOKUP('Données projet'!$B$10,Paramètres!$A$1:$I$89,3,0)*VLOOKUP('Données projet'!$B$10,Paramètres!$A$1:$I$89,5,0)</f>
        <v>-1.1527845344971866E-13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324.30660429578262</v>
      </c>
      <c r="AO201" s="59">
        <f t="shared" si="205"/>
        <v>197.04549436738586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</v>
      </c>
      <c r="AV201" s="21">
        <f>EXP(-LN(2)/25)*AV200+(1-EXP(-LN(2)/25))/(LN(2)/25)*Calculateur!AQ201*Calculateur!AS201*VLOOKUP('Données projet'!$B$10,Paramètres!$A$1:$I$89,3,0)*0.475*44/12</f>
        <v>3.3018443644732769E-2</v>
      </c>
      <c r="AW201" s="21">
        <f>EXP(-LN(2)/2)*AW200+(1-EXP(-LN(2)/2))/(LN(2)/2)*AQ201*AT201*VLOOKUP('Données projet'!$B$10,Paramètres!$A$1:$I$89,3,0)*0.475*44/12</f>
        <v>3.5860027555974328E-25</v>
      </c>
      <c r="AX201" s="21">
        <f t="shared" si="166"/>
        <v>3.3018443644732769E-2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-1.1368683772161603E-13</v>
      </c>
      <c r="BE201" s="13">
        <f>BD201*VLOOKUP('Données projet'!$B$11,Paramètres!$A$1:$I$89,3,0)*VLOOKUP('Données projet'!$B$11,Paramètres!$A$1:$I$89,5,0)</f>
        <v>-5.3205440053716299E-14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252.98248842635206</v>
      </c>
      <c r="BJ201" s="59">
        <f t="shared" si="206"/>
        <v>207.11938580878308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0.11252152280047954</v>
      </c>
      <c r="BQ201" s="21">
        <f>EXP(-LN(2)/25)*BQ200+(1-EXP(-LN(2)/25))/(LN(2)/25)*Calculateur!BL201*Calculateur!BN201*VLOOKUP('Données projet'!$B$11,Paramètres!$A$1:$I$89,3,0)*0.475*44/12</f>
        <v>7.4516129946611082E-2</v>
      </c>
      <c r="BR201" s="21">
        <f>EXP(-LN(2)/2)*BR200+(1-EXP(-LN(2)/2))/(LN(2)/2)*BL201*BO201*VLOOKUP('Données projet'!$B$11,Paramètres!$A$1:$I$89,3,0)*0.475*44/12</f>
        <v>5.0831161023129439E-25</v>
      </c>
      <c r="BS201" s="22">
        <f t="shared" si="169"/>
        <v>0.18703765274709061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-5.6843418860808015E-13</v>
      </c>
      <c r="BZ201" s="13">
        <f>BY201*VLOOKUP('Données projet'!$B$12,Paramètres!$A$1:$I$89,3,0)*VLOOKUP('Données projet'!$B$12,Paramètres!$A$1:$I$89,5,0)</f>
        <v>-3.39923644787632E-13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392.08740055894992</v>
      </c>
      <c r="CE201" s="59">
        <f t="shared" si="207"/>
        <v>395.10797100415783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0.14352121347496294</v>
      </c>
      <c r="CL201" s="21">
        <f>EXP(-LN(2)/25)*CL200+(1-EXP(-LN(2)/25))/(LN(2)/25)*Calculateur!CG201*Calculateur!CI201*VLOOKUP('Données projet'!$B$12,Paramètres!$A$1:$I$89,3,0)*0.475*44/12</f>
        <v>0.24668164489215325</v>
      </c>
      <c r="CM201" s="21">
        <f>EXP(-LN(2)/2)*CM200+(1-EXP(-LN(2)/2))/(LN(2)/2)*CG201*CJ201*VLOOKUP('Données projet'!$B$12,Paramètres!$A$1:$I$89,3,0)*0.475*44/12</f>
        <v>1.7970154180185101E-24</v>
      </c>
      <c r="CN201" s="22">
        <f t="shared" si="172"/>
        <v>0.39020285836711621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-1.1368683772161603E-13</v>
      </c>
      <c r="O202" s="13">
        <f>N202*VLOOKUP('Données projet'!$B$9,Paramètres!$A$1:$I$89,3,0)*VLOOKUP('Données projet'!$B$9,Paramètres!$A$1:$I$89,5,0)</f>
        <v>-1.0286385077051818E-13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282.32472952059817</v>
      </c>
      <c r="T202" s="59">
        <f t="shared" si="204"/>
        <v>172.32171001882176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</v>
      </c>
      <c r="AA202" s="21">
        <f>EXP(-LN(2)/25)*AA201+(1-EXP(-LN(2)/25))/(LN(2)/25)*Calculateur!V202*Calculateur!X202*VLOOKUP('Données projet'!$B$9,Paramètres!$A$1:$I$89,3,0)*0.475*44/12</f>
        <v>2.865695459815968E-2</v>
      </c>
      <c r="AB202" s="21">
        <f>EXP(-LN(2)/2)*AB201+(1-EXP(-LN(2)/2))/(LN(2)/2)*V202*Y202*VLOOKUP('Données projet'!$B$9,Paramètres!$A$1:$I$89,3,0)*0.475*44/12</f>
        <v>2.2626128956695732E-25</v>
      </c>
      <c r="AC202" s="22">
        <f t="shared" si="163"/>
        <v>2.865695459815968E-2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-1.1368683772161603E-13</v>
      </c>
      <c r="AJ202" s="13">
        <f>AI202*VLOOKUP('Données projet'!$B$10,Paramètres!$A$1:$I$89,3,0)*VLOOKUP('Données projet'!$B$10,Paramètres!$A$1:$I$89,5,0)</f>
        <v>-1.1527845344971866E-13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324.30660429578262</v>
      </c>
      <c r="AO202" s="59">
        <f t="shared" si="205"/>
        <v>197.04549436738586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</v>
      </c>
      <c r="AV202" s="21">
        <f>EXP(-LN(2)/25)*AV201+(1-EXP(-LN(2)/25))/(LN(2)/25)*Calculateur!AQ202*Calculateur!AS202*VLOOKUP('Données projet'!$B$10,Paramètres!$A$1:$I$89,3,0)*0.475*44/12</f>
        <v>3.2115552566903065E-2</v>
      </c>
      <c r="AW202" s="21">
        <f>EXP(-LN(2)/2)*AW201+(1-EXP(-LN(2)/2))/(LN(2)/2)*AQ202*AT202*VLOOKUP('Données projet'!$B$10,Paramètres!$A$1:$I$89,3,0)*0.475*44/12</f>
        <v>2.5356868658365903E-25</v>
      </c>
      <c r="AX202" s="21">
        <f t="shared" si="166"/>
        <v>3.2115552566903065E-2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-1.1368683772161603E-13</v>
      </c>
      <c r="BE202" s="13">
        <f>BD202*VLOOKUP('Données projet'!$B$11,Paramètres!$A$1:$I$89,3,0)*VLOOKUP('Données projet'!$B$11,Paramètres!$A$1:$I$89,5,0)</f>
        <v>-5.3205440053716299E-14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252.98248842635206</v>
      </c>
      <c r="BJ202" s="59">
        <f t="shared" si="206"/>
        <v>207.11938580878308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0.11031504436971426</v>
      </c>
      <c r="BQ202" s="21">
        <f>EXP(-LN(2)/25)*BQ201+(1-EXP(-LN(2)/25))/(LN(2)/25)*Calculateur!BL202*Calculateur!BN202*VLOOKUP('Données projet'!$B$11,Paramètres!$A$1:$I$89,3,0)*0.475*44/12</f>
        <v>7.2478482454588031E-2</v>
      </c>
      <c r="BR202" s="21">
        <f>EXP(-LN(2)/2)*BR201+(1-EXP(-LN(2)/2))/(LN(2)/2)*BL202*BO202*VLOOKUP('Données projet'!$B$11,Paramètres!$A$1:$I$89,3,0)*0.475*44/12</f>
        <v>3.5943058655040152E-25</v>
      </c>
      <c r="BS202" s="22">
        <f t="shared" si="169"/>
        <v>0.18279352682430228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-5.6843418860808015E-13</v>
      </c>
      <c r="BZ202" s="13">
        <f>BY202*VLOOKUP('Données projet'!$B$12,Paramètres!$A$1:$I$89,3,0)*VLOOKUP('Données projet'!$B$12,Paramètres!$A$1:$I$89,5,0)</f>
        <v>-3.39923644787632E-13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392.08740055894992</v>
      </c>
      <c r="CE202" s="59">
        <f t="shared" si="207"/>
        <v>395.10797100415783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0.14070685001801536</v>
      </c>
      <c r="CL202" s="21">
        <f>EXP(-LN(2)/25)*CL201+(1-EXP(-LN(2)/25))/(LN(2)/25)*Calculateur!CG202*Calculateur!CI202*VLOOKUP('Données projet'!$B$12,Paramètres!$A$1:$I$89,3,0)*0.475*44/12</f>
        <v>0.23993612234015341</v>
      </c>
      <c r="CM202" s="21">
        <f>EXP(-LN(2)/2)*CM201+(1-EXP(-LN(2)/2))/(LN(2)/2)*CG202*CJ202*VLOOKUP('Données projet'!$B$12,Paramètres!$A$1:$I$89,3,0)*0.475*44/12</f>
        <v>1.2706817879776668E-24</v>
      </c>
      <c r="CN202" s="22">
        <f t="shared" si="172"/>
        <v>0.3806429723581688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-1.1368683772161603E-13</v>
      </c>
      <c r="O203" s="13">
        <f>N203*VLOOKUP('Données projet'!$B$9,Paramètres!$A$1:$I$89,3,0)*VLOOKUP('Données projet'!$B$9,Paramètres!$A$1:$I$89,5,0)</f>
        <v>-1.0286385077051818E-13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282.32472952059817</v>
      </c>
      <c r="T203" s="59">
        <f t="shared" si="204"/>
        <v>172.32171001882176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</v>
      </c>
      <c r="AA203" s="21">
        <f>EXP(-LN(2)/25)*AA202+(1-EXP(-LN(2)/25))/(LN(2)/25)*Calculateur!V203*Calculateur!X203*VLOOKUP('Données projet'!$B$9,Paramètres!$A$1:$I$89,3,0)*0.475*44/12</f>
        <v>2.7873328667669256E-2</v>
      </c>
      <c r="AB203" s="21">
        <f>EXP(-LN(2)/2)*AB202+(1-EXP(-LN(2)/2))/(LN(2)/2)*V203*Y203*VLOOKUP('Données projet'!$B$9,Paramètres!$A$1:$I$89,3,0)*0.475*44/12</f>
        <v>1.5999089217280856E-25</v>
      </c>
      <c r="AC203" s="22">
        <f t="shared" si="163"/>
        <v>2.7873328667669256E-2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-1.1368683772161603E-13</v>
      </c>
      <c r="AJ203" s="13">
        <f>AI203*VLOOKUP('Données projet'!$B$10,Paramètres!$A$1:$I$89,3,0)*VLOOKUP('Données projet'!$B$10,Paramètres!$A$1:$I$89,5,0)</f>
        <v>-1.1527845344971866E-13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324.30660429578262</v>
      </c>
      <c r="AO203" s="59">
        <f t="shared" si="205"/>
        <v>197.04549436738586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</v>
      </c>
      <c r="AV203" s="21">
        <f>EXP(-LN(2)/25)*AV202+(1-EXP(-LN(2)/25))/(LN(2)/25)*Calculateur!AQ203*Calculateur!AS203*VLOOKUP('Données projet'!$B$10,Paramètres!$A$1:$I$89,3,0)*0.475*44/12</f>
        <v>3.1237351093077591E-2</v>
      </c>
      <c r="AW203" s="21">
        <f>EXP(-LN(2)/2)*AW202+(1-EXP(-LN(2)/2))/(LN(2)/2)*AQ203*AT203*VLOOKUP('Données projet'!$B$10,Paramètres!$A$1:$I$89,3,0)*0.475*44/12</f>
        <v>1.7930013777987164E-25</v>
      </c>
      <c r="AX203" s="21">
        <f t="shared" si="166"/>
        <v>3.1237351093077591E-2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-1.1368683772161603E-13</v>
      </c>
      <c r="BE203" s="13">
        <f>BD203*VLOOKUP('Données projet'!$B$11,Paramètres!$A$1:$I$89,3,0)*VLOOKUP('Données projet'!$B$11,Paramètres!$A$1:$I$89,5,0)</f>
        <v>-5.3205440053716299E-14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252.98248842635206</v>
      </c>
      <c r="BJ203" s="59">
        <f t="shared" si="206"/>
        <v>207.11938580878308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0.10815183363515733</v>
      </c>
      <c r="BQ203" s="21">
        <f>EXP(-LN(2)/25)*BQ202+(1-EXP(-LN(2)/25))/(LN(2)/25)*Calculateur!BL203*Calculateur!BN203*VLOOKUP('Données projet'!$B$11,Paramètres!$A$1:$I$89,3,0)*0.475*44/12</f>
        <v>7.0496554540389583E-2</v>
      </c>
      <c r="BR203" s="21">
        <f>EXP(-LN(2)/2)*BR202+(1-EXP(-LN(2)/2))/(LN(2)/2)*BL203*BO203*VLOOKUP('Données projet'!$B$11,Paramètres!$A$1:$I$89,3,0)*0.475*44/12</f>
        <v>2.5415580511564719E-25</v>
      </c>
      <c r="BS203" s="22">
        <f t="shared" si="169"/>
        <v>0.1786483881755469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-5.6843418860808015E-13</v>
      </c>
      <c r="BZ203" s="13">
        <f>BY203*VLOOKUP('Données projet'!$B$12,Paramètres!$A$1:$I$89,3,0)*VLOOKUP('Données projet'!$B$12,Paramètres!$A$1:$I$89,5,0)</f>
        <v>-3.39923644787632E-13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392.08740055894992</v>
      </c>
      <c r="CE203" s="59">
        <f t="shared" si="207"/>
        <v>395.10797100415783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0.13794767451186629</v>
      </c>
      <c r="CL203" s="21">
        <f>EXP(-LN(2)/25)*CL202+(1-EXP(-LN(2)/25))/(LN(2)/25)*Calculateur!CG203*Calculateur!CI203*VLOOKUP('Données projet'!$B$12,Paramètres!$A$1:$I$89,3,0)*0.475*44/12</f>
        <v>0.23337505645706963</v>
      </c>
      <c r="CM203" s="21">
        <f>EXP(-LN(2)/2)*CM202+(1-EXP(-LN(2)/2))/(LN(2)/2)*CG203*CJ203*VLOOKUP('Données projet'!$B$12,Paramètres!$A$1:$I$89,3,0)*0.475*44/12</f>
        <v>8.9850770900925503E-25</v>
      </c>
      <c r="CN203" s="22">
        <f t="shared" si="172"/>
        <v>0.37132273096893592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1.2054868146447177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1.2054868146447177</v>
      </c>
      <c r="BA205" s="82">
        <f>EXP(LN('Données projet'!B88)/'Données projet'!A88)</f>
        <v>1.2880503926580862</v>
      </c>
      <c r="BV205" s="82">
        <f>EXP(LN('Données projet'!B114)/'Données projet'!A114)</f>
        <v>1.297898980070181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Chêne sessile</v>
      </c>
      <c r="B6" s="146">
        <f>'Données projet'!D9</f>
        <v>8.259704788579791</v>
      </c>
      <c r="C6" s="147">
        <f ca="1">IF(OR('Données projet'!B9="",'Données projet'!C9="",'Données projet'!C9=0%),0,Calculateur!S3)</f>
        <v>282.32472952059817</v>
      </c>
      <c r="D6" s="147">
        <f>IF(OR('Données projet'!B9="",'Données projet'!C9="",'Données projet'!C9=0%),0,Calculateur!T3)</f>
        <v>172.32171001882176</v>
      </c>
      <c r="E6" s="147">
        <f ca="1">MIN(C6,D6)</f>
        <v>172.32171001882176</v>
      </c>
      <c r="F6" s="147">
        <f ca="1">E6*B6</f>
        <v>1423.3264534187203</v>
      </c>
      <c r="G6" s="147">
        <f ca="1">F6*(100%-'Données projet'!$C$24)*(100%-'Données projet'!$C$25)*(100%-'Données projet'!$C$26)*(100%-'Données projet'!$C$27)</f>
        <v>1280.9938080768484</v>
      </c>
      <c r="H6" s="148">
        <f>IF(OR('Données projet'!B9="",'Données projet'!C9="",'Données projet'!C9=0%),0,AVERAGE(Calculateur!$AC$3:$AC$33)*B6)</f>
        <v>2.4766554357340702</v>
      </c>
      <c r="I6" s="149">
        <f>H6*(100%-'Données projet'!$C$24)*(100%-'Données projet'!$C$25)*(100%-'Données projet'!$C$26)*(100%-'Données projet'!$C$27)</f>
        <v>2.2289898921606635</v>
      </c>
      <c r="J6" s="150">
        <f>IF(OR('Données projet'!B9="",'Données projet'!C9="",'Données projet'!C9=0%),0,SUM(Calculateur!$V$3:$V$33)*VLOOKUP('Données projet'!$B$9,Paramètres!$A$1:$I$89,9,0)*B6)</f>
        <v>59.882859717203488</v>
      </c>
      <c r="K6" s="151">
        <f>J6*(100%-'Données projet'!$C$24)*(100%-'Données projet'!$C$25)*(100%-'Données projet'!$C$26)*(100%-'Données projet'!$C$27)</f>
        <v>53.894573745483143</v>
      </c>
      <c r="L6" s="152">
        <f ca="1">G6+I6+K6</f>
        <v>1337.117371714492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Chêne pubescent</v>
      </c>
      <c r="B7" s="154">
        <f>'Données projet'!D10</f>
        <v>3.5398734808199106</v>
      </c>
      <c r="C7" s="147">
        <f ca="1">IF(OR('Données projet'!B10="",'Données projet'!C10="",'Données projet'!C10=0%),0,Calculateur!AN3)</f>
        <v>324.30660429578262</v>
      </c>
      <c r="D7" s="147">
        <f>IF(OR('Données projet'!B10="",'Données projet'!C10="",'Données projet'!C10=0%),0,Calculateur!AO3)</f>
        <v>197.04549436738586</v>
      </c>
      <c r="E7" s="147">
        <f t="shared" ref="E7:E15" ca="1" si="0">MIN(C7,D7)</f>
        <v>197.04549436738586</v>
      </c>
      <c r="F7" s="147">
        <f t="shared" ref="F7:F15" ca="1" si="1">E7*B7</f>
        <v>697.51612002615821</v>
      </c>
      <c r="G7" s="147">
        <f ca="1">F7*(100%-'Données projet'!$C$24)*(100%-'Données projet'!$C$25)*(100%-'Données projet'!$C$26)*(100%-'Données projet'!$C$27)</f>
        <v>627.76450802354236</v>
      </c>
      <c r="H7" s="155">
        <f>IF(OR('Données projet'!B10="",'Données projet'!C10="",'Données projet'!C10=0%),0,AVERAGE(Calculateur!$AX$3:$AX$33)*B7)</f>
        <v>1.1895266255372998</v>
      </c>
      <c r="I7" s="149">
        <f>H7*(100%-'Données projet'!$C$24)*(100%-'Données projet'!$C$25)*(100%-'Données projet'!$C$26)*(100%-'Données projet'!$C$27)</f>
        <v>1.0705739629835698</v>
      </c>
      <c r="J7" s="150">
        <f>IF(OR('Données projet'!B10="",'Données projet'!C10="",'Données projet'!C10=0%),0,SUM(Calculateur!$AQ$3:$AQ$33)*VLOOKUP('Données projet'!$B$10,Paramètres!$A$1:$I$89,9,0)*B7)</f>
        <v>25.664082735944351</v>
      </c>
      <c r="K7" s="151">
        <f>J7*(100%-'Données projet'!$C$24)*(100%-'Données projet'!$C$25)*(100%-'Données projet'!$C$26)*(100%-'Données projet'!$C$27)</f>
        <v>23.097674462349918</v>
      </c>
      <c r="L7" s="152">
        <f t="shared" ref="L7:L15" ca="1" si="2">G7+I7+K7</f>
        <v>651.93275644887581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Cèdre de l'Atlas</v>
      </c>
      <c r="B8" s="154">
        <f>'Données projet'!D11</f>
        <v>20.680210865300147</v>
      </c>
      <c r="C8" s="147">
        <f ca="1">IF(OR('Données projet'!B11="",'Données projet'!C11="",'Données projet'!C11=0%),0,Calculateur!BI3)</f>
        <v>252.98248842635206</v>
      </c>
      <c r="D8" s="147">
        <f>IF(OR('Données projet'!B11="",'Données projet'!C11="",'Données projet'!C11=0%),0,Calculateur!BJ3)</f>
        <v>207.11938580878308</v>
      </c>
      <c r="E8" s="147">
        <f t="shared" ca="1" si="0"/>
        <v>207.11938580878308</v>
      </c>
      <c r="F8" s="147">
        <f t="shared" ca="1" si="1"/>
        <v>4283.272572817089</v>
      </c>
      <c r="G8" s="147">
        <f ca="1">F8*(100%-'Données projet'!$C$24)*(100%-'Données projet'!$C$25)*(100%-'Données projet'!$C$26)*(100%-'Données projet'!$C$27)</f>
        <v>3854.9453155353804</v>
      </c>
      <c r="H8" s="155">
        <f>IF(OR('Données projet'!B11="",'Données projet'!C11="",'Données projet'!C11=0%),0,AVERAGE(Calculateur!$BS$3:$BS$33)*B8)</f>
        <v>33.754933073639904</v>
      </c>
      <c r="I8" s="149">
        <f>H8*(100%-'Données projet'!$C$24)*(100%-'Données projet'!$C$25)*(100%-'Données projet'!$C$26)*(100%-'Données projet'!$C$27)</f>
        <v>30.379439766275915</v>
      </c>
      <c r="J8" s="150">
        <f>IF(OR('Données projet'!B11="",'Données projet'!C11="",'Données projet'!C11=0%),0,SUM(Calculateur!$BL$3:$BL$33)*VLOOKUP('Données projet'!$B$11,Paramètres!$A$1:$I$89,9,0)*B8)</f>
        <v>519.32145524941723</v>
      </c>
      <c r="K8" s="151">
        <f>J8*(100%-'Données projet'!$C$24)*(100%-'Données projet'!$C$25)*(100%-'Données projet'!$C$26)*(100%-'Données projet'!$C$27)</f>
        <v>467.38930972447554</v>
      </c>
      <c r="L8" s="152">
        <f t="shared" ca="1" si="2"/>
        <v>4352.7140650261317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Pin laricio</v>
      </c>
      <c r="B9" s="154">
        <f>'Données projet'!D12</f>
        <v>20.680210865300147</v>
      </c>
      <c r="C9" s="147">
        <f ca="1">IF(OR('Données projet'!B12="",'Données projet'!C12="",'Données projet'!C12=0%),0,Calculateur!CD3)</f>
        <v>392.08740055894992</v>
      </c>
      <c r="D9" s="147">
        <f>IF(OR('Données projet'!B12="",'Données projet'!C12="",'Données projet'!C12=0%),0,Calculateur!CE3)</f>
        <v>395.10797100415783</v>
      </c>
      <c r="E9" s="147">
        <f t="shared" ca="1" si="0"/>
        <v>392.08740055894992</v>
      </c>
      <c r="F9" s="147">
        <f t="shared" ca="1" si="1"/>
        <v>8108.4501211864872</v>
      </c>
      <c r="G9" s="147">
        <f ca="1">F9*(100%-'Données projet'!$C$24)*(100%-'Données projet'!$C$25)*(100%-'Données projet'!$C$26)*(100%-'Données projet'!$C$27)</f>
        <v>7297.6051090678384</v>
      </c>
      <c r="H9" s="155">
        <f>IF(OR('Données projet'!B12="",'Données projet'!C12="",'Données projet'!C12=0%),0,AVERAGE(Calculateur!$CN$3:$CN$33)*B9)</f>
        <v>151.03504169282687</v>
      </c>
      <c r="I9" s="149">
        <f>H9*(100%-'Données projet'!$C$24)*(100%-'Données projet'!$C$25)*(100%-'Données projet'!$C$26)*(100%-'Données projet'!$C$27)</f>
        <v>135.93153752354419</v>
      </c>
      <c r="J9" s="150">
        <f>IF(OR('Données projet'!B12="",'Données projet'!C12="",'Données projet'!C12=0%),0,SUM(Calculateur!$CG$3:$CG$33)*VLOOKUP('Données projet'!$B$12,Paramètres!$A$1:$I$89,9,0)*B9)</f>
        <v>1529.5083955975988</v>
      </c>
      <c r="K9" s="151">
        <f>J9*(100%-'Données projet'!$C$24)*(100%-'Données projet'!$C$25)*(100%-'Données projet'!$C$26)*(100%-'Données projet'!$C$27)</f>
        <v>1376.557556037839</v>
      </c>
      <c r="L9" s="152">
        <f t="shared" ca="1" si="2"/>
        <v>8810.0942026292214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14512.565267448455</v>
      </c>
      <c r="G16" s="166">
        <f t="shared" ca="1" si="3"/>
        <v>13061.308740703611</v>
      </c>
      <c r="H16" s="167">
        <f t="shared" si="3"/>
        <v>188.45615682773814</v>
      </c>
      <c r="I16" s="167">
        <f t="shared" si="3"/>
        <v>169.61054114496434</v>
      </c>
      <c r="J16" s="168">
        <f t="shared" si="3"/>
        <v>2134.3767933001636</v>
      </c>
      <c r="K16" s="168">
        <f t="shared" si="3"/>
        <v>1920.9391139701477</v>
      </c>
      <c r="L16" s="169">
        <f t="shared" ca="1" si="3"/>
        <v>15151.858395818721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Chêne pubescent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Cèdre de l'Atlas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Pin laricio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I8" zoomScale="80" zoomScaleNormal="80" workbookViewId="0">
      <selection activeCell="O21" sqref="O21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-1763.2631989261222</v>
      </c>
      <c r="U10" s="178">
        <f>'Données projet'!D9</f>
        <v>8.259704788579791</v>
      </c>
      <c r="V10" s="177">
        <f>U10*T10</f>
        <v>-14564.033487696612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pubescent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-1544.1792043225591</v>
      </c>
      <c r="U11" s="178">
        <f>'Données projet'!D10</f>
        <v>3.5398734808199106</v>
      </c>
      <c r="V11" s="177">
        <f t="shared" ref="V11" si="0">U11*T11</f>
        <v>-5466.1990150150177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Cèdre de l'Atlas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-682.08035551867067</v>
      </c>
      <c r="U12" s="178">
        <f>'Données projet'!D11</f>
        <v>20.680210865300147</v>
      </c>
      <c r="V12" s="177">
        <f t="shared" ref="V12:V19" si="1">U12*T12</f>
        <v>-14105.565579205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Pin laricio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1776.0555910897979</v>
      </c>
      <c r="U13" s="178">
        <f>'Données projet'!D12</f>
        <v>20.680210865300147</v>
      </c>
      <c r="V13" s="177">
        <f t="shared" si="1"/>
        <v>36729.204132232313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>
        <v>80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v>2587</v>
      </c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79.999999999999929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>
        <v>20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1599.9999999999986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0</v>
      </c>
      <c r="I20" s="191">
        <v>1780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600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600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20</v>
      </c>
      <c r="B23" s="181">
        <f>'Données projet'!D36</f>
        <v>0</v>
      </c>
      <c r="C23" s="193">
        <v>8</v>
      </c>
      <c r="D23" s="182">
        <f>B23*C23</f>
        <v>0</v>
      </c>
      <c r="E23" s="193"/>
      <c r="F23" s="230"/>
      <c r="H23" s="190">
        <v>5</v>
      </c>
      <c r="I23" s="191">
        <v>600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-176099.21705008301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30</v>
      </c>
      <c r="B24" s="181">
        <f>'Données projet'!D37</f>
        <v>29</v>
      </c>
      <c r="C24" s="193">
        <v>12</v>
      </c>
      <c r="D24" s="182">
        <f t="shared" ref="D24:D42" si="2">B24*C24</f>
        <v>348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2514.2109826787637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40</v>
      </c>
      <c r="B25" s="181">
        <f>'Données projet'!D38</f>
        <v>42</v>
      </c>
      <c r="C25" s="193">
        <v>15</v>
      </c>
      <c r="D25" s="182">
        <f t="shared" si="2"/>
        <v>630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-178613.42803276179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50</v>
      </c>
      <c r="B26" s="181">
        <f>'Données projet'!D39</f>
        <v>42</v>
      </c>
      <c r="C26" s="193">
        <v>20</v>
      </c>
      <c r="D26" s="182">
        <f t="shared" si="2"/>
        <v>840</v>
      </c>
      <c r="E26" s="193"/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60</v>
      </c>
      <c r="B27" s="181">
        <f>'Données projet'!D40</f>
        <v>42</v>
      </c>
      <c r="C27" s="193">
        <v>25</v>
      </c>
      <c r="D27" s="182">
        <f t="shared" si="2"/>
        <v>1050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70</v>
      </c>
      <c r="B28" s="181">
        <f>'Données projet'!D41</f>
        <v>42</v>
      </c>
      <c r="C28" s="193">
        <v>30</v>
      </c>
      <c r="D28" s="182">
        <f t="shared" si="2"/>
        <v>1260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80</v>
      </c>
      <c r="B29" s="181">
        <f>'Données projet'!D42</f>
        <v>42</v>
      </c>
      <c r="C29" s="193">
        <v>35</v>
      </c>
      <c r="D29" s="182">
        <f t="shared" si="2"/>
        <v>1470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90</v>
      </c>
      <c r="B30" s="181">
        <f>'Données projet'!D43</f>
        <v>42</v>
      </c>
      <c r="C30" s="193">
        <v>40</v>
      </c>
      <c r="D30" s="182">
        <f t="shared" si="2"/>
        <v>1680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100</v>
      </c>
      <c r="B31" s="181">
        <f>'Données projet'!D44</f>
        <v>42</v>
      </c>
      <c r="C31" s="193">
        <v>50</v>
      </c>
      <c r="D31" s="182">
        <f t="shared" si="2"/>
        <v>2100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110</v>
      </c>
      <c r="B32" s="181">
        <f>'Données projet'!D45</f>
        <v>39</v>
      </c>
      <c r="C32" s="193">
        <v>60</v>
      </c>
      <c r="D32" s="182">
        <f t="shared" si="2"/>
        <v>2340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120</v>
      </c>
      <c r="B33" s="181">
        <f>'Données projet'!D46</f>
        <v>303</v>
      </c>
      <c r="C33" s="193">
        <v>180</v>
      </c>
      <c r="D33" s="182">
        <f t="shared" si="2"/>
        <v>54540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Chêne pubescent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v>2275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20</v>
      </c>
      <c r="B54" s="181">
        <f>'Données projet'!D62</f>
        <v>0</v>
      </c>
      <c r="C54" s="191">
        <v>8</v>
      </c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30</v>
      </c>
      <c r="B55" s="181">
        <f>'Données projet'!D63</f>
        <v>29</v>
      </c>
      <c r="C55" s="191">
        <v>12</v>
      </c>
      <c r="D55" s="179">
        <f t="shared" ref="D55:D73" si="4">B55*C55</f>
        <v>348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40</v>
      </c>
      <c r="B56" s="181">
        <f>'Données projet'!D64</f>
        <v>42</v>
      </c>
      <c r="C56" s="191">
        <v>15</v>
      </c>
      <c r="D56" s="179">
        <f t="shared" si="4"/>
        <v>630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50</v>
      </c>
      <c r="B57" s="181">
        <f>'Données projet'!D65</f>
        <v>42</v>
      </c>
      <c r="C57" s="191">
        <v>20</v>
      </c>
      <c r="D57" s="179">
        <f t="shared" si="4"/>
        <v>840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60</v>
      </c>
      <c r="B58" s="181">
        <f>'Données projet'!D66</f>
        <v>42</v>
      </c>
      <c r="C58" s="191">
        <v>25</v>
      </c>
      <c r="D58" s="179">
        <f t="shared" si="4"/>
        <v>1050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70</v>
      </c>
      <c r="B59" s="181">
        <f>'Données projet'!D67</f>
        <v>42</v>
      </c>
      <c r="C59" s="191">
        <v>30</v>
      </c>
      <c r="D59" s="179">
        <f t="shared" si="4"/>
        <v>1260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80</v>
      </c>
      <c r="B60" s="181">
        <f>'Données projet'!D68</f>
        <v>42</v>
      </c>
      <c r="C60" s="191">
        <v>35</v>
      </c>
      <c r="D60" s="179">
        <f t="shared" si="4"/>
        <v>1470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90</v>
      </c>
      <c r="B61" s="181">
        <f>'Données projet'!D69</f>
        <v>42</v>
      </c>
      <c r="C61" s="191">
        <v>40</v>
      </c>
      <c r="D61" s="179">
        <f t="shared" si="4"/>
        <v>1680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100</v>
      </c>
      <c r="B62" s="181">
        <f>'Données projet'!D70</f>
        <v>42</v>
      </c>
      <c r="C62" s="191">
        <v>50</v>
      </c>
      <c r="D62" s="179">
        <f t="shared" si="4"/>
        <v>2100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110</v>
      </c>
      <c r="B63" s="181">
        <f>'Données projet'!D71</f>
        <v>39</v>
      </c>
      <c r="C63" s="191">
        <v>60</v>
      </c>
      <c r="D63" s="179">
        <f t="shared" si="4"/>
        <v>2340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120</v>
      </c>
      <c r="B64" s="181">
        <f>'Données projet'!D72</f>
        <v>303</v>
      </c>
      <c r="C64" s="191">
        <v>180</v>
      </c>
      <c r="D64" s="179">
        <f t="shared" si="4"/>
        <v>54540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Cèdre de l'Atlas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>
        <v>2730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20</v>
      </c>
      <c r="B85" s="181">
        <f>'Données projet'!D88</f>
        <v>12.5</v>
      </c>
      <c r="C85" s="191">
        <v>8</v>
      </c>
      <c r="D85" s="179">
        <f>B85*C85</f>
        <v>100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30</v>
      </c>
      <c r="B86" s="181">
        <f>'Données projet'!D89</f>
        <v>45.9</v>
      </c>
      <c r="C86" s="191">
        <v>8</v>
      </c>
      <c r="D86" s="179">
        <f t="shared" ref="D86:D104" si="6">B86*C86</f>
        <v>367.2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40</v>
      </c>
      <c r="B87" s="181">
        <f>'Données projet'!D90</f>
        <v>83.4</v>
      </c>
      <c r="C87" s="191">
        <v>15</v>
      </c>
      <c r="D87" s="179">
        <f t="shared" si="6"/>
        <v>1251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50</v>
      </c>
      <c r="B88" s="181">
        <f>'Données projet'!D91</f>
        <v>83.4</v>
      </c>
      <c r="C88" s="191">
        <v>25</v>
      </c>
      <c r="D88" s="179">
        <f t="shared" si="6"/>
        <v>2085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60</v>
      </c>
      <c r="B89" s="181">
        <f>'Données projet'!D92</f>
        <v>83.4</v>
      </c>
      <c r="C89" s="191">
        <v>30</v>
      </c>
      <c r="D89" s="179">
        <f t="shared" si="6"/>
        <v>2502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70</v>
      </c>
      <c r="B90" s="181">
        <f>'Données projet'!D93</f>
        <v>83.4</v>
      </c>
      <c r="C90" s="191">
        <v>50</v>
      </c>
      <c r="D90" s="179">
        <f t="shared" si="6"/>
        <v>4170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80</v>
      </c>
      <c r="B91" s="181">
        <f>'Données projet'!D94</f>
        <v>83.4</v>
      </c>
      <c r="C91" s="191">
        <v>50</v>
      </c>
      <c r="D91" s="179">
        <f t="shared" si="6"/>
        <v>4170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90</v>
      </c>
      <c r="B92" s="181">
        <f>'Données projet'!D95</f>
        <v>83.4</v>
      </c>
      <c r="C92" s="191">
        <v>50</v>
      </c>
      <c r="D92" s="179">
        <f t="shared" si="6"/>
        <v>4170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100</v>
      </c>
      <c r="B93" s="181">
        <f>'Données projet'!D96</f>
        <v>726.2</v>
      </c>
      <c r="C93" s="191">
        <v>100</v>
      </c>
      <c r="D93" s="179">
        <f t="shared" si="6"/>
        <v>72620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0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0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0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>Pin laricio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0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0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0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1352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0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0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0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0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str">
        <f>IF(O113+1&lt;=MIN('Données projet'!$E$9:$E$18),O113+1,"STOP")</f>
        <v>STOP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20</v>
      </c>
      <c r="B116" s="181">
        <f>'Données projet'!D114</f>
        <v>60</v>
      </c>
      <c r="C116" s="191">
        <v>10</v>
      </c>
      <c r="D116" s="179">
        <f>B116*C116</f>
        <v>600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30</v>
      </c>
      <c r="B117" s="181">
        <f>'Données projet'!D115</f>
        <v>112</v>
      </c>
      <c r="C117" s="191">
        <v>15</v>
      </c>
      <c r="D117" s="179">
        <f t="shared" ref="D117:D135" si="8">B117*C117</f>
        <v>1680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40</v>
      </c>
      <c r="B118" s="181">
        <f>'Données projet'!D116</f>
        <v>112</v>
      </c>
      <c r="C118" s="191">
        <v>25</v>
      </c>
      <c r="D118" s="179">
        <f t="shared" si="8"/>
        <v>2800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50</v>
      </c>
      <c r="B119" s="181">
        <f>'Données projet'!D117</f>
        <v>103</v>
      </c>
      <c r="C119" s="191">
        <v>35</v>
      </c>
      <c r="D119" s="179">
        <f t="shared" si="8"/>
        <v>3605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60</v>
      </c>
      <c r="B120" s="181">
        <f>'Données projet'!D118</f>
        <v>78</v>
      </c>
      <c r="C120" s="191">
        <v>40</v>
      </c>
      <c r="D120" s="179">
        <f t="shared" si="8"/>
        <v>3120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70</v>
      </c>
      <c r="B121" s="181">
        <f>'Données projet'!D119</f>
        <v>60</v>
      </c>
      <c r="C121" s="191">
        <v>50</v>
      </c>
      <c r="D121" s="179">
        <f t="shared" si="8"/>
        <v>3000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80</v>
      </c>
      <c r="B122" s="181">
        <f>'Données projet'!D120</f>
        <v>671</v>
      </c>
      <c r="C122" s="191">
        <v>60</v>
      </c>
      <c r="D122" s="179">
        <f t="shared" si="8"/>
        <v>40260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Florent Corniaux</cp:lastModifiedBy>
  <dcterms:created xsi:type="dcterms:W3CDTF">2021-02-01T08:22:39Z</dcterms:created>
  <dcterms:modified xsi:type="dcterms:W3CDTF">2023-03-23T14:03:34Z</dcterms:modified>
</cp:coreProperties>
</file>