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Bordeaux\BILOS\"/>
    </mc:Choice>
  </mc:AlternateContent>
  <xr:revisionPtr revIDLastSave="0" documentId="13_ncr:1_{D0F8B26D-EE36-4430-B209-CCCA5E1A55F5}" xr6:coauthVersionLast="47" xr6:coauthVersionMax="47" xr10:uidLastSave="{00000000-0000-0000-0000-000000000000}"/>
  <bookViews>
    <workbookView xWindow="-289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  <c r="B95" i="1" l="1"/>
  <c r="D95" i="1" s="1"/>
  <c r="D94" i="1"/>
  <c r="D93" i="1"/>
  <c r="D92" i="1"/>
  <c r="D91" i="1"/>
  <c r="D90" i="1"/>
  <c r="D89" i="1"/>
  <c r="B72" i="1"/>
  <c r="D72" i="1" s="1"/>
  <c r="D71" i="1"/>
  <c r="D70" i="1"/>
  <c r="D69" i="1"/>
  <c r="D68" i="1"/>
  <c r="D67" i="1"/>
  <c r="D66" i="1"/>
  <c r="D65" i="1"/>
  <c r="D64" i="1"/>
  <c r="D63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166" i="2" a="1"/>
  <c r="AH166" i="2" s="1"/>
  <c r="AH19" i="2" a="1"/>
  <c r="AH1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70" i="2" l="1"/>
  <c r="CD83" i="2"/>
  <c r="CD135" i="2"/>
  <c r="CD152" i="2"/>
  <c r="CD181" i="2"/>
  <c r="CD7" i="2"/>
  <c r="CD169" i="2"/>
  <c r="CD201" i="2"/>
  <c r="CD72" i="2"/>
  <c r="CD37" i="2"/>
  <c r="CD68" i="2"/>
  <c r="CD20" i="2"/>
  <c r="CD94" i="2"/>
  <c r="CD127" i="2"/>
  <c r="CD76" i="2"/>
  <c r="CD52" i="2"/>
  <c r="CD161" i="2"/>
  <c r="CD39" i="2"/>
  <c r="CD32" i="2"/>
  <c r="CD103" i="2"/>
  <c r="CD160" i="2"/>
  <c r="CD78" i="2"/>
  <c r="CD166" i="2"/>
  <c r="CD177" i="2"/>
  <c r="CD34" i="2"/>
  <c r="CD82" i="2"/>
  <c r="CD5" i="2"/>
  <c r="CD125" i="2"/>
  <c r="CD120" i="2"/>
  <c r="CD50" i="2"/>
  <c r="CD46" i="2"/>
  <c r="CD192" i="2"/>
  <c r="CD71" i="2"/>
  <c r="CD58" i="2"/>
  <c r="CD173" i="2"/>
  <c r="CD30" i="2"/>
  <c r="CD121" i="2"/>
  <c r="CD66" i="2"/>
  <c r="CD84" i="2"/>
  <c r="CD85" i="2"/>
  <c r="CD123" i="2"/>
  <c r="CD4" i="2"/>
  <c r="CD145" i="2"/>
  <c r="CD150" i="2"/>
  <c r="CD92" i="2"/>
  <c r="CD142" i="2"/>
  <c r="CD101" i="2"/>
  <c r="CD81" i="2"/>
  <c r="CD79" i="2"/>
  <c r="CD3" i="2"/>
  <c r="C9" i="4" s="1"/>
  <c r="E9" i="4" s="1"/>
  <c r="F9" i="4" s="1"/>
  <c r="G9" i="4" s="1"/>
  <c r="L9" i="4" s="1"/>
  <c r="CD87" i="2"/>
  <c r="CD60" i="2"/>
  <c r="CD44" i="2"/>
  <c r="CD151" i="2"/>
  <c r="CD189" i="2"/>
  <c r="CD104" i="2"/>
  <c r="CD67" i="2"/>
  <c r="CD45" i="2"/>
  <c r="CD188" i="2"/>
  <c r="CD12" i="2"/>
  <c r="CD179" i="2"/>
  <c r="CD190" i="2"/>
  <c r="CD191" i="2"/>
  <c r="CD155" i="2"/>
  <c r="CD111" i="2"/>
  <c r="CD105" i="2"/>
  <c r="CD176" i="2"/>
  <c r="CD53" i="2"/>
  <c r="CD8" i="2"/>
  <c r="CD40" i="2"/>
  <c r="CD35" i="2"/>
  <c r="CD196" i="2"/>
  <c r="CD203" i="2"/>
  <c r="CD21" i="2"/>
  <c r="CD107" i="2"/>
  <c r="CD18" i="2"/>
  <c r="CD197" i="2"/>
  <c r="CD165" i="2"/>
  <c r="CD63" i="2"/>
  <c r="CD158" i="2"/>
  <c r="CD95" i="2"/>
  <c r="CD109" i="2"/>
  <c r="CD162" i="2"/>
  <c r="CD69" i="2"/>
  <c r="CD17" i="2"/>
  <c r="CD91" i="2"/>
  <c r="CD90" i="2"/>
  <c r="CD194" i="2"/>
  <c r="CD136" i="2"/>
  <c r="CD74" i="2"/>
  <c r="CD139" i="2"/>
  <c r="CD149" i="2"/>
  <c r="CD168" i="2"/>
  <c r="CD97" i="2"/>
  <c r="CD164" i="2"/>
  <c r="CD61" i="2"/>
  <c r="CD31" i="2"/>
  <c r="CD180" i="2"/>
  <c r="CD117" i="2"/>
  <c r="CD156" i="2"/>
  <c r="CD185" i="2"/>
  <c r="CD48" i="2"/>
  <c r="CD143" i="2"/>
  <c r="CD16" i="2"/>
  <c r="CD195" i="2"/>
  <c r="CD170" i="2"/>
  <c r="CD184" i="2"/>
  <c r="CD99" i="2"/>
  <c r="CD59" i="2"/>
  <c r="CD47" i="2"/>
  <c r="CD124" i="2"/>
  <c r="CD57" i="2"/>
  <c r="CD51" i="2"/>
  <c r="CD14" i="2"/>
  <c r="CD202" i="2"/>
  <c r="CD131" i="2"/>
  <c r="CD75" i="2"/>
  <c r="CD163" i="2"/>
  <c r="CD108" i="2"/>
  <c r="CD28" i="2"/>
  <c r="CD19" i="2"/>
  <c r="CD65" i="2"/>
  <c r="CD33" i="2"/>
  <c r="CD23" i="2"/>
  <c r="CD183" i="2"/>
  <c r="CD42" i="2"/>
  <c r="CD167" i="2"/>
  <c r="CD106" i="2"/>
  <c r="CD11" i="2"/>
  <c r="CD55" i="2"/>
  <c r="CD89" i="2"/>
  <c r="CD10" i="2"/>
  <c r="CD41" i="2"/>
  <c r="CD132" i="2"/>
  <c r="CD64" i="2"/>
  <c r="CD27" i="2"/>
  <c r="CD178" i="2"/>
  <c r="CD13" i="2"/>
  <c r="CD154" i="2"/>
  <c r="CD88" i="2"/>
  <c r="CD129" i="2"/>
  <c r="CD56" i="2"/>
  <c r="CD118" i="2"/>
  <c r="CD126" i="2"/>
  <c r="CD29" i="2"/>
  <c r="CD77" i="2"/>
  <c r="CD198" i="2"/>
  <c r="CD112" i="2"/>
  <c r="CD24" i="2"/>
  <c r="CD134" i="2"/>
  <c r="CD6" i="2"/>
  <c r="CD38" i="2"/>
  <c r="CD25" i="2"/>
  <c r="CD96" i="2"/>
  <c r="CD119" i="2"/>
  <c r="CD171" i="2"/>
  <c r="CD172" i="2"/>
  <c r="CD54" i="2"/>
  <c r="CD153" i="2"/>
  <c r="CD73" i="2"/>
  <c r="CD186" i="2"/>
  <c r="CD147" i="2"/>
  <c r="CD193" i="2"/>
  <c r="CD9" i="2"/>
  <c r="CD43" i="2"/>
  <c r="CD141" i="2"/>
  <c r="CD62" i="2"/>
  <c r="CD26" i="2"/>
  <c r="CD187" i="2"/>
  <c r="CD36" i="2"/>
  <c r="CD86" i="2"/>
  <c r="CD122" i="2"/>
  <c r="CD133" i="2"/>
  <c r="CD114" i="2"/>
  <c r="CD22" i="2"/>
  <c r="CD175" i="2"/>
  <c r="CD148" i="2"/>
  <c r="CD115" i="2"/>
  <c r="CD159" i="2"/>
  <c r="CD200" i="2"/>
  <c r="CD199" i="2"/>
  <c r="CD128" i="2"/>
  <c r="CD93" i="2"/>
  <c r="CD102" i="2"/>
  <c r="CD80" i="2"/>
  <c r="CD100" i="2"/>
  <c r="CD15" i="2"/>
  <c r="CD182" i="2"/>
  <c r="CD174" i="2"/>
  <c r="CD130" i="2"/>
  <c r="CD157" i="2"/>
  <c r="CD49" i="2"/>
  <c r="CD116" i="2"/>
  <c r="CD146" i="2"/>
  <c r="CD98" i="2"/>
  <c r="CD138" i="2"/>
  <c r="CD137" i="2"/>
  <c r="CD144" i="2"/>
  <c r="CD140" i="2"/>
  <c r="CD110" i="2"/>
  <c r="CD11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<sst xmlns="http://schemas.openxmlformats.org/spreadsheetml/2006/main" count="1173" uniqueCount="324">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</sst>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54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2.182022057501996</c:v>
                </c:pt>
                <c:pt idx="2">
                  <c:v>3.070725647789676</c:v>
                </c:pt>
                <c:pt idx="3">
                  <c:v>4.3229615697947574</c:v>
                </c:pt>
                <c:pt idx="4">
                  <c:v>6.0880427883096067</c:v>
                </c:pt>
                <c:pt idx="5">
                  <c:v>8.5768417029105457</c:v>
                </c:pt>
                <c:pt idx="6">
                  <c:v>12.087258805913349</c:v>
                </c:pt>
                <c:pt idx="7">
                  <c:v>17.0402620429054</c:v>
                </c:pt>
                <c:pt idx="8">
                  <c:v>24.030896977998953</c:v>
                </c:pt>
                <c:pt idx="9">
                  <c:v>33.900504244442594</c:v>
                </c:pt>
                <c:pt idx="10">
                  <c:v>47.83898536344001</c:v>
                </c:pt>
                <c:pt idx="11">
                  <c:v>67.529652896380867</c:v>
                </c:pt>
                <c:pt idx="12">
                  <c:v>95.35444338271175</c:v>
                </c:pt>
                <c:pt idx="13">
                  <c:v>134.68471110970083</c:v>
                </c:pt>
                <c:pt idx="14">
                  <c:v>122.17293018736386</c:v>
                </c:pt>
                <c:pt idx="15">
                  <c:v>146.80163135366993</c:v>
                </c:pt>
                <c:pt idx="16">
                  <c:v>171.33139166500882</c:v>
                </c:pt>
                <c:pt idx="17">
                  <c:v>195.77839584154245</c:v>
                </c:pt>
                <c:pt idx="18">
                  <c:v>220.15443982862473</c:v>
                </c:pt>
                <c:pt idx="19">
                  <c:v>191.0780040881981</c:v>
                </c:pt>
                <c:pt idx="20">
                  <c:v>214.10589325488584</c:v>
                </c:pt>
                <c:pt idx="21">
                  <c:v>237.07673823479547</c:v>
                </c:pt>
                <c:pt idx="22">
                  <c:v>259.99684303927017</c:v>
                </c:pt>
                <c:pt idx="23">
                  <c:v>282.8713084166979</c:v>
                </c:pt>
                <c:pt idx="24">
                  <c:v>234.63173225294136</c:v>
                </c:pt>
                <c:pt idx="25">
                  <c:v>253.59499375139191</c:v>
                </c:pt>
                <c:pt idx="26">
                  <c:v>272.52615011843244</c:v>
                </c:pt>
                <c:pt idx="27">
                  <c:v>291.42774486281581</c:v>
                </c:pt>
                <c:pt idx="28">
                  <c:v>310.3019645539664</c:v>
                </c:pt>
                <c:pt idx="29">
                  <c:v>329.15070803564248</c:v>
                </c:pt>
                <c:pt idx="30">
                  <c:v>347.97563894132367</c:v>
                </c:pt>
                <c:pt idx="31">
                  <c:v>366.77822624360692</c:v>
                </c:pt>
                <c:pt idx="32">
                  <c:v>385.559776050138</c:v>
                </c:pt>
                <c:pt idx="33">
                  <c:v>404.32145687858548</c:v>
                </c:pt>
                <c:pt idx="34">
                  <c:v>423.0643199945859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3.3160219884392141</c:v>
                </c:pt>
                <c:pt idx="2">
                  <c:v>3.9708761313580472</c:v>
                </c:pt>
                <c:pt idx="3">
                  <c:v>4.7555281603637365</c:v>
                </c:pt>
                <c:pt idx="4">
                  <c:v>5.6957941088249191</c:v>
                </c:pt>
                <c:pt idx="5">
                  <c:v>6.8226412226978708</c:v>
                </c:pt>
                <c:pt idx="6">
                  <c:v>8.1732188808951491</c:v>
                </c:pt>
                <c:pt idx="7">
                  <c:v>9.7920964032390341</c:v>
                </c:pt>
                <c:pt idx="8">
                  <c:v>11.73274936938313</c:v>
                </c:pt>
                <c:pt idx="9">
                  <c:v>14.059344465473309</c:v>
                </c:pt>
                <c:pt idx="10">
                  <c:v>16.848882964769469</c:v>
                </c:pt>
                <c:pt idx="11">
                  <c:v>20.193775077333768</c:v>
                </c:pt>
                <c:pt idx="12">
                  <c:v>24.204931985214206</c:v>
                </c:pt>
                <c:pt idx="13">
                  <c:v>29.015479910097174</c:v>
                </c:pt>
                <c:pt idx="14">
                  <c:v>34.785221637747632</c:v>
                </c:pt>
                <c:pt idx="15">
                  <c:v>41.705996266557641</c:v>
                </c:pt>
                <c:pt idx="16">
                  <c:v>50.008118420966014</c:v>
                </c:pt>
                <c:pt idx="17">
                  <c:v>59.968114814768853</c:v>
                </c:pt>
                <c:pt idx="18">
                  <c:v>71.918020116080967</c:v>
                </c:pt>
                <c:pt idx="19">
                  <c:v>86.256547060865827</c:v>
                </c:pt>
                <c:pt idx="20">
                  <c:v>103.46250949744716</c:v>
                </c:pt>
                <c:pt idx="21">
                  <c:v>118.54425739457641</c:v>
                </c:pt>
                <c:pt idx="22">
                  <c:v>133.57915795884719</c:v>
                </c:pt>
                <c:pt idx="23">
                  <c:v>148.57323391466869</c:v>
                </c:pt>
                <c:pt idx="24">
                  <c:v>163.5311895157119</c:v>
                </c:pt>
                <c:pt idx="25">
                  <c:v>178.45679624773638</c:v>
                </c:pt>
                <c:pt idx="26">
                  <c:v>193.35314212581193</c:v>
                </c:pt>
                <c:pt idx="27">
                  <c:v>208.22279985540197</c:v>
                </c:pt>
                <c:pt idx="28">
                  <c:v>223.06794429933834</c:v>
                </c:pt>
                <c:pt idx="29">
                  <c:v>237.89043696225224</c:v>
                </c:pt>
                <c:pt idx="30">
                  <c:v>252.69188827494608</c:v>
                </c:pt>
                <c:pt idx="31">
                  <c:v>203.74097419794165</c:v>
                </c:pt>
                <c:pt idx="32">
                  <c:v>223.06794429933834</c:v>
                </c:pt>
                <c:pt idx="33">
                  <c:v>242.35651485973176</c:v>
                </c:pt>
                <c:pt idx="34">
                  <c:v>261.6101717087289</c:v>
                </c:pt>
                <c:pt idx="35">
                  <c:v>280.83184541341694</c:v>
                </c:pt>
                <c:pt idx="36">
                  <c:v>300.02403249547746</c:v>
                </c:pt>
                <c:pt idx="37">
                  <c:v>319.18888396087681</c:v>
                </c:pt>
                <c:pt idx="38">
                  <c:v>338.32827143043039</c:v>
                </c:pt>
                <c:pt idx="39">
                  <c:v>357.44383751084456</c:v>
                </c:pt>
                <c:pt idx="40">
                  <c:v>376.5370348208462</c:v>
                </c:pt>
                <c:pt idx="41">
                  <c:v>297.91894469589846</c:v>
                </c:pt>
                <c:pt idx="42">
                  <c:v>317.32029156286279</c:v>
                </c:pt>
                <c:pt idx="43">
                  <c:v>336.69537306861167</c:v>
                </c:pt>
                <c:pt idx="44">
                  <c:v>356.04591266585072</c:v>
                </c:pt>
                <c:pt idx="45">
                  <c:v>375.37343122590363</c:v>
                </c:pt>
                <c:pt idx="46">
                  <c:v>394.6792802716862</c:v>
                </c:pt>
                <c:pt idx="47">
                  <c:v>413.96466836694145</c:v>
                </c:pt>
                <c:pt idx="48">
                  <c:v>433.23068233058717</c:v>
                </c:pt>
                <c:pt idx="49">
                  <c:v>452.47830448052292</c:v>
                </c:pt>
                <c:pt idx="50">
                  <c:v>471.70842679065544</c:v>
                </c:pt>
                <c:pt idx="51">
                  <c:v>392.3543811541972</c:v>
                </c:pt>
                <c:pt idx="52">
                  <c:v>410.48082174412269</c:v>
                </c:pt>
                <c:pt idx="53">
                  <c:v>428.58998682183602</c:v>
                </c:pt>
                <c:pt idx="54">
                  <c:v>446.68270871190794</c:v>
                </c:pt>
                <c:pt idx="55">
                  <c:v>464.75974684356021</c:v>
                </c:pt>
                <c:pt idx="56">
                  <c:v>482.82179678008856</c:v>
                </c:pt>
                <c:pt idx="57">
                  <c:v>500.86949782708149</c:v>
                </c:pt>
                <c:pt idx="58">
                  <c:v>518.90343948728889</c:v>
                </c:pt>
                <c:pt idx="59">
                  <c:v>536.92416697177521</c:v>
                </c:pt>
                <c:pt idx="60">
                  <c:v>554.93218593299741</c:v>
                </c:pt>
                <c:pt idx="61">
                  <c:v>474.02416733906449</c:v>
                </c:pt>
                <c:pt idx="62">
                  <c:v>490.22768306866305</c:v>
                </c:pt>
                <c:pt idx="63">
                  <c:v>506.41984231344077</c:v>
                </c:pt>
                <c:pt idx="64">
                  <c:v>522.60105914818303</c:v>
                </c:pt>
                <c:pt idx="65">
                  <c:v>538.77171992708679</c:v>
                </c:pt>
                <c:pt idx="66">
                  <c:v>554.93218593299741</c:v>
                </c:pt>
                <c:pt idx="67">
                  <c:v>571.08279570212312</c:v>
                </c:pt>
                <c:pt idx="68">
                  <c:v>587.22386707221472</c:v>
                </c:pt>
                <c:pt idx="69">
                  <c:v>603.35569899395261</c:v>
                </c:pt>
                <c:pt idx="70">
                  <c:v>619.47857313864404</c:v>
                </c:pt>
                <c:pt idx="71">
                  <c:v>536.69321346550237</c:v>
                </c:pt>
                <c:pt idx="72">
                  <c:v>550.77759207584268</c:v>
                </c:pt>
                <c:pt idx="73">
                  <c:v>564.85442175686296</c:v>
                </c:pt>
                <c:pt idx="74">
                  <c:v>578.92391706589285</c:v>
                </c:pt>
                <c:pt idx="75">
                  <c:v>592.98628128561199</c:v>
                </c:pt>
                <c:pt idx="76">
                  <c:v>607.04170727539724</c:v>
                </c:pt>
                <c:pt idx="77">
                  <c:v>621.09037823975825</c:v>
                </c:pt>
                <c:pt idx="78">
                  <c:v>635.1324684236663</c:v>
                </c:pt>
                <c:pt idx="79">
                  <c:v>649.16814374322814</c:v>
                </c:pt>
                <c:pt idx="80">
                  <c:v>663.19756235900911</c:v>
                </c:pt>
                <c:pt idx="81">
                  <c:v>579.38509017822162</c:v>
                </c:pt>
                <c:pt idx="82">
                  <c:v>592.29485336141647</c:v>
                </c:pt>
                <c:pt idx="83">
                  <c:v>605.19876142255328</c:v>
                </c:pt>
                <c:pt idx="84">
                  <c:v>618.09695674761804</c:v>
                </c:pt>
                <c:pt idx="85">
                  <c:v>630.989575297957</c:v>
                </c:pt>
                <c:pt idx="86">
                  <c:v>643.87674702825188</c:v>
                </c:pt>
                <c:pt idx="87">
                  <c:v>656.75859626931356</c:v>
                </c:pt>
                <c:pt idx="88">
                  <c:v>669.63524207929413</c:v>
                </c:pt>
                <c:pt idx="89">
                  <c:v>682.50679856649742</c:v>
                </c:pt>
                <c:pt idx="90">
                  <c:v>695.37337518658342</c:v>
                </c:pt>
                <c:pt idx="91">
                  <c:v>610.03624669241469</c:v>
                </c:pt>
                <c:pt idx="92">
                  <c:v>621.32062903188751</c:v>
                </c:pt>
                <c:pt idx="93">
                  <c:v>632.60076703489358</c:v>
                </c:pt>
                <c:pt idx="94">
                  <c:v>643.87674702825188</c:v>
                </c:pt>
                <c:pt idx="95">
                  <c:v>655.14865206959064</c:v>
                </c:pt>
                <c:pt idx="96">
                  <c:v>666.41656212645171</c:v>
                </c:pt>
                <c:pt idx="97">
                  <c:v>677.6805542426581</c:v>
                </c:pt>
                <c:pt idx="98">
                  <c:v>688.94070269305246</c:v>
                </c:pt>
                <c:pt idx="99">
                  <c:v>700.19707912759532</c:v>
                </c:pt>
                <c:pt idx="100">
                  <c:v>711.44975270572297</c:v>
                </c:pt>
                <c:pt idx="101">
                  <c:v>625.00440181709962</c:v>
                </c:pt>
                <c:pt idx="102">
                  <c:v>635.1324684236663</c:v>
                </c:pt>
                <c:pt idx="103">
                  <c:v>645.25719760007826</c:v>
                </c:pt>
                <c:pt idx="104">
                  <c:v>655.37864908414019</c:v>
                </c:pt>
                <c:pt idx="105">
                  <c:v>665.49688061851623</c:v>
                </c:pt>
                <c:pt idx="106">
                  <c:v>675.61194804732907</c:v>
                </c:pt>
                <c:pt idx="107">
                  <c:v>685.72390540667448</c:v>
                </c:pt>
                <c:pt idx="108">
                  <c:v>695.8328050095223</c:v>
                </c:pt>
                <c:pt idx="109">
                  <c:v>705.93869752542707</c:v>
                </c:pt>
                <c:pt idx="110">
                  <c:v>716.04163205544307</c:v>
                </c:pt>
                <c:pt idx="111">
                  <c:v>634.9023223852007</c:v>
                </c:pt>
                <c:pt idx="112">
                  <c:v>643.41658326836</c:v>
                </c:pt>
                <c:pt idx="113">
                  <c:v>651.92851886448943</c:v>
                </c:pt>
                <c:pt idx="114">
                  <c:v>660.43816381137299</c:v>
                </c:pt>
                <c:pt idx="115">
                  <c:v>668.94555178150756</c:v>
                </c:pt>
                <c:pt idx="116">
                  <c:v>677.45071552119919</c:v>
                </c:pt>
                <c:pt idx="117">
                  <c:v>685.95368688759572</c:v>
                </c:pt>
                <c:pt idx="118">
                  <c:v>694.45449688378949</c:v>
                </c:pt>
                <c:pt idx="119">
                  <c:v>702.95317569210874</c:v>
                </c:pt>
                <c:pt idx="120">
                  <c:v>711.44975270572206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43.694196003064881</c:v>
                </c:pt>
                <c:pt idx="12">
                  <c:v>65.967637157193224</c:v>
                </c:pt>
                <c:pt idx="13">
                  <c:v>88.043909645773326</c:v>
                </c:pt>
                <c:pt idx="14">
                  <c:v>109.98019761370591</c:v>
                </c:pt>
                <c:pt idx="15">
                  <c:v>131.8085611384661</c:v>
                </c:pt>
                <c:pt idx="16">
                  <c:v>153.54945750312902</c:v>
                </c:pt>
                <c:pt idx="17">
                  <c:v>175.21703901575162</c:v>
                </c:pt>
                <c:pt idx="18">
                  <c:v>196.82165695831426</c:v>
                </c:pt>
                <c:pt idx="19">
                  <c:v>218.37119819211662</c:v>
                </c:pt>
                <c:pt idx="20">
                  <c:v>239.87186299455311</c:v>
                </c:pt>
                <c:pt idx="21">
                  <c:v>147.72423485433481</c:v>
                </c:pt>
                <c:pt idx="22">
                  <c:v>173.28198421740612</c:v>
                </c:pt>
                <c:pt idx="23">
                  <c:v>198.75099238593933</c:v>
                </c:pt>
                <c:pt idx="24">
                  <c:v>224.14424082064872</c:v>
                </c:pt>
                <c:pt idx="25">
                  <c:v>249.47152135339448</c:v>
                </c:pt>
                <c:pt idx="26">
                  <c:v>274.74047191396772</c:v>
                </c:pt>
                <c:pt idx="27">
                  <c:v>299.95720938207864</c:v>
                </c:pt>
                <c:pt idx="28">
                  <c:v>325.1267377323847</c:v>
                </c:pt>
                <c:pt idx="29">
                  <c:v>350.25322285655176</c:v>
                </c:pt>
                <c:pt idx="30">
                  <c:v>375.34018425536209</c:v>
                </c:pt>
                <c:pt idx="31">
                  <c:v>274.91455293818166</c:v>
                </c:pt>
                <c:pt idx="32">
                  <c:v>295.96058121474732</c:v>
                </c:pt>
                <c:pt idx="33">
                  <c:v>316.97324046406396</c:v>
                </c:pt>
                <c:pt idx="34">
                  <c:v>337.95505284834667</c:v>
                </c:pt>
                <c:pt idx="35">
                  <c:v>358.90820183854038</c:v>
                </c:pt>
                <c:pt idx="36">
                  <c:v>379.83459522522372</c:v>
                </c:pt>
                <c:pt idx="37">
                  <c:v>400.73591351024589</c:v>
                </c:pt>
                <c:pt idx="38">
                  <c:v>421.61364767176138</c:v>
                </c:pt>
                <c:pt idx="39">
                  <c:v>442.46912905732142</c:v>
                </c:pt>
                <c:pt idx="40">
                  <c:v>463.30355334692075</c:v>
                </c:pt>
                <c:pt idx="41">
                  <c:v>358.38903311439248</c:v>
                </c:pt>
                <c:pt idx="42">
                  <c:v>374.30284650982253</c:v>
                </c:pt>
                <c:pt idx="43">
                  <c:v>390.20192247554218</c:v>
                </c:pt>
                <c:pt idx="44">
                  <c:v>406.08694591135946</c:v>
                </c:pt>
                <c:pt idx="45">
                  <c:v>421.95854377334371</c:v>
                </c:pt>
                <c:pt idx="46">
                  <c:v>437.81729201638274</c:v>
                </c:pt>
                <c:pt idx="47">
                  <c:v>453.66372147844748</c:v>
                </c:pt>
                <c:pt idx="48">
                  <c:v>469.49832289995237</c:v>
                </c:pt>
                <c:pt idx="49">
                  <c:v>485.32155123080787</c:v>
                </c:pt>
                <c:pt idx="50">
                  <c:v>501.13382934663628</c:v>
                </c:pt>
                <c:pt idx="51">
                  <c:v>438.85112479761938</c:v>
                </c:pt>
                <c:pt idx="52">
                  <c:v>450.56427866764187</c:v>
                </c:pt>
                <c:pt idx="53">
                  <c:v>462.27092062343581</c:v>
                </c:pt>
                <c:pt idx="54">
                  <c:v>473.97123882058969</c:v>
                </c:pt>
                <c:pt idx="55">
                  <c:v>485.66541136738368</c:v>
                </c:pt>
                <c:pt idx="56">
                  <c:v>497.35360709544074</c:v>
                </c:pt>
                <c:pt idx="57">
                  <c:v>509.0359862541668</c:v>
                </c:pt>
                <c:pt idx="58">
                  <c:v>520.71270113813011</c:v>
                </c:pt>
                <c:pt idx="59">
                  <c:v>532.38389665524505</c:v>
                </c:pt>
                <c:pt idx="60">
                  <c:v>544.04971084254669</c:v>
                </c:pt>
                <c:pt idx="61">
                  <c:v>500.96201419474897</c:v>
                </c:pt>
                <c:pt idx="62">
                  <c:v>509.37949916607187</c:v>
                </c:pt>
                <c:pt idx="63">
                  <c:v>517.79404539703103</c:v>
                </c:pt>
                <c:pt idx="64">
                  <c:v>526.20570739021298</c:v>
                </c:pt>
                <c:pt idx="65">
                  <c:v>534.61453776319524</c:v>
                </c:pt>
                <c:pt idx="66">
                  <c:v>543.02058734300351</c:v>
                </c:pt>
                <c:pt idx="67">
                  <c:v>551.42390525441863</c:v>
                </c:pt>
                <c:pt idx="68">
                  <c:v>559.82453900261726</c:v>
                </c:pt>
                <c:pt idx="69">
                  <c:v>568.22253455059774</c:v>
                </c:pt>
                <c:pt idx="70">
                  <c:v>576.617936391787</c:v>
                </c:pt>
                <c:pt idx="71">
                  <c:v>538.73213090432318</c:v>
                </c:pt>
                <c:pt idx="72">
                  <c:v>545.42181195220826</c:v>
                </c:pt>
                <c:pt idx="73">
                  <c:v>552.10977125790407</c:v>
                </c:pt>
                <c:pt idx="74">
                  <c:v>558.79603262623436</c:v>
                </c:pt>
                <c:pt idx="75">
                  <c:v>565.48061924570573</c:v>
                </c:pt>
                <c:pt idx="76">
                  <c:v>572.16355371171937</c:v>
                </c:pt>
                <c:pt idx="77">
                  <c:v>578.84485804864448</c:v>
                </c:pt>
                <c:pt idx="78">
                  <c:v>585.52455373081636</c:v>
                </c:pt>
                <c:pt idx="79">
                  <c:v>592.20266170252955</c:v>
                </c:pt>
                <c:pt idx="80">
                  <c:v>598.8792023970791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0" sqref="E1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9" t="s">
        <v>231</v>
      </c>
      <c r="B5" s="269"/>
      <c r="C5" s="24">
        <v>5.69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0.9</v>
      </c>
      <c r="D9" s="33">
        <f t="shared" ref="D9:D18" si="0">C9*$C$5</f>
        <v>5.1210000000000004</v>
      </c>
      <c r="E9" s="34">
        <v>34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10</v>
      </c>
      <c r="C10" s="32">
        <v>0.04</v>
      </c>
      <c r="D10" s="33">
        <f t="shared" si="0"/>
        <v>0.22760000000000002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5</v>
      </c>
      <c r="C11" s="32">
        <v>0.03</v>
      </c>
      <c r="D11" s="33">
        <f t="shared" si="0"/>
        <v>0.17070000000000002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52</v>
      </c>
      <c r="C12" s="32">
        <v>0.03</v>
      </c>
      <c r="D12" s="33">
        <f t="shared" si="0"/>
        <v>0.17070000000000002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5.69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13</v>
      </c>
      <c r="B36" s="58">
        <v>100.55157471132451</v>
      </c>
      <c r="C36" s="50">
        <v>1</v>
      </c>
      <c r="D36" s="58">
        <v>28.45250451563658</v>
      </c>
      <c r="E36" s="51"/>
      <c r="F36" s="51">
        <v>0.5</v>
      </c>
      <c r="G36" s="51">
        <v>0.5</v>
      </c>
      <c r="H36" s="51"/>
      <c r="I36" s="49">
        <f>IFERROR(B36/A36,"")</f>
        <v>7.7347365162557313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18</v>
      </c>
      <c r="B37" s="58">
        <v>166.4711667024383</v>
      </c>
      <c r="C37" s="50">
        <v>2</v>
      </c>
      <c r="D37" s="58">
        <v>40.327640133665668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18.874419301350073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23</v>
      </c>
      <c r="B38" s="58">
        <v>215.2423204508286</v>
      </c>
      <c r="C38" s="50">
        <v>3</v>
      </c>
      <c r="D38" s="58">
        <v>52.275638469262297</v>
      </c>
      <c r="E38" s="51">
        <v>0.2</v>
      </c>
      <c r="F38" s="51">
        <v>0.4</v>
      </c>
      <c r="G38" s="51">
        <v>0.4</v>
      </c>
      <c r="H38" s="51"/>
      <c r="I38" s="53">
        <f t="shared" si="1"/>
        <v>17.819758776411195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34</v>
      </c>
      <c r="B39" s="58">
        <v>325.07856050041272</v>
      </c>
      <c r="C39" s="50">
        <v>4</v>
      </c>
      <c r="D39" s="58">
        <f>B39</f>
        <v>325.07856050041272</v>
      </c>
      <c r="E39" s="51">
        <v>0.3</v>
      </c>
      <c r="F39" s="51">
        <v>0.35</v>
      </c>
      <c r="G39" s="51">
        <v>0.35</v>
      </c>
      <c r="H39" s="51"/>
      <c r="I39" s="49">
        <f t="shared" si="1"/>
        <v>14.737443501713312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55"/>
      <c r="C40" s="55"/>
      <c r="D40" s="55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55"/>
      <c r="C41" s="55"/>
      <c r="D41" s="55"/>
      <c r="E41" s="63"/>
      <c r="F41" s="63"/>
      <c r="G41" s="63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55"/>
      <c r="C42" s="55"/>
      <c r="D42" s="55"/>
      <c r="E42" s="63"/>
      <c r="F42" s="63"/>
      <c r="G42" s="63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55"/>
      <c r="C43" s="55"/>
      <c r="D43" s="55"/>
      <c r="E43" s="63"/>
      <c r="F43" s="63"/>
      <c r="G43" s="63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55"/>
      <c r="C44" s="55"/>
      <c r="D44" s="55"/>
      <c r="E44" s="63"/>
      <c r="F44" s="63"/>
      <c r="G44" s="63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55"/>
      <c r="C45" s="55"/>
      <c r="D45" s="55"/>
      <c r="E45" s="63"/>
      <c r="F45" s="63"/>
      <c r="G45" s="63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Chêne-liège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60">
        <v>20</v>
      </c>
      <c r="B62" s="60">
        <v>42</v>
      </c>
      <c r="C62" s="60"/>
      <c r="D62" s="60"/>
      <c r="E62" s="51"/>
      <c r="F62" s="51"/>
      <c r="G62" s="51"/>
      <c r="H62" s="257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60">
        <v>30</v>
      </c>
      <c r="B63" s="60">
        <v>105</v>
      </c>
      <c r="C63" s="60">
        <v>1</v>
      </c>
      <c r="D63" s="60">
        <f>21+8</f>
        <v>29</v>
      </c>
      <c r="E63" s="51"/>
      <c r="F63" s="51"/>
      <c r="G63" s="51"/>
      <c r="H63" s="51"/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60">
        <v>40</v>
      </c>
      <c r="B64" s="60">
        <v>158</v>
      </c>
      <c r="C64" s="60">
        <v>2</v>
      </c>
      <c r="D64" s="60">
        <f>21+21</f>
        <v>42</v>
      </c>
      <c r="E64" s="51"/>
      <c r="F64" s="51"/>
      <c r="G64" s="51"/>
      <c r="H64" s="257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60">
        <v>50</v>
      </c>
      <c r="B65" s="60">
        <v>199</v>
      </c>
      <c r="C65" s="60">
        <v>3</v>
      </c>
      <c r="D65" s="60">
        <f t="shared" ref="D65:D70" si="2">21+21</f>
        <v>42</v>
      </c>
      <c r="E65" s="51"/>
      <c r="F65" s="51"/>
      <c r="G65" s="51"/>
      <c r="H65" s="257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60">
        <v>60</v>
      </c>
      <c r="B66" s="60">
        <v>235</v>
      </c>
      <c r="C66" s="60">
        <v>4</v>
      </c>
      <c r="D66" s="60">
        <f t="shared" si="2"/>
        <v>42</v>
      </c>
      <c r="E66" s="51"/>
      <c r="F66" s="51"/>
      <c r="G66" s="51"/>
      <c r="H66" s="257"/>
      <c r="I66" s="49">
        <f t="shared" ref="I66:I81" si="3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60">
        <v>70</v>
      </c>
      <c r="B67" s="60">
        <v>263</v>
      </c>
      <c r="C67" s="60">
        <v>5</v>
      </c>
      <c r="D67" s="60">
        <f t="shared" si="2"/>
        <v>42</v>
      </c>
      <c r="E67" s="51"/>
      <c r="F67" s="51"/>
      <c r="G67" s="51"/>
      <c r="H67" s="257"/>
      <c r="I67" s="49">
        <f t="shared" si="3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60">
        <v>80</v>
      </c>
      <c r="B68" s="60">
        <v>282</v>
      </c>
      <c r="C68" s="60">
        <v>6</v>
      </c>
      <c r="D68" s="60">
        <f t="shared" si="2"/>
        <v>42</v>
      </c>
      <c r="E68" s="51"/>
      <c r="F68" s="51"/>
      <c r="G68" s="51"/>
      <c r="H68" s="257"/>
      <c r="I68" s="49">
        <f t="shared" si="3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60">
        <v>90</v>
      </c>
      <c r="B69" s="60">
        <v>296</v>
      </c>
      <c r="C69" s="60">
        <v>7</v>
      </c>
      <c r="D69" s="60">
        <f t="shared" si="2"/>
        <v>42</v>
      </c>
      <c r="E69" s="51"/>
      <c r="F69" s="51"/>
      <c r="G69" s="51"/>
      <c r="H69" s="257"/>
      <c r="I69" s="49">
        <f t="shared" si="3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60">
        <v>100</v>
      </c>
      <c r="B70" s="60">
        <v>303</v>
      </c>
      <c r="C70" s="60">
        <v>8</v>
      </c>
      <c r="D70" s="60">
        <f t="shared" si="2"/>
        <v>42</v>
      </c>
      <c r="E70" s="51"/>
      <c r="F70" s="51"/>
      <c r="G70" s="51"/>
      <c r="H70" s="257"/>
      <c r="I70" s="49">
        <f t="shared" si="3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60">
        <v>110</v>
      </c>
      <c r="B71" s="60">
        <v>305</v>
      </c>
      <c r="C71" s="60">
        <v>9</v>
      </c>
      <c r="D71" s="60">
        <f>20+19</f>
        <v>39</v>
      </c>
      <c r="E71" s="51"/>
      <c r="F71" s="51"/>
      <c r="G71" s="51"/>
      <c r="H71" s="257"/>
      <c r="I71" s="49">
        <f t="shared" si="3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60">
        <v>120</v>
      </c>
      <c r="B72" s="60">
        <f>268+17+18</f>
        <v>303</v>
      </c>
      <c r="C72" s="60">
        <v>10</v>
      </c>
      <c r="D72" s="60">
        <f>B72</f>
        <v>303</v>
      </c>
      <c r="E72" s="51"/>
      <c r="F72" s="51"/>
      <c r="G72" s="51"/>
      <c r="H72" s="257"/>
      <c r="I72" s="49">
        <f t="shared" si="3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5">
        <v>10</v>
      </c>
      <c r="B88" s="55">
        <v>11</v>
      </c>
      <c r="C88" s="55">
        <v>1</v>
      </c>
      <c r="D88" s="55">
        <v>0</v>
      </c>
      <c r="E88" s="51"/>
      <c r="F88" s="51">
        <v>0.25</v>
      </c>
      <c r="G88" s="51">
        <v>0.25</v>
      </c>
      <c r="H88" s="51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5">
        <v>20</v>
      </c>
      <c r="B89" s="55">
        <v>134</v>
      </c>
      <c r="C89" s="55">
        <v>2</v>
      </c>
      <c r="D89" s="55">
        <f>32+35</f>
        <v>67</v>
      </c>
      <c r="E89" s="51"/>
      <c r="F89" s="51">
        <v>0.25</v>
      </c>
      <c r="G89" s="51">
        <v>0.25</v>
      </c>
      <c r="H89" s="51">
        <v>0.5</v>
      </c>
      <c r="I89" s="53">
        <f t="shared" ref="I89:I107" si="4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5">
        <v>30</v>
      </c>
      <c r="B90" s="55">
        <v>212</v>
      </c>
      <c r="C90" s="55">
        <v>3</v>
      </c>
      <c r="D90" s="55">
        <f>35+35</f>
        <v>70</v>
      </c>
      <c r="E90" s="51">
        <v>0.1</v>
      </c>
      <c r="F90" s="51">
        <v>0.45</v>
      </c>
      <c r="G90" s="51">
        <v>0.45</v>
      </c>
      <c r="H90" s="51"/>
      <c r="I90" s="53">
        <f t="shared" si="4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5">
        <v>40</v>
      </c>
      <c r="B91" s="55">
        <v>263</v>
      </c>
      <c r="C91" s="55">
        <v>4</v>
      </c>
      <c r="D91" s="55">
        <f>35+35</f>
        <v>70</v>
      </c>
      <c r="E91" s="51"/>
      <c r="F91" s="51"/>
      <c r="G91" s="51"/>
      <c r="H91" s="51"/>
      <c r="I91" s="53">
        <f t="shared" si="4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5">
        <v>50</v>
      </c>
      <c r="B92" s="55">
        <v>285</v>
      </c>
      <c r="C92" s="55">
        <v>5</v>
      </c>
      <c r="D92" s="55">
        <f>24+19</f>
        <v>43</v>
      </c>
      <c r="E92" s="51"/>
      <c r="F92" s="51"/>
      <c r="G92" s="51"/>
      <c r="H92" s="51"/>
      <c r="I92" s="53">
        <f t="shared" si="4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5">
        <v>60</v>
      </c>
      <c r="B93" s="55">
        <v>310</v>
      </c>
      <c r="C93" s="55">
        <v>6</v>
      </c>
      <c r="D93" s="55">
        <f>16+14</f>
        <v>30</v>
      </c>
      <c r="E93" s="51"/>
      <c r="F93" s="51"/>
      <c r="G93" s="51"/>
      <c r="H93" s="51"/>
      <c r="I93" s="53">
        <f t="shared" si="4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5">
        <v>70</v>
      </c>
      <c r="B94" s="55">
        <v>329</v>
      </c>
      <c r="C94" s="55">
        <v>7</v>
      </c>
      <c r="D94" s="55">
        <f>13+13</f>
        <v>26</v>
      </c>
      <c r="E94" s="51"/>
      <c r="F94" s="51"/>
      <c r="G94" s="51"/>
      <c r="H94" s="51"/>
      <c r="I94" s="53">
        <f t="shared" si="4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55">
        <v>80</v>
      </c>
      <c r="B95" s="55">
        <f>319+12+11</f>
        <v>342</v>
      </c>
      <c r="C95" s="55">
        <v>8</v>
      </c>
      <c r="D95" s="55">
        <f>B95</f>
        <v>342</v>
      </c>
      <c r="E95" s="51"/>
      <c r="F95" s="51"/>
      <c r="G95" s="51"/>
      <c r="H95" s="51"/>
      <c r="I95" s="53">
        <f t="shared" si="4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60"/>
      <c r="B114" s="60"/>
      <c r="C114" s="6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60"/>
      <c r="B115" s="60"/>
      <c r="C115" s="6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60"/>
      <c r="B116" s="60"/>
      <c r="C116" s="6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60"/>
      <c r="B117" s="60"/>
      <c r="C117" s="6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60"/>
      <c r="B118" s="60"/>
      <c r="C118" s="6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60"/>
      <c r="B119" s="60"/>
      <c r="C119" s="6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3" sqref="G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Chêne-liège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Bouleau verruqueux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Cormier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150.98674906185317</v>
      </c>
      <c r="T3" s="59">
        <f>IF('Données projet'!E9&gt;30,$R$33-$H$33,LOOKUP('Données projet'!$E$9,$A$3:$A$203,R3:R203)-LOOKUP('Données projet'!$E$9,$A$3:$A$203,$H$3:$H$203))</f>
        <v>306.44063087948552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0</v>
      </c>
      <c r="AO3" s="59">
        <f>IF('Données projet'!E10&gt;30,$AM$33-$H$33,LOOKUP('Données projet'!$E$10,$A$3:$A$203,AM3:AM203)-LOOKUP('Données projet'!$E$10,$A$3:$A$203,$H$3:$H$203))</f>
        <v>0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292.4657394642</v>
      </c>
      <c r="BJ3" s="59">
        <f>IF('Données projet'!E11&gt;30,$BH$33-$H$33,LOOKUP('Données projet'!$E$11,$A$3:$A$203,BH3:BH203)-LOOKUP('Données projet'!$E$11,$A$3:$A$203,$H$3:$H$203))</f>
        <v>333.80517619352395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0</v>
      </c>
      <c r="CE3" s="59">
        <f>IF('Données projet'!E12&gt;30,$CC$33-$H$33,LOOKUP('Données projet'!$E$12,$A$3:$A$203,CC3:CC203)-LOOKUP('Données projet'!$E$12,$A$3:$A$203,$H$3:$H$203))</f>
        <v>0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7.7347365162557313</v>
      </c>
      <c r="N4" s="13">
        <f>IF('Données projet'!$A$36&gt;35,N3+M4-V3,IF(A4&lt;'Données projet'!$A$36,$K$205^A4,IF(A4='Données projet'!$A$36,'Données projet'!$B$36,N3+M4-V3)))</f>
        <v>1.4257057907404673</v>
      </c>
      <c r="O4" s="13">
        <f>N4*VLOOKUP('Données projet'!$B$9,Paramètres!$A$1:$I$89,3,0)*VLOOKUP('Données projet'!$B$9,Paramètres!$A$1:$I$89,5,0)</f>
        <v>0.85257206286279952</v>
      </c>
      <c r="P4" s="13">
        <f>EXP(-1.0587+0.8836*LN(O4)+0.284)</f>
        <v>0.40026356823882497</v>
      </c>
      <c r="Q4" s="20">
        <f t="shared" ref="Q4:Q34" si="2">(O4+P4)*0.475*44/12</f>
        <v>2.182022057501996</v>
      </c>
      <c r="R4" s="59">
        <f t="shared" si="0"/>
        <v>295.51535539083534</v>
      </c>
      <c r="S4" s="59">
        <f ca="1">AVERAGE(OFFSET($R$3,0,0,'Données projet'!$E$9+1,1))-AVERAGE(OFFSET($H$3,0,0,'Données projet'!$E$9+1,1))</f>
        <v>150.98674906185317</v>
      </c>
      <c r="T4" s="59">
        <f>$T$3</f>
        <v>306.44063087948552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1.3163916015920316</v>
      </c>
      <c r="AK4" s="13">
        <f>EXP(-1.0587+0.8836*LN(AJ4)+0.284)</f>
        <v>0.58754446832522078</v>
      </c>
      <c r="AL4" s="20">
        <f t="shared" ref="AL4:AL67" si="4">(AJ4+AK4)*0.475*44/12</f>
        <v>3.3160219884392141</v>
      </c>
      <c r="AM4" s="59">
        <f t="shared" ref="AM4:AM67" si="5">AL4+(AD4+AE4)*44/12</f>
        <v>296.64935532177253</v>
      </c>
      <c r="AN4" s="59">
        <f ca="1">AVERAGE(OFFSET($AM$3,0,0,'Données projet'!$E$10+1,1))-AVERAGE(OFFSET($H$3,0,0,'Données projet'!$E$10+1,1))</f>
        <v>0</v>
      </c>
      <c r="AO4" s="59">
        <f>$AO$3</f>
        <v>0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1.0310202862584663</v>
      </c>
      <c r="BF4" s="13">
        <f>EXP(-1.0587+0.8836*LN(BE4)+0.284)</f>
        <v>0.47345092792653765</v>
      </c>
      <c r="BG4" s="20">
        <f t="shared" ref="BG4:BG67" si="7">(BE4+BF4)*0.475*44/12</f>
        <v>2.6202873647055487</v>
      </c>
      <c r="BH4" s="59">
        <f t="shared" ref="BH4:BH67" si="8">BG4+(AY4+AZ4)*44/12</f>
        <v>295.95362069803889</v>
      </c>
      <c r="BI4" s="59">
        <f ca="1">AVERAGE(OFFSET($BH$3,0,0,'Données projet'!$E$11+1,1))-AVERAGE(OFFSET($H$3,0,0,'Données projet'!$E$11+1,1))</f>
        <v>292.4657394642</v>
      </c>
      <c r="BJ4" s="59">
        <f>$BJ$3</f>
        <v>333.80517619352395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>
        <f>BY4*VLOOKUP('Données projet'!$B$12,Paramètres!$A$1:$I$89,3,0)*VLOOKUP('Données projet'!$B$12,Paramètres!$A$1:$I$89,5,0)</f>
        <v>0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>
        <f ca="1">AVERAGE(OFFSET($CC$3,0,0,'Données projet'!$E$12+1,1))-AVERAGE(OFFSET($H$3,0,0,'Données projet'!$E$12+1,1))</f>
        <v>0</v>
      </c>
      <c r="CE4" s="59">
        <f>$CE$3</f>
        <v>0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7.7347365162557313</v>
      </c>
      <c r="N5" s="13">
        <f>IF('Données projet'!$A$36&gt;35,N4+M5-V4,IF(A5&lt;'Données projet'!$A$36,$K$205^A5,IF(A5='Données projet'!$A$36,'Données projet'!$B$36,N4+M5-V4)))</f>
        <v>2.032637001750901</v>
      </c>
      <c r="O5" s="13">
        <f>N5*VLOOKUP('Données projet'!$B$9,Paramètres!$A$1:$I$89,3,0)*VLOOKUP('Données projet'!$B$9,Paramètres!$A$1:$I$89,5,0)</f>
        <v>1.215516927047039</v>
      </c>
      <c r="P5" s="13">
        <f t="shared" ref="P5:P68" si="33">EXP(-1.0587+0.8836*LN(O5)+0.284)</f>
        <v>0.54757913866952157</v>
      </c>
      <c r="Q5" s="20">
        <f t="shared" si="2"/>
        <v>3.070725647789676</v>
      </c>
      <c r="R5" s="59">
        <f t="shared" si="0"/>
        <v>296.404058981123</v>
      </c>
      <c r="S5" s="59">
        <f ca="1">AVERAGE(OFFSET($R$3,0,0,'Données projet'!$E$9+1,1))-AVERAGE(OFFSET($H$3,0,0,'Données projet'!$E$9+1,1))</f>
        <v>150.98674906185317</v>
      </c>
      <c r="T5" s="59">
        <f t="shared" ref="T5:T68" si="34">$T$3</f>
        <v>306.44063087948552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1.5868927186282364</v>
      </c>
      <c r="AK5" s="13">
        <f t="shared" ref="AK5:AK68" si="35">EXP(-1.0587+0.8836*LN(AJ5)+0.284)</f>
        <v>0.69303616062040319</v>
      </c>
      <c r="AL5" s="20">
        <f t="shared" si="4"/>
        <v>3.9708761313580472</v>
      </c>
      <c r="AM5" s="59">
        <f t="shared" si="5"/>
        <v>297.30420946469138</v>
      </c>
      <c r="AN5" s="59">
        <f ca="1">AVERAGE(OFFSET($AM$3,0,0,'Données projet'!$E$10+1,1))-AVERAGE(OFFSET($H$3,0,0,'Données projet'!$E$10+1,1))</f>
        <v>0</v>
      </c>
      <c r="AO5" s="59">
        <f t="shared" ref="AO5:AO68" si="36">$AO$3</f>
        <v>0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1.310407828743207</v>
      </c>
      <c r="BF5" s="13">
        <f t="shared" ref="BF5:BF68" si="37">EXP(-1.0587+0.8836*LN(BE5)+0.284)</f>
        <v>0.58518398183877263</v>
      </c>
      <c r="BG5" s="20">
        <f t="shared" si="7"/>
        <v>3.3014890700969475</v>
      </c>
      <c r="BH5" s="59">
        <f t="shared" si="8"/>
        <v>296.63482240343023</v>
      </c>
      <c r="BI5" s="59">
        <f ca="1">AVERAGE(OFFSET($BH$3,0,0,'Données projet'!$E$11+1,1))-AVERAGE(OFFSET($H$3,0,0,'Données projet'!$E$11+1,1))</f>
        <v>292.4657394642</v>
      </c>
      <c r="BJ5" s="59">
        <f t="shared" ref="BJ5:BJ68" si="38">$BJ$3</f>
        <v>333.80517619352395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>
        <f>BY5*VLOOKUP('Données projet'!$B$12,Paramètres!$A$1:$I$89,3,0)*VLOOKUP('Données projet'!$B$12,Paramètres!$A$1:$I$89,5,0)</f>
        <v>0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>
        <f ca="1">AVERAGE(OFFSET($CC$3,0,0,'Données projet'!$E$12+1,1))-AVERAGE(OFFSET($H$3,0,0,'Données projet'!$E$12+1,1))</f>
        <v>0</v>
      </c>
      <c r="CE5" s="59">
        <f t="shared" ref="CE5:CE68" si="40">$CE$3</f>
        <v>0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7.7347365162557313</v>
      </c>
      <c r="N6" s="13">
        <f>IF('Données projet'!$A$36&gt;35,N5+M6-V5,IF(A6&lt;'Données projet'!$A$36,$K$205^A6,IF(A6='Données projet'!$A$36,'Données projet'!$B$36,N5+M6-V5)))</f>
        <v>2.8979423438696008</v>
      </c>
      <c r="O6" s="13">
        <f>N6*VLOOKUP('Données projet'!$B$9,Paramètres!$A$1:$I$89,3,0)*VLOOKUP('Données projet'!$B$9,Paramètres!$A$1:$I$89,5,0)</f>
        <v>1.7329695216340215</v>
      </c>
      <c r="P6" s="13">
        <f t="shared" si="33"/>
        <v>0.74911367633426007</v>
      </c>
      <c r="Q6" s="20">
        <f t="shared" si="2"/>
        <v>4.3229615697947574</v>
      </c>
      <c r="R6" s="59">
        <f t="shared" si="0"/>
        <v>297.65629490312807</v>
      </c>
      <c r="S6" s="59">
        <f ca="1">AVERAGE(OFFSET($R$3,0,0,'Données projet'!$E$9+1,1))-AVERAGE(OFFSET($H$3,0,0,'Données projet'!$E$9+1,1))</f>
        <v>150.98674906185317</v>
      </c>
      <c r="T6" s="59">
        <f t="shared" si="34"/>
        <v>306.44063087948552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1.9129782485620492</v>
      </c>
      <c r="AK6" s="13">
        <f t="shared" si="35"/>
        <v>0.81746854207741693</v>
      </c>
      <c r="AL6" s="20">
        <f t="shared" si="4"/>
        <v>4.7555281603637365</v>
      </c>
      <c r="AM6" s="59">
        <f t="shared" si="5"/>
        <v>298.08886149369704</v>
      </c>
      <c r="AN6" s="59">
        <f ca="1">AVERAGE(OFFSET($AM$3,0,0,'Données projet'!$E$10+1,1))-AVERAGE(OFFSET($H$3,0,0,'Données projet'!$E$10+1,1))</f>
        <v>0</v>
      </c>
      <c r="AO6" s="59">
        <f t="shared" si="36"/>
        <v>0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1.6655042587600553</v>
      </c>
      <c r="BF6" s="13">
        <f t="shared" si="37"/>
        <v>0.72328571431972233</v>
      </c>
      <c r="BG6" s="20">
        <f t="shared" si="7"/>
        <v>4.1604758697806128</v>
      </c>
      <c r="BH6" s="59">
        <f t="shared" si="8"/>
        <v>297.49380920311393</v>
      </c>
      <c r="BI6" s="59">
        <f ca="1">AVERAGE(OFFSET($BH$3,0,0,'Données projet'!$E$11+1,1))-AVERAGE(OFFSET($H$3,0,0,'Données projet'!$E$11+1,1))</f>
        <v>292.4657394642</v>
      </c>
      <c r="BJ6" s="59">
        <f t="shared" si="38"/>
        <v>333.80517619352395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>
        <f>BY6*VLOOKUP('Données projet'!$B$12,Paramètres!$A$1:$I$89,3,0)*VLOOKUP('Données projet'!$B$12,Paramètres!$A$1:$I$89,5,0)</f>
        <v>0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>
        <f ca="1">AVERAGE(OFFSET($CC$3,0,0,'Données projet'!$E$12+1,1))-AVERAGE(OFFSET($H$3,0,0,'Données projet'!$E$12+1,1))</f>
        <v>0</v>
      </c>
      <c r="CE6" s="59">
        <f t="shared" si="40"/>
        <v>0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7.7347365162557313</v>
      </c>
      <c r="N7" s="13">
        <f>IF('Données projet'!$A$36&gt;35,N6+M7-V6,IF(A7&lt;'Données projet'!$A$36,$K$205^A7,IF(A7='Données projet'!$A$36,'Données projet'!$B$36,N6+M7-V6)))</f>
        <v>4.1316131808868928</v>
      </c>
      <c r="O7" s="13">
        <f>N7*VLOOKUP('Données projet'!$B$9,Paramètres!$A$1:$I$89,3,0)*VLOOKUP('Données projet'!$B$9,Paramètres!$A$1:$I$89,5,0)</f>
        <v>2.470704682170362</v>
      </c>
      <c r="P7" s="13">
        <f t="shared" si="33"/>
        <v>1.024822277624627</v>
      </c>
      <c r="Q7" s="20">
        <f t="shared" si="2"/>
        <v>6.0880427883096067</v>
      </c>
      <c r="R7" s="59">
        <f t="shared" si="0"/>
        <v>299.42137612164294</v>
      </c>
      <c r="S7" s="59">
        <f ca="1">AVERAGE(OFFSET($R$3,0,0,'Données projet'!$E$9+1,1))-AVERAGE(OFFSET($H$3,0,0,'Données projet'!$E$9+1,1))</f>
        <v>150.98674906185317</v>
      </c>
      <c r="T7" s="59">
        <f t="shared" si="34"/>
        <v>306.44063087948552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2.3060700553436959</v>
      </c>
      <c r="AK7" s="13">
        <f t="shared" si="35"/>
        <v>0.9642423516371188</v>
      </c>
      <c r="AL7" s="20">
        <f t="shared" si="4"/>
        <v>5.6957941088249191</v>
      </c>
      <c r="AM7" s="59">
        <f t="shared" si="5"/>
        <v>299.02912744215826</v>
      </c>
      <c r="AN7" s="59">
        <f ca="1">AVERAGE(OFFSET($AM$3,0,0,'Données projet'!$E$10+1,1))-AVERAGE(OFFSET($H$3,0,0,'Données projet'!$E$10+1,1))</f>
        <v>0</v>
      </c>
      <c r="AO7" s="59">
        <f t="shared" si="36"/>
        <v>0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2.116825292938223</v>
      </c>
      <c r="BF7" s="13">
        <f t="shared" si="37"/>
        <v>0.89397905748405238</v>
      </c>
      <c r="BG7" s="20">
        <f t="shared" si="7"/>
        <v>5.2438175769854629</v>
      </c>
      <c r="BH7" s="59">
        <f t="shared" si="8"/>
        <v>298.57715091031878</v>
      </c>
      <c r="BI7" s="59">
        <f ca="1">AVERAGE(OFFSET($BH$3,0,0,'Données projet'!$E$11+1,1))-AVERAGE(OFFSET($H$3,0,0,'Données projet'!$E$11+1,1))</f>
        <v>292.4657394642</v>
      </c>
      <c r="BJ7" s="59">
        <f t="shared" si="38"/>
        <v>333.80517619352395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>
        <f>BY7*VLOOKUP('Données projet'!$B$12,Paramètres!$A$1:$I$89,3,0)*VLOOKUP('Données projet'!$B$12,Paramètres!$A$1:$I$89,5,0)</f>
        <v>0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>
        <f ca="1">AVERAGE(OFFSET($CC$3,0,0,'Données projet'!$E$12+1,1))-AVERAGE(OFFSET($H$3,0,0,'Données projet'!$E$12+1,1))</f>
        <v>0</v>
      </c>
      <c r="CE7" s="59">
        <f t="shared" si="40"/>
        <v>0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7.7347365162557313</v>
      </c>
      <c r="N8" s="13">
        <f>IF('Données projet'!$A$36&gt;35,N7+M8-V7,IF(A8&lt;'Données projet'!$A$36,$K$205^A8,IF(A8='Données projet'!$A$36,'Données projet'!$B$36,N7+M8-V7)))</f>
        <v>5.8904648370900849</v>
      </c>
      <c r="O8" s="13">
        <f>N8*VLOOKUP('Données projet'!$B$9,Paramètres!$A$1:$I$89,3,0)*VLOOKUP('Données projet'!$B$9,Paramètres!$A$1:$I$89,5,0)</f>
        <v>3.5224979725798713</v>
      </c>
      <c r="P8" s="13">
        <f t="shared" si="33"/>
        <v>1.4020044405745093</v>
      </c>
      <c r="Q8" s="20">
        <f t="shared" si="2"/>
        <v>8.5768417029105457</v>
      </c>
      <c r="R8" s="59">
        <f t="shared" si="0"/>
        <v>301.91017503624386</v>
      </c>
      <c r="S8" s="59">
        <f ca="1">AVERAGE(OFFSET($R$3,0,0,'Données projet'!$E$9+1,1))-AVERAGE(OFFSET($H$3,0,0,'Données projet'!$E$9+1,1))</f>
        <v>150.98674906185317</v>
      </c>
      <c r="T8" s="59">
        <f t="shared" si="34"/>
        <v>306.44063087948552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2.7799370453638397</v>
      </c>
      <c r="AK8" s="13">
        <f t="shared" si="35"/>
        <v>1.1373689198215404</v>
      </c>
      <c r="AL8" s="20">
        <f t="shared" si="4"/>
        <v>6.8226412226978708</v>
      </c>
      <c r="AM8" s="59">
        <f t="shared" si="5"/>
        <v>300.1559745560312</v>
      </c>
      <c r="AN8" s="59">
        <f ca="1">AVERAGE(OFFSET($AM$3,0,0,'Données projet'!$E$10+1,1))-AVERAGE(OFFSET($H$3,0,0,'Données projet'!$E$10+1,1))</f>
        <v>0</v>
      </c>
      <c r="AO8" s="59">
        <f t="shared" si="36"/>
        <v>0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2.690446029936302</v>
      </c>
      <c r="BF8" s="13">
        <f t="shared" si="37"/>
        <v>1.1049555374832079</v>
      </c>
      <c r="BG8" s="20">
        <f t="shared" si="7"/>
        <v>6.6103243965889789</v>
      </c>
      <c r="BH8" s="59">
        <f t="shared" si="8"/>
        <v>299.94365772992228</v>
      </c>
      <c r="BI8" s="59">
        <f ca="1">AVERAGE(OFFSET($BH$3,0,0,'Données projet'!$E$11+1,1))-AVERAGE(OFFSET($H$3,0,0,'Données projet'!$E$11+1,1))</f>
        <v>292.4657394642</v>
      </c>
      <c r="BJ8" s="59">
        <f t="shared" si="38"/>
        <v>333.80517619352395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>
        <f>BY8*VLOOKUP('Données projet'!$B$12,Paramètres!$A$1:$I$89,3,0)*VLOOKUP('Données projet'!$B$12,Paramètres!$A$1:$I$89,5,0)</f>
        <v>0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>
        <f ca="1">AVERAGE(OFFSET($CC$3,0,0,'Données projet'!$E$12+1,1))-AVERAGE(OFFSET($H$3,0,0,'Données projet'!$E$12+1,1))</f>
        <v>0</v>
      </c>
      <c r="CE8" s="59">
        <f t="shared" si="40"/>
        <v>0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7.7347365162557313</v>
      </c>
      <c r="N9" s="13">
        <f>IF('Données projet'!$A$36&gt;35,N8+M9-V8,IF(A9&lt;'Données projet'!$A$36,$K$205^A9,IF(A9='Données projet'!$A$36,'Données projet'!$B$36,N8+M9-V8)))</f>
        <v>8.3980698283924369</v>
      </c>
      <c r="O9" s="13">
        <f>N9*VLOOKUP('Données projet'!$B$9,Paramètres!$A$1:$I$89,3,0)*VLOOKUP('Données projet'!$B$9,Paramètres!$A$1:$I$89,5,0)</f>
        <v>5.0220457573786774</v>
      </c>
      <c r="P9" s="13">
        <f t="shared" si="33"/>
        <v>1.9180071455380778</v>
      </c>
      <c r="Q9" s="20">
        <f t="shared" si="2"/>
        <v>12.087258805913349</v>
      </c>
      <c r="R9" s="59">
        <f t="shared" si="0"/>
        <v>305.42059213924665</v>
      </c>
      <c r="S9" s="59">
        <f ca="1">AVERAGE(OFFSET($R$3,0,0,'Données projet'!$E$9+1,1))-AVERAGE(OFFSET($H$3,0,0,'Données projet'!$E$9+1,1))</f>
        <v>150.98674906185317</v>
      </c>
      <c r="T9" s="59">
        <f t="shared" si="34"/>
        <v>306.44063087948552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3.3511774537285035</v>
      </c>
      <c r="AK9" s="13">
        <f t="shared" si="35"/>
        <v>1.3415797984600988</v>
      </c>
      <c r="AL9" s="20">
        <f t="shared" si="4"/>
        <v>8.1732188808951491</v>
      </c>
      <c r="AM9" s="59">
        <f t="shared" si="5"/>
        <v>301.50655221422846</v>
      </c>
      <c r="AN9" s="59">
        <f ca="1">AVERAGE(OFFSET($AM$3,0,0,'Données projet'!$E$10+1,1))-AVERAGE(OFFSET($H$3,0,0,'Données projet'!$E$10+1,1))</f>
        <v>0</v>
      </c>
      <c r="AO9" s="59">
        <f t="shared" si="36"/>
        <v>0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3.4195074407641517</v>
      </c>
      <c r="BF9" s="13">
        <f t="shared" si="37"/>
        <v>1.3657218584637647</v>
      </c>
      <c r="BG9" s="20">
        <f t="shared" si="7"/>
        <v>8.3342743628219527</v>
      </c>
      <c r="BH9" s="59">
        <f t="shared" si="8"/>
        <v>301.66760769615524</v>
      </c>
      <c r="BI9" s="59">
        <f ca="1">AVERAGE(OFFSET($BH$3,0,0,'Données projet'!$E$11+1,1))-AVERAGE(OFFSET($H$3,0,0,'Données projet'!$E$11+1,1))</f>
        <v>292.4657394642</v>
      </c>
      <c r="BJ9" s="59">
        <f t="shared" si="38"/>
        <v>333.80517619352395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>
        <f>BY9*VLOOKUP('Données projet'!$B$12,Paramètres!$A$1:$I$89,3,0)*VLOOKUP('Données projet'!$B$12,Paramètres!$A$1:$I$89,5,0)</f>
        <v>0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>
        <f ca="1">AVERAGE(OFFSET($CC$3,0,0,'Données projet'!$E$12+1,1))-AVERAGE(OFFSET($H$3,0,0,'Données projet'!$E$12+1,1))</f>
        <v>0</v>
      </c>
      <c r="CE9" s="59">
        <f t="shared" si="40"/>
        <v>0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7.7347365162557313</v>
      </c>
      <c r="N10" s="13">
        <f>IF('Données projet'!$A$36&gt;35,N9+M10-V9,IF(A10&lt;'Données projet'!$A$36,$K$205^A10,IF(A10='Données projet'!$A$36,'Données projet'!$B$36,N9+M10-V9)))</f>
        <v>11.973176785381899</v>
      </c>
      <c r="O10" s="13">
        <f>N10*VLOOKUP('Données projet'!$B$9,Paramètres!$A$1:$I$89,3,0)*VLOOKUP('Données projet'!$B$9,Paramètres!$A$1:$I$89,5,0)</f>
        <v>7.1599597176583751</v>
      </c>
      <c r="P10" s="13">
        <f t="shared" si="33"/>
        <v>2.6239227950145834</v>
      </c>
      <c r="Q10" s="20">
        <f t="shared" si="2"/>
        <v>17.0402620429054</v>
      </c>
      <c r="R10" s="59">
        <f t="shared" si="0"/>
        <v>310.37359537623871</v>
      </c>
      <c r="S10" s="59">
        <f ca="1">AVERAGE(OFFSET($R$3,0,0,'Données projet'!$E$9+1,1))-AVERAGE(OFFSET($H$3,0,0,'Données projet'!$E$9+1,1))</f>
        <v>150.98674906185317</v>
      </c>
      <c r="T10" s="59">
        <f t="shared" si="34"/>
        <v>306.44063087948552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4.0398002340043702</v>
      </c>
      <c r="AK10" s="13">
        <f t="shared" si="35"/>
        <v>1.5824560740754581</v>
      </c>
      <c r="AL10" s="20">
        <f t="shared" si="4"/>
        <v>9.7920964032390341</v>
      </c>
      <c r="AM10" s="59">
        <f t="shared" si="5"/>
        <v>303.12542973657236</v>
      </c>
      <c r="AN10" s="59">
        <f ca="1">AVERAGE(OFFSET($AM$3,0,0,'Données projet'!$E$10+1,1))-AVERAGE(OFFSET($H$3,0,0,'Données projet'!$E$10+1,1))</f>
        <v>0</v>
      </c>
      <c r="AO10" s="59">
        <f t="shared" si="36"/>
        <v>0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4.3461310902855157</v>
      </c>
      <c r="BF10" s="13">
        <f t="shared" si="37"/>
        <v>1.6880282793406653</v>
      </c>
      <c r="BG10" s="20">
        <f t="shared" si="7"/>
        <v>10.509494235432264</v>
      </c>
      <c r="BH10" s="59">
        <f t="shared" si="8"/>
        <v>303.84282756876559</v>
      </c>
      <c r="BI10" s="59">
        <f ca="1">AVERAGE(OFFSET($BH$3,0,0,'Données projet'!$E$11+1,1))-AVERAGE(OFFSET($H$3,0,0,'Données projet'!$E$11+1,1))</f>
        <v>292.4657394642</v>
      </c>
      <c r="BJ10" s="59">
        <f t="shared" si="38"/>
        <v>333.80517619352395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>
        <f>BY10*VLOOKUP('Données projet'!$B$12,Paramètres!$A$1:$I$89,3,0)*VLOOKUP('Données projet'!$B$12,Paramètres!$A$1:$I$89,5,0)</f>
        <v>0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>
        <f ca="1">AVERAGE(OFFSET($CC$3,0,0,'Données projet'!$E$12+1,1))-AVERAGE(OFFSET($H$3,0,0,'Données projet'!$E$12+1,1))</f>
        <v>0</v>
      </c>
      <c r="CE10" s="59">
        <f t="shared" si="40"/>
        <v>0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7.7347365162557313</v>
      </c>
      <c r="N11" s="13">
        <f>IF('Données projet'!$A$36&gt;35,N10+M11-V10,IF(A11&lt;'Données projet'!$A$36,$K$205^A11,IF(A11='Données projet'!$A$36,'Données projet'!$B$36,N10+M11-V10)))</f>
        <v>17.070227476478308</v>
      </c>
      <c r="O11" s="13">
        <f>N11*VLOOKUP('Données projet'!$B$9,Paramètres!$A$1:$I$89,3,0)*VLOOKUP('Données projet'!$B$9,Paramètres!$A$1:$I$89,5,0)</f>
        <v>10.207996030934028</v>
      </c>
      <c r="P11" s="13">
        <f t="shared" si="33"/>
        <v>3.5896481669601075</v>
      </c>
      <c r="Q11" s="20">
        <f t="shared" si="2"/>
        <v>24.030896977998953</v>
      </c>
      <c r="R11" s="59">
        <f t="shared" si="0"/>
        <v>317.36423031133228</v>
      </c>
      <c r="S11" s="59">
        <f ca="1">AVERAGE(OFFSET($R$3,0,0,'Données projet'!$E$9+1,1))-AVERAGE(OFFSET($H$3,0,0,'Données projet'!$E$9+1,1))</f>
        <v>150.98674906185317</v>
      </c>
      <c r="T11" s="59">
        <f t="shared" si="34"/>
        <v>306.44063087948552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4.8699259158909136</v>
      </c>
      <c r="AK11" s="13">
        <f t="shared" si="35"/>
        <v>1.8665808990659087</v>
      </c>
      <c r="AL11" s="20">
        <f t="shared" si="4"/>
        <v>11.73274936938313</v>
      </c>
      <c r="AM11" s="59">
        <f t="shared" si="5"/>
        <v>305.06608270271647</v>
      </c>
      <c r="AN11" s="59">
        <f ca="1">AVERAGE(OFFSET($AM$3,0,0,'Données projet'!$E$10+1,1))-AVERAGE(OFFSET($H$3,0,0,'Données projet'!$E$10+1,1))</f>
        <v>0</v>
      </c>
      <c r="AO11" s="59">
        <f t="shared" si="36"/>
        <v>0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5.5238527130460966</v>
      </c>
      <c r="BF11" s="13">
        <f t="shared" si="37"/>
        <v>2.0863980862538192</v>
      </c>
      <c r="BG11" s="20">
        <f t="shared" si="7"/>
        <v>13.25452014211402</v>
      </c>
      <c r="BH11" s="59">
        <f t="shared" si="8"/>
        <v>306.58785347544733</v>
      </c>
      <c r="BI11" s="59">
        <f ca="1">AVERAGE(OFFSET($BH$3,0,0,'Données projet'!$E$11+1,1))-AVERAGE(OFFSET($H$3,0,0,'Données projet'!$E$11+1,1))</f>
        <v>292.4657394642</v>
      </c>
      <c r="BJ11" s="59">
        <f t="shared" si="38"/>
        <v>333.80517619352395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>
        <f>BY11*VLOOKUP('Données projet'!$B$12,Paramètres!$A$1:$I$89,3,0)*VLOOKUP('Données projet'!$B$12,Paramètres!$A$1:$I$89,5,0)</f>
        <v>0</v>
      </c>
      <c r="CA11" s="13" t="e">
        <f t="shared" si="39"/>
        <v>#NUM!</v>
      </c>
      <c r="CB11" s="20" t="e">
        <f t="shared" si="10"/>
        <v>#NUM!</v>
      </c>
      <c r="CC11" s="59" t="e">
        <f t="shared" si="11"/>
        <v>#NUM!</v>
      </c>
      <c r="CD11" s="59">
        <f ca="1">AVERAGE(OFFSET($CC$3,0,0,'Données projet'!$E$12+1,1))-AVERAGE(OFFSET($H$3,0,0,'Données projet'!$E$12+1,1))</f>
        <v>0</v>
      </c>
      <c r="CE11" s="59">
        <f t="shared" si="40"/>
        <v>0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7.7347365162557313</v>
      </c>
      <c r="N12" s="13">
        <f>IF('Données projet'!$A$36&gt;35,N11+M12-V11,IF(A12&lt;'Données projet'!$A$36,$K$205^A12,IF(A12='Données projet'!$A$36,'Données projet'!$B$36,N11+M12-V11)))</f>
        <v>24.337122162472159</v>
      </c>
      <c r="O12" s="13">
        <f>N12*VLOOKUP('Données projet'!$B$9,Paramètres!$A$1:$I$89,3,0)*VLOOKUP('Données projet'!$B$9,Paramètres!$A$1:$I$89,5,0)</f>
        <v>14.553599053158353</v>
      </c>
      <c r="P12" s="13">
        <f t="shared" si="33"/>
        <v>4.9108052977177756</v>
      </c>
      <c r="Q12" s="20">
        <f t="shared" si="2"/>
        <v>33.900504244442594</v>
      </c>
      <c r="R12" s="59">
        <f t="shared" si="0"/>
        <v>327.23383757777589</v>
      </c>
      <c r="S12" s="59">
        <f ca="1">AVERAGE(OFFSET($R$3,0,0,'Données projet'!$E$9+1,1))-AVERAGE(OFFSET($H$3,0,0,'Données projet'!$E$9+1,1))</f>
        <v>150.98674906185317</v>
      </c>
      <c r="T12" s="59">
        <f t="shared" si="34"/>
        <v>306.44063087948552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5.8706314799030963</v>
      </c>
      <c r="AK12" s="13">
        <f t="shared" si="35"/>
        <v>2.2017194093638759</v>
      </c>
      <c r="AL12" s="20">
        <f t="shared" si="4"/>
        <v>14.059344465473309</v>
      </c>
      <c r="AM12" s="59">
        <f t="shared" si="5"/>
        <v>307.39267779880663</v>
      </c>
      <c r="AN12" s="59">
        <f ca="1">AVERAGE(OFFSET($AM$3,0,0,'Données projet'!$E$10+1,1))-AVERAGE(OFFSET($H$3,0,0,'Données projet'!$E$10+1,1))</f>
        <v>0</v>
      </c>
      <c r="AO12" s="59">
        <f t="shared" si="36"/>
        <v>0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7.0207152434102458</v>
      </c>
      <c r="BF12" s="13">
        <f t="shared" si="37"/>
        <v>2.5787820189978565</v>
      </c>
      <c r="BG12" s="20">
        <f t="shared" si="7"/>
        <v>16.71912439869411</v>
      </c>
      <c r="BH12" s="59">
        <f t="shared" si="8"/>
        <v>310.05245773202745</v>
      </c>
      <c r="BI12" s="59">
        <f ca="1">AVERAGE(OFFSET($BH$3,0,0,'Données projet'!$E$11+1,1))-AVERAGE(OFFSET($H$3,0,0,'Données projet'!$E$11+1,1))</f>
        <v>292.4657394642</v>
      </c>
      <c r="BJ12" s="59">
        <f t="shared" si="38"/>
        <v>333.80517619352395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>
        <f>BY12*VLOOKUP('Données projet'!$B$12,Paramètres!$A$1:$I$89,3,0)*VLOOKUP('Données projet'!$B$12,Paramètres!$A$1:$I$89,5,0)</f>
        <v>0</v>
      </c>
      <c r="CA12" s="13" t="e">
        <f t="shared" si="39"/>
        <v>#NUM!</v>
      </c>
      <c r="CB12" s="20" t="e">
        <f t="shared" si="10"/>
        <v>#NUM!</v>
      </c>
      <c r="CC12" s="59" t="e">
        <f t="shared" si="11"/>
        <v>#NUM!</v>
      </c>
      <c r="CD12" s="59">
        <f ca="1">AVERAGE(OFFSET($CC$3,0,0,'Données projet'!$E$12+1,1))-AVERAGE(OFFSET($H$3,0,0,'Données projet'!$E$12+1,1))</f>
        <v>0</v>
      </c>
      <c r="CE12" s="59">
        <f t="shared" si="40"/>
        <v>0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7.7347365162557313</v>
      </c>
      <c r="N13" s="13">
        <f>IF('Données projet'!$A$36&gt;35,N12+M13-V12,IF(A13&lt;'Données projet'!$A$36,$K$205^A13,IF(A13='Données projet'!$A$36,'Données projet'!$B$36,N12+M13-V12)))</f>
        <v>34.697575996994715</v>
      </c>
      <c r="O13" s="13">
        <f>N13*VLOOKUP('Données projet'!$B$9,Paramètres!$A$1:$I$89,3,0)*VLOOKUP('Données projet'!$B$9,Paramètres!$A$1:$I$89,5,0)</f>
        <v>20.74915044620284</v>
      </c>
      <c r="P13" s="13">
        <f t="shared" si="33"/>
        <v>6.7182095710832908</v>
      </c>
      <c r="Q13" s="20">
        <f t="shared" si="2"/>
        <v>47.83898536344001</v>
      </c>
      <c r="R13" s="59">
        <f t="shared" si="0"/>
        <v>341.17231869677335</v>
      </c>
      <c r="S13" s="59">
        <f ca="1">AVERAGE(OFFSET($R$3,0,0,'Données projet'!$E$9+1,1))-AVERAGE(OFFSET($H$3,0,0,'Données projet'!$E$9+1,1))</f>
        <v>150.98674906185317</v>
      </c>
      <c r="T13" s="59">
        <f t="shared" si="34"/>
        <v>306.44063087948552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7.0769688426613886</v>
      </c>
      <c r="AK13" s="13">
        <f t="shared" si="35"/>
        <v>2.5970309457229952</v>
      </c>
      <c r="AL13" s="20">
        <f t="shared" si="4"/>
        <v>16.848882964769469</v>
      </c>
      <c r="AM13" s="59">
        <f t="shared" si="5"/>
        <v>310.18221629810279</v>
      </c>
      <c r="AN13" s="59">
        <f ca="1">AVERAGE(OFFSET($AM$3,0,0,'Données projet'!$E$10+1,1))-AVERAGE(OFFSET($H$3,0,0,'Données projet'!$E$10+1,1))</f>
        <v>0</v>
      </c>
      <c r="AO13" s="59">
        <f t="shared" si="36"/>
        <v>0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8.9232000000000014</v>
      </c>
      <c r="BF13" s="13">
        <f t="shared" si="37"/>
        <v>3.187367140202428</v>
      </c>
      <c r="BG13" s="20">
        <f t="shared" si="7"/>
        <v>21.092571102519226</v>
      </c>
      <c r="BH13" s="59">
        <f t="shared" si="8"/>
        <v>314.42590443585254</v>
      </c>
      <c r="BI13" s="59">
        <f ca="1">AVERAGE(OFFSET($BH$3,0,0,'Données projet'!$E$11+1,1))-AVERAGE(OFFSET($H$3,0,0,'Données projet'!$E$11+1,1))</f>
        <v>292.4657394642</v>
      </c>
      <c r="BJ13" s="59">
        <f t="shared" si="38"/>
        <v>333.80517619352395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0.1075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>
        <f>BY13*VLOOKUP('Données projet'!$B$12,Paramètres!$A$1:$I$89,3,0)*VLOOKUP('Données projet'!$B$12,Paramètres!$A$1:$I$89,5,0)</f>
        <v>0</v>
      </c>
      <c r="CA13" s="13" t="e">
        <f t="shared" si="39"/>
        <v>#NUM!</v>
      </c>
      <c r="CB13" s="20" t="e">
        <f t="shared" si="10"/>
        <v>#NUM!</v>
      </c>
      <c r="CC13" s="59" t="e">
        <f t="shared" si="11"/>
        <v>#NUM!</v>
      </c>
      <c r="CD13" s="59">
        <f ca="1">AVERAGE(OFFSET($CC$3,0,0,'Données projet'!$E$12+1,1))-AVERAGE(OFFSET($H$3,0,0,'Données projet'!$E$12+1,1))</f>
        <v>0</v>
      </c>
      <c r="CE13" s="59">
        <f t="shared" si="40"/>
        <v>0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7.7347365162557313</v>
      </c>
      <c r="N14" s="13">
        <f>IF('Données projet'!$A$36&gt;35,N13+M14-V13,IF(A14&lt;'Données projet'!$A$36,$K$205^A14,IF(A14='Données projet'!$A$36,'Données projet'!$B$36,N13+M14-V13)))</f>
        <v>49.468535023572812</v>
      </c>
      <c r="O14" s="13">
        <f>N14*VLOOKUP('Données projet'!$B$9,Paramètres!$A$1:$I$89,3,0)*VLOOKUP('Données projet'!$B$9,Paramètres!$A$1:$I$89,5,0)</f>
        <v>29.582183944096542</v>
      </c>
      <c r="P14" s="13">
        <f t="shared" si="33"/>
        <v>9.1908225035862525</v>
      </c>
      <c r="Q14" s="20">
        <f t="shared" si="2"/>
        <v>67.529652896380867</v>
      </c>
      <c r="R14" s="59">
        <f t="shared" si="0"/>
        <v>360.86298622971418</v>
      </c>
      <c r="S14" s="59">
        <f ca="1">AVERAGE(OFFSET($R$3,0,0,'Données projet'!$E$9+1,1))-AVERAGE(OFFSET($H$3,0,0,'Données projet'!$E$9+1,1))</f>
        <v>150.98674906185317</v>
      </c>
      <c r="T14" s="59">
        <f t="shared" si="34"/>
        <v>306.44063087948552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8.5311926274797933</v>
      </c>
      <c r="AK14" s="13">
        <f t="shared" si="35"/>
        <v>3.0633193786448598</v>
      </c>
      <c r="AL14" s="20">
        <f t="shared" si="4"/>
        <v>20.193775077333768</v>
      </c>
      <c r="AM14" s="59">
        <f t="shared" si="5"/>
        <v>313.5271084106671</v>
      </c>
      <c r="AN14" s="59">
        <f ca="1">AVERAGE(OFFSET($AM$3,0,0,'Données projet'!$E$10+1,1))-AVERAGE(OFFSET($H$3,0,0,'Données projet'!$E$10+1,1))</f>
        <v>0</v>
      </c>
      <c r="AO14" s="59">
        <f t="shared" si="36"/>
        <v>0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18.900960000000001</v>
      </c>
      <c r="BF14" s="13">
        <f t="shared" si="37"/>
        <v>6.1866166524774453</v>
      </c>
      <c r="BG14" s="20">
        <f t="shared" si="7"/>
        <v>43.694196003064881</v>
      </c>
      <c r="BH14" s="59">
        <f t="shared" si="8"/>
        <v>337.02752933639817</v>
      </c>
      <c r="BI14" s="59">
        <f ca="1">AVERAGE(OFFSET($BH$3,0,0,'Données projet'!$E$11+1,1))-AVERAGE(OFFSET($H$3,0,0,'Données projet'!$E$11+1,1))</f>
        <v>292.4657394642</v>
      </c>
      <c r="BJ14" s="59">
        <f t="shared" si="38"/>
        <v>333.80517619352395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>
        <f>BY14*VLOOKUP('Données projet'!$B$12,Paramètres!$A$1:$I$89,3,0)*VLOOKUP('Données projet'!$B$12,Paramètres!$A$1:$I$89,5,0)</f>
        <v>0</v>
      </c>
      <c r="CA14" s="13" t="e">
        <f t="shared" si="39"/>
        <v>#NUM!</v>
      </c>
      <c r="CB14" s="20" t="e">
        <f t="shared" si="10"/>
        <v>#NUM!</v>
      </c>
      <c r="CC14" s="59" t="e">
        <f t="shared" si="11"/>
        <v>#NUM!</v>
      </c>
      <c r="CD14" s="59">
        <f ca="1">AVERAGE(OFFSET($CC$3,0,0,'Données projet'!$E$12+1,1))-AVERAGE(OFFSET($H$3,0,0,'Données projet'!$E$12+1,1))</f>
        <v>0</v>
      </c>
      <c r="CE14" s="59">
        <f t="shared" si="40"/>
        <v>0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7.7347365162557313</v>
      </c>
      <c r="N15" s="13">
        <f>IF('Données projet'!$A$36&gt;35,N14+M15-V14,IF(A15&lt;'Données projet'!$A$36,$K$205^A15,IF(A15='Données projet'!$A$36,'Données projet'!$B$36,N14+M15-V14)))</f>
        <v>70.527576842555376</v>
      </c>
      <c r="O15" s="13">
        <f>N15*VLOOKUP('Données projet'!$B$9,Paramètres!$A$1:$I$89,3,0)*VLOOKUP('Données projet'!$B$9,Paramètres!$A$1:$I$89,5,0)</f>
        <v>42.175490951848118</v>
      </c>
      <c r="P15" s="13">
        <f t="shared" si="33"/>
        <v>12.573471755928972</v>
      </c>
      <c r="Q15" s="20">
        <f t="shared" si="2"/>
        <v>95.35444338271175</v>
      </c>
      <c r="R15" s="59">
        <f t="shared" si="0"/>
        <v>388.68777671604505</v>
      </c>
      <c r="S15" s="59">
        <f ca="1">AVERAGE(OFFSET($R$3,0,0,'Données projet'!$E$9+1,1))-AVERAGE(OFFSET($H$3,0,0,'Données projet'!$E$9+1,1))</f>
        <v>150.98674906185317</v>
      </c>
      <c r="T15" s="59">
        <f t="shared" si="34"/>
        <v>306.44063087948552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10.284240225621115</v>
      </c>
      <c r="AK15" s="13">
        <f t="shared" si="35"/>
        <v>3.6133283783296268</v>
      </c>
      <c r="AL15" s="20">
        <f t="shared" si="4"/>
        <v>24.204931985214206</v>
      </c>
      <c r="AM15" s="59">
        <f t="shared" si="5"/>
        <v>317.53826531854753</v>
      </c>
      <c r="AN15" s="59">
        <f ca="1">AVERAGE(OFFSET($AM$3,0,0,'Données projet'!$E$10+1,1))-AVERAGE(OFFSET($H$3,0,0,'Données projet'!$E$10+1,1))</f>
        <v>0</v>
      </c>
      <c r="AO15" s="59">
        <f t="shared" si="36"/>
        <v>0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28.878720000000001</v>
      </c>
      <c r="BF15" s="13">
        <f t="shared" si="37"/>
        <v>8.9974353055654852</v>
      </c>
      <c r="BG15" s="20">
        <f t="shared" si="7"/>
        <v>65.967637157193224</v>
      </c>
      <c r="BH15" s="59">
        <f t="shared" si="8"/>
        <v>359.30097049052654</v>
      </c>
      <c r="BI15" s="59">
        <f ca="1">AVERAGE(OFFSET($BH$3,0,0,'Données projet'!$E$11+1,1))-AVERAGE(OFFSET($H$3,0,0,'Données projet'!$E$11+1,1))</f>
        <v>292.4657394642</v>
      </c>
      <c r="BJ15" s="59">
        <f t="shared" si="38"/>
        <v>333.80517619352395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>
        <f>BY15*VLOOKUP('Données projet'!$B$12,Paramètres!$A$1:$I$89,3,0)*VLOOKUP('Données projet'!$B$12,Paramètres!$A$1:$I$89,5,0)</f>
        <v>0</v>
      </c>
      <c r="CA15" s="13" t="e">
        <f t="shared" si="39"/>
        <v>#NUM!</v>
      </c>
      <c r="CB15" s="20" t="e">
        <f t="shared" si="10"/>
        <v>#NUM!</v>
      </c>
      <c r="CC15" s="59" t="e">
        <f t="shared" si="11"/>
        <v>#NUM!</v>
      </c>
      <c r="CD15" s="59">
        <f ca="1">AVERAGE(OFFSET($CC$3,0,0,'Données projet'!$E$12+1,1))-AVERAGE(OFFSET($H$3,0,0,'Données projet'!$E$12+1,1))</f>
        <v>0</v>
      </c>
      <c r="CE15" s="59">
        <f t="shared" si="40"/>
        <v>0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100.55157471132451</v>
      </c>
      <c r="L16" s="12">
        <f>VLOOKUP(A16,'Données projet'!$A$35:$I$55,9,0)</f>
        <v>7.7347365162557313</v>
      </c>
      <c r="M16" s="12">
        <f t="array" ref="M16">INDEX(L:L,MIN(IF(ISNUMBER(L16:L212),ROW(L16:L212),"")))</f>
        <v>7.7347365162557313</v>
      </c>
      <c r="N16" s="13">
        <f>IF('Données projet'!$A$36&gt;35,N15+M16-V15,IF(A16&lt;'Données projet'!$A$36,$K$205^A16,IF(A16='Données projet'!$A$36,'Données projet'!$B$36,N15+M16-V15)))</f>
        <v>100.55157471132451</v>
      </c>
      <c r="O16" s="13">
        <f>N16*VLOOKUP('Données projet'!$B$9,Paramètres!$A$1:$I$89,3,0)*VLOOKUP('Données projet'!$B$9,Paramètres!$A$1:$I$89,5,0)</f>
        <v>60.129841677372056</v>
      </c>
      <c r="P16" s="13">
        <f t="shared" si="33"/>
        <v>17.201092931068612</v>
      </c>
      <c r="Q16" s="20">
        <f t="shared" si="2"/>
        <v>134.68471110970083</v>
      </c>
      <c r="R16" s="59">
        <f t="shared" si="0"/>
        <v>428.01804444303411</v>
      </c>
      <c r="S16" s="59">
        <f ca="1">AVERAGE(OFFSET($R$3,0,0,'Données projet'!$E$9+1,1))-AVERAGE(OFFSET($H$3,0,0,'Données projet'!$E$9+1,1))</f>
        <v>150.98674906185317</v>
      </c>
      <c r="T16" s="59">
        <f t="shared" si="34"/>
        <v>306.44063087948552</v>
      </c>
      <c r="U16" s="15">
        <f>IF(ISNA(VLOOKUP(A16,'Données projet'!$A$35:$I$55,3,0)),0,VLOOKUP(A16,'Données projet'!$A$35:$I$55,3,0))</f>
        <v>1</v>
      </c>
      <c r="V16" s="15">
        <f>IF(ISNA(VLOOKUP(A16,'Données projet'!$A$35:$I$55,4,0)),0,VLOOKUP(A16,'Données projet'!$A$35:$I$55,4,0))</f>
        <v>28.45250451563658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0.22500000000000001</v>
      </c>
      <c r="Y16" s="16">
        <f>IF(ISNA(VLOOKUP(A16,'Données projet'!$A$35:$I$55,7,0)),0%,VLOOKUP(A16,'Données projet'!$A$35:$I$55,7,0))</f>
        <v>0.5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5.0584702637385801</v>
      </c>
      <c r="AB16" s="21">
        <f>EXP(-LN(2)/2)*AB15+(1-EXP(-LN(2)/2))/(LN(2)/2)*V16*Y16*VLOOKUP('Données projet'!$B$9,Paramètres!$A$1:$I$89,3,0)*0.475*44/12</f>
        <v>9.6322385228782839</v>
      </c>
      <c r="AC16" s="22">
        <f t="shared" si="3"/>
        <v>14.690708786616863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12.39751599062507</v>
      </c>
      <c r="AK16" s="13">
        <f t="shared" si="35"/>
        <v>4.2620896993828756</v>
      </c>
      <c r="AL16" s="20">
        <f t="shared" si="4"/>
        <v>29.015479910097174</v>
      </c>
      <c r="AM16" s="59">
        <f t="shared" si="5"/>
        <v>322.34881324343047</v>
      </c>
      <c r="AN16" s="59">
        <f ca="1">AVERAGE(OFFSET($AM$3,0,0,'Données projet'!$E$10+1,1))-AVERAGE(OFFSET($H$3,0,0,'Données projet'!$E$10+1,1))</f>
        <v>0</v>
      </c>
      <c r="AO16" s="59">
        <f t="shared" si="36"/>
        <v>0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38.856480000000012</v>
      </c>
      <c r="BF16" s="13">
        <f t="shared" si="37"/>
        <v>11.695047069343518</v>
      </c>
      <c r="BG16" s="20">
        <f t="shared" si="7"/>
        <v>88.043909645773326</v>
      </c>
      <c r="BH16" s="59">
        <f t="shared" si="8"/>
        <v>381.37724297910665</v>
      </c>
      <c r="BI16" s="59">
        <f ca="1">AVERAGE(OFFSET($BH$3,0,0,'Données projet'!$E$11+1,1))-AVERAGE(OFFSET($H$3,0,0,'Données projet'!$E$11+1,1))</f>
        <v>292.4657394642</v>
      </c>
      <c r="BJ16" s="59">
        <f t="shared" si="38"/>
        <v>333.80517619352395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>
        <f>BY16*VLOOKUP('Données projet'!$B$12,Paramètres!$A$1:$I$89,3,0)*VLOOKUP('Données projet'!$B$12,Paramètres!$A$1:$I$89,5,0)</f>
        <v>0</v>
      </c>
      <c r="CA16" s="13" t="e">
        <f t="shared" si="39"/>
        <v>#NUM!</v>
      </c>
      <c r="CB16" s="20" t="e">
        <f t="shared" si="10"/>
        <v>#NUM!</v>
      </c>
      <c r="CC16" s="59" t="e">
        <f t="shared" si="11"/>
        <v>#NUM!</v>
      </c>
      <c r="CD16" s="59">
        <f ca="1">AVERAGE(OFFSET($CC$3,0,0,'Données projet'!$E$12+1,1))-AVERAGE(OFFSET($H$3,0,0,'Données projet'!$E$12+1,1))</f>
        <v>0</v>
      </c>
      <c r="CE16" s="59">
        <f t="shared" si="40"/>
        <v>0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18.874419301350073</v>
      </c>
      <c r="N17" s="13">
        <f>IF('Données projet'!$A$36&gt;35,N16+M17-V16,IF(A17&lt;'Données projet'!$A$36,$K$205^A17,IF(A17='Données projet'!$A$36,'Données projet'!$B$36,N16+M17-V16)))</f>
        <v>90.973489497038003</v>
      </c>
      <c r="O17" s="13">
        <f>N17*VLOOKUP('Données projet'!$B$9,Paramètres!$A$1:$I$89,3,0)*VLOOKUP('Données projet'!$B$9,Paramètres!$A$1:$I$89,5,0)</f>
        <v>54.402146719228732</v>
      </c>
      <c r="P17" s="13">
        <f t="shared" si="33"/>
        <v>15.744990230453876</v>
      </c>
      <c r="Q17" s="20">
        <f t="shared" si="2"/>
        <v>122.17293018736386</v>
      </c>
      <c r="R17" s="59">
        <f t="shared" si="0"/>
        <v>415.50626352069719</v>
      </c>
      <c r="S17" s="59">
        <f ca="1">AVERAGE(OFFSET($R$3,0,0,'Données projet'!$E$9+1,1))-AVERAGE(OFFSET($H$3,0,0,'Données projet'!$E$9+1,1))</f>
        <v>150.98674906185317</v>
      </c>
      <c r="T17" s="59">
        <f t="shared" si="34"/>
        <v>306.44063087948552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4.9201461283632586</v>
      </c>
      <c r="AB17" s="21">
        <f>EXP(-LN(2)/2)*AB16+(1-EXP(-LN(2)/2))/(LN(2)/2)*V17*Y17*VLOOKUP('Données projet'!$B$9,Paramètres!$A$1:$I$89,3,0)*0.475*44/12</f>
        <v>6.8110211775335285</v>
      </c>
      <c r="AC17" s="22">
        <f t="shared" si="3"/>
        <v>11.731167305896786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14.945042061045569</v>
      </c>
      <c r="AK17" s="13">
        <f t="shared" si="35"/>
        <v>5.0273339989052248</v>
      </c>
      <c r="AL17" s="20">
        <f t="shared" si="4"/>
        <v>34.785221637747632</v>
      </c>
      <c r="AM17" s="59">
        <f t="shared" si="5"/>
        <v>328.11855497108093</v>
      </c>
      <c r="AN17" s="59">
        <f ca="1">AVERAGE(OFFSET($AM$3,0,0,'Données projet'!$E$10+1,1))-AVERAGE(OFFSET($H$3,0,0,'Données projet'!$E$10+1,1))</f>
        <v>0</v>
      </c>
      <c r="AO17" s="59">
        <f t="shared" si="36"/>
        <v>0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48.834240000000008</v>
      </c>
      <c r="BF17" s="13">
        <f t="shared" si="37"/>
        <v>14.312284945668457</v>
      </c>
      <c r="BG17" s="20">
        <f t="shared" si="7"/>
        <v>109.98019761370591</v>
      </c>
      <c r="BH17" s="59">
        <f t="shared" si="8"/>
        <v>403.31353094703923</v>
      </c>
      <c r="BI17" s="59">
        <f ca="1">AVERAGE(OFFSET($BH$3,0,0,'Données projet'!$E$11+1,1))-AVERAGE(OFFSET($H$3,0,0,'Données projet'!$E$11+1,1))</f>
        <v>292.4657394642</v>
      </c>
      <c r="BJ17" s="59">
        <f t="shared" si="38"/>
        <v>333.80517619352395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>
        <f>BY17*VLOOKUP('Données projet'!$B$12,Paramètres!$A$1:$I$89,3,0)*VLOOKUP('Données projet'!$B$12,Paramètres!$A$1:$I$89,5,0)</f>
        <v>0</v>
      </c>
      <c r="CA17" s="13" t="e">
        <f t="shared" si="39"/>
        <v>#NUM!</v>
      </c>
      <c r="CB17" s="20" t="e">
        <f t="shared" si="10"/>
        <v>#NUM!</v>
      </c>
      <c r="CC17" s="59" t="e">
        <f t="shared" si="11"/>
        <v>#NUM!</v>
      </c>
      <c r="CD17" s="59">
        <f ca="1">AVERAGE(OFFSET($CC$3,0,0,'Données projet'!$E$12+1,1))-AVERAGE(OFFSET($H$3,0,0,'Données projet'!$E$12+1,1))</f>
        <v>0</v>
      </c>
      <c r="CE17" s="59">
        <f t="shared" si="40"/>
        <v>0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18.874419301350073</v>
      </c>
      <c r="N18" s="13">
        <f>IF('Données projet'!$A$36&gt;35,N17+M18-V17,IF(A18&lt;'Données projet'!$A$36,$K$205^A18,IF(A18='Données projet'!$A$36,'Données projet'!$B$36,N17+M18-V17)))</f>
        <v>109.84790879838808</v>
      </c>
      <c r="O18" s="13">
        <f>N18*VLOOKUP('Données projet'!$B$9,Paramètres!$A$1:$I$89,3,0)*VLOOKUP('Données projet'!$B$9,Paramètres!$A$1:$I$89,5,0)</f>
        <v>65.68904946143607</v>
      </c>
      <c r="P18" s="13">
        <f t="shared" si="33"/>
        <v>18.598968540671081</v>
      </c>
      <c r="Q18" s="20">
        <f t="shared" si="2"/>
        <v>146.80163135366993</v>
      </c>
      <c r="R18" s="59">
        <f t="shared" si="0"/>
        <v>440.13496468700328</v>
      </c>
      <c r="S18" s="59">
        <f ca="1">AVERAGE(OFFSET($R$3,0,0,'Données projet'!$E$9+1,1))-AVERAGE(OFFSET($H$3,0,0,'Données projet'!$E$9+1,1))</f>
        <v>150.98674906185317</v>
      </c>
      <c r="T18" s="59">
        <f t="shared" si="34"/>
        <v>306.44063087948552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4.7856044737439252</v>
      </c>
      <c r="AB18" s="21">
        <f>EXP(-LN(2)/2)*AB17+(1-EXP(-LN(2)/2))/(LN(2)/2)*V18*Y18*VLOOKUP('Données projet'!$B$9,Paramètres!$A$1:$I$89,3,0)*0.475*44/12</f>
        <v>4.8161192614391419</v>
      </c>
      <c r="AC18" s="22">
        <f t="shared" si="3"/>
        <v>9.601723735183068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18.016051148901152</v>
      </c>
      <c r="AK18" s="13">
        <f t="shared" si="35"/>
        <v>5.929975415629551</v>
      </c>
      <c r="AL18" s="20">
        <f t="shared" si="4"/>
        <v>41.705996266557641</v>
      </c>
      <c r="AM18" s="59">
        <f t="shared" si="5"/>
        <v>335.03932959989095</v>
      </c>
      <c r="AN18" s="59">
        <f ca="1">AVERAGE(OFFSET($AM$3,0,0,'Données projet'!$E$10+1,1))-AVERAGE(OFFSET($H$3,0,0,'Données projet'!$E$10+1,1))</f>
        <v>0</v>
      </c>
      <c r="AO18" s="59">
        <f t="shared" si="36"/>
        <v>0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58.812000000000005</v>
      </c>
      <c r="BF18" s="13">
        <f t="shared" si="37"/>
        <v>16.86755663452599</v>
      </c>
      <c r="BG18" s="20">
        <f t="shared" si="7"/>
        <v>131.8085611384661</v>
      </c>
      <c r="BH18" s="59">
        <f t="shared" si="8"/>
        <v>425.14189447179945</v>
      </c>
      <c r="BI18" s="59">
        <f ca="1">AVERAGE(OFFSET($BH$3,0,0,'Données projet'!$E$11+1,1))-AVERAGE(OFFSET($H$3,0,0,'Données projet'!$E$11+1,1))</f>
        <v>292.4657394642</v>
      </c>
      <c r="BJ18" s="59">
        <f t="shared" si="38"/>
        <v>333.80517619352395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>
        <f>BY18*VLOOKUP('Données projet'!$B$12,Paramètres!$A$1:$I$89,3,0)*VLOOKUP('Données projet'!$B$12,Paramètres!$A$1:$I$89,5,0)</f>
        <v>0</v>
      </c>
      <c r="CA18" s="13" t="e">
        <f t="shared" si="39"/>
        <v>#NUM!</v>
      </c>
      <c r="CB18" s="20" t="e">
        <f t="shared" si="10"/>
        <v>#NUM!</v>
      </c>
      <c r="CC18" s="59" t="e">
        <f t="shared" si="11"/>
        <v>#NUM!</v>
      </c>
      <c r="CD18" s="59">
        <f ca="1">AVERAGE(OFFSET($CC$3,0,0,'Données projet'!$E$12+1,1))-AVERAGE(OFFSET($H$3,0,0,'Données projet'!$E$12+1,1))</f>
        <v>0</v>
      </c>
      <c r="CE18" s="59">
        <f t="shared" si="40"/>
        <v>0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18.874419301350073</v>
      </c>
      <c r="N19" s="13">
        <f>IF('Données projet'!$A$36&gt;35,N18+M19-V18,IF(A19&lt;'Données projet'!$A$36,$K$205^A19,IF(A19='Données projet'!$A$36,'Données projet'!$B$36,N18+M19-V18)))</f>
        <v>128.72232809973815</v>
      </c>
      <c r="O19" s="13">
        <f>N19*VLOOKUP('Données projet'!$B$9,Paramètres!$A$1:$I$89,3,0)*VLOOKUP('Données projet'!$B$9,Paramètres!$A$1:$I$89,5,0)</f>
        <v>76.975952203643416</v>
      </c>
      <c r="P19" s="13">
        <f t="shared" si="33"/>
        <v>21.396138704495627</v>
      </c>
      <c r="Q19" s="20">
        <f t="shared" si="2"/>
        <v>171.33139166500882</v>
      </c>
      <c r="R19" s="59">
        <f t="shared" si="0"/>
        <v>464.66472499834214</v>
      </c>
      <c r="S19" s="59">
        <f ca="1">AVERAGE(OFFSET($R$3,0,0,'Données projet'!$E$9+1,1))-AVERAGE(OFFSET($H$3,0,0,'Données projet'!$E$9+1,1))</f>
        <v>150.98674906185317</v>
      </c>
      <c r="T19" s="59">
        <f t="shared" si="34"/>
        <v>306.44063087948552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4.654741867745396</v>
      </c>
      <c r="AB19" s="21">
        <f>EXP(-LN(2)/2)*AB18+(1-EXP(-LN(2)/2))/(LN(2)/2)*V19*Y19*VLOOKUP('Données projet'!$B$9,Paramètres!$A$1:$I$89,3,0)*0.475*44/12</f>
        <v>3.4055105887667643</v>
      </c>
      <c r="AC19" s="22">
        <f t="shared" si="3"/>
        <v>8.0602524565121598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21.718112111965159</v>
      </c>
      <c r="AK19" s="13">
        <f t="shared" si="35"/>
        <v>6.9946831536612626</v>
      </c>
      <c r="AL19" s="20">
        <f t="shared" si="4"/>
        <v>50.008118420966014</v>
      </c>
      <c r="AM19" s="59">
        <f t="shared" si="5"/>
        <v>343.34145175429933</v>
      </c>
      <c r="AN19" s="59">
        <f ca="1">AVERAGE(OFFSET($AM$3,0,0,'Données projet'!$E$10+1,1))-AVERAGE(OFFSET($H$3,0,0,'Données projet'!$E$10+1,1))</f>
        <v>0</v>
      </c>
      <c r="AO19" s="59">
        <f t="shared" si="36"/>
        <v>0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68.789760000000001</v>
      </c>
      <c r="BF19" s="13">
        <f t="shared" si="37"/>
        <v>19.372607944380292</v>
      </c>
      <c r="BG19" s="20">
        <f t="shared" si="7"/>
        <v>153.54945750312902</v>
      </c>
      <c r="BH19" s="59">
        <f t="shared" si="8"/>
        <v>446.88279083646233</v>
      </c>
      <c r="BI19" s="59">
        <f ca="1">AVERAGE(OFFSET($BH$3,0,0,'Données projet'!$E$11+1,1))-AVERAGE(OFFSET($H$3,0,0,'Données projet'!$E$11+1,1))</f>
        <v>292.4657394642</v>
      </c>
      <c r="BJ19" s="59">
        <f t="shared" si="38"/>
        <v>333.80517619352395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0</v>
      </c>
      <c r="CE19" s="59">
        <f t="shared" si="40"/>
        <v>0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18.874419301350073</v>
      </c>
      <c r="N20" s="13">
        <f>IF('Données projet'!$A$36&gt;35,N19+M20-V19,IF(A20&lt;'Données projet'!$A$36,$K$205^A20,IF(A20='Données projet'!$A$36,'Données projet'!$B$36,N19+M20-V19)))</f>
        <v>147.59674740108824</v>
      </c>
      <c r="O20" s="13">
        <f>N20*VLOOKUP('Données projet'!$B$9,Paramètres!$A$1:$I$89,3,0)*VLOOKUP('Données projet'!$B$9,Paramètres!$A$1:$I$89,5,0)</f>
        <v>88.262854945850762</v>
      </c>
      <c r="P20" s="13">
        <f t="shared" si="33"/>
        <v>24.145793384221474</v>
      </c>
      <c r="Q20" s="20">
        <f t="shared" si="2"/>
        <v>195.77839584154245</v>
      </c>
      <c r="R20" s="59">
        <f t="shared" si="0"/>
        <v>489.11172917487579</v>
      </c>
      <c r="S20" s="59">
        <f ca="1">AVERAGE(OFFSET($R$3,0,0,'Données projet'!$E$9+1,1))-AVERAGE(OFFSET($H$3,0,0,'Données projet'!$E$9+1,1))</f>
        <v>150.98674906185317</v>
      </c>
      <c r="T20" s="59">
        <f t="shared" si="34"/>
        <v>306.44063087948552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4.5274577065896615</v>
      </c>
      <c r="AB20" s="21">
        <f>EXP(-LN(2)/2)*AB19+(1-EXP(-LN(2)/2))/(LN(2)/2)*V20*Y20*VLOOKUP('Données projet'!$B$9,Paramètres!$A$1:$I$89,3,0)*0.475*44/12</f>
        <v>2.408059630719571</v>
      </c>
      <c r="AC20" s="22">
        <f t="shared" si="3"/>
        <v>6.935517337309232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26.180897789949739</v>
      </c>
      <c r="AK20" s="13">
        <f t="shared" si="35"/>
        <v>8.2505556922141956</v>
      </c>
      <c r="AL20" s="20">
        <f t="shared" si="4"/>
        <v>59.968114814768853</v>
      </c>
      <c r="AM20" s="59">
        <f t="shared" si="5"/>
        <v>353.30144814810217</v>
      </c>
      <c r="AN20" s="59">
        <f ca="1">AVERAGE(OFFSET($AM$3,0,0,'Données projet'!$E$10+1,1))-AVERAGE(OFFSET($H$3,0,0,'Données projet'!$E$10+1,1))</f>
        <v>0</v>
      </c>
      <c r="AO20" s="59">
        <f t="shared" si="36"/>
        <v>0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78.767520000000005</v>
      </c>
      <c r="BF20" s="13">
        <f t="shared" si="37"/>
        <v>21.835564602345425</v>
      </c>
      <c r="BG20" s="20">
        <f t="shared" si="7"/>
        <v>175.21703901575162</v>
      </c>
      <c r="BH20" s="59">
        <f t="shared" si="8"/>
        <v>468.55037234908491</v>
      </c>
      <c r="BI20" s="59">
        <f ca="1">AVERAGE(OFFSET($BH$3,0,0,'Données projet'!$E$11+1,1))-AVERAGE(OFFSET($H$3,0,0,'Données projet'!$E$11+1,1))</f>
        <v>292.4657394642</v>
      </c>
      <c r="BJ20" s="59">
        <f t="shared" si="38"/>
        <v>333.80517619352395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0</v>
      </c>
      <c r="CE20" s="59">
        <f t="shared" si="40"/>
        <v>0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166.4711667024383</v>
      </c>
      <c r="L21" s="12">
        <f>VLOOKUP(A21,'Données projet'!$A$35:$I$55,9,0)</f>
        <v>18.874419301350073</v>
      </c>
      <c r="M21" s="12">
        <f t="array" ref="M21">INDEX(L:L,MIN(IF(ISNUMBER(L21:L217),ROW(L21:L217),"")))</f>
        <v>18.874419301350073</v>
      </c>
      <c r="N21" s="13">
        <f>IF('Données projet'!$A$36&gt;35,N20+M21-V20,IF(A21&lt;'Données projet'!$A$36,$K$205^A21,IF(A21='Données projet'!$A$36,'Données projet'!$B$36,N20+M21-V20)))</f>
        <v>166.47116670243832</v>
      </c>
      <c r="O21" s="13">
        <f>N21*VLOOKUP('Données projet'!$B$9,Paramètres!$A$1:$I$89,3,0)*VLOOKUP('Données projet'!$B$9,Paramètres!$A$1:$I$89,5,0)</f>
        <v>99.549757688058136</v>
      </c>
      <c r="P21" s="13">
        <f t="shared" si="33"/>
        <v>26.854705371439326</v>
      </c>
      <c r="Q21" s="20">
        <f t="shared" si="2"/>
        <v>220.15443982862473</v>
      </c>
      <c r="R21" s="59">
        <f t="shared" si="0"/>
        <v>513.4877731619581</v>
      </c>
      <c r="S21" s="59">
        <f ca="1">AVERAGE(OFFSET($R$3,0,0,'Données projet'!$E$9+1,1))-AVERAGE(OFFSET($H$3,0,0,'Données projet'!$E$9+1,1))</f>
        <v>150.98674906185317</v>
      </c>
      <c r="T21" s="59">
        <f t="shared" si="34"/>
        <v>306.44063087948552</v>
      </c>
      <c r="U21" s="15">
        <f>IF(ISNA(VLOOKUP(A21,'Données projet'!$A$35:$I$55,3,0)),0,VLOOKUP(A21,'Données projet'!$A$35:$I$55,3,0))</f>
        <v>2</v>
      </c>
      <c r="V21" s="15">
        <f>IF(ISNA(VLOOKUP(A21,'Données projet'!$A$35:$I$55,4,0)),0,VLOOKUP(A21,'Données projet'!$A$35:$I$55,4,0))</f>
        <v>40.327640133665668</v>
      </c>
      <c r="W21" s="16">
        <f>IF(ISNA(VLOOKUP(A21,'Données projet'!$A$35:$I$55,5,0)),0%,VLOOKUP(A21,'Données projet'!$A$35:$I$55,5,0)*VLOOKUP('Données projet'!$B$9,Paramètres!$A$1:$I$89,7,0))</f>
        <v>4.5000000000000005E-2</v>
      </c>
      <c r="X21" s="16">
        <f>IF(ISNA(VLOOKUP(A21,'Données projet'!$A$35:$I$55,6,0)),0%,VLOOKUP(A21,'Données projet'!$A$35:$I$55,6,0)*VLOOKUP('Données projet'!$B$9,Paramètres!$A$1:$I$89,7,0))</f>
        <v>0.20250000000000001</v>
      </c>
      <c r="Y21" s="16">
        <f>IF(ISNA(VLOOKUP(A21,'Données projet'!$A$35:$I$55,7,0)),0%,VLOOKUP(A21,'Données projet'!$A$35:$I$55,7,0))</f>
        <v>0.45</v>
      </c>
      <c r="Z21" s="21">
        <f>EXP(-LN(2)/35)*Z20+(1-EXP(-LN(2)/35))/(LN(2)/35)*V21*W21*VLOOKUP('Données projet'!$B$9,Paramètres!$A$1:$I$89,3,0)*0.475*44/12</f>
        <v>1.439610028015528</v>
      </c>
      <c r="AA21" s="21">
        <f>EXP(-LN(2)/25)*AA20+(1-EXP(-LN(2)/25))/(LN(2)/25)*Calculateur!V21*Calculateur!X21*VLOOKUP('Données projet'!$B$9,Paramètres!$A$1:$I$89,3,0)*0.475*44/12</f>
        <v>10.856391944117938</v>
      </c>
      <c r="AB21" s="21">
        <f>EXP(-LN(2)/2)*AB20+(1-EXP(-LN(2)/2))/(LN(2)/2)*V21*Y21*VLOOKUP('Données projet'!$B$9,Paramètres!$A$1:$I$89,3,0)*0.475*44/12</f>
        <v>13.989930356842672</v>
      </c>
      <c r="AC21" s="22">
        <f t="shared" si="3"/>
        <v>26.285932328976138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31.560727081345441</v>
      </c>
      <c r="AK21" s="13">
        <f t="shared" si="35"/>
        <v>9.7319160475048836</v>
      </c>
      <c r="AL21" s="20">
        <f t="shared" si="4"/>
        <v>71.918020116080967</v>
      </c>
      <c r="AM21" s="59">
        <f t="shared" si="5"/>
        <v>365.2513534494143</v>
      </c>
      <c r="AN21" s="59">
        <f ca="1">AVERAGE(OFFSET($AM$3,0,0,'Données projet'!$E$10+1,1))-AVERAGE(OFFSET($H$3,0,0,'Données projet'!$E$10+1,1))</f>
        <v>0</v>
      </c>
      <c r="AO21" s="59">
        <f t="shared" si="36"/>
        <v>0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88.745279999999994</v>
      </c>
      <c r="BF21" s="13">
        <f t="shared" si="37"/>
        <v>24.262369928218718</v>
      </c>
      <c r="BG21" s="20">
        <f t="shared" si="7"/>
        <v>196.82165695831426</v>
      </c>
      <c r="BH21" s="59">
        <f t="shared" si="8"/>
        <v>490.15499029164755</v>
      </c>
      <c r="BI21" s="59">
        <f ca="1">AVERAGE(OFFSET($BH$3,0,0,'Données projet'!$E$11+1,1))-AVERAGE(OFFSET($H$3,0,0,'Données projet'!$E$11+1,1))</f>
        <v>292.4657394642</v>
      </c>
      <c r="BJ21" s="59">
        <f t="shared" si="38"/>
        <v>333.80517619352395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0</v>
      </c>
      <c r="CE21" s="59">
        <f t="shared" si="40"/>
        <v>0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17.819758776411195</v>
      </c>
      <c r="N22" s="13">
        <f>IF('Données projet'!$A$36&gt;35,N21+M22-V21,IF(A22&lt;'Données projet'!$A$36,$K$205^A22,IF(A22='Données projet'!$A$36,'Données projet'!$B$36,N21+M22-V21)))</f>
        <v>143.96328534518386</v>
      </c>
      <c r="O22" s="13">
        <f>N22*VLOOKUP('Données projet'!$B$9,Paramètres!$A$1:$I$89,3,0)*VLOOKUP('Données projet'!$B$9,Paramètres!$A$1:$I$89,5,0)</f>
        <v>86.090044636419961</v>
      </c>
      <c r="P22" s="13">
        <f t="shared" si="33"/>
        <v>23.619814170200961</v>
      </c>
      <c r="Q22" s="20">
        <f t="shared" si="2"/>
        <v>191.0780040881981</v>
      </c>
      <c r="R22" s="59">
        <f t="shared" si="0"/>
        <v>484.41133742153141</v>
      </c>
      <c r="S22" s="59">
        <f ca="1">AVERAGE(OFFSET($R$3,0,0,'Données projet'!$E$9+1,1))-AVERAGE(OFFSET($H$3,0,0,'Données projet'!$E$9+1,1))</f>
        <v>150.98674906185317</v>
      </c>
      <c r="T22" s="59">
        <f t="shared" si="34"/>
        <v>306.44063087948552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1.4113801534415578</v>
      </c>
      <c r="AA22" s="21">
        <f>EXP(-LN(2)/25)*AA21+(1-EXP(-LN(2)/25))/(LN(2)/25)*Calculateur!V22*Calculateur!X22*VLOOKUP('Données projet'!$B$9,Paramètres!$A$1:$I$89,3,0)*0.475*44/12</f>
        <v>10.559523335493193</v>
      </c>
      <c r="AB22" s="21">
        <f>EXP(-LN(2)/2)*AB21+(1-EXP(-LN(2)/2))/(LN(2)/2)*V22*Y22*VLOOKUP('Données projet'!$B$9,Paramètres!$A$1:$I$89,3,0)*0.475*44/12</f>
        <v>9.8923746236509906</v>
      </c>
      <c r="AC22" s="22">
        <f t="shared" si="3"/>
        <v>21.863278112585739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38.046040357162397</v>
      </c>
      <c r="AK22" s="13">
        <f t="shared" si="35"/>
        <v>11.479249821325153</v>
      </c>
      <c r="AL22" s="20">
        <f t="shared" si="4"/>
        <v>86.256547060865827</v>
      </c>
      <c r="AM22" s="59">
        <f t="shared" si="5"/>
        <v>379.58988039419916</v>
      </c>
      <c r="AN22" s="59">
        <f ca="1">AVERAGE(OFFSET($AM$3,0,0,'Données projet'!$E$10+1,1))-AVERAGE(OFFSET($H$3,0,0,'Données projet'!$E$10+1,1))</f>
        <v>0</v>
      </c>
      <c r="AO22" s="59">
        <f t="shared" si="36"/>
        <v>0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98.723039999999997</v>
      </c>
      <c r="BF22" s="13">
        <f t="shared" si="37"/>
        <v>26.65755226341626</v>
      </c>
      <c r="BG22" s="20">
        <f t="shared" si="7"/>
        <v>218.37119819211662</v>
      </c>
      <c r="BH22" s="59">
        <f t="shared" si="8"/>
        <v>511.70453152544997</v>
      </c>
      <c r="BI22" s="59">
        <f ca="1">AVERAGE(OFFSET($BH$3,0,0,'Données projet'!$E$11+1,1))-AVERAGE(OFFSET($H$3,0,0,'Données projet'!$E$11+1,1))</f>
        <v>292.4657394642</v>
      </c>
      <c r="BJ22" s="59">
        <f t="shared" si="38"/>
        <v>333.80517619352395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0</v>
      </c>
      <c r="CE22" s="59">
        <f t="shared" si="40"/>
        <v>0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17.819758776411195</v>
      </c>
      <c r="N23" s="13">
        <f>IF('Données projet'!$A$36&gt;35,N22+M23-V22,IF(A23&lt;'Données projet'!$A$36,$K$205^A23,IF(A23='Données projet'!$A$36,'Données projet'!$B$36,N22+M23-V22)))</f>
        <v>161.78304412159505</v>
      </c>
      <c r="O23" s="13">
        <f>N23*VLOOKUP('Données projet'!$B$9,Paramètres!$A$1:$I$89,3,0)*VLOOKUP('Données projet'!$B$9,Paramètres!$A$1:$I$89,5,0)</f>
        <v>96.74626038471385</v>
      </c>
      <c r="P23" s="13">
        <f t="shared" si="33"/>
        <v>26.185352967373731</v>
      </c>
      <c r="Q23" s="20">
        <f t="shared" si="2"/>
        <v>214.10589325488584</v>
      </c>
      <c r="R23" s="59">
        <f t="shared" si="0"/>
        <v>507.43922658821919</v>
      </c>
      <c r="S23" s="59">
        <f ca="1">AVERAGE(OFFSET($R$3,0,0,'Données projet'!$E$9+1,1))-AVERAGE(OFFSET($H$3,0,0,'Données projet'!$E$9+1,1))</f>
        <v>150.98674906185317</v>
      </c>
      <c r="T23" s="59">
        <f t="shared" si="34"/>
        <v>306.44063087948552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1.3837038494894598</v>
      </c>
      <c r="AA23" s="21">
        <f>EXP(-LN(2)/25)*AA22+(1-EXP(-LN(2)/25))/(LN(2)/25)*Calculateur!V23*Calculateur!X23*VLOOKUP('Données projet'!$B$9,Paramètres!$A$1:$I$89,3,0)*0.475*44/12</f>
        <v>10.270772614582933</v>
      </c>
      <c r="AB23" s="21">
        <f>EXP(-LN(2)/2)*AB22+(1-EXP(-LN(2)/2))/(LN(2)/2)*V23*Y23*VLOOKUP('Données projet'!$B$9,Paramètres!$A$1:$I$89,3,0)*0.475*44/12</f>
        <v>6.9949651784213369</v>
      </c>
      <c r="AC23" s="22">
        <f t="shared" si="3"/>
        <v>18.649441642493727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45.863999999999997</v>
      </c>
      <c r="AK23" s="13">
        <f t="shared" si="35"/>
        <v>13.540311673175401</v>
      </c>
      <c r="AL23" s="20">
        <f t="shared" si="4"/>
        <v>103.46250949744716</v>
      </c>
      <c r="AM23" s="59">
        <f t="shared" si="5"/>
        <v>396.79584283078049</v>
      </c>
      <c r="AN23" s="59">
        <f ca="1">AVERAGE(OFFSET($AM$3,0,0,'Données projet'!$E$10+1,1))-AVERAGE(OFFSET($H$3,0,0,'Données projet'!$E$10+1,1))</f>
        <v>0</v>
      </c>
      <c r="AO23" s="59">
        <f t="shared" si="36"/>
        <v>0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108.70080000000002</v>
      </c>
      <c r="BF23" s="13">
        <f t="shared" si="37"/>
        <v>29.02467157581999</v>
      </c>
      <c r="BG23" s="20">
        <f t="shared" si="7"/>
        <v>239.87186299455311</v>
      </c>
      <c r="BH23" s="59">
        <f t="shared" si="8"/>
        <v>533.20519632788637</v>
      </c>
      <c r="BI23" s="59">
        <f ca="1">AVERAGE(OFFSET($BH$3,0,0,'Données projet'!$E$11+1,1))-AVERAGE(OFFSET($H$3,0,0,'Données projet'!$E$11+1,1))</f>
        <v>292.4657394642</v>
      </c>
      <c r="BJ23" s="59">
        <f t="shared" si="38"/>
        <v>333.80517619352395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6.4334652752406898</v>
      </c>
      <c r="BR23" s="21">
        <f>EXP(-LN(2)/2)*BR22+(1-EXP(-LN(2)/2))/(LN(2)/2)*BL23*BO23*VLOOKUP('Données projet'!$B$11,Paramètres!$A$1:$I$89,3,0)*0.475*44/12</f>
        <v>12.820266304892172</v>
      </c>
      <c r="BS23" s="22">
        <f t="shared" si="9"/>
        <v>19.253731580132861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0</v>
      </c>
      <c r="CE23" s="59">
        <f t="shared" si="40"/>
        <v>0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17.819758776411195</v>
      </c>
      <c r="N24" s="13">
        <f>IF('Données projet'!$A$36&gt;35,N23+M24-V23,IF(A24&lt;'Données projet'!$A$36,$K$205^A24,IF(A24='Données projet'!$A$36,'Données projet'!$B$36,N23+M24-V23)))</f>
        <v>179.60280289800625</v>
      </c>
      <c r="O24" s="13">
        <f>N24*VLOOKUP('Données projet'!$B$9,Paramètres!$A$1:$I$89,3,0)*VLOOKUP('Données projet'!$B$9,Paramètres!$A$1:$I$89,5,0)</f>
        <v>107.40247613300775</v>
      </c>
      <c r="P24" s="13">
        <f t="shared" si="33"/>
        <v>28.718139121420275</v>
      </c>
      <c r="Q24" s="20">
        <f t="shared" si="2"/>
        <v>237.07673823479547</v>
      </c>
      <c r="R24" s="59">
        <f t="shared" si="0"/>
        <v>530.41007156812884</v>
      </c>
      <c r="S24" s="59">
        <f ca="1">AVERAGE(OFFSET($R$3,0,0,'Données projet'!$E$9+1,1))-AVERAGE(OFFSET($H$3,0,0,'Données projet'!$E$9+1,1))</f>
        <v>150.98674906185317</v>
      </c>
      <c r="T24" s="59">
        <f t="shared" si="34"/>
        <v>306.44063087948552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1.3565702609769839</v>
      </c>
      <c r="AA24" s="21">
        <f>EXP(-LN(2)/25)*AA23+(1-EXP(-LN(2)/25))/(LN(2)/25)*Calculateur!V24*Calculateur!X24*VLOOKUP('Données projet'!$B$9,Paramètres!$A$1:$I$89,3,0)*0.475*44/12</f>
        <v>9.9899177973207056</v>
      </c>
      <c r="AB24" s="21">
        <f>EXP(-LN(2)/2)*AB23+(1-EXP(-LN(2)/2))/(LN(2)/2)*V24*Y24*VLOOKUP('Données projet'!$B$9,Paramètres!$A$1:$I$89,3,0)*0.475*44/12</f>
        <v>4.9461873118254962</v>
      </c>
      <c r="AC24" s="22">
        <f t="shared" si="3"/>
        <v>16.292675370123185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52.743599999999994</v>
      </c>
      <c r="AK24" s="13">
        <f t="shared" si="35"/>
        <v>15.320088456216133</v>
      </c>
      <c r="AL24" s="20">
        <f t="shared" si="4"/>
        <v>118.54425739457641</v>
      </c>
      <c r="AM24" s="59">
        <f t="shared" si="5"/>
        <v>411.87759072790971</v>
      </c>
      <c r="AN24" s="59">
        <f ca="1">AVERAGE(OFFSET($AM$3,0,0,'Données projet'!$E$10+1,1))-AVERAGE(OFFSET($H$3,0,0,'Données projet'!$E$10+1,1))</f>
        <v>0</v>
      </c>
      <c r="AO24" s="59">
        <f t="shared" si="36"/>
        <v>0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66.112800000000007</v>
      </c>
      <c r="BF24" s="13">
        <f t="shared" si="37"/>
        <v>18.704942500096539</v>
      </c>
      <c r="BG24" s="20">
        <f t="shared" si="7"/>
        <v>147.72423485433481</v>
      </c>
      <c r="BH24" s="59">
        <f t="shared" si="8"/>
        <v>441.05756818766815</v>
      </c>
      <c r="BI24" s="59">
        <f ca="1">AVERAGE(OFFSET($BH$3,0,0,'Données projet'!$E$11+1,1))-AVERAGE(OFFSET($H$3,0,0,'Données projet'!$E$11+1,1))</f>
        <v>292.4657394642</v>
      </c>
      <c r="BJ24" s="59">
        <f t="shared" si="38"/>
        <v>333.80517619352395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6.257541828967998</v>
      </c>
      <c r="BR24" s="21">
        <f>EXP(-LN(2)/2)*BR23+(1-EXP(-LN(2)/2))/(LN(2)/2)*BL24*BO24*VLOOKUP('Données projet'!$B$11,Paramètres!$A$1:$I$89,3,0)*0.475*44/12</f>
        <v>9.0652972408066574</v>
      </c>
      <c r="BS24" s="22">
        <f t="shared" si="9"/>
        <v>15.322839069774655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0</v>
      </c>
      <c r="CE24" s="59">
        <f t="shared" si="40"/>
        <v>0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17.819758776411195</v>
      </c>
      <c r="N25" s="13">
        <f>IF('Données projet'!$A$36&gt;35,N24+M25-V24,IF(A25&lt;'Données projet'!$A$36,$K$205^A25,IF(A25='Données projet'!$A$36,'Données projet'!$B$36,N24+M25-V24)))</f>
        <v>197.42256167441744</v>
      </c>
      <c r="O25" s="13">
        <f>N25*VLOOKUP('Données projet'!$B$9,Paramètres!$A$1:$I$89,3,0)*VLOOKUP('Données projet'!$B$9,Paramètres!$A$1:$I$89,5,0)</f>
        <v>118.05869188130163</v>
      </c>
      <c r="P25" s="13">
        <f t="shared" si="33"/>
        <v>31.221792160384599</v>
      </c>
      <c r="Q25" s="20">
        <f t="shared" si="2"/>
        <v>259.99684303927017</v>
      </c>
      <c r="R25" s="59">
        <f t="shared" si="0"/>
        <v>553.33017637260355</v>
      </c>
      <c r="S25" s="59">
        <f ca="1">AVERAGE(OFFSET($R$3,0,0,'Données projet'!$E$9+1,1))-AVERAGE(OFFSET($H$3,0,0,'Données projet'!$E$9+1,1))</f>
        <v>150.98674906185317</v>
      </c>
      <c r="T25" s="59">
        <f t="shared" si="34"/>
        <v>306.44063087948552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1.3299687455853828</v>
      </c>
      <c r="AA25" s="21">
        <f>EXP(-LN(2)/25)*AA24+(1-EXP(-LN(2)/25))/(LN(2)/25)*Calculateur!V25*Calculateur!X25*VLOOKUP('Données projet'!$B$9,Paramètres!$A$1:$I$89,3,0)*0.475*44/12</f>
        <v>9.7167429698060257</v>
      </c>
      <c r="AB25" s="21">
        <f>EXP(-LN(2)/2)*AB24+(1-EXP(-LN(2)/2))/(LN(2)/2)*V25*Y25*VLOOKUP('Données projet'!$B$9,Paramètres!$A$1:$I$89,3,0)*0.475*44/12</f>
        <v>3.4974825892106689</v>
      </c>
      <c r="AC25" s="22">
        <f t="shared" si="3"/>
        <v>14.544194304602078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59.62319999999999</v>
      </c>
      <c r="AK25" s="13">
        <f t="shared" si="35"/>
        <v>17.072967249098884</v>
      </c>
      <c r="AL25" s="20">
        <f t="shared" si="4"/>
        <v>133.57915795884719</v>
      </c>
      <c r="AM25" s="59">
        <f t="shared" si="5"/>
        <v>426.9124912921805</v>
      </c>
      <c r="AN25" s="59">
        <f ca="1">AVERAGE(OFFSET($AM$3,0,0,'Données projet'!$E$10+1,1))-AVERAGE(OFFSET($H$3,0,0,'Données projet'!$E$10+1,1))</f>
        <v>0</v>
      </c>
      <c r="AO25" s="59">
        <f t="shared" si="36"/>
        <v>0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77.875200000000007</v>
      </c>
      <c r="BF25" s="13">
        <f t="shared" si="37"/>
        <v>21.616848354491538</v>
      </c>
      <c r="BG25" s="20">
        <f t="shared" si="7"/>
        <v>173.28198421740612</v>
      </c>
      <c r="BH25" s="59">
        <f t="shared" si="8"/>
        <v>466.61531755073941</v>
      </c>
      <c r="BI25" s="59">
        <f ca="1">AVERAGE(OFFSET($BH$3,0,0,'Données projet'!$E$11+1,1))-AVERAGE(OFFSET($H$3,0,0,'Données projet'!$E$11+1,1))</f>
        <v>292.4657394642</v>
      </c>
      <c r="BJ25" s="59">
        <f t="shared" si="38"/>
        <v>333.80517619352395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6.0864290185850454</v>
      </c>
      <c r="BR25" s="21">
        <f>EXP(-LN(2)/2)*BR24+(1-EXP(-LN(2)/2))/(LN(2)/2)*BL25*BO25*VLOOKUP('Données projet'!$B$11,Paramètres!$A$1:$I$89,3,0)*0.475*44/12</f>
        <v>6.4101331524460869</v>
      </c>
      <c r="BS25" s="22">
        <f t="shared" si="9"/>
        <v>12.496562171031133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0</v>
      </c>
      <c r="CE25" s="59">
        <f t="shared" si="40"/>
        <v>0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215.2423204508286</v>
      </c>
      <c r="L26" s="12">
        <f>VLOOKUP(A26,'Données projet'!$A$35:$I$55,9,0)</f>
        <v>17.819758776411195</v>
      </c>
      <c r="M26" s="12">
        <f t="array" ref="M26">INDEX(L:L,MIN(IF(ISNUMBER(L26:L222),ROW(L26:L222),"")))</f>
        <v>17.819758776411195</v>
      </c>
      <c r="N26" s="13">
        <f>IF('Données projet'!$A$36&gt;35,N25+M26-V25,IF(A26&lt;'Données projet'!$A$36,$K$205^A26,IF(A26='Données projet'!$A$36,'Données projet'!$B$36,N25+M26-V25)))</f>
        <v>215.24232045082863</v>
      </c>
      <c r="O26" s="13">
        <f>N26*VLOOKUP('Données projet'!$B$9,Paramètres!$A$1:$I$89,3,0)*VLOOKUP('Données projet'!$B$9,Paramètres!$A$1:$I$89,5,0)</f>
        <v>128.71490762959553</v>
      </c>
      <c r="P26" s="13">
        <f t="shared" si="33"/>
        <v>33.69924074362816</v>
      </c>
      <c r="Q26" s="20">
        <f t="shared" si="2"/>
        <v>282.8713084166979</v>
      </c>
      <c r="R26" s="59">
        <f t="shared" si="0"/>
        <v>576.20464175003121</v>
      </c>
      <c r="S26" s="59">
        <f ca="1">AVERAGE(OFFSET($R$3,0,0,'Données projet'!$E$9+1,1))-AVERAGE(OFFSET($H$3,0,0,'Données projet'!$E$9+1,1))</f>
        <v>150.98674906185317</v>
      </c>
      <c r="T26" s="59">
        <f t="shared" si="34"/>
        <v>306.44063087948552</v>
      </c>
      <c r="U26" s="15">
        <f>IF(ISNA(VLOOKUP(A26,'Données projet'!$A$35:$I$55,3,0)),0,VLOOKUP(A26,'Données projet'!$A$35:$I$55,3,0))</f>
        <v>3</v>
      </c>
      <c r="V26" s="15">
        <f>IF(ISNA(VLOOKUP(A26,'Données projet'!$A$35:$I$55,4,0)),0,VLOOKUP(A26,'Données projet'!$A$35:$I$55,4,0))</f>
        <v>52.275638469262297</v>
      </c>
      <c r="W26" s="16">
        <f>IF(ISNA(VLOOKUP(A26,'Données projet'!$A$35:$I$55,5,0)),0%,VLOOKUP(A26,'Données projet'!$A$35:$I$55,5,0)*VLOOKUP('Données projet'!$B$9,Paramètres!$A$1:$I$89,7,0))</f>
        <v>9.0000000000000011E-2</v>
      </c>
      <c r="X26" s="16">
        <f>IF(ISNA(VLOOKUP(A26,'Données projet'!$A$35:$I$55,6,0)),0%,VLOOKUP(A26,'Données projet'!$A$35:$I$55,6,0)*VLOOKUP('Données projet'!$B$9,Paramètres!$A$1:$I$89,7,0))</f>
        <v>0.18000000000000002</v>
      </c>
      <c r="Y26" s="16">
        <f>IF(ISNA(VLOOKUP(A26,'Données projet'!$A$35:$I$55,7,0)),0%,VLOOKUP(A26,'Données projet'!$A$35:$I$55,7,0))</f>
        <v>0.4</v>
      </c>
      <c r="Z26" s="21">
        <f>EXP(-LN(2)/35)*Z25+(1-EXP(-LN(2)/35))/(LN(2)/35)*V26*W26*VLOOKUP('Données projet'!$B$9,Paramètres!$A$1:$I$89,3,0)*0.475*44/12</f>
        <v>5.0361446184386027</v>
      </c>
      <c r="AA26" s="21">
        <f>EXP(-LN(2)/25)*AA25+(1-EXP(-LN(2)/25))/(LN(2)/25)*Calculateur!V26*Calculateur!X26*VLOOKUP('Données projet'!$B$9,Paramètres!$A$1:$I$89,3,0)*0.475*44/12</f>
        <v>16.886158993854458</v>
      </c>
      <c r="AB26" s="21">
        <f>EXP(-LN(2)/2)*AB25+(1-EXP(-LN(2)/2))/(LN(2)/2)*V26*Y26*VLOOKUP('Données projet'!$B$9,Paramètres!$A$1:$I$89,3,0)*0.475*44/12</f>
        <v>16.630903022605558</v>
      </c>
      <c r="AC26" s="22">
        <f t="shared" si="3"/>
        <v>38.553206634898615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66.502799999999979</v>
      </c>
      <c r="AK26" s="13">
        <f t="shared" si="35"/>
        <v>18.802406075407909</v>
      </c>
      <c r="AL26" s="20">
        <f t="shared" si="4"/>
        <v>148.57323391466869</v>
      </c>
      <c r="AM26" s="59">
        <f t="shared" si="5"/>
        <v>441.90656724800203</v>
      </c>
      <c r="AN26" s="59">
        <f ca="1">AVERAGE(OFFSET($AM$3,0,0,'Données projet'!$E$10+1,1))-AVERAGE(OFFSET($H$3,0,0,'Données projet'!$E$10+1,1))</f>
        <v>0</v>
      </c>
      <c r="AO26" s="59">
        <f t="shared" si="36"/>
        <v>0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89.637600000000006</v>
      </c>
      <c r="BF26" s="13">
        <f t="shared" si="37"/>
        <v>24.477802326855134</v>
      </c>
      <c r="BG26" s="20">
        <f t="shared" si="7"/>
        <v>198.75099238593933</v>
      </c>
      <c r="BH26" s="59">
        <f t="shared" si="8"/>
        <v>492.08432571927267</v>
      </c>
      <c r="BI26" s="59">
        <f ca="1">AVERAGE(OFFSET($BH$3,0,0,'Données projet'!$E$11+1,1))-AVERAGE(OFFSET($H$3,0,0,'Données projet'!$E$11+1,1))</f>
        <v>292.4657394642</v>
      </c>
      <c r="BJ26" s="59">
        <f t="shared" si="38"/>
        <v>333.80517619352395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5.9199952970004457</v>
      </c>
      <c r="BR26" s="21">
        <f>EXP(-LN(2)/2)*BR25+(1-EXP(-LN(2)/2))/(LN(2)/2)*BL26*BO26*VLOOKUP('Données projet'!$B$11,Paramètres!$A$1:$I$89,3,0)*0.475*44/12</f>
        <v>4.5326486204033296</v>
      </c>
      <c r="BS26" s="22">
        <f t="shared" si="9"/>
        <v>10.452643917403776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0</v>
      </c>
      <c r="CE26" s="59">
        <f t="shared" si="40"/>
        <v>0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14.737443501713312</v>
      </c>
      <c r="N27" s="13">
        <f>IF('Données projet'!$A$36&gt;35,N26+M27-V26,IF(A27&lt;'Données projet'!$A$36,$K$205^A27,IF(A27='Données projet'!$A$36,'Données projet'!$B$36,N26+M27-V26)))</f>
        <v>177.70412548327963</v>
      </c>
      <c r="O27" s="13">
        <f>N27*VLOOKUP('Données projet'!$B$9,Paramètres!$A$1:$I$89,3,0)*VLOOKUP('Données projet'!$B$9,Paramètres!$A$1:$I$89,5,0)</f>
        <v>106.26706703900122</v>
      </c>
      <c r="P27" s="13">
        <f t="shared" si="33"/>
        <v>28.449717029673256</v>
      </c>
      <c r="Q27" s="20">
        <f t="shared" si="2"/>
        <v>234.63173225294136</v>
      </c>
      <c r="R27" s="59">
        <f t="shared" si="0"/>
        <v>527.9650655862747</v>
      </c>
      <c r="S27" s="59">
        <f ca="1">AVERAGE(OFFSET($R$3,0,0,'Données projet'!$E$9+1,1))-AVERAGE(OFFSET($H$3,0,0,'Données projet'!$E$9+1,1))</f>
        <v>150.98674906185317</v>
      </c>
      <c r="T27" s="59">
        <f t="shared" si="34"/>
        <v>306.44063087948552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4.9373888942159292</v>
      </c>
      <c r="AA27" s="21">
        <f>EXP(-LN(2)/25)*AA26+(1-EXP(-LN(2)/25))/(LN(2)/25)*Calculateur!V27*Calculateur!X27*VLOOKUP('Données projet'!$B$9,Paramètres!$A$1:$I$89,3,0)*0.475*44/12</f>
        <v>16.424406088163</v>
      </c>
      <c r="AB27" s="21">
        <f>EXP(-LN(2)/2)*AB26+(1-EXP(-LN(2)/2))/(LN(2)/2)*V27*Y27*VLOOKUP('Données projet'!$B$9,Paramètres!$A$1:$I$89,3,0)*0.475*44/12</f>
        <v>11.759824304540242</v>
      </c>
      <c r="AC27" s="22">
        <f t="shared" si="3"/>
        <v>33.12161928691917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73.38239999999999</v>
      </c>
      <c r="AK27" s="13">
        <f t="shared" si="35"/>
        <v>20.511105942035552</v>
      </c>
      <c r="AL27" s="20">
        <f t="shared" si="4"/>
        <v>163.5311895157119</v>
      </c>
      <c r="AM27" s="59">
        <f t="shared" si="5"/>
        <v>456.86452284904522</v>
      </c>
      <c r="AN27" s="59">
        <f ca="1">AVERAGE(OFFSET($AM$3,0,0,'Données projet'!$E$10+1,1))-AVERAGE(OFFSET($H$3,0,0,'Données projet'!$E$10+1,1))</f>
        <v>0</v>
      </c>
      <c r="AO27" s="59">
        <f t="shared" si="36"/>
        <v>0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101.4</v>
      </c>
      <c r="BF27" s="13">
        <f t="shared" si="37"/>
        <v>27.295257887453797</v>
      </c>
      <c r="BG27" s="20">
        <f t="shared" si="7"/>
        <v>224.14424082064872</v>
      </c>
      <c r="BH27" s="59">
        <f t="shared" si="8"/>
        <v>517.477574153982</v>
      </c>
      <c r="BI27" s="59">
        <f ca="1">AVERAGE(OFFSET($BH$3,0,0,'Données projet'!$E$11+1,1))-AVERAGE(OFFSET($H$3,0,0,'Données projet'!$E$11+1,1))</f>
        <v>292.4657394642</v>
      </c>
      <c r="BJ27" s="59">
        <f t="shared" si="38"/>
        <v>333.80517619352395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5.7581127142849464</v>
      </c>
      <c r="BR27" s="21">
        <f>EXP(-LN(2)/2)*BR26+(1-EXP(-LN(2)/2))/(LN(2)/2)*BL27*BO27*VLOOKUP('Données projet'!$B$11,Paramètres!$A$1:$I$89,3,0)*0.475*44/12</f>
        <v>3.2050665762230439</v>
      </c>
      <c r="BS27" s="22">
        <f t="shared" si="9"/>
        <v>8.9631792905079912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0</v>
      </c>
      <c r="CE27" s="59">
        <f t="shared" si="40"/>
        <v>0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14.737443501713312</v>
      </c>
      <c r="N28" s="13">
        <f>IF('Données projet'!$A$36&gt;35,N27+M28-V27,IF(A28&lt;'Données projet'!$A$36,$K$205^A28,IF(A28='Données projet'!$A$36,'Données projet'!$B$36,N27+M28-V27)))</f>
        <v>192.44156898499293</v>
      </c>
      <c r="O28" s="13">
        <f>N28*VLOOKUP('Données projet'!$B$9,Paramètres!$A$1:$I$89,3,0)*VLOOKUP('Données projet'!$B$9,Paramètres!$A$1:$I$89,5,0)</f>
        <v>115.08005825302577</v>
      </c>
      <c r="P28" s="13">
        <f t="shared" si="33"/>
        <v>30.524722848251898</v>
      </c>
      <c r="Q28" s="20">
        <f t="shared" si="2"/>
        <v>253.59499375139191</v>
      </c>
      <c r="R28" s="59">
        <f t="shared" si="0"/>
        <v>546.9283270847252</v>
      </c>
      <c r="S28" s="59">
        <f ca="1">AVERAGE(OFFSET($R$3,0,0,'Données projet'!$E$9+1,1))-AVERAGE(OFFSET($H$3,0,0,'Données projet'!$E$9+1,1))</f>
        <v>150.98674906185317</v>
      </c>
      <c r="T28" s="59">
        <f t="shared" si="34"/>
        <v>306.44063087948552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4.840569709510218</v>
      </c>
      <c r="AA28" s="21">
        <f>EXP(-LN(2)/25)*AA27+(1-EXP(-LN(2)/25))/(LN(2)/25)*Calculateur!V28*Calculateur!X28*VLOOKUP('Données projet'!$B$9,Paramètres!$A$1:$I$89,3,0)*0.475*44/12</f>
        <v>15.975279839960205</v>
      </c>
      <c r="AB28" s="21">
        <f>EXP(-LN(2)/2)*AB27+(1-EXP(-LN(2)/2))/(LN(2)/2)*V28*Y28*VLOOKUP('Données projet'!$B$9,Paramètres!$A$1:$I$89,3,0)*0.475*44/12</f>
        <v>8.3154515113027809</v>
      </c>
      <c r="AC28" s="22">
        <f t="shared" si="3"/>
        <v>29.131301060773204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80.261999999999986</v>
      </c>
      <c r="AK28" s="13">
        <f t="shared" si="35"/>
        <v>22.201232295351026</v>
      </c>
      <c r="AL28" s="20">
        <f t="shared" si="4"/>
        <v>178.45679624773638</v>
      </c>
      <c r="AM28" s="59">
        <f t="shared" si="5"/>
        <v>471.79012958106966</v>
      </c>
      <c r="AN28" s="59">
        <f ca="1">AVERAGE(OFFSET($AM$3,0,0,'Données projet'!$E$10+1,1))-AVERAGE(OFFSET($H$3,0,0,'Données projet'!$E$10+1,1))</f>
        <v>0</v>
      </c>
      <c r="AO28" s="59">
        <f t="shared" si="36"/>
        <v>0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113.16240000000002</v>
      </c>
      <c r="BF28" s="13">
        <f t="shared" si="37"/>
        <v>30.074837140704965</v>
      </c>
      <c r="BG28" s="20">
        <f t="shared" si="7"/>
        <v>249.47152135339448</v>
      </c>
      <c r="BH28" s="59">
        <f t="shared" si="8"/>
        <v>542.80485468672782</v>
      </c>
      <c r="BI28" s="59">
        <f ca="1">AVERAGE(OFFSET($BH$3,0,0,'Données projet'!$E$11+1,1))-AVERAGE(OFFSET($H$3,0,0,'Données projet'!$E$11+1,1))</f>
        <v>292.4657394642</v>
      </c>
      <c r="BJ28" s="59">
        <f t="shared" si="38"/>
        <v>333.80517619352395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5.6006568193068373</v>
      </c>
      <c r="BR28" s="21">
        <f>EXP(-LN(2)/2)*BR27+(1-EXP(-LN(2)/2))/(LN(2)/2)*BL28*BO28*VLOOKUP('Données projet'!$B$11,Paramètres!$A$1:$I$89,3,0)*0.475*44/12</f>
        <v>2.2663243102016652</v>
      </c>
      <c r="BS28" s="22">
        <f t="shared" si="9"/>
        <v>7.8669811295085026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0</v>
      </c>
      <c r="CE28" s="59">
        <f t="shared" si="40"/>
        <v>0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14.737443501713312</v>
      </c>
      <c r="N29" s="13">
        <f>IF('Données projet'!$A$36&gt;35,N28+M29-V28,IF(A29&lt;'Données projet'!$A$36,$K$205^A29,IF(A29='Données projet'!$A$36,'Données projet'!$B$36,N28+M29-V28)))</f>
        <v>207.17901248670623</v>
      </c>
      <c r="O29" s="13">
        <f>N29*VLOOKUP('Données projet'!$B$9,Paramètres!$A$1:$I$89,3,0)*VLOOKUP('Données projet'!$B$9,Paramètres!$A$1:$I$89,5,0)</f>
        <v>123.89304946705033</v>
      </c>
      <c r="P29" s="13">
        <f t="shared" si="33"/>
        <v>32.581295098556822</v>
      </c>
      <c r="Q29" s="20">
        <f t="shared" si="2"/>
        <v>272.52615011843244</v>
      </c>
      <c r="R29" s="59">
        <f t="shared" si="0"/>
        <v>565.85948345176575</v>
      </c>
      <c r="S29" s="59">
        <f ca="1">AVERAGE(OFFSET($R$3,0,0,'Données projet'!$E$9+1,1))-AVERAGE(OFFSET($H$3,0,0,'Données projet'!$E$9+1,1))</f>
        <v>150.98674906185317</v>
      </c>
      <c r="T29" s="59">
        <f t="shared" si="34"/>
        <v>306.44063087948552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4.7456490899627148</v>
      </c>
      <c r="AA29" s="21">
        <f>EXP(-LN(2)/25)*AA28+(1-EXP(-LN(2)/25))/(LN(2)/25)*Calculateur!V29*Calculateur!X29*VLOOKUP('Données projet'!$B$9,Paramètres!$A$1:$I$89,3,0)*0.475*44/12</f>
        <v>15.538434972633038</v>
      </c>
      <c r="AB29" s="21">
        <f>EXP(-LN(2)/2)*AB28+(1-EXP(-LN(2)/2))/(LN(2)/2)*V29*Y29*VLOOKUP('Données projet'!$B$9,Paramètres!$A$1:$I$89,3,0)*0.475*44/12</f>
        <v>5.8799121522701219</v>
      </c>
      <c r="AC29" s="22">
        <f t="shared" si="3"/>
        <v>26.163996214865875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87.141599999999983</v>
      </c>
      <c r="AK29" s="13">
        <f t="shared" si="35"/>
        <v>23.874558158360944</v>
      </c>
      <c r="AL29" s="20">
        <f t="shared" si="4"/>
        <v>193.35314212581193</v>
      </c>
      <c r="AM29" s="59">
        <f t="shared" si="5"/>
        <v>486.68647545914524</v>
      </c>
      <c r="AN29" s="59">
        <f ca="1">AVERAGE(OFFSET($AM$3,0,0,'Données projet'!$E$10+1,1))-AVERAGE(OFFSET($H$3,0,0,'Données projet'!$E$10+1,1))</f>
        <v>0</v>
      </c>
      <c r="AO29" s="59">
        <f t="shared" si="36"/>
        <v>0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124.9248</v>
      </c>
      <c r="BF29" s="13">
        <f t="shared" si="37"/>
        <v>32.820925500842712</v>
      </c>
      <c r="BG29" s="20">
        <f t="shared" si="7"/>
        <v>274.74047191396772</v>
      </c>
      <c r="BH29" s="59">
        <f t="shared" si="8"/>
        <v>568.07380524730104</v>
      </c>
      <c r="BI29" s="59">
        <f ca="1">AVERAGE(OFFSET($BH$3,0,0,'Données projet'!$E$11+1,1))-AVERAGE(OFFSET($H$3,0,0,'Données projet'!$E$11+1,1))</f>
        <v>292.4657394642</v>
      </c>
      <c r="BJ29" s="59">
        <f t="shared" si="38"/>
        <v>333.80517619352395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5.4475065640571501</v>
      </c>
      <c r="BR29" s="21">
        <f>EXP(-LN(2)/2)*BR28+(1-EXP(-LN(2)/2))/(LN(2)/2)*BL29*BO29*VLOOKUP('Données projet'!$B$11,Paramètres!$A$1:$I$89,3,0)*0.475*44/12</f>
        <v>1.6025332881115222</v>
      </c>
      <c r="BS29" s="22">
        <f t="shared" si="9"/>
        <v>7.0500398521686725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0</v>
      </c>
      <c r="CE29" s="59">
        <f t="shared" si="40"/>
        <v>0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14.737443501713312</v>
      </c>
      <c r="N30" s="13">
        <f>IF('Données projet'!$A$36&gt;35,N29+M30-V29,IF(A30&lt;'Données projet'!$A$36,$K$205^A30,IF(A30='Données projet'!$A$36,'Données projet'!$B$36,N29+M30-V29)))</f>
        <v>221.91645598841953</v>
      </c>
      <c r="O30" s="13">
        <f>N30*VLOOKUP('Données projet'!$B$9,Paramètres!$A$1:$I$89,3,0)*VLOOKUP('Données projet'!$B$9,Paramètres!$A$1:$I$89,5,0)</f>
        <v>132.70604068107488</v>
      </c>
      <c r="P30" s="13">
        <f t="shared" si="33"/>
        <v>34.620894168388723</v>
      </c>
      <c r="Q30" s="20">
        <f t="shared" si="2"/>
        <v>291.42774486281581</v>
      </c>
      <c r="R30" s="59">
        <f t="shared" si="0"/>
        <v>584.76107819614913</v>
      </c>
      <c r="S30" s="59">
        <f ca="1">AVERAGE(OFFSET($R$3,0,0,'Données projet'!$E$9+1,1))-AVERAGE(OFFSET($H$3,0,0,'Données projet'!$E$9+1,1))</f>
        <v>150.98674906185317</v>
      </c>
      <c r="T30" s="59">
        <f t="shared" si="34"/>
        <v>306.44063087948552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4.6525898058686765</v>
      </c>
      <c r="AA30" s="21">
        <f>EXP(-LN(2)/25)*AA29+(1-EXP(-LN(2)/25))/(LN(2)/25)*Calculateur!V30*Calculateur!X30*VLOOKUP('Données projet'!$B$9,Paramètres!$A$1:$I$89,3,0)*0.475*44/12</f>
        <v>15.113535651175606</v>
      </c>
      <c r="AB30" s="21">
        <f>EXP(-LN(2)/2)*AB29+(1-EXP(-LN(2)/2))/(LN(2)/2)*V30*Y30*VLOOKUP('Données projet'!$B$9,Paramètres!$A$1:$I$89,3,0)*0.475*44/12</f>
        <v>4.1577257556513914</v>
      </c>
      <c r="AC30" s="22">
        <f t="shared" si="3"/>
        <v>23.923851212695673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94.021199999999979</v>
      </c>
      <c r="AK30" s="13">
        <f t="shared" si="35"/>
        <v>25.532560682527478</v>
      </c>
      <c r="AL30" s="20">
        <f t="shared" si="4"/>
        <v>208.22279985540197</v>
      </c>
      <c r="AM30" s="59">
        <f t="shared" si="5"/>
        <v>501.55613318873532</v>
      </c>
      <c r="AN30" s="59">
        <f ca="1">AVERAGE(OFFSET($AM$3,0,0,'Données projet'!$E$10+1,1))-AVERAGE(OFFSET($H$3,0,0,'Données projet'!$E$10+1,1))</f>
        <v>0</v>
      </c>
      <c r="AO30" s="59">
        <f t="shared" si="36"/>
        <v>0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136.68720000000002</v>
      </c>
      <c r="BF30" s="13">
        <f t="shared" si="37"/>
        <v>35.537035051911175</v>
      </c>
      <c r="BG30" s="20">
        <f t="shared" si="7"/>
        <v>299.95720938207864</v>
      </c>
      <c r="BH30" s="59">
        <f t="shared" si="8"/>
        <v>593.2905427154119</v>
      </c>
      <c r="BI30" s="59">
        <f ca="1">AVERAGE(OFFSET($BH$3,0,0,'Données projet'!$E$11+1,1))-AVERAGE(OFFSET($H$3,0,0,'Données projet'!$E$11+1,1))</f>
        <v>292.4657394642</v>
      </c>
      <c r="BJ30" s="59">
        <f t="shared" si="38"/>
        <v>333.80517619352395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5.2985442105910874</v>
      </c>
      <c r="BR30" s="21">
        <f>EXP(-LN(2)/2)*BR29+(1-EXP(-LN(2)/2))/(LN(2)/2)*BL30*BO30*VLOOKUP('Données projet'!$B$11,Paramètres!$A$1:$I$89,3,0)*0.475*44/12</f>
        <v>1.1331621551008326</v>
      </c>
      <c r="BS30" s="22">
        <f t="shared" si="9"/>
        <v>6.4317063656919196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0</v>
      </c>
      <c r="CE30" s="59">
        <f t="shared" si="40"/>
        <v>0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14.737443501713312</v>
      </c>
      <c r="N31" s="13">
        <f>IF('Données projet'!$A$36&gt;35,N30+M31-V30,IF(A31&lt;'Données projet'!$A$36,$K$205^A31,IF(A31='Données projet'!$A$36,'Données projet'!$B$36,N30+M31-V30)))</f>
        <v>236.65389949013283</v>
      </c>
      <c r="O31" s="13">
        <f>N31*VLOOKUP('Données projet'!$B$9,Paramètres!$A$1:$I$89,3,0)*VLOOKUP('Données projet'!$B$9,Paramètres!$A$1:$I$89,5,0)</f>
        <v>141.51903189509946</v>
      </c>
      <c r="P31" s="13">
        <f t="shared" si="33"/>
        <v>36.644775504307084</v>
      </c>
      <c r="Q31" s="20">
        <f t="shared" si="2"/>
        <v>310.3019645539664</v>
      </c>
      <c r="R31" s="59">
        <f t="shared" si="0"/>
        <v>603.63529788729966</v>
      </c>
      <c r="S31" s="59">
        <f ca="1">AVERAGE(OFFSET($R$3,0,0,'Données projet'!$E$9+1,1))-AVERAGE(OFFSET($H$3,0,0,'Données projet'!$E$9+1,1))</f>
        <v>150.98674906185317</v>
      </c>
      <c r="T31" s="59">
        <f t="shared" si="34"/>
        <v>306.44063087948552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4.561355357575164</v>
      </c>
      <c r="AA31" s="21">
        <f>EXP(-LN(2)/25)*AA30+(1-EXP(-LN(2)/25))/(LN(2)/25)*Calculateur!V31*Calculateur!X31*VLOOKUP('Données projet'!$B$9,Paramètres!$A$1:$I$89,3,0)*0.475*44/12</f>
        <v>14.700255224007913</v>
      </c>
      <c r="AB31" s="21">
        <f>EXP(-LN(2)/2)*AB30+(1-EXP(-LN(2)/2))/(LN(2)/2)*V31*Y31*VLOOKUP('Données projet'!$B$9,Paramètres!$A$1:$I$89,3,0)*0.475*44/12</f>
        <v>2.9399560761350614</v>
      </c>
      <c r="AC31" s="22">
        <f t="shared" si="3"/>
        <v>22.201566657718139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100.90079999999998</v>
      </c>
      <c r="AK31" s="13">
        <f t="shared" si="35"/>
        <v>27.176488592921537</v>
      </c>
      <c r="AL31" s="20">
        <f t="shared" si="4"/>
        <v>223.06794429933834</v>
      </c>
      <c r="AM31" s="59">
        <f t="shared" si="5"/>
        <v>516.40127763267162</v>
      </c>
      <c r="AN31" s="59">
        <f ca="1">AVERAGE(OFFSET($AM$3,0,0,'Données projet'!$E$10+1,1))-AVERAGE(OFFSET($H$3,0,0,'Données projet'!$E$10+1,1))</f>
        <v>0</v>
      </c>
      <c r="AO31" s="59">
        <f t="shared" si="36"/>
        <v>0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148.4496</v>
      </c>
      <c r="BF31" s="13">
        <f t="shared" si="37"/>
        <v>38.226038889407498</v>
      </c>
      <c r="BG31" s="20">
        <f t="shared" si="7"/>
        <v>325.1267377323847</v>
      </c>
      <c r="BH31" s="59">
        <f t="shared" si="8"/>
        <v>618.46007106571801</v>
      </c>
      <c r="BI31" s="59">
        <f ca="1">AVERAGE(OFFSET($BH$3,0,0,'Données projet'!$E$11+1,1))-AVERAGE(OFFSET($H$3,0,0,'Données projet'!$E$11+1,1))</f>
        <v>292.4657394642</v>
      </c>
      <c r="BJ31" s="59">
        <f t="shared" si="38"/>
        <v>333.80517619352395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5.1536552405141443</v>
      </c>
      <c r="BR31" s="21">
        <f>EXP(-LN(2)/2)*BR30+(1-EXP(-LN(2)/2))/(LN(2)/2)*BL31*BO31*VLOOKUP('Données projet'!$B$11,Paramètres!$A$1:$I$89,3,0)*0.475*44/12</f>
        <v>0.80126664405576109</v>
      </c>
      <c r="BS31" s="22">
        <f t="shared" si="9"/>
        <v>5.954921884569905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0</v>
      </c>
      <c r="CE31" s="59">
        <f t="shared" si="40"/>
        <v>0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14.737443501713312</v>
      </c>
      <c r="N32" s="13">
        <f>IF('Données projet'!$A$36&gt;35,N31+M32-V31,IF(A32&lt;'Données projet'!$A$36,$K$205^A32,IF(A32='Données projet'!$A$36,'Données projet'!$B$36,N31+M32-V31)))</f>
        <v>251.39134299184613</v>
      </c>
      <c r="O32" s="13">
        <f>N32*VLOOKUP('Données projet'!$B$9,Paramètres!$A$1:$I$89,3,0)*VLOOKUP('Données projet'!$B$9,Paramètres!$A$1:$I$89,5,0)</f>
        <v>150.33202310912401</v>
      </c>
      <c r="P32" s="13">
        <f t="shared" si="33"/>
        <v>38.654029351531946</v>
      </c>
      <c r="Q32" s="20">
        <f t="shared" si="2"/>
        <v>329.15070803564248</v>
      </c>
      <c r="R32" s="59">
        <f t="shared" si="0"/>
        <v>622.4840413689758</v>
      </c>
      <c r="S32" s="59">
        <f ca="1">AVERAGE(OFFSET($R$3,0,0,'Données projet'!$E$9+1,1))-AVERAGE(OFFSET($H$3,0,0,'Données projet'!$E$9+1,1))</f>
        <v>150.98674906185317</v>
      </c>
      <c r="T32" s="59">
        <f t="shared" si="34"/>
        <v>306.44063087948552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4.471909961165168</v>
      </c>
      <c r="AA32" s="21">
        <f>EXP(-LN(2)/25)*AA31+(1-EXP(-LN(2)/25))/(LN(2)/25)*Calculateur!V32*Calculateur!X32*VLOOKUP('Données projet'!$B$9,Paramètres!$A$1:$I$89,3,0)*0.475*44/12</f>
        <v>14.298275971854592</v>
      </c>
      <c r="AB32" s="21">
        <f>EXP(-LN(2)/2)*AB31+(1-EXP(-LN(2)/2))/(LN(2)/2)*V32*Y32*VLOOKUP('Données projet'!$B$9,Paramètres!$A$1:$I$89,3,0)*0.475*44/12</f>
        <v>2.0788628778256957</v>
      </c>
      <c r="AC32" s="22">
        <f t="shared" si="3"/>
        <v>20.849048810845456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107.78039999999996</v>
      </c>
      <c r="AK32" s="13">
        <f t="shared" si="35"/>
        <v>28.807410696030036</v>
      </c>
      <c r="AL32" s="20">
        <f t="shared" si="4"/>
        <v>237.89043696225224</v>
      </c>
      <c r="AM32" s="59">
        <f t="shared" si="5"/>
        <v>531.22377029558561</v>
      </c>
      <c r="AN32" s="59">
        <f ca="1">AVERAGE(OFFSET($AM$3,0,0,'Données projet'!$E$10+1,1))-AVERAGE(OFFSET($H$3,0,0,'Données projet'!$E$10+1,1))</f>
        <v>0</v>
      </c>
      <c r="AO32" s="59">
        <f t="shared" si="36"/>
        <v>0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160.21200000000002</v>
      </c>
      <c r="BF32" s="13">
        <f t="shared" si="37"/>
        <v>40.890328912852695</v>
      </c>
      <c r="BG32" s="20">
        <f t="shared" si="7"/>
        <v>350.25322285655176</v>
      </c>
      <c r="BH32" s="59">
        <f t="shared" si="8"/>
        <v>643.58655618988507</v>
      </c>
      <c r="BI32" s="59">
        <f ca="1">AVERAGE(OFFSET($BH$3,0,0,'Données projet'!$E$11+1,1))-AVERAGE(OFFSET($H$3,0,0,'Données projet'!$E$11+1,1))</f>
        <v>292.4657394642</v>
      </c>
      <c r="BJ32" s="59">
        <f t="shared" si="38"/>
        <v>333.80517619352395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5.0127282669433351</v>
      </c>
      <c r="BR32" s="21">
        <f>EXP(-LN(2)/2)*BR31+(1-EXP(-LN(2)/2))/(LN(2)/2)*BL32*BO32*VLOOKUP('Données projet'!$B$11,Paramètres!$A$1:$I$89,3,0)*0.475*44/12</f>
        <v>0.56658107755041631</v>
      </c>
      <c r="BS32" s="22">
        <f t="shared" si="9"/>
        <v>5.5793093444937512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0</v>
      </c>
      <c r="CE32" s="59">
        <f t="shared" si="40"/>
        <v>0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14.737443501713312</v>
      </c>
      <c r="N33" s="13">
        <f>IF('Données projet'!$A$36&gt;35,N32+M33-V32,IF(A33&lt;'Données projet'!$A$36,$K$205^A33,IF(A33='Données projet'!$A$36,'Données projet'!$B$36,N32+M33-V32)))</f>
        <v>266.12878649355946</v>
      </c>
      <c r="O33" s="13">
        <f>N33*VLOOKUP('Données projet'!$B$9,Paramètres!$A$1:$I$89,3,0)*VLOOKUP('Données projet'!$B$9,Paramètres!$A$1:$I$89,5,0)</f>
        <v>159.14501432314856</v>
      </c>
      <c r="P33" s="13">
        <f t="shared" si="33"/>
        <v>40.649610906319566</v>
      </c>
      <c r="Q33" s="20">
        <f t="shared" si="2"/>
        <v>347.97563894132367</v>
      </c>
      <c r="R33" s="59">
        <f t="shared" si="0"/>
        <v>641.30897227465698</v>
      </c>
      <c r="S33" s="59">
        <f ca="1">AVERAGE(OFFSET($R$3,0,0,'Données projet'!$E$9+1,1))-AVERAGE(OFFSET($H$3,0,0,'Données projet'!$E$9+1,1))</f>
        <v>150.98674906185317</v>
      </c>
      <c r="T33" s="59">
        <f t="shared" si="34"/>
        <v>306.44063087948552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4.3842185344224678</v>
      </c>
      <c r="AA33" s="21">
        <f>EXP(-LN(2)/25)*AA32+(1-EXP(-LN(2)/25))/(LN(2)/25)*Calculateur!V33*Calculateur!X33*VLOOKUP('Données projet'!$B$9,Paramètres!$A$1:$I$89,3,0)*0.475*44/12</f>
        <v>13.907288863490574</v>
      </c>
      <c r="AB33" s="21">
        <f>EXP(-LN(2)/2)*AB32+(1-EXP(-LN(2)/2))/(LN(2)/2)*V33*Y33*VLOOKUP('Données projet'!$B$9,Paramètres!$A$1:$I$89,3,0)*0.475*44/12</f>
        <v>1.4699780380675307</v>
      </c>
      <c r="AC33" s="22">
        <f t="shared" si="3"/>
        <v>19.761485435980575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114.65999999999995</v>
      </c>
      <c r="AK33" s="13">
        <f t="shared" si="35"/>
        <v>30.426251641117418</v>
      </c>
      <c r="AL33" s="20">
        <f t="shared" si="4"/>
        <v>252.69188827494608</v>
      </c>
      <c r="AM33" s="59">
        <f t="shared" si="5"/>
        <v>546.02522160827937</v>
      </c>
      <c r="AN33" s="59">
        <f ca="1">AVERAGE(OFFSET($AM$3,0,0,'Données projet'!$E$10+1,1))-AVERAGE(OFFSET($H$3,0,0,'Données projet'!$E$10+1,1))</f>
        <v>0</v>
      </c>
      <c r="AO33" s="59">
        <f t="shared" si="36"/>
        <v>0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171.97440000000003</v>
      </c>
      <c r="BF33" s="13">
        <f t="shared" si="37"/>
        <v>43.531925888246164</v>
      </c>
      <c r="BG33" s="20">
        <f t="shared" si="7"/>
        <v>375.34018425536209</v>
      </c>
      <c r="BH33" s="59">
        <f t="shared" si="8"/>
        <v>668.6735175886954</v>
      </c>
      <c r="BI33" s="59">
        <f ca="1">AVERAGE(OFFSET($BH$3,0,0,'Données projet'!$E$11+1,1))-AVERAGE(OFFSET($H$3,0,0,'Données projet'!$E$11+1,1))</f>
        <v>292.4657394642</v>
      </c>
      <c r="BJ33" s="59">
        <f t="shared" si="38"/>
        <v>333.80517619352395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2.6992402913501592</v>
      </c>
      <c r="BQ33" s="21">
        <f>EXP(-LN(2)/25)*BQ32+(1-EXP(-LN(2)/25))/(LN(2)/25)*Calculateur!BL33*Calculateur!BN33*VLOOKUP('Données projet'!$B$11,Paramètres!$A$1:$I$89,3,0)*0.475*44/12</f>
        <v>16.974410541119532</v>
      </c>
      <c r="BR33" s="21">
        <f>EXP(-LN(2)/2)*BR32+(1-EXP(-LN(2)/2))/(LN(2)/2)*BL33*BO33*VLOOKUP('Données projet'!$B$11,Paramètres!$A$1:$I$89,3,0)*0.475*44/12</f>
        <v>24.510387865556446</v>
      </c>
      <c r="BS33" s="22">
        <f t="shared" si="9"/>
        <v>44.184038698026136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0</v>
      </c>
      <c r="CE33" s="59">
        <f t="shared" si="40"/>
        <v>0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14.737443501713312</v>
      </c>
      <c r="N34" s="13">
        <f>IF('Données projet'!$A$36&gt;35,N33+M34-V33,IF(A34&lt;'Données projet'!$A$36,$K$205^A34,IF(A34='Données projet'!$A$36,'Données projet'!$B$36,N33+M34-V33)))</f>
        <v>280.86622999527276</v>
      </c>
      <c r="O34" s="13">
        <f>N34*VLOOKUP('Données projet'!$B$9,Paramètres!$A$1:$I$89,3,0)*VLOOKUP('Données projet'!$B$9,Paramètres!$A$1:$I$89,5,0)</f>
        <v>167.95800553717311</v>
      </c>
      <c r="P34" s="13">
        <f t="shared" si="33"/>
        <v>42.632363597912196</v>
      </c>
      <c r="Q34" s="20">
        <f t="shared" si="2"/>
        <v>366.77822624360692</v>
      </c>
      <c r="R34" s="59">
        <f t="shared" si="0"/>
        <v>660.11155957694018</v>
      </c>
      <c r="S34" s="59">
        <f ca="1">AVERAGE(OFFSET($R$3,0,0,'Données projet'!$E$9+1,1))-AVERAGE(OFFSET($H$3,0,0,'Données projet'!$E$9+1,1))</f>
        <v>150.98674906185317</v>
      </c>
      <c r="T34" s="59">
        <f t="shared" si="34"/>
        <v>306.44063087948552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4.298246683071703</v>
      </c>
      <c r="AA34" s="21">
        <f>EXP(-LN(2)/25)*AA33+(1-EXP(-LN(2)/25))/(LN(2)/25)*Calculateur!V34*Calculateur!X34*VLOOKUP('Données projet'!$B$9,Paramètres!$A$1:$I$89,3,0)*0.475*44/12</f>
        <v>13.526993318165889</v>
      </c>
      <c r="AB34" s="21">
        <f>EXP(-LN(2)/2)*AB33+(1-EXP(-LN(2)/2))/(LN(2)/2)*V34*Y34*VLOOKUP('Données projet'!$B$9,Paramètres!$A$1:$I$89,3,0)*0.475*44/12</f>
        <v>1.0394314389128478</v>
      </c>
      <c r="AC34" s="22">
        <f t="shared" si="3"/>
        <v>18.864671440150438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91.946399999999969</v>
      </c>
      <c r="AK34" s="13">
        <f t="shared" si="35"/>
        <v>25.034063654320597</v>
      </c>
      <c r="AL34" s="20">
        <f t="shared" si="4"/>
        <v>203.74097419794165</v>
      </c>
      <c r="AM34" s="59">
        <f t="shared" si="5"/>
        <v>497.07430753127494</v>
      </c>
      <c r="AN34" s="59">
        <f ca="1">AVERAGE(OFFSET($AM$3,0,0,'Données projet'!$E$10+1,1))-AVERAGE(OFFSET($H$3,0,0,'Données projet'!$E$10+1,1))</f>
        <v>0</v>
      </c>
      <c r="AO34" s="59">
        <f t="shared" si="36"/>
        <v>0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125.00592000000002</v>
      </c>
      <c r="BF34" s="13">
        <f t="shared" si="37"/>
        <v>32.839756328142556</v>
      </c>
      <c r="BG34" s="20">
        <f t="shared" si="7"/>
        <v>274.91455293818166</v>
      </c>
      <c r="BH34" s="59">
        <f t="shared" si="8"/>
        <v>568.24788627151497</v>
      </c>
      <c r="BI34" s="59">
        <f ca="1">AVERAGE(OFFSET($BH$3,0,0,'Données projet'!$E$11+1,1))-AVERAGE(OFFSET($H$3,0,0,'Données projet'!$E$11+1,1))</f>
        <v>292.4657394642</v>
      </c>
      <c r="BJ34" s="59">
        <f t="shared" si="38"/>
        <v>333.80517619352395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2.6463098356107944</v>
      </c>
      <c r="BQ34" s="21">
        <f>EXP(-LN(2)/25)*BQ33+(1-EXP(-LN(2)/25))/(LN(2)/25)*Calculateur!BL34*Calculateur!BN34*VLOOKUP('Données projet'!$B$11,Paramètres!$A$1:$I$89,3,0)*0.475*44/12</f>
        <v>16.510244392227165</v>
      </c>
      <c r="BR34" s="21">
        <f>EXP(-LN(2)/2)*BR33+(1-EXP(-LN(2)/2))/(LN(2)/2)*BL34*BO34*VLOOKUP('Données projet'!$B$11,Paramètres!$A$1:$I$89,3,0)*0.475*44/12</f>
        <v>17.331461469247433</v>
      </c>
      <c r="BS34" s="22">
        <f t="shared" si="9"/>
        <v>36.488015697085388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0</v>
      </c>
      <c r="CE34" s="59">
        <f t="shared" si="40"/>
        <v>0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14.737443501713312</v>
      </c>
      <c r="N35" s="13">
        <f>IF('Données projet'!$A$36&gt;35,N34+M35-V34,IF(A35&lt;'Données projet'!$A$36,$K$205^A35,IF(A35='Données projet'!$A$36,'Données projet'!$B$36,N34+M35-V34)))</f>
        <v>295.60367349698606</v>
      </c>
      <c r="O35" s="13">
        <f>N35*VLOOKUP('Données projet'!$B$9,Paramètres!$A$1:$I$89,3,0)*VLOOKUP('Données projet'!$B$9,Paramètres!$A$1:$I$89,5,0)</f>
        <v>176.77099675119769</v>
      </c>
      <c r="P35" s="13">
        <f t="shared" si="33"/>
        <v>44.603037344575341</v>
      </c>
      <c r="Q35" s="20">
        <f t="shared" ref="Q35:Q66" si="53">(O35+P35)*0.475*44/12</f>
        <v>385.559776050138</v>
      </c>
      <c r="R35" s="59">
        <f t="shared" si="0"/>
        <v>678.89310938347126</v>
      </c>
      <c r="S35" s="59">
        <f ca="1">AVERAGE(OFFSET($R$3,0,0,'Données projet'!$E$9+1,1))-AVERAGE(OFFSET($H$3,0,0,'Données projet'!$E$9+1,1))</f>
        <v>150.98674906185317</v>
      </c>
      <c r="T35" s="59">
        <f t="shared" si="34"/>
        <v>306.44063087948552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4.2139606872882753</v>
      </c>
      <c r="AA35" s="21">
        <f>EXP(-LN(2)/25)*AA34+(1-EXP(-LN(2)/25))/(LN(2)/25)*Calculateur!V35*Calculateur!X35*VLOOKUP('Données projet'!$B$9,Paramètres!$A$1:$I$89,3,0)*0.475*44/12</f>
        <v>13.157096974526981</v>
      </c>
      <c r="AB35" s="21">
        <f>EXP(-LN(2)/2)*AB34+(1-EXP(-LN(2)/2))/(LN(2)/2)*V35*Y35*VLOOKUP('Données projet'!$B$9,Paramètres!$A$1:$I$89,3,0)*0.475*44/12</f>
        <v>0.73498901903376535</v>
      </c>
      <c r="AC35" s="22">
        <f t="shared" si="3"/>
        <v>18.106046680849023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100.90079999999998</v>
      </c>
      <c r="AK35" s="13">
        <f t="shared" si="35"/>
        <v>27.176488592921537</v>
      </c>
      <c r="AL35" s="20">
        <f t="shared" si="4"/>
        <v>223.06794429933834</v>
      </c>
      <c r="AM35" s="59">
        <f t="shared" si="5"/>
        <v>516.40127763267162</v>
      </c>
      <c r="AN35" s="59">
        <f ca="1">AVERAGE(OFFSET($AM$3,0,0,'Données projet'!$E$10+1,1))-AVERAGE(OFFSET($H$3,0,0,'Données projet'!$E$10+1,1))</f>
        <v>0</v>
      </c>
      <c r="AO35" s="59">
        <f t="shared" si="36"/>
        <v>0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134.82144</v>
      </c>
      <c r="BF35" s="13">
        <f t="shared" si="37"/>
        <v>35.108080314687477</v>
      </c>
      <c r="BG35" s="20">
        <f t="shared" si="7"/>
        <v>295.96058121474732</v>
      </c>
      <c r="BH35" s="59">
        <f t="shared" si="8"/>
        <v>589.29391454808069</v>
      </c>
      <c r="BI35" s="59">
        <f ca="1">AVERAGE(OFFSET($BH$3,0,0,'Données projet'!$E$11+1,1))-AVERAGE(OFFSET($H$3,0,0,'Données projet'!$E$11+1,1))</f>
        <v>292.4657394642</v>
      </c>
      <c r="BJ35" s="59">
        <f t="shared" si="38"/>
        <v>333.80517619352395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2.5944173138240885</v>
      </c>
      <c r="BQ35" s="21">
        <f>EXP(-LN(2)/25)*BQ34+(1-EXP(-LN(2)/25))/(LN(2)/25)*Calculateur!BL35*Calculateur!BN35*VLOOKUP('Données projet'!$B$11,Paramètres!$A$1:$I$89,3,0)*0.475*44/12</f>
        <v>16.058770891085693</v>
      </c>
      <c r="BR35" s="21">
        <f>EXP(-LN(2)/2)*BR34+(1-EXP(-LN(2)/2))/(LN(2)/2)*BL35*BO35*VLOOKUP('Données projet'!$B$11,Paramètres!$A$1:$I$89,3,0)*0.475*44/12</f>
        <v>12.255193932778225</v>
      </c>
      <c r="BS35" s="22">
        <f t="shared" si="9"/>
        <v>30.908382137688008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0</v>
      </c>
      <c r="CE35" s="59">
        <f t="shared" si="40"/>
        <v>0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14.737443501713312</v>
      </c>
      <c r="N36" s="13">
        <f>IF('Données projet'!$A$36&gt;35,N35+M36-V35,IF(A36&lt;'Données projet'!$A$36,$K$205^A36,IF(A36='Données projet'!$A$36,'Données projet'!$B$36,N35+M36-V35)))</f>
        <v>310.34111699869936</v>
      </c>
      <c r="O36" s="13">
        <f>N36*VLOOKUP('Données projet'!$B$9,Paramètres!$A$1:$I$89,3,0)*VLOOKUP('Données projet'!$B$9,Paramètres!$A$1:$I$89,5,0)</f>
        <v>185.58398796522224</v>
      </c>
      <c r="P36" s="13">
        <f t="shared" si="33"/>
        <v>46.562303065544562</v>
      </c>
      <c r="Q36" s="20">
        <f t="shared" si="53"/>
        <v>404.32145687858548</v>
      </c>
      <c r="R36" s="59">
        <f t="shared" si="0"/>
        <v>697.65479021191879</v>
      </c>
      <c r="S36" s="59">
        <f ca="1">AVERAGE(OFFSET($R$3,0,0,'Données projet'!$E$9+1,1))-AVERAGE(OFFSET($H$3,0,0,'Données projet'!$E$9+1,1))</f>
        <v>150.98674906185317</v>
      </c>
      <c r="T36" s="59">
        <f t="shared" si="34"/>
        <v>306.44063087948552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4.1313274884727793</v>
      </c>
      <c r="AA36" s="21">
        <f>EXP(-LN(2)/25)*AA35+(1-EXP(-LN(2)/25))/(LN(2)/25)*Calculateur!V36*Calculateur!X36*VLOOKUP('Données projet'!$B$9,Paramètres!$A$1:$I$89,3,0)*0.475*44/12</f>
        <v>12.797315465856881</v>
      </c>
      <c r="AB36" s="21">
        <f>EXP(-LN(2)/2)*AB35+(1-EXP(-LN(2)/2))/(LN(2)/2)*V36*Y36*VLOOKUP('Données projet'!$B$9,Paramètres!$A$1:$I$89,3,0)*0.475*44/12</f>
        <v>0.51971571945642392</v>
      </c>
      <c r="AC36" s="22">
        <f t="shared" si="3"/>
        <v>17.448358673786085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109.85519999999998</v>
      </c>
      <c r="AK36" s="13">
        <f t="shared" si="35"/>
        <v>29.296865948171366</v>
      </c>
      <c r="AL36" s="20">
        <f t="shared" si="4"/>
        <v>242.35651485973176</v>
      </c>
      <c r="AM36" s="59">
        <f t="shared" si="5"/>
        <v>535.68984819306502</v>
      </c>
      <c r="AN36" s="59">
        <f ca="1">AVERAGE(OFFSET($AM$3,0,0,'Données projet'!$E$10+1,1))-AVERAGE(OFFSET($H$3,0,0,'Données projet'!$E$10+1,1))</f>
        <v>0</v>
      </c>
      <c r="AO36" s="59">
        <f t="shared" si="36"/>
        <v>0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144.63695999999999</v>
      </c>
      <c r="BF36" s="13">
        <f t="shared" si="37"/>
        <v>37.357245051137198</v>
      </c>
      <c r="BG36" s="20">
        <f t="shared" si="7"/>
        <v>316.97324046406396</v>
      </c>
      <c r="BH36" s="59">
        <f t="shared" si="8"/>
        <v>610.30657379739728</v>
      </c>
      <c r="BI36" s="59">
        <f ca="1">AVERAGE(OFFSET($BH$3,0,0,'Données projet'!$E$11+1,1))-AVERAGE(OFFSET($H$3,0,0,'Données projet'!$E$11+1,1))</f>
        <v>292.4657394642</v>
      </c>
      <c r="BJ36" s="59">
        <f t="shared" si="38"/>
        <v>333.80517619352395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2.5435423727383069</v>
      </c>
      <c r="BQ36" s="21">
        <f>EXP(-LN(2)/25)*BQ35+(1-EXP(-LN(2)/25))/(LN(2)/25)*Calculateur!BL36*Calculateur!BN36*VLOOKUP('Données projet'!$B$11,Paramètres!$A$1:$I$89,3,0)*0.475*44/12</f>
        <v>15.619642956574896</v>
      </c>
      <c r="BR36" s="21">
        <f>EXP(-LN(2)/2)*BR35+(1-EXP(-LN(2)/2))/(LN(2)/2)*BL36*BO36*VLOOKUP('Données projet'!$B$11,Paramètres!$A$1:$I$89,3,0)*0.475*44/12</f>
        <v>8.6657307346237182</v>
      </c>
      <c r="BS36" s="22">
        <f t="shared" si="9"/>
        <v>26.828916063936923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0</v>
      </c>
      <c r="CE36" s="59">
        <f t="shared" si="40"/>
        <v>0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325.07856050041272</v>
      </c>
      <c r="L37" s="12">
        <f>VLOOKUP(A37,'Données projet'!$A$35:$I$55,9,0)</f>
        <v>14.737443501713312</v>
      </c>
      <c r="M37" s="12">
        <f t="array" ref="M37">INDEX(L:L,MIN(IF(ISNUMBER(L37:L233),ROW(L37:L233),"")))</f>
        <v>14.737443501713312</v>
      </c>
      <c r="N37" s="13">
        <f>IF('Données projet'!$A$36&gt;35,N36+M37-V36,IF(A37&lt;'Données projet'!$A$36,$K$205^A37,IF(A37='Données projet'!$A$36,'Données projet'!$B$36,N36+M37-V36)))</f>
        <v>325.07856050041266</v>
      </c>
      <c r="O37" s="13">
        <f>N37*VLOOKUP('Données projet'!$B$9,Paramètres!$A$1:$I$89,3,0)*VLOOKUP('Données projet'!$B$9,Paramètres!$A$1:$I$89,5,0)</f>
        <v>194.39697917924678</v>
      </c>
      <c r="P37" s="13">
        <f t="shared" si="33"/>
        <v>48.510764358314511</v>
      </c>
      <c r="Q37" s="20">
        <f t="shared" si="53"/>
        <v>423.0643199945859</v>
      </c>
      <c r="R37" s="59">
        <f t="shared" si="0"/>
        <v>716.39765332791922</v>
      </c>
      <c r="S37" s="59">
        <f ca="1">AVERAGE(OFFSET($R$3,0,0,'Données projet'!$E$9+1,1))-AVERAGE(OFFSET($H$3,0,0,'Données projet'!$E$9+1,1))</f>
        <v>150.98674906185317</v>
      </c>
      <c r="T37" s="59">
        <f t="shared" si="34"/>
        <v>306.44063087948552</v>
      </c>
      <c r="U37" s="15">
        <f>IF(ISNA(VLOOKUP(A37,'Données projet'!$A$35:$I$55,3,0)),0,VLOOKUP(A37,'Données projet'!$A$35:$I$55,3,0))</f>
        <v>4</v>
      </c>
      <c r="V37" s="15">
        <f>IF(ISNA(VLOOKUP(A37,'Données projet'!$A$35:$I$55,4,0)),0,VLOOKUP(A37,'Données projet'!$A$35:$I$55,4,0))</f>
        <v>325.07856050041272</v>
      </c>
      <c r="W37" s="16">
        <f>IF(ISNA(VLOOKUP(A37,'Données projet'!$A$35:$I$55,5,0)),0%,VLOOKUP(A37,'Données projet'!$A$35:$I$55,5,0)*VLOOKUP('Données projet'!$B$9,Paramètres!$A$1:$I$89,7,0))</f>
        <v>0.13500000000000001</v>
      </c>
      <c r="X37" s="16">
        <f>IF(ISNA(VLOOKUP(A37,'Données projet'!$A$35:$I$55,6,0)),0%,VLOOKUP(A37,'Données projet'!$A$35:$I$55,6,0)*VLOOKUP('Données projet'!$B$9,Paramètres!$A$1:$I$89,7,0))</f>
        <v>0.1575</v>
      </c>
      <c r="Y37" s="16">
        <f>IF(ISNA(VLOOKUP(A37,'Données projet'!$A$35:$I$55,7,0)),0%,VLOOKUP(A37,'Données projet'!$A$35:$I$55,7,0))</f>
        <v>0.35</v>
      </c>
      <c r="Z37" s="21">
        <f>EXP(-LN(2)/35)*Z36+(1-EXP(-LN(2)/35))/(LN(2)/35)*V37*W37*VLOOKUP('Données projet'!$B$9,Paramètres!$A$1:$I$89,3,0)*0.475*44/12</f>
        <v>38.864131257526026</v>
      </c>
      <c r="AA37" s="21">
        <f>EXP(-LN(2)/25)*AA36+(1-EXP(-LN(2)/25))/(LN(2)/25)*Calculateur!V37*Calculateur!X37*VLOOKUP('Données projet'!$B$9,Paramètres!$A$1:$I$89,3,0)*0.475*44/12</f>
        <v>52.903570408427726</v>
      </c>
      <c r="AB37" s="21">
        <f>EXP(-LN(2)/2)*AB36+(1-EXP(-LN(2)/2))/(LN(2)/2)*V37*Y37*VLOOKUP('Données projet'!$B$9,Paramètres!$A$1:$I$89,3,0)*0.475*44/12</f>
        <v>77.403382938429999</v>
      </c>
      <c r="AC37" s="22">
        <f t="shared" si="3"/>
        <v>169.17108460438374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118.80959999999997</v>
      </c>
      <c r="AK37" s="13">
        <f t="shared" si="35"/>
        <v>31.39719715333722</v>
      </c>
      <c r="AL37" s="20">
        <f t="shared" si="4"/>
        <v>261.6101717087289</v>
      </c>
      <c r="AM37" s="59">
        <f t="shared" si="5"/>
        <v>554.94350504206227</v>
      </c>
      <c r="AN37" s="59">
        <f ca="1">AVERAGE(OFFSET($AM$3,0,0,'Données projet'!$E$10+1,1))-AVERAGE(OFFSET($H$3,0,0,'Données projet'!$E$10+1,1))</f>
        <v>0</v>
      </c>
      <c r="AO37" s="59">
        <f t="shared" si="36"/>
        <v>0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154.45248000000001</v>
      </c>
      <c r="BF37" s="13">
        <f t="shared" si="37"/>
        <v>39.588698668907178</v>
      </c>
      <c r="BG37" s="20">
        <f t="shared" si="7"/>
        <v>337.95505284834667</v>
      </c>
      <c r="BH37" s="59">
        <f t="shared" si="8"/>
        <v>631.28838618167993</v>
      </c>
      <c r="BI37" s="59">
        <f ca="1">AVERAGE(OFFSET($BH$3,0,0,'Données projet'!$E$11+1,1))-AVERAGE(OFFSET($H$3,0,0,'Données projet'!$E$11+1,1))</f>
        <v>292.4657394642</v>
      </c>
      <c r="BJ37" s="59">
        <f t="shared" si="38"/>
        <v>333.80517619352395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2.4936650582165671</v>
      </c>
      <c r="BQ37" s="21">
        <f>EXP(-LN(2)/25)*BQ36+(1-EXP(-LN(2)/25))/(LN(2)/25)*Calculateur!BL37*Calculateur!BN37*VLOOKUP('Données projet'!$B$11,Paramètres!$A$1:$I$89,3,0)*0.475*44/12</f>
        <v>15.192522998526032</v>
      </c>
      <c r="BR37" s="21">
        <f>EXP(-LN(2)/2)*BR36+(1-EXP(-LN(2)/2))/(LN(2)/2)*BL37*BO37*VLOOKUP('Données projet'!$B$11,Paramètres!$A$1:$I$89,3,0)*0.475*44/12</f>
        <v>6.1275969663891141</v>
      </c>
      <c r="BS37" s="22">
        <f t="shared" si="9"/>
        <v>23.813785023131711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0</v>
      </c>
      <c r="CE37" s="59">
        <f t="shared" si="40"/>
        <v>0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-5.6843418860808015E-14</v>
      </c>
      <c r="O38" s="13">
        <f>N38*VLOOKUP('Données projet'!$B$9,Paramètres!$A$1:$I$89,3,0)*VLOOKUP('Données projet'!$B$9,Paramètres!$A$1:$I$89,5,0)</f>
        <v>-3.3992364478763198E-14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150.98674906185317</v>
      </c>
      <c r="T38" s="59">
        <f t="shared" si="34"/>
        <v>306.44063087948552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38.102029348345354</v>
      </c>
      <c r="AA38" s="21">
        <f>EXP(-LN(2)/25)*AA37+(1-EXP(-LN(2)/25))/(LN(2)/25)*Calculateur!V38*Calculateur!X38*VLOOKUP('Données projet'!$B$9,Paramètres!$A$1:$I$89,3,0)*0.475*44/12</f>
        <v>51.456919493531416</v>
      </c>
      <c r="AB38" s="21">
        <f>EXP(-LN(2)/2)*AB37+(1-EXP(-LN(2)/2))/(LN(2)/2)*V38*Y38*VLOOKUP('Données projet'!$B$9,Paramètres!$A$1:$I$89,3,0)*0.475*44/12</f>
        <v>54.732456962542969</v>
      </c>
      <c r="AC38" s="22">
        <f t="shared" si="3"/>
        <v>144.29140580441975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127.764</v>
      </c>
      <c r="AK38" s="13">
        <f t="shared" si="35"/>
        <v>33.479164830670051</v>
      </c>
      <c r="AL38" s="20">
        <f t="shared" si="4"/>
        <v>280.83184541341694</v>
      </c>
      <c r="AM38" s="59">
        <f t="shared" si="5"/>
        <v>574.16517874675026</v>
      </c>
      <c r="AN38" s="59">
        <f ca="1">AVERAGE(OFFSET($AM$3,0,0,'Données projet'!$E$10+1,1))-AVERAGE(OFFSET($H$3,0,0,'Données projet'!$E$10+1,1))</f>
        <v>0</v>
      </c>
      <c r="AO38" s="59">
        <f t="shared" si="36"/>
        <v>0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164.26799999999997</v>
      </c>
      <c r="BF38" s="13">
        <f t="shared" si="37"/>
        <v>41.803694835525619</v>
      </c>
      <c r="BG38" s="20">
        <f t="shared" si="7"/>
        <v>358.90820183854038</v>
      </c>
      <c r="BH38" s="59">
        <f t="shared" si="8"/>
        <v>652.24153517187369</v>
      </c>
      <c r="BI38" s="59">
        <f ca="1">AVERAGE(OFFSET($BH$3,0,0,'Données projet'!$E$11+1,1))-AVERAGE(OFFSET($H$3,0,0,'Données projet'!$E$11+1,1))</f>
        <v>292.4657394642</v>
      </c>
      <c r="BJ38" s="59">
        <f t="shared" si="38"/>
        <v>333.80517619352395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2.444765807410441</v>
      </c>
      <c r="BQ38" s="21">
        <f>EXP(-LN(2)/25)*BQ37+(1-EXP(-LN(2)/25))/(LN(2)/25)*Calculateur!BL38*Calculateur!BN38*VLOOKUP('Données projet'!$B$11,Paramètres!$A$1:$I$89,3,0)*0.475*44/12</f>
        <v>14.777082658191276</v>
      </c>
      <c r="BR38" s="21">
        <f>EXP(-LN(2)/2)*BR37+(1-EXP(-LN(2)/2))/(LN(2)/2)*BL38*BO38*VLOOKUP('Données projet'!$B$11,Paramètres!$A$1:$I$89,3,0)*0.475*44/12</f>
        <v>4.33286536731186</v>
      </c>
      <c r="BS38" s="22">
        <f t="shared" si="9"/>
        <v>21.554713832913578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0</v>
      </c>
      <c r="CE38" s="59">
        <f t="shared" si="40"/>
        <v>0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-3.3992364478763198E-14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150.98674906185317</v>
      </c>
      <c r="T39" s="59">
        <f t="shared" si="34"/>
        <v>306.44063087948552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37.354871792767447</v>
      </c>
      <c r="AA39" s="21">
        <f>EXP(-LN(2)/25)*AA38+(1-EXP(-LN(2)/25))/(LN(2)/25)*Calculateur!V39*Calculateur!X39*VLOOKUP('Données projet'!$B$9,Paramètres!$A$1:$I$89,3,0)*0.475*44/12</f>
        <v>50.049827323979009</v>
      </c>
      <c r="AB39" s="21">
        <f>EXP(-LN(2)/2)*AB38+(1-EXP(-LN(2)/2))/(LN(2)/2)*V39*Y39*VLOOKUP('Données projet'!$B$9,Paramètres!$A$1:$I$89,3,0)*0.475*44/12</f>
        <v>38.701691469215007</v>
      </c>
      <c r="AC39" s="22">
        <f t="shared" si="3"/>
        <v>126.10639058596146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136.71839999999997</v>
      </c>
      <c r="AK39" s="13">
        <f t="shared" si="35"/>
        <v>35.544202389747873</v>
      </c>
      <c r="AL39" s="20">
        <f t="shared" si="4"/>
        <v>300.02403249547746</v>
      </c>
      <c r="AM39" s="59">
        <f t="shared" si="5"/>
        <v>593.35736582881077</v>
      </c>
      <c r="AN39" s="59">
        <f ca="1">AVERAGE(OFFSET($AM$3,0,0,'Données projet'!$E$10+1,1))-AVERAGE(OFFSET($H$3,0,0,'Données projet'!$E$10+1,1))</f>
        <v>0</v>
      </c>
      <c r="AO39" s="59">
        <f t="shared" si="36"/>
        <v>0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174.08351999999999</v>
      </c>
      <c r="BF39" s="13">
        <f t="shared" si="37"/>
        <v>44.003328933142832</v>
      </c>
      <c r="BG39" s="20">
        <f t="shared" si="7"/>
        <v>379.83459522522372</v>
      </c>
      <c r="BH39" s="59">
        <f t="shared" si="8"/>
        <v>673.16792855855704</v>
      </c>
      <c r="BI39" s="59">
        <f ca="1">AVERAGE(OFFSET($BH$3,0,0,'Données projet'!$E$11+1,1))-AVERAGE(OFFSET($H$3,0,0,'Données projet'!$E$11+1,1))</f>
        <v>292.4657394642</v>
      </c>
      <c r="BJ39" s="59">
        <f t="shared" si="38"/>
        <v>333.80517619352395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2.3968254410870249</v>
      </c>
      <c r="BQ39" s="21">
        <f>EXP(-LN(2)/25)*BQ38+(1-EXP(-LN(2)/25))/(LN(2)/25)*Calculateur!BL39*Calculateur!BN39*VLOOKUP('Données projet'!$B$11,Paramètres!$A$1:$I$89,3,0)*0.475*44/12</f>
        <v>14.373002555810032</v>
      </c>
      <c r="BR39" s="21">
        <f>EXP(-LN(2)/2)*BR38+(1-EXP(-LN(2)/2))/(LN(2)/2)*BL39*BO39*VLOOKUP('Données projet'!$B$11,Paramètres!$A$1:$I$89,3,0)*0.475*44/12</f>
        <v>3.0637984831945575</v>
      </c>
      <c r="BS39" s="22">
        <f t="shared" si="9"/>
        <v>19.833626480091613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0</v>
      </c>
      <c r="CE39" s="59">
        <f t="shared" si="40"/>
        <v>0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-3.3992364478763198E-14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150.98674906185317</v>
      </c>
      <c r="T40" s="59">
        <f t="shared" si="34"/>
        <v>306.44063087948552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36.62236554113332</v>
      </c>
      <c r="AA40" s="21">
        <f>EXP(-LN(2)/25)*AA39+(1-EXP(-LN(2)/25))/(LN(2)/25)*Calculateur!V40*Calculateur!X40*VLOOKUP('Données projet'!$B$9,Paramètres!$A$1:$I$89,3,0)*0.475*44/12</f>
        <v>48.681212163798776</v>
      </c>
      <c r="AB40" s="21">
        <f>EXP(-LN(2)/2)*AB39+(1-EXP(-LN(2)/2))/(LN(2)/2)*V40*Y40*VLOOKUP('Données projet'!$B$9,Paramètres!$A$1:$I$89,3,0)*0.475*44/12</f>
        <v>27.366228481271492</v>
      </c>
      <c r="AC40" s="22">
        <f t="shared" si="3"/>
        <v>112.66980618620359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145.67279999999997</v>
      </c>
      <c r="AK40" s="13">
        <f t="shared" si="35"/>
        <v>37.593544857919731</v>
      </c>
      <c r="AL40" s="20">
        <f t="shared" si="4"/>
        <v>319.18888396087681</v>
      </c>
      <c r="AM40" s="59">
        <f t="shared" si="5"/>
        <v>612.52221729421012</v>
      </c>
      <c r="AN40" s="59">
        <f ca="1">AVERAGE(OFFSET($AM$3,0,0,'Données projet'!$E$10+1,1))-AVERAGE(OFFSET($H$3,0,0,'Données projet'!$E$10+1,1))</f>
        <v>0</v>
      </c>
      <c r="AO40" s="59">
        <f t="shared" si="36"/>
        <v>0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183.89903999999999</v>
      </c>
      <c r="BF40" s="13">
        <f t="shared" si="37"/>
        <v>46.188565843203435</v>
      </c>
      <c r="BG40" s="20">
        <f t="shared" si="7"/>
        <v>400.73591351024589</v>
      </c>
      <c r="BH40" s="59">
        <f t="shared" si="8"/>
        <v>694.06924684357921</v>
      </c>
      <c r="BI40" s="59">
        <f ca="1">AVERAGE(OFFSET($BH$3,0,0,'Données projet'!$E$11+1,1))-AVERAGE(OFFSET($H$3,0,0,'Données projet'!$E$11+1,1))</f>
        <v>292.4657394642</v>
      </c>
      <c r="BJ40" s="59">
        <f t="shared" si="38"/>
        <v>333.80517619352395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2.3498251561064749</v>
      </c>
      <c r="BQ40" s="21">
        <f>EXP(-LN(2)/25)*BQ39+(1-EXP(-LN(2)/25))/(LN(2)/25)*Calculateur!BL40*Calculateur!BN40*VLOOKUP('Données projet'!$B$11,Paramètres!$A$1:$I$89,3,0)*0.475*44/12</f>
        <v>13.979972045078053</v>
      </c>
      <c r="BR40" s="21">
        <f>EXP(-LN(2)/2)*BR39+(1-EXP(-LN(2)/2))/(LN(2)/2)*BL40*BO40*VLOOKUP('Données projet'!$B$11,Paramètres!$A$1:$I$89,3,0)*0.475*44/12</f>
        <v>2.1664326836559304</v>
      </c>
      <c r="BS40" s="22">
        <f t="shared" si="9"/>
        <v>18.49622988484046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0</v>
      </c>
      <c r="CE40" s="59">
        <f t="shared" si="40"/>
        <v>0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-3.3992364478763198E-14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150.98674906185317</v>
      </c>
      <c r="T41" s="59">
        <f t="shared" si="34"/>
        <v>306.44063087948552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35.904223290309034</v>
      </c>
      <c r="AA41" s="21">
        <f>EXP(-LN(2)/25)*AA40+(1-EXP(-LN(2)/25))/(LN(2)/25)*Calculateur!V41*Calculateur!X41*VLOOKUP('Données projet'!$B$9,Paramètres!$A$1:$I$89,3,0)*0.475*44/12</f>
        <v>47.350021857146011</v>
      </c>
      <c r="AB41" s="21">
        <f>EXP(-LN(2)/2)*AB40+(1-EXP(-LN(2)/2))/(LN(2)/2)*V41*Y41*VLOOKUP('Données projet'!$B$9,Paramètres!$A$1:$I$89,3,0)*0.475*44/12</f>
        <v>19.350845734607507</v>
      </c>
      <c r="AC41" s="22">
        <f t="shared" si="3"/>
        <v>102.60509088206254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154.62719999999996</v>
      </c>
      <c r="AK41" s="13">
        <f t="shared" si="35"/>
        <v>39.62826685000794</v>
      </c>
      <c r="AL41" s="20">
        <f t="shared" si="4"/>
        <v>338.32827143043039</v>
      </c>
      <c r="AM41" s="59">
        <f t="shared" si="5"/>
        <v>631.66160476376376</v>
      </c>
      <c r="AN41" s="59">
        <f ca="1">AVERAGE(OFFSET($AM$3,0,0,'Données projet'!$E$10+1,1))-AVERAGE(OFFSET($H$3,0,0,'Données projet'!$E$10+1,1))</f>
        <v>0</v>
      </c>
      <c r="AO41" s="59">
        <f t="shared" si="36"/>
        <v>0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193.71455999999998</v>
      </c>
      <c r="BF41" s="13">
        <f t="shared" si="37"/>
        <v>48.360261629719496</v>
      </c>
      <c r="BG41" s="20">
        <f t="shared" si="7"/>
        <v>421.61364767176138</v>
      </c>
      <c r="BH41" s="59">
        <f t="shared" si="8"/>
        <v>714.9469810050947</v>
      </c>
      <c r="BI41" s="59">
        <f ca="1">AVERAGE(OFFSET($BH$3,0,0,'Données projet'!$E$11+1,1))-AVERAGE(OFFSET($H$3,0,0,'Données projet'!$E$11+1,1))</f>
        <v>292.4657394642</v>
      </c>
      <c r="BJ41" s="59">
        <f t="shared" si="38"/>
        <v>333.80517619352395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2.3037465180470504</v>
      </c>
      <c r="BQ41" s="21">
        <f>EXP(-LN(2)/25)*BQ40+(1-EXP(-LN(2)/25))/(LN(2)/25)*Calculateur!BL41*Calculateur!BN41*VLOOKUP('Données projet'!$B$11,Paramètres!$A$1:$I$89,3,0)*0.475*44/12</f>
        <v>13.597688974330616</v>
      </c>
      <c r="BR41" s="21">
        <f>EXP(-LN(2)/2)*BR40+(1-EXP(-LN(2)/2))/(LN(2)/2)*BL41*BO41*VLOOKUP('Données projet'!$B$11,Paramètres!$A$1:$I$89,3,0)*0.475*44/12</f>
        <v>1.531899241597279</v>
      </c>
      <c r="BS41" s="22">
        <f t="shared" si="9"/>
        <v>17.433334733974945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0</v>
      </c>
      <c r="CE41" s="59">
        <f t="shared" si="40"/>
        <v>0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-3.3992364478763198E-14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150.98674906185317</v>
      </c>
      <c r="T42" s="59">
        <f t="shared" si="34"/>
        <v>306.44063087948552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35.200163370999896</v>
      </c>
      <c r="AA42" s="21">
        <f>EXP(-LN(2)/25)*AA41+(1-EXP(-LN(2)/25))/(LN(2)/25)*Calculateur!V42*Calculateur!X42*VLOOKUP('Données projet'!$B$9,Paramètres!$A$1:$I$89,3,0)*0.475*44/12</f>
        <v>46.055233019432926</v>
      </c>
      <c r="AB42" s="21">
        <f>EXP(-LN(2)/2)*AB41+(1-EXP(-LN(2)/2))/(LN(2)/2)*V42*Y42*VLOOKUP('Données projet'!$B$9,Paramètres!$A$1:$I$89,3,0)*0.475*44/12</f>
        <v>13.683114240635748</v>
      </c>
      <c r="AC42" s="22">
        <f t="shared" si="3"/>
        <v>94.938510631068567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163.58159999999995</v>
      </c>
      <c r="AK42" s="13">
        <f t="shared" si="35"/>
        <v>41.649311489480162</v>
      </c>
      <c r="AL42" s="20">
        <f t="shared" si="4"/>
        <v>357.44383751084456</v>
      </c>
      <c r="AM42" s="59">
        <f t="shared" si="5"/>
        <v>650.77717084417782</v>
      </c>
      <c r="AN42" s="59">
        <f ca="1">AVERAGE(OFFSET($AM$3,0,0,'Données projet'!$E$10+1,1))-AVERAGE(OFFSET($H$3,0,0,'Données projet'!$E$10+1,1))</f>
        <v>0</v>
      </c>
      <c r="AO42" s="59">
        <f t="shared" si="36"/>
        <v>0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203.53008</v>
      </c>
      <c r="BF42" s="13">
        <f t="shared" si="37"/>
        <v>50.51918070276831</v>
      </c>
      <c r="BG42" s="20">
        <f t="shared" si="7"/>
        <v>442.46912905732142</v>
      </c>
      <c r="BH42" s="59">
        <f t="shared" si="8"/>
        <v>735.80246239065468</v>
      </c>
      <c r="BI42" s="59">
        <f ca="1">AVERAGE(OFFSET($BH$3,0,0,'Données projet'!$E$11+1,1))-AVERAGE(OFFSET($H$3,0,0,'Données projet'!$E$11+1,1))</f>
        <v>292.4657394642</v>
      </c>
      <c r="BJ42" s="59">
        <f t="shared" si="38"/>
        <v>333.80517619352395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2.2585714539747772</v>
      </c>
      <c r="BQ42" s="21">
        <f>EXP(-LN(2)/25)*BQ41+(1-EXP(-LN(2)/25))/(LN(2)/25)*Calculateur!BL42*Calculateur!BN42*VLOOKUP('Données projet'!$B$11,Paramètres!$A$1:$I$89,3,0)*0.475*44/12</f>
        <v>13.22585945425616</v>
      </c>
      <c r="BR42" s="21">
        <f>EXP(-LN(2)/2)*BR41+(1-EXP(-LN(2)/2))/(LN(2)/2)*BL42*BO42*VLOOKUP('Données projet'!$B$11,Paramètres!$A$1:$I$89,3,0)*0.475*44/12</f>
        <v>1.0832163418279652</v>
      </c>
      <c r="BS42" s="22">
        <f t="shared" si="9"/>
        <v>16.567647250058904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0</v>
      </c>
      <c r="CE42" s="59">
        <f t="shared" si="40"/>
        <v>0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-3.3992364478763198E-14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150.98674906185317</v>
      </c>
      <c r="T43" s="59">
        <f t="shared" si="34"/>
        <v>306.44063087948552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34.509909637274262</v>
      </c>
      <c r="AA43" s="21">
        <f>EXP(-LN(2)/25)*AA42+(1-EXP(-LN(2)/25))/(LN(2)/25)*Calculateur!V43*Calculateur!X43*VLOOKUP('Données projet'!$B$9,Paramètres!$A$1:$I$89,3,0)*0.475*44/12</f>
        <v>44.795850250577089</v>
      </c>
      <c r="AB43" s="21">
        <f>EXP(-LN(2)/2)*AB42+(1-EXP(-LN(2)/2))/(LN(2)/2)*V43*Y43*VLOOKUP('Données projet'!$B$9,Paramètres!$A$1:$I$89,3,0)*0.475*44/12</f>
        <v>9.6754228673037552</v>
      </c>
      <c r="AC43" s="22">
        <f t="shared" si="3"/>
        <v>88.981182755155103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172.53599999999994</v>
      </c>
      <c r="AK43" s="13">
        <f t="shared" si="35"/>
        <v>43.657512815796942</v>
      </c>
      <c r="AL43" s="20">
        <f t="shared" si="4"/>
        <v>376.5370348208462</v>
      </c>
      <c r="AM43" s="59">
        <f t="shared" si="5"/>
        <v>669.87036815417946</v>
      </c>
      <c r="AN43" s="59">
        <f ca="1">AVERAGE(OFFSET($AM$3,0,0,'Données projet'!$E$10+1,1))-AVERAGE(OFFSET($H$3,0,0,'Données projet'!$E$10+1,1))</f>
        <v>0</v>
      </c>
      <c r="AO43" s="59">
        <f t="shared" si="36"/>
        <v>0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213.34559999999996</v>
      </c>
      <c r="BF43" s="13">
        <f t="shared" si="37"/>
        <v>52.666009577179437</v>
      </c>
      <c r="BG43" s="20">
        <f t="shared" si="7"/>
        <v>463.30355334692075</v>
      </c>
      <c r="BH43" s="59">
        <f t="shared" si="8"/>
        <v>756.63688668025407</v>
      </c>
      <c r="BI43" s="59">
        <f ca="1">AVERAGE(OFFSET($BH$3,0,0,'Données projet'!$E$11+1,1))-AVERAGE(OFFSET($H$3,0,0,'Données projet'!$E$11+1,1))</f>
        <v>292.4657394642</v>
      </c>
      <c r="BJ43" s="59">
        <f t="shared" si="38"/>
        <v>333.80517619352395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2.2142822453548927</v>
      </c>
      <c r="BQ43" s="21">
        <f>EXP(-LN(2)/25)*BQ42+(1-EXP(-LN(2)/25))/(LN(2)/25)*Calculateur!BL43*Calculateur!BN43*VLOOKUP('Données projet'!$B$11,Paramètres!$A$1:$I$89,3,0)*0.475*44/12</f>
        <v>12.864197631961805</v>
      </c>
      <c r="BR43" s="21">
        <f>EXP(-LN(2)/2)*BR42+(1-EXP(-LN(2)/2))/(LN(2)/2)*BL43*BO43*VLOOKUP('Données projet'!$B$11,Paramètres!$A$1:$I$89,3,0)*0.475*44/12</f>
        <v>0.76594962079863949</v>
      </c>
      <c r="BS43" s="22">
        <f t="shared" si="9"/>
        <v>15.844429498115337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0</v>
      </c>
      <c r="CE43" s="59">
        <f t="shared" si="40"/>
        <v>0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-3.3992364478763198E-14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150.98674906185317</v>
      </c>
      <c r="T44" s="59">
        <f t="shared" si="34"/>
        <v>306.44063087948552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33.833191358253778</v>
      </c>
      <c r="AA44" s="21">
        <f>EXP(-LN(2)/25)*AA43+(1-EXP(-LN(2)/25))/(LN(2)/25)*Calculateur!V44*Calculateur!X44*VLOOKUP('Données projet'!$B$9,Paramètres!$A$1:$I$89,3,0)*0.475*44/12</f>
        <v>43.570905369763679</v>
      </c>
      <c r="AB44" s="21">
        <f>EXP(-LN(2)/2)*AB43+(1-EXP(-LN(2)/2))/(LN(2)/2)*V44*Y44*VLOOKUP('Données projet'!$B$9,Paramètres!$A$1:$I$89,3,0)*0.475*44/12</f>
        <v>6.8415571203178756</v>
      </c>
      <c r="AC44" s="22">
        <f t="shared" si="3"/>
        <v>84.245653848335337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135.73559999999995</v>
      </c>
      <c r="AK44" s="13">
        <f t="shared" si="35"/>
        <v>35.318339538314937</v>
      </c>
      <c r="AL44" s="20">
        <f t="shared" si="4"/>
        <v>297.91894469589846</v>
      </c>
      <c r="AM44" s="59">
        <f t="shared" si="5"/>
        <v>591.25227802923177</v>
      </c>
      <c r="AN44" s="59">
        <f ca="1">AVERAGE(OFFSET($AM$3,0,0,'Données projet'!$E$10+1,1))-AVERAGE(OFFSET($H$3,0,0,'Données projet'!$E$10+1,1))</f>
        <v>0</v>
      </c>
      <c r="AO44" s="59">
        <f t="shared" si="36"/>
        <v>0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164.02463999999995</v>
      </c>
      <c r="BF44" s="13">
        <f t="shared" si="37"/>
        <v>41.748967529794783</v>
      </c>
      <c r="BG44" s="20">
        <f t="shared" si="7"/>
        <v>358.38903311439248</v>
      </c>
      <c r="BH44" s="59">
        <f t="shared" si="8"/>
        <v>651.72236644772579</v>
      </c>
      <c r="BI44" s="59">
        <f ca="1">AVERAGE(OFFSET($BH$3,0,0,'Données projet'!$E$11+1,1))-AVERAGE(OFFSET($H$3,0,0,'Données projet'!$E$11+1,1))</f>
        <v>292.4657394642</v>
      </c>
      <c r="BJ44" s="59">
        <f t="shared" si="38"/>
        <v>333.80517619352395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2.1708615211022941</v>
      </c>
      <c r="BQ44" s="21">
        <f>EXP(-LN(2)/25)*BQ43+(1-EXP(-LN(2)/25))/(LN(2)/25)*Calculateur!BL44*Calculateur!BN44*VLOOKUP('Données projet'!$B$11,Paramètres!$A$1:$I$89,3,0)*0.475*44/12</f>
        <v>12.512425471217057</v>
      </c>
      <c r="BR44" s="21">
        <f>EXP(-LN(2)/2)*BR43+(1-EXP(-LN(2)/2))/(LN(2)/2)*BL44*BO44*VLOOKUP('Données projet'!$B$11,Paramètres!$A$1:$I$89,3,0)*0.475*44/12</f>
        <v>0.54160817091398261</v>
      </c>
      <c r="BS44" s="22">
        <f t="shared" si="9"/>
        <v>15.224895163233334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0</v>
      </c>
      <c r="CE44" s="59">
        <f t="shared" si="40"/>
        <v>0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-3.3992364478763198E-14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150.98674906185317</v>
      </c>
      <c r="T45" s="59">
        <f t="shared" si="34"/>
        <v>306.44063087948552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33.169743111927495</v>
      </c>
      <c r="AA45" s="21">
        <f>EXP(-LN(2)/25)*AA44+(1-EXP(-LN(2)/25))/(LN(2)/25)*Calculateur!V45*Calculateur!X45*VLOOKUP('Données projet'!$B$9,Paramètres!$A$1:$I$89,3,0)*0.475*44/12</f>
        <v>42.379456671133163</v>
      </c>
      <c r="AB45" s="21">
        <f>EXP(-LN(2)/2)*AB44+(1-EXP(-LN(2)/2))/(LN(2)/2)*V45*Y45*VLOOKUP('Données projet'!$B$9,Paramètres!$A$1:$I$89,3,0)*0.475*44/12</f>
        <v>4.8377114336518785</v>
      </c>
      <c r="AC45" s="22">
        <f t="shared" si="3"/>
        <v>80.386911216712534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144.79919999999996</v>
      </c>
      <c r="AK45" s="13">
        <f t="shared" si="35"/>
        <v>37.394268839921288</v>
      </c>
      <c r="AL45" s="20">
        <f t="shared" si="4"/>
        <v>317.32029156286279</v>
      </c>
      <c r="AM45" s="59">
        <f t="shared" si="5"/>
        <v>610.65362489619611</v>
      </c>
      <c r="AN45" s="59">
        <f ca="1">AVERAGE(OFFSET($AM$3,0,0,'Données projet'!$E$10+1,1))-AVERAGE(OFFSET($H$3,0,0,'Données projet'!$E$10+1,1))</f>
        <v>0</v>
      </c>
      <c r="AO45" s="59">
        <f t="shared" si="36"/>
        <v>0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171.48767999999995</v>
      </c>
      <c r="BF45" s="13">
        <f t="shared" si="37"/>
        <v>43.423045268797694</v>
      </c>
      <c r="BG45" s="20">
        <f t="shared" si="7"/>
        <v>374.30284650982253</v>
      </c>
      <c r="BH45" s="59">
        <f t="shared" si="8"/>
        <v>667.63617984315579</v>
      </c>
      <c r="BI45" s="59">
        <f ca="1">AVERAGE(OFFSET($BH$3,0,0,'Données projet'!$E$11+1,1))-AVERAGE(OFFSET($H$3,0,0,'Données projet'!$E$11+1,1))</f>
        <v>292.4657394642</v>
      </c>
      <c r="BJ45" s="59">
        <f t="shared" si="38"/>
        <v>333.80517619352395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2.1282922507682627</v>
      </c>
      <c r="BQ45" s="21">
        <f>EXP(-LN(2)/25)*BQ44+(1-EXP(-LN(2)/25))/(LN(2)/25)*Calculateur!BL45*Calculateur!BN45*VLOOKUP('Données projet'!$B$11,Paramètres!$A$1:$I$89,3,0)*0.475*44/12</f>
        <v>12.170272538706769</v>
      </c>
      <c r="BR45" s="21">
        <f>EXP(-LN(2)/2)*BR44+(1-EXP(-LN(2)/2))/(LN(2)/2)*BL45*BO45*VLOOKUP('Données projet'!$B$11,Paramètres!$A$1:$I$89,3,0)*0.475*44/12</f>
        <v>0.38297481039931974</v>
      </c>
      <c r="BS45" s="22">
        <f t="shared" si="9"/>
        <v>14.681539599874352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0</v>
      </c>
      <c r="CE45" s="59">
        <f t="shared" si="40"/>
        <v>0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-3.3992364478763198E-14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150.98674906185317</v>
      </c>
      <c r="T46" s="59">
        <f t="shared" si="34"/>
        <v>306.44063087948552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32.519304681048197</v>
      </c>
      <c r="AA46" s="21">
        <f>EXP(-LN(2)/25)*AA45+(1-EXP(-LN(2)/25))/(LN(2)/25)*Calculateur!V46*Calculateur!X46*VLOOKUP('Données projet'!$B$9,Paramètres!$A$1:$I$89,3,0)*0.475*44/12</f>
        <v>41.220588199822259</v>
      </c>
      <c r="AB46" s="21">
        <f>EXP(-LN(2)/2)*AB45+(1-EXP(-LN(2)/2))/(LN(2)/2)*V46*Y46*VLOOKUP('Données projet'!$B$9,Paramètres!$A$1:$I$89,3,0)*0.475*44/12</f>
        <v>3.4207785601589382</v>
      </c>
      <c r="AC46" s="22">
        <f t="shared" si="3"/>
        <v>77.160671441029393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153.86279999999996</v>
      </c>
      <c r="AK46" s="13">
        <f t="shared" si="35"/>
        <v>39.455117551356025</v>
      </c>
      <c r="AL46" s="20">
        <f t="shared" si="4"/>
        <v>336.69537306861167</v>
      </c>
      <c r="AM46" s="59">
        <f t="shared" si="5"/>
        <v>630.02870640194499</v>
      </c>
      <c r="AN46" s="59">
        <f ca="1">AVERAGE(OFFSET($AM$3,0,0,'Données projet'!$E$10+1,1))-AVERAGE(OFFSET($H$3,0,0,'Données projet'!$E$10+1,1))</f>
        <v>0</v>
      </c>
      <c r="AO46" s="59">
        <f t="shared" si="36"/>
        <v>0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178.95071999999993</v>
      </c>
      <c r="BF46" s="13">
        <f t="shared" si="37"/>
        <v>45.088661325670202</v>
      </c>
      <c r="BG46" s="20">
        <f t="shared" si="7"/>
        <v>390.20192247554218</v>
      </c>
      <c r="BH46" s="59">
        <f t="shared" si="8"/>
        <v>683.53525580887549</v>
      </c>
      <c r="BI46" s="59">
        <f ca="1">AVERAGE(OFFSET($BH$3,0,0,'Données projet'!$E$11+1,1))-AVERAGE(OFFSET($H$3,0,0,'Données projet'!$E$11+1,1))</f>
        <v>292.4657394642</v>
      </c>
      <c r="BJ46" s="59">
        <f t="shared" si="38"/>
        <v>333.80517619352395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2.0865577378607902</v>
      </c>
      <c r="BQ46" s="21">
        <f>EXP(-LN(2)/25)*BQ45+(1-EXP(-LN(2)/25))/(LN(2)/25)*Calculateur!BL46*Calculateur!BN46*VLOOKUP('Données projet'!$B$11,Paramètres!$A$1:$I$89,3,0)*0.475*44/12</f>
        <v>11.837475796129015</v>
      </c>
      <c r="BR46" s="21">
        <f>EXP(-LN(2)/2)*BR45+(1-EXP(-LN(2)/2))/(LN(2)/2)*BL46*BO46*VLOOKUP('Données projet'!$B$11,Paramètres!$A$1:$I$89,3,0)*0.475*44/12</f>
        <v>0.27080408545699131</v>
      </c>
      <c r="BS46" s="22">
        <f t="shared" si="9"/>
        <v>14.194837619446796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0</v>
      </c>
      <c r="CE46" s="59">
        <f t="shared" si="40"/>
        <v>0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-3.3992364478763198E-14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150.98674906185317</v>
      </c>
      <c r="T47" s="59">
        <f t="shared" si="34"/>
        <v>306.44063087948552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31.881620951070172</v>
      </c>
      <c r="AA47" s="21">
        <f>EXP(-LN(2)/25)*AA46+(1-EXP(-LN(2)/25))/(LN(2)/25)*Calculateur!V47*Calculateur!X47*VLOOKUP('Données projet'!$B$9,Paramètres!$A$1:$I$89,3,0)*0.475*44/12</f>
        <v>40.0934090478016</v>
      </c>
      <c r="AB47" s="21">
        <f>EXP(-LN(2)/2)*AB46+(1-EXP(-LN(2)/2))/(LN(2)/2)*V47*Y47*VLOOKUP('Données projet'!$B$9,Paramètres!$A$1:$I$89,3,0)*0.475*44/12</f>
        <v>2.4188557168259397</v>
      </c>
      <c r="AC47" s="22">
        <f t="shared" si="3"/>
        <v>74.393885715697721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162.92639999999997</v>
      </c>
      <c r="AK47" s="13">
        <f t="shared" si="35"/>
        <v>41.501875214842549</v>
      </c>
      <c r="AL47" s="20">
        <f t="shared" si="4"/>
        <v>356.04591266585072</v>
      </c>
      <c r="AM47" s="59">
        <f t="shared" si="5"/>
        <v>649.37924599918404</v>
      </c>
      <c r="AN47" s="59">
        <f ca="1">AVERAGE(OFFSET($AM$3,0,0,'Données projet'!$E$10+1,1))-AVERAGE(OFFSET($H$3,0,0,'Données projet'!$E$10+1,1))</f>
        <v>0</v>
      </c>
      <c r="AO47" s="59">
        <f t="shared" si="36"/>
        <v>0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186.41375999999994</v>
      </c>
      <c r="BF47" s="13">
        <f t="shared" si="37"/>
        <v>46.746208944321289</v>
      </c>
      <c r="BG47" s="20">
        <f t="shared" si="7"/>
        <v>406.08694591135946</v>
      </c>
      <c r="BH47" s="59">
        <f t="shared" si="8"/>
        <v>699.42027924469278</v>
      </c>
      <c r="BI47" s="59">
        <f ca="1">AVERAGE(OFFSET($BH$3,0,0,'Données projet'!$E$11+1,1))-AVERAGE(OFFSET($H$3,0,0,'Données projet'!$E$11+1,1))</f>
        <v>292.4657394642</v>
      </c>
      <c r="BJ47" s="59">
        <f t="shared" si="38"/>
        <v>333.80517619352395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2.0456416132958939</v>
      </c>
      <c r="BQ47" s="21">
        <f>EXP(-LN(2)/25)*BQ46+(1-EXP(-LN(2)/25))/(LN(2)/25)*Calculateur!BL47*Calculateur!BN47*VLOOKUP('Données projet'!$B$11,Paramètres!$A$1:$I$89,3,0)*0.475*44/12</f>
        <v>11.51377939797807</v>
      </c>
      <c r="BR47" s="21">
        <f>EXP(-LN(2)/2)*BR46+(1-EXP(-LN(2)/2))/(LN(2)/2)*BL47*BO47*VLOOKUP('Données projet'!$B$11,Paramètres!$A$1:$I$89,3,0)*0.475*44/12</f>
        <v>0.19148740519965987</v>
      </c>
      <c r="BS47" s="22">
        <f t="shared" si="9"/>
        <v>13.750908416473623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0</v>
      </c>
      <c r="CE47" s="59">
        <f t="shared" si="40"/>
        <v>0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-3.3992364478763198E-14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150.98674906185317</v>
      </c>
      <c r="T48" s="59">
        <f t="shared" si="34"/>
        <v>306.44063087948552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31.256441810088347</v>
      </c>
      <c r="AA48" s="21">
        <f>EXP(-LN(2)/25)*AA47+(1-EXP(-LN(2)/25))/(LN(2)/25)*Calculateur!V48*Calculateur!X48*VLOOKUP('Données projet'!$B$9,Paramètres!$A$1:$I$89,3,0)*0.475*44/12</f>
        <v>38.99705266896872</v>
      </c>
      <c r="AB48" s="21">
        <f>EXP(-LN(2)/2)*AB47+(1-EXP(-LN(2)/2))/(LN(2)/2)*V48*Y48*VLOOKUP('Données projet'!$B$9,Paramètres!$A$1:$I$89,3,0)*0.475*44/12</f>
        <v>1.7103892800794693</v>
      </c>
      <c r="AC48" s="22">
        <f t="shared" si="3"/>
        <v>71.963883759136536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171.99</v>
      </c>
      <c r="AK48" s="13">
        <f t="shared" si="35"/>
        <v>43.53541505793509</v>
      </c>
      <c r="AL48" s="20">
        <f t="shared" si="4"/>
        <v>375.37343122590363</v>
      </c>
      <c r="AM48" s="59">
        <f t="shared" si="5"/>
        <v>668.70676455923694</v>
      </c>
      <c r="AN48" s="59">
        <f ca="1">AVERAGE(OFFSET($AM$3,0,0,'Données projet'!$E$10+1,1))-AVERAGE(OFFSET($H$3,0,0,'Données projet'!$E$10+1,1))</f>
        <v>0</v>
      </c>
      <c r="AO48" s="59">
        <f t="shared" si="36"/>
        <v>0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193.87679999999992</v>
      </c>
      <c r="BF48" s="13">
        <f t="shared" si="37"/>
        <v>48.396048099527562</v>
      </c>
      <c r="BG48" s="20">
        <f t="shared" si="7"/>
        <v>421.95854377334371</v>
      </c>
      <c r="BH48" s="59">
        <f t="shared" si="8"/>
        <v>715.29187710667702</v>
      </c>
      <c r="BI48" s="59">
        <f ca="1">AVERAGE(OFFSET($BH$3,0,0,'Données projet'!$E$11+1,1))-AVERAGE(OFFSET($H$3,0,0,'Données projet'!$E$11+1,1))</f>
        <v>292.4657394642</v>
      </c>
      <c r="BJ48" s="59">
        <f t="shared" si="38"/>
        <v>333.80517619352395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2.0055278289773435</v>
      </c>
      <c r="BQ48" s="21">
        <f>EXP(-LN(2)/25)*BQ47+(1-EXP(-LN(2)/25))/(LN(2)/25)*Calculateur!BL48*Calculateur!BN48*VLOOKUP('Données projet'!$B$11,Paramètres!$A$1:$I$89,3,0)*0.475*44/12</f>
        <v>11.198934494857015</v>
      </c>
      <c r="BR48" s="21">
        <f>EXP(-LN(2)/2)*BR47+(1-EXP(-LN(2)/2))/(LN(2)/2)*BL48*BO48*VLOOKUP('Données projet'!$B$11,Paramètres!$A$1:$I$89,3,0)*0.475*44/12</f>
        <v>0.13540204272849565</v>
      </c>
      <c r="BS48" s="22">
        <f t="shared" si="9"/>
        <v>13.339864366562855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0</v>
      </c>
      <c r="CE48" s="59">
        <f t="shared" si="40"/>
        <v>0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150.98674906185317</v>
      </c>
      <c r="T49" s="59">
        <f t="shared" si="34"/>
        <v>306.44063087948552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30.643522050739552</v>
      </c>
      <c r="AA49" s="21">
        <f>EXP(-LN(2)/25)*AA48+(1-EXP(-LN(2)/25))/(LN(2)/25)*Calculateur!V49*Calculateur!X49*VLOOKUP('Données projet'!$B$9,Paramètres!$A$1:$I$89,3,0)*0.475*44/12</f>
        <v>37.9306762129699</v>
      </c>
      <c r="AB49" s="21">
        <f>EXP(-LN(2)/2)*AB48+(1-EXP(-LN(2)/2))/(LN(2)/2)*V49*Y49*VLOOKUP('Données projet'!$B$9,Paramètres!$A$1:$I$89,3,0)*0.475*44/12</f>
        <v>1.2094278584129698</v>
      </c>
      <c r="AC49" s="22">
        <f t="shared" si="3"/>
        <v>69.783626122122413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181.05360000000002</v>
      </c>
      <c r="AK49" s="13">
        <f t="shared" si="35"/>
        <v>45.556513074652401</v>
      </c>
      <c r="AL49" s="20">
        <f t="shared" si="4"/>
        <v>394.6792802716862</v>
      </c>
      <c r="AM49" s="59">
        <f t="shared" si="5"/>
        <v>688.01261360501951</v>
      </c>
      <c r="AN49" s="59">
        <f ca="1">AVERAGE(OFFSET($AM$3,0,0,'Données projet'!$E$10+1,1))-AVERAGE(OFFSET($H$3,0,0,'Données projet'!$E$10+1,1))</f>
        <v>0</v>
      </c>
      <c r="AO49" s="59">
        <f t="shared" si="36"/>
        <v>0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201.3398399999999</v>
      </c>
      <c r="BF49" s="13">
        <f t="shared" si="37"/>
        <v>50.038509483090699</v>
      </c>
      <c r="BG49" s="20">
        <f t="shared" si="7"/>
        <v>437.81729201638274</v>
      </c>
      <c r="BH49" s="59">
        <f t="shared" si="8"/>
        <v>731.15062534971605</v>
      </c>
      <c r="BI49" s="59">
        <f ca="1">AVERAGE(OFFSET($BH$3,0,0,'Données projet'!$E$11+1,1))-AVERAGE(OFFSET($H$3,0,0,'Données projet'!$E$11+1,1))</f>
        <v>292.4657394642</v>
      </c>
      <c r="BJ49" s="59">
        <f t="shared" si="38"/>
        <v>333.80517619352395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1.9662006515022874</v>
      </c>
      <c r="BQ49" s="21">
        <f>EXP(-LN(2)/25)*BQ48+(1-EXP(-LN(2)/25))/(LN(2)/25)*Calculateur!BL49*Calculateur!BN49*VLOOKUP('Données projet'!$B$11,Paramètres!$A$1:$I$89,3,0)*0.475*44/12</f>
        <v>10.892699042168781</v>
      </c>
      <c r="BR49" s="21">
        <f>EXP(-LN(2)/2)*BR48+(1-EXP(-LN(2)/2))/(LN(2)/2)*BL49*BO49*VLOOKUP('Données projet'!$B$11,Paramètres!$A$1:$I$89,3,0)*0.475*44/12</f>
        <v>9.5743702599829936E-2</v>
      </c>
      <c r="BS49" s="22">
        <f t="shared" si="9"/>
        <v>12.954643396270898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0</v>
      </c>
      <c r="CE49" s="59">
        <f t="shared" si="40"/>
        <v>0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150.98674906185317</v>
      </c>
      <c r="T50" s="59">
        <f t="shared" si="34"/>
        <v>306.44063087948552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30.042621274027447</v>
      </c>
      <c r="AA50" s="21">
        <f>EXP(-LN(2)/25)*AA49+(1-EXP(-LN(2)/25))/(LN(2)/25)*Calculateur!V50*Calculateur!X50*VLOOKUP('Données projet'!$B$9,Paramètres!$A$1:$I$89,3,0)*0.475*44/12</f>
        <v>36.893459877238669</v>
      </c>
      <c r="AB50" s="21">
        <f>EXP(-LN(2)/2)*AB49+(1-EXP(-LN(2)/2))/(LN(2)/2)*V50*Y50*VLOOKUP('Données projet'!$B$9,Paramètres!$A$1:$I$89,3,0)*0.475*44/12</f>
        <v>0.85519464003973467</v>
      </c>
      <c r="AC50" s="22">
        <f t="shared" si="3"/>
        <v>67.79127579130585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190.11720000000003</v>
      </c>
      <c r="AK50" s="13">
        <f t="shared" si="35"/>
        <v>47.565863177191268</v>
      </c>
      <c r="AL50" s="20">
        <f t="shared" si="4"/>
        <v>413.96466836694145</v>
      </c>
      <c r="AM50" s="59">
        <f t="shared" si="5"/>
        <v>707.29800170027477</v>
      </c>
      <c r="AN50" s="59">
        <f ca="1">AVERAGE(OFFSET($AM$3,0,0,'Données projet'!$E$10+1,1))-AVERAGE(OFFSET($H$3,0,0,'Données projet'!$E$10+1,1))</f>
        <v>0</v>
      </c>
      <c r="AO50" s="59">
        <f t="shared" si="36"/>
        <v>0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208.8028799999999</v>
      </c>
      <c r="BF50" s="13">
        <f t="shared" si="37"/>
        <v>51.67389788236224</v>
      </c>
      <c r="BG50" s="20">
        <f t="shared" si="7"/>
        <v>453.66372147844748</v>
      </c>
      <c r="BH50" s="59">
        <f t="shared" si="8"/>
        <v>746.9970548117808</v>
      </c>
      <c r="BI50" s="59">
        <f ca="1">AVERAGE(OFFSET($BH$3,0,0,'Données projet'!$E$11+1,1))-AVERAGE(OFFSET($H$3,0,0,'Données projet'!$E$11+1,1))</f>
        <v>292.4657394642</v>
      </c>
      <c r="BJ50" s="59">
        <f t="shared" si="38"/>
        <v>333.80517619352395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1.9276446559903075</v>
      </c>
      <c r="BQ50" s="21">
        <f>EXP(-LN(2)/25)*BQ49+(1-EXP(-LN(2)/25))/(LN(2)/25)*Calculateur!BL50*Calculateur!BN50*VLOOKUP('Données projet'!$B$11,Paramètres!$A$1:$I$89,3,0)*0.475*44/12</f>
        <v>10.594837614038529</v>
      </c>
      <c r="BR50" s="21">
        <f>EXP(-LN(2)/2)*BR49+(1-EXP(-LN(2)/2))/(LN(2)/2)*BL50*BO50*VLOOKUP('Données projet'!$B$11,Paramètres!$A$1:$I$89,3,0)*0.475*44/12</f>
        <v>6.7701021364247826E-2</v>
      </c>
      <c r="BS50" s="22">
        <f t="shared" si="9"/>
        <v>12.590183291393085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0</v>
      </c>
      <c r="CE50" s="59">
        <f t="shared" si="40"/>
        <v>0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150.98674906185317</v>
      </c>
      <c r="T51" s="59">
        <f t="shared" si="34"/>
        <v>306.44063087948552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29.453503795033381</v>
      </c>
      <c r="AA51" s="21">
        <f>EXP(-LN(2)/25)*AA50+(1-EXP(-LN(2)/25))/(LN(2)/25)*Calculateur!V51*Calculateur!X51*VLOOKUP('Données projet'!$B$9,Paramètres!$A$1:$I$89,3,0)*0.475*44/12</f>
        <v>35.884606276752841</v>
      </c>
      <c r="AB51" s="21">
        <f>EXP(-LN(2)/2)*AB50+(1-EXP(-LN(2)/2))/(LN(2)/2)*V51*Y51*VLOOKUP('Données projet'!$B$9,Paramètres!$A$1:$I$89,3,0)*0.475*44/12</f>
        <v>0.60471392920648492</v>
      </c>
      <c r="AC51" s="22">
        <f t="shared" si="3"/>
        <v>65.942824000992701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199.18080000000003</v>
      </c>
      <c r="AK51" s="13">
        <f t="shared" si="35"/>
        <v>49.564089376413683</v>
      </c>
      <c r="AL51" s="20">
        <f t="shared" si="4"/>
        <v>433.23068233058717</v>
      </c>
      <c r="AM51" s="59">
        <f t="shared" si="5"/>
        <v>726.56401566392049</v>
      </c>
      <c r="AN51" s="59">
        <f ca="1">AVERAGE(OFFSET($AM$3,0,0,'Données projet'!$E$10+1,1))-AVERAGE(OFFSET($H$3,0,0,'Données projet'!$E$10+1,1))</f>
        <v>0</v>
      </c>
      <c r="AO51" s="59">
        <f t="shared" si="36"/>
        <v>0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216.26591999999988</v>
      </c>
      <c r="BF51" s="13">
        <f t="shared" si="37"/>
        <v>53.302495062173776</v>
      </c>
      <c r="BG51" s="20">
        <f t="shared" si="7"/>
        <v>469.49832289995237</v>
      </c>
      <c r="BH51" s="59">
        <f t="shared" si="8"/>
        <v>762.83165623328568</v>
      </c>
      <c r="BI51" s="59">
        <f ca="1">AVERAGE(OFFSET($BH$3,0,0,'Données projet'!$E$11+1,1))-AVERAGE(OFFSET($H$3,0,0,'Données projet'!$E$11+1,1))</f>
        <v>292.4657394642</v>
      </c>
      <c r="BJ51" s="59">
        <f t="shared" si="38"/>
        <v>333.80517619352395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1.8898447200334825</v>
      </c>
      <c r="BQ51" s="21">
        <f>EXP(-LN(2)/25)*BQ50+(1-EXP(-LN(2)/25))/(LN(2)/25)*Calculateur!BL51*Calculateur!BN51*VLOOKUP('Données projet'!$B$11,Paramètres!$A$1:$I$89,3,0)*0.475*44/12</f>
        <v>10.305121222324349</v>
      </c>
      <c r="BR51" s="21">
        <f>EXP(-LN(2)/2)*BR50+(1-EXP(-LN(2)/2))/(LN(2)/2)*BL51*BO51*VLOOKUP('Données projet'!$B$11,Paramètres!$A$1:$I$89,3,0)*0.475*44/12</f>
        <v>4.7871851299914968E-2</v>
      </c>
      <c r="BS51" s="22">
        <f t="shared" si="9"/>
        <v>12.242837793657745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0</v>
      </c>
      <c r="CE51" s="59">
        <f t="shared" si="40"/>
        <v>0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150.98674906185317</v>
      </c>
      <c r="T52" s="59">
        <f t="shared" si="34"/>
        <v>306.44063087948552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28.87593855047621</v>
      </c>
      <c r="AA52" s="21">
        <f>EXP(-LN(2)/25)*AA51+(1-EXP(-LN(2)/25))/(LN(2)/25)*Calculateur!V52*Calculateur!X52*VLOOKUP('Données projet'!$B$9,Paramètres!$A$1:$I$89,3,0)*0.475*44/12</f>
        <v>34.903339831025605</v>
      </c>
      <c r="AB52" s="21">
        <f>EXP(-LN(2)/2)*AB51+(1-EXP(-LN(2)/2))/(LN(2)/2)*V52*Y52*VLOOKUP('Données projet'!$B$9,Paramètres!$A$1:$I$89,3,0)*0.475*44/12</f>
        <v>0.42759732001986733</v>
      </c>
      <c r="AC52" s="22">
        <f t="shared" si="3"/>
        <v>64.206875701521682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208.24440000000007</v>
      </c>
      <c r="AK52" s="13">
        <f t="shared" si="35"/>
        <v>51.55175568259682</v>
      </c>
      <c r="AL52" s="20">
        <f t="shared" si="4"/>
        <v>452.47830448052292</v>
      </c>
      <c r="AM52" s="59">
        <f t="shared" si="5"/>
        <v>745.81163781385624</v>
      </c>
      <c r="AN52" s="59">
        <f ca="1">AVERAGE(OFFSET($AM$3,0,0,'Données projet'!$E$10+1,1))-AVERAGE(OFFSET($H$3,0,0,'Données projet'!$E$10+1,1))</f>
        <v>0</v>
      </c>
      <c r="AO52" s="59">
        <f t="shared" si="36"/>
        <v>0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223.72895999999986</v>
      </c>
      <c r="BF52" s="13">
        <f t="shared" si="37"/>
        <v>54.924562237784592</v>
      </c>
      <c r="BG52" s="20">
        <f t="shared" si="7"/>
        <v>485.32155123080787</v>
      </c>
      <c r="BH52" s="59">
        <f t="shared" si="8"/>
        <v>778.65488456414118</v>
      </c>
      <c r="BI52" s="59">
        <f ca="1">AVERAGE(OFFSET($BH$3,0,0,'Données projet'!$E$11+1,1))-AVERAGE(OFFSET($H$3,0,0,'Données projet'!$E$11+1,1))</f>
        <v>292.4657394642</v>
      </c>
      <c r="BJ52" s="59">
        <f t="shared" si="38"/>
        <v>333.80517619352395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1.8527860177650863</v>
      </c>
      <c r="BQ52" s="21">
        <f>EXP(-LN(2)/25)*BQ51+(1-EXP(-LN(2)/25))/(LN(2)/25)*Calculateur!BL52*Calculateur!BN52*VLOOKUP('Données projet'!$B$11,Paramètres!$A$1:$I$89,3,0)*0.475*44/12</f>
        <v>10.023327140577118</v>
      </c>
      <c r="BR52" s="21">
        <f>EXP(-LN(2)/2)*BR51+(1-EXP(-LN(2)/2))/(LN(2)/2)*BL52*BO52*VLOOKUP('Données projet'!$B$11,Paramètres!$A$1:$I$89,3,0)*0.475*44/12</f>
        <v>3.3850510682123913E-2</v>
      </c>
      <c r="BS52" s="22">
        <f t="shared" si="9"/>
        <v>11.909963669024327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0</v>
      </c>
      <c r="CE52" s="59">
        <f t="shared" si="40"/>
        <v>0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150.98674906185317</v>
      </c>
      <c r="T53" s="59">
        <f t="shared" si="34"/>
        <v>306.44063087948552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28.309699008084788</v>
      </c>
      <c r="AA53" s="21">
        <f>EXP(-LN(2)/25)*AA52+(1-EXP(-LN(2)/25))/(LN(2)/25)*Calculateur!V53*Calculateur!X53*VLOOKUP('Données projet'!$B$9,Paramètres!$A$1:$I$89,3,0)*0.475*44/12</f>
        <v>33.948906167859342</v>
      </c>
      <c r="AB53" s="21">
        <f>EXP(-LN(2)/2)*AB52+(1-EXP(-LN(2)/2))/(LN(2)/2)*V53*Y53*VLOOKUP('Données projet'!$B$9,Paramètres!$A$1:$I$89,3,0)*0.475*44/12</f>
        <v>0.30235696460324246</v>
      </c>
      <c r="AC53" s="22">
        <f t="shared" si="3"/>
        <v>62.560962140547367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217.30800000000008</v>
      </c>
      <c r="AK53" s="13">
        <f t="shared" si="35"/>
        <v>53.529374233869092</v>
      </c>
      <c r="AL53" s="20">
        <f t="shared" si="4"/>
        <v>471.70842679065544</v>
      </c>
      <c r="AM53" s="59">
        <f t="shared" si="5"/>
        <v>765.04176012398875</v>
      </c>
      <c r="AN53" s="59">
        <f ca="1">AVERAGE(OFFSET($AM$3,0,0,'Données projet'!$E$10+1,1))-AVERAGE(OFFSET($H$3,0,0,'Données projet'!$E$10+1,1))</f>
        <v>0</v>
      </c>
      <c r="AO53" s="59">
        <f t="shared" si="36"/>
        <v>0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231.19199999999987</v>
      </c>
      <c r="BF53" s="13">
        <f t="shared" si="37"/>
        <v>56.540342208595177</v>
      </c>
      <c r="BG53" s="20">
        <f t="shared" si="7"/>
        <v>501.13382934663628</v>
      </c>
      <c r="BH53" s="59">
        <f t="shared" si="8"/>
        <v>794.46716267996953</v>
      </c>
      <c r="BI53" s="59">
        <f ca="1">AVERAGE(OFFSET($BH$3,0,0,'Données projet'!$E$11+1,1))-AVERAGE(OFFSET($H$3,0,0,'Données projet'!$E$11+1,1))</f>
        <v>292.4657394642</v>
      </c>
      <c r="BJ53" s="59">
        <f t="shared" si="38"/>
        <v>333.80517619352395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1.8164540140445968</v>
      </c>
      <c r="BQ53" s="21">
        <f>EXP(-LN(2)/25)*BQ52+(1-EXP(-LN(2)/25))/(LN(2)/25)*Calculateur!BL53*Calculateur!BN53*VLOOKUP('Données projet'!$B$11,Paramètres!$A$1:$I$89,3,0)*0.475*44/12</f>
        <v>9.7492387328141703</v>
      </c>
      <c r="BR53" s="21">
        <f>EXP(-LN(2)/2)*BR52+(1-EXP(-LN(2)/2))/(LN(2)/2)*BL53*BO53*VLOOKUP('Données projet'!$B$11,Paramètres!$A$1:$I$89,3,0)*0.475*44/12</f>
        <v>2.3935925649957484E-2</v>
      </c>
      <c r="BS53" s="22">
        <f t="shared" si="9"/>
        <v>11.589628672508725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0</v>
      </c>
      <c r="CE53" s="59">
        <f t="shared" si="40"/>
        <v>0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150.98674906185317</v>
      </c>
      <c r="T54" s="59">
        <f t="shared" si="34"/>
        <v>306.44063087948552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27.754563077747644</v>
      </c>
      <c r="AA54" s="21">
        <f>EXP(-LN(2)/25)*AA53+(1-EXP(-LN(2)/25))/(LN(2)/25)*Calculateur!V54*Calculateur!X54*VLOOKUP('Données projet'!$B$9,Paramètres!$A$1:$I$89,3,0)*0.475*44/12</f>
        <v>33.020571543403847</v>
      </c>
      <c r="AB54" s="21">
        <f>EXP(-LN(2)/2)*AB53+(1-EXP(-LN(2)/2))/(LN(2)/2)*V54*Y54*VLOOKUP('Données projet'!$B$9,Paramètres!$A$1:$I$89,3,0)*0.475*44/12</f>
        <v>0.21379866000993367</v>
      </c>
      <c r="AC54" s="22">
        <f t="shared" si="3"/>
        <v>60.98893328116143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179.96160000000006</v>
      </c>
      <c r="AK54" s="13">
        <f t="shared" si="35"/>
        <v>45.313642767960104</v>
      </c>
      <c r="AL54" s="20">
        <f t="shared" si="4"/>
        <v>392.3543811541972</v>
      </c>
      <c r="AM54" s="59">
        <f t="shared" si="5"/>
        <v>685.68771448753046</v>
      </c>
      <c r="AN54" s="59">
        <f ca="1">AVERAGE(OFFSET($AM$3,0,0,'Données projet'!$E$10+1,1))-AVERAGE(OFFSET($H$3,0,0,'Données projet'!$E$10+1,1))</f>
        <v>0</v>
      </c>
      <c r="AO54" s="59">
        <f t="shared" si="36"/>
        <v>0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201.82655999999989</v>
      </c>
      <c r="BF54" s="13">
        <f t="shared" si="37"/>
        <v>50.145377682843773</v>
      </c>
      <c r="BG54" s="20">
        <f t="shared" si="7"/>
        <v>438.85112479761938</v>
      </c>
      <c r="BH54" s="59">
        <f t="shared" si="8"/>
        <v>732.18445813095263</v>
      </c>
      <c r="BI54" s="59">
        <f ca="1">AVERAGE(OFFSET($BH$3,0,0,'Données projet'!$E$11+1,1))-AVERAGE(OFFSET($H$3,0,0,'Données projet'!$E$11+1,1))</f>
        <v>292.4657394642</v>
      </c>
      <c r="BJ54" s="59">
        <f t="shared" si="38"/>
        <v>333.80517619352395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1.7808344587567322</v>
      </c>
      <c r="BQ54" s="21">
        <f>EXP(-LN(2)/25)*BQ53+(1-EXP(-LN(2)/25))/(LN(2)/25)*Calculateur!BL54*Calculateur!BN54*VLOOKUP('Données projet'!$B$11,Paramètres!$A$1:$I$89,3,0)*0.475*44/12</f>
        <v>9.4826452869751847</v>
      </c>
      <c r="BR54" s="21">
        <f>EXP(-LN(2)/2)*BR53+(1-EXP(-LN(2)/2))/(LN(2)/2)*BL54*BO54*VLOOKUP('Données projet'!$B$11,Paramètres!$A$1:$I$89,3,0)*0.475*44/12</f>
        <v>1.6925255341061957E-2</v>
      </c>
      <c r="BS54" s="22">
        <f t="shared" si="9"/>
        <v>11.28040500107298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0</v>
      </c>
      <c r="CE54" s="59">
        <f t="shared" si="40"/>
        <v>0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150.98674906185317</v>
      </c>
      <c r="T55" s="59">
        <f t="shared" si="34"/>
        <v>306.44063087948552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27.210313024404929</v>
      </c>
      <c r="AA55" s="21">
        <f>EXP(-LN(2)/25)*AA54+(1-EXP(-LN(2)/25))/(LN(2)/25)*Calculateur!V55*Calculateur!X55*VLOOKUP('Données projet'!$B$9,Paramètres!$A$1:$I$89,3,0)*0.475*44/12</f>
        <v>32.117622278073078</v>
      </c>
      <c r="AB55" s="21">
        <f>EXP(-LN(2)/2)*AB54+(1-EXP(-LN(2)/2))/(LN(2)/2)*V55*Y55*VLOOKUP('Données projet'!$B$9,Paramètres!$A$1:$I$89,3,0)*0.475*44/12</f>
        <v>0.15117848230162123</v>
      </c>
      <c r="AC55" s="22">
        <f t="shared" si="3"/>
        <v>59.479113784779635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188.47920000000008</v>
      </c>
      <c r="AK55" s="13">
        <f t="shared" si="35"/>
        <v>47.203568465524917</v>
      </c>
      <c r="AL55" s="20">
        <f t="shared" si="4"/>
        <v>410.48082174412269</v>
      </c>
      <c r="AM55" s="59">
        <f t="shared" si="5"/>
        <v>703.81415507745601</v>
      </c>
      <c r="AN55" s="59">
        <f ca="1">AVERAGE(OFFSET($AM$3,0,0,'Données projet'!$E$10+1,1))-AVERAGE(OFFSET($H$3,0,0,'Données projet'!$E$10+1,1))</f>
        <v>0</v>
      </c>
      <c r="AO55" s="59">
        <f t="shared" si="36"/>
        <v>0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207.34271999999987</v>
      </c>
      <c r="BF55" s="13">
        <f t="shared" si="37"/>
        <v>51.354473493382997</v>
      </c>
      <c r="BG55" s="20">
        <f t="shared" si="7"/>
        <v>450.56427866764187</v>
      </c>
      <c r="BH55" s="59">
        <f t="shared" si="8"/>
        <v>743.89761200097519</v>
      </c>
      <c r="BI55" s="59">
        <f ca="1">AVERAGE(OFFSET($BH$3,0,0,'Données projet'!$E$11+1,1))-AVERAGE(OFFSET($H$3,0,0,'Données projet'!$E$11+1,1))</f>
        <v>292.4657394642</v>
      </c>
      <c r="BJ55" s="59">
        <f t="shared" si="38"/>
        <v>333.80517619352395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1.7459133812222789</v>
      </c>
      <c r="BQ55" s="21">
        <f>EXP(-LN(2)/25)*BQ54+(1-EXP(-LN(2)/25))/(LN(2)/25)*Calculateur!BL55*Calculateur!BN55*VLOOKUP('Données projet'!$B$11,Paramètres!$A$1:$I$89,3,0)*0.475*44/12</f>
        <v>9.2233418529322062</v>
      </c>
      <c r="BR55" s="21">
        <f>EXP(-LN(2)/2)*BR54+(1-EXP(-LN(2)/2))/(LN(2)/2)*BL55*BO55*VLOOKUP('Données projet'!$B$11,Paramètres!$A$1:$I$89,3,0)*0.475*44/12</f>
        <v>1.1967962824978742E-2</v>
      </c>
      <c r="BS55" s="22">
        <f t="shared" si="9"/>
        <v>10.981223196979464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0</v>
      </c>
      <c r="CE55" s="59">
        <f t="shared" si="40"/>
        <v>0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150.98674906185317</v>
      </c>
      <c r="T56" s="59">
        <f t="shared" si="34"/>
        <v>306.44063087948552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26.676735382648509</v>
      </c>
      <c r="AA56" s="21">
        <f>EXP(-LN(2)/25)*AA55+(1-EXP(-LN(2)/25))/(LN(2)/25)*Calculateur!V56*Calculateur!X56*VLOOKUP('Données projet'!$B$9,Paramètres!$A$1:$I$89,3,0)*0.475*44/12</f>
        <v>31.239364207886819</v>
      </c>
      <c r="AB56" s="21">
        <f>EXP(-LN(2)/2)*AB55+(1-EXP(-LN(2)/2))/(LN(2)/2)*V56*Y56*VLOOKUP('Données projet'!$B$9,Paramètres!$A$1:$I$89,3,0)*0.475*44/12</f>
        <v>0.10689933000496683</v>
      </c>
      <c r="AC56" s="22">
        <f t="shared" si="3"/>
        <v>58.022998920540289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196.99680000000009</v>
      </c>
      <c r="AK56" s="13">
        <f t="shared" si="35"/>
        <v>49.083575208709597</v>
      </c>
      <c r="AL56" s="20">
        <f t="shared" si="4"/>
        <v>428.58998682183602</v>
      </c>
      <c r="AM56" s="59">
        <f t="shared" si="5"/>
        <v>721.92332015516934</v>
      </c>
      <c r="AN56" s="59">
        <f ca="1">AVERAGE(OFFSET($AM$3,0,0,'Données projet'!$E$10+1,1))-AVERAGE(OFFSET($H$3,0,0,'Données projet'!$E$10+1,1))</f>
        <v>0</v>
      </c>
      <c r="AO56" s="59">
        <f t="shared" si="36"/>
        <v>0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212.85887999999989</v>
      </c>
      <c r="BF56" s="13">
        <f t="shared" si="37"/>
        <v>52.559830405800589</v>
      </c>
      <c r="BG56" s="20">
        <f t="shared" si="7"/>
        <v>462.27092062343581</v>
      </c>
      <c r="BH56" s="59">
        <f t="shared" si="8"/>
        <v>755.60425395676907</v>
      </c>
      <c r="BI56" s="59">
        <f ca="1">AVERAGE(OFFSET($BH$3,0,0,'Données projet'!$E$11+1,1))-AVERAGE(OFFSET($H$3,0,0,'Données projet'!$E$11+1,1))</f>
        <v>292.4657394642</v>
      </c>
      <c r="BJ56" s="59">
        <f t="shared" si="38"/>
        <v>333.80517619352395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1.7116770847185223</v>
      </c>
      <c r="BQ56" s="21">
        <f>EXP(-LN(2)/25)*BQ55+(1-EXP(-LN(2)/25))/(LN(2)/25)*Calculateur!BL56*Calculateur!BN56*VLOOKUP('Données projet'!$B$11,Paramètres!$A$1:$I$89,3,0)*0.475*44/12</f>
        <v>8.9711290849293075</v>
      </c>
      <c r="BR56" s="21">
        <f>EXP(-LN(2)/2)*BR55+(1-EXP(-LN(2)/2))/(LN(2)/2)*BL56*BO56*VLOOKUP('Données projet'!$B$11,Paramètres!$A$1:$I$89,3,0)*0.475*44/12</f>
        <v>8.4626276705309783E-3</v>
      </c>
      <c r="BS56" s="22">
        <f t="shared" si="9"/>
        <v>10.69126879731836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0</v>
      </c>
      <c r="CE56" s="59">
        <f t="shared" si="40"/>
        <v>0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150.98674906185317</v>
      </c>
      <c r="T57" s="59">
        <f t="shared" si="34"/>
        <v>306.44063087948552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26.153620872996708</v>
      </c>
      <c r="AA57" s="21">
        <f>EXP(-LN(2)/25)*AA56+(1-EXP(-LN(2)/25))/(LN(2)/25)*Calculateur!V57*Calculateur!X57*VLOOKUP('Données projet'!$B$9,Paramètres!$A$1:$I$89,3,0)*0.475*44/12</f>
        <v>30.385122150815388</v>
      </c>
      <c r="AB57" s="21">
        <f>EXP(-LN(2)/2)*AB56+(1-EXP(-LN(2)/2))/(LN(2)/2)*V57*Y57*VLOOKUP('Données projet'!$B$9,Paramètres!$A$1:$I$89,3,0)*0.475*44/12</f>
        <v>7.5589241150810615E-2</v>
      </c>
      <c r="AC57" s="22">
        <f t="shared" si="3"/>
        <v>56.614332264962904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205.51440000000011</v>
      </c>
      <c r="AK57" s="13">
        <f t="shared" si="35"/>
        <v>50.954140887219786</v>
      </c>
      <c r="AL57" s="20">
        <f t="shared" si="4"/>
        <v>446.68270871190794</v>
      </c>
      <c r="AM57" s="59">
        <f t="shared" si="5"/>
        <v>740.01604204524119</v>
      </c>
      <c r="AN57" s="59">
        <f ca="1">AVERAGE(OFFSET($AM$3,0,0,'Données projet'!$E$10+1,1))-AVERAGE(OFFSET($H$3,0,0,'Données projet'!$E$10+1,1))</f>
        <v>0</v>
      </c>
      <c r="AO57" s="59">
        <f t="shared" si="36"/>
        <v>0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218.37503999999993</v>
      </c>
      <c r="BF57" s="13">
        <f t="shared" si="37"/>
        <v>53.761556452013281</v>
      </c>
      <c r="BG57" s="20">
        <f t="shared" si="7"/>
        <v>473.97123882058969</v>
      </c>
      <c r="BH57" s="59">
        <f t="shared" si="8"/>
        <v>767.304572153923</v>
      </c>
      <c r="BI57" s="59">
        <f ca="1">AVERAGE(OFFSET($BH$3,0,0,'Données projet'!$E$11+1,1))-AVERAGE(OFFSET($H$3,0,0,'Données projet'!$E$11+1,1))</f>
        <v>292.4657394642</v>
      </c>
      <c r="BJ57" s="59">
        <f t="shared" si="38"/>
        <v>333.80517619352395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1.6781121411071254</v>
      </c>
      <c r="BQ57" s="21">
        <f>EXP(-LN(2)/25)*BQ56+(1-EXP(-LN(2)/25))/(LN(2)/25)*Calculateur!BL57*Calculateur!BN57*VLOOKUP('Données projet'!$B$11,Paramètres!$A$1:$I$89,3,0)*0.475*44/12</f>
        <v>8.7258130883307405</v>
      </c>
      <c r="BR57" s="21">
        <f>EXP(-LN(2)/2)*BR56+(1-EXP(-LN(2)/2))/(LN(2)/2)*BL57*BO57*VLOOKUP('Données projet'!$B$11,Paramètres!$A$1:$I$89,3,0)*0.475*44/12</f>
        <v>5.983981412489371E-3</v>
      </c>
      <c r="BS57" s="22">
        <f t="shared" si="9"/>
        <v>10.409909210850355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0</v>
      </c>
      <c r="CE57" s="59">
        <f t="shared" si="40"/>
        <v>0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150.98674906185317</v>
      </c>
      <c r="T58" s="59">
        <f t="shared" si="34"/>
        <v>306.44063087948552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25.640764319810831</v>
      </c>
      <c r="AA58" s="21">
        <f>EXP(-LN(2)/25)*AA57+(1-EXP(-LN(2)/25))/(LN(2)/25)*Calculateur!V58*Calculateur!X58*VLOOKUP('Données projet'!$B$9,Paramètres!$A$1:$I$89,3,0)*0.475*44/12</f>
        <v>29.554239387717214</v>
      </c>
      <c r="AB58" s="21">
        <f>EXP(-LN(2)/2)*AB57+(1-EXP(-LN(2)/2))/(LN(2)/2)*V58*Y58*VLOOKUP('Données projet'!$B$9,Paramètres!$A$1:$I$89,3,0)*0.475*44/12</f>
        <v>5.3449665002483417E-2</v>
      </c>
      <c r="AC58" s="22">
        <f t="shared" si="3"/>
        <v>55.248453372530527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214.03200000000012</v>
      </c>
      <c r="AK58" s="13">
        <f t="shared" si="35"/>
        <v>52.815701536972284</v>
      </c>
      <c r="AL58" s="20">
        <f t="shared" si="4"/>
        <v>464.75974684356021</v>
      </c>
      <c r="AM58" s="59">
        <f t="shared" si="5"/>
        <v>758.09308017689352</v>
      </c>
      <c r="AN58" s="59">
        <f ca="1">AVERAGE(OFFSET($AM$3,0,0,'Données projet'!$E$10+1,1))-AVERAGE(OFFSET($H$3,0,0,'Données projet'!$E$10+1,1))</f>
        <v>0</v>
      </c>
      <c r="AO58" s="59">
        <f t="shared" si="36"/>
        <v>0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223.89119999999994</v>
      </c>
      <c r="BF58" s="13">
        <f t="shared" si="37"/>
        <v>54.95975389514858</v>
      </c>
      <c r="BG58" s="20">
        <f t="shared" si="7"/>
        <v>485.66541136738368</v>
      </c>
      <c r="BH58" s="59">
        <f t="shared" si="8"/>
        <v>778.998744700717</v>
      </c>
      <c r="BI58" s="59">
        <f ca="1">AVERAGE(OFFSET($BH$3,0,0,'Données projet'!$E$11+1,1))-AVERAGE(OFFSET($H$3,0,0,'Données projet'!$E$11+1,1))</f>
        <v>292.4657394642</v>
      </c>
      <c r="BJ58" s="59">
        <f t="shared" si="38"/>
        <v>333.80517619352395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1.6452053855673539</v>
      </c>
      <c r="BQ58" s="21">
        <f>EXP(-LN(2)/25)*BQ57+(1-EXP(-LN(2)/25))/(LN(2)/25)*Calculateur!BL58*Calculateur!BN58*VLOOKUP('Données projet'!$B$11,Paramètres!$A$1:$I$89,3,0)*0.475*44/12</f>
        <v>8.4872052705597696</v>
      </c>
      <c r="BR58" s="21">
        <f>EXP(-LN(2)/2)*BR57+(1-EXP(-LN(2)/2))/(LN(2)/2)*BL58*BO58*VLOOKUP('Données projet'!$B$11,Paramètres!$A$1:$I$89,3,0)*0.475*44/12</f>
        <v>4.2313138352654892E-3</v>
      </c>
      <c r="BS58" s="22">
        <f t="shared" si="9"/>
        <v>10.13664196996239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0</v>
      </c>
      <c r="CE58" s="59">
        <f t="shared" si="40"/>
        <v>0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150.98674906185317</v>
      </c>
      <c r="T59" s="59">
        <f t="shared" si="34"/>
        <v>306.44063087948552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25.137964570821321</v>
      </c>
      <c r="AA59" s="21">
        <f>EXP(-LN(2)/25)*AA58+(1-EXP(-LN(2)/25))/(LN(2)/25)*Calculateur!V59*Calculateur!X59*VLOOKUP('Données projet'!$B$9,Paramètres!$A$1:$I$89,3,0)*0.475*44/12</f>
        <v>28.746077157470186</v>
      </c>
      <c r="AB59" s="21">
        <f>EXP(-LN(2)/2)*AB58+(1-EXP(-LN(2)/2))/(LN(2)/2)*V59*Y59*VLOOKUP('Données projet'!$B$9,Paramètres!$A$1:$I$89,3,0)*0.475*44/12</f>
        <v>3.7794620575405308E-2</v>
      </c>
      <c r="AC59" s="22">
        <f t="shared" si="3"/>
        <v>53.921836348866911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222.54960000000014</v>
      </c>
      <c r="AK59" s="13">
        <f t="shared" si="35"/>
        <v>54.668656524452629</v>
      </c>
      <c r="AL59" s="20">
        <f t="shared" si="4"/>
        <v>482.82179678008856</v>
      </c>
      <c r="AM59" s="59">
        <f t="shared" si="5"/>
        <v>776.15513011342182</v>
      </c>
      <c r="AN59" s="59">
        <f ca="1">AVERAGE(OFFSET($AM$3,0,0,'Données projet'!$E$10+1,1))-AVERAGE(OFFSET($H$3,0,0,'Données projet'!$E$10+1,1))</f>
        <v>0</v>
      </c>
      <c r="AO59" s="59">
        <f t="shared" si="36"/>
        <v>0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229.40735999999993</v>
      </c>
      <c r="BF59" s="13">
        <f t="shared" si="37"/>
        <v>56.15451967202349</v>
      </c>
      <c r="BG59" s="20">
        <f t="shared" si="7"/>
        <v>497.35360709544074</v>
      </c>
      <c r="BH59" s="59">
        <f t="shared" si="8"/>
        <v>790.68694042877405</v>
      </c>
      <c r="BI59" s="59">
        <f ca="1">AVERAGE(OFFSET($BH$3,0,0,'Données projet'!$E$11+1,1))-AVERAGE(OFFSET($H$3,0,0,'Données projet'!$E$11+1,1))</f>
        <v>292.4657394642</v>
      </c>
      <c r="BJ59" s="59">
        <f t="shared" si="38"/>
        <v>333.80517619352395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1.6129439114325781</v>
      </c>
      <c r="BQ59" s="21">
        <f>EXP(-LN(2)/25)*BQ58+(1-EXP(-LN(2)/25))/(LN(2)/25)*Calculateur!BL59*Calculateur!BN59*VLOOKUP('Données projet'!$B$11,Paramètres!$A$1:$I$89,3,0)*0.475*44/12</f>
        <v>8.2551221961135859</v>
      </c>
      <c r="BR59" s="21">
        <f>EXP(-LN(2)/2)*BR58+(1-EXP(-LN(2)/2))/(LN(2)/2)*BL59*BO59*VLOOKUP('Données projet'!$B$11,Paramètres!$A$1:$I$89,3,0)*0.475*44/12</f>
        <v>2.9919907062446855E-3</v>
      </c>
      <c r="BS59" s="22">
        <f t="shared" si="9"/>
        <v>9.8710580982524085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0</v>
      </c>
      <c r="CE59" s="59">
        <f t="shared" si="40"/>
        <v>0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150.98674906185317</v>
      </c>
      <c r="T60" s="59">
        <f t="shared" si="34"/>
        <v>306.44063087948552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24.64502441823193</v>
      </c>
      <c r="AA60" s="21">
        <f>EXP(-LN(2)/25)*AA59+(1-EXP(-LN(2)/25))/(LN(2)/25)*Calculateur!V60*Calculateur!X60*VLOOKUP('Données projet'!$B$9,Paramètres!$A$1:$I$89,3,0)*0.475*44/12</f>
        <v>27.960014165908667</v>
      </c>
      <c r="AB60" s="21">
        <f>EXP(-LN(2)/2)*AB59+(1-EXP(-LN(2)/2))/(LN(2)/2)*V60*Y60*VLOOKUP('Données projet'!$B$9,Paramètres!$A$1:$I$89,3,0)*0.475*44/12</f>
        <v>2.6724832501241708E-2</v>
      </c>
      <c r="AC60" s="22">
        <f t="shared" si="3"/>
        <v>52.631763416641846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231.06720000000016</v>
      </c>
      <c r="AK60" s="13">
        <f t="shared" si="35"/>
        <v>56.513372915070541</v>
      </c>
      <c r="AL60" s="20">
        <f t="shared" si="4"/>
        <v>500.86949782708149</v>
      </c>
      <c r="AM60" s="59">
        <f t="shared" si="5"/>
        <v>794.2028311604148</v>
      </c>
      <c r="AN60" s="59">
        <f ca="1">AVERAGE(OFFSET($AM$3,0,0,'Données projet'!$E$10+1,1))-AVERAGE(OFFSET($H$3,0,0,'Données projet'!$E$10+1,1))</f>
        <v>0</v>
      </c>
      <c r="AO60" s="59">
        <f t="shared" si="36"/>
        <v>0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234.92351999999994</v>
      </c>
      <c r="BF60" s="13">
        <f t="shared" si="37"/>
        <v>57.345945791866185</v>
      </c>
      <c r="BG60" s="20">
        <f t="shared" si="7"/>
        <v>509.0359862541668</v>
      </c>
      <c r="BH60" s="59">
        <f t="shared" si="8"/>
        <v>802.36931958750006</v>
      </c>
      <c r="BI60" s="59">
        <f ca="1">AVERAGE(OFFSET($BH$3,0,0,'Données projet'!$E$11+1,1))-AVERAGE(OFFSET($H$3,0,0,'Données projet'!$E$11+1,1))</f>
        <v>292.4657394642</v>
      </c>
      <c r="BJ60" s="59">
        <f t="shared" si="38"/>
        <v>333.80517619352395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1.5813150651280292</v>
      </c>
      <c r="BQ60" s="21">
        <f>EXP(-LN(2)/25)*BQ59+(1-EXP(-LN(2)/25))/(LN(2)/25)*Calculateur!BL60*Calculateur!BN60*VLOOKUP('Données projet'!$B$11,Paramètres!$A$1:$I$89,3,0)*0.475*44/12</f>
        <v>8.0293854455428502</v>
      </c>
      <c r="BR60" s="21">
        <f>EXP(-LN(2)/2)*BR59+(1-EXP(-LN(2)/2))/(LN(2)/2)*BL60*BO60*VLOOKUP('Données projet'!$B$11,Paramètres!$A$1:$I$89,3,0)*0.475*44/12</f>
        <v>2.1156569176327446E-3</v>
      </c>
      <c r="BS60" s="22">
        <f t="shared" si="9"/>
        <v>9.6128161675885124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0</v>
      </c>
      <c r="CE60" s="59">
        <f t="shared" si="40"/>
        <v>0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150.98674906185317</v>
      </c>
      <c r="T61" s="59">
        <f t="shared" si="34"/>
        <v>306.44063087948552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24.161750521371012</v>
      </c>
      <c r="AA61" s="21">
        <f>EXP(-LN(2)/25)*AA60+(1-EXP(-LN(2)/25))/(LN(2)/25)*Calculateur!V61*Calculateur!X61*VLOOKUP('Données projet'!$B$9,Paramètres!$A$1:$I$89,3,0)*0.475*44/12</f>
        <v>27.195446108188655</v>
      </c>
      <c r="AB61" s="21">
        <f>EXP(-LN(2)/2)*AB60+(1-EXP(-LN(2)/2))/(LN(2)/2)*V61*Y61*VLOOKUP('Données projet'!$B$9,Paramètres!$A$1:$I$89,3,0)*0.475*44/12</f>
        <v>1.8897310287702654E-2</v>
      </c>
      <c r="AC61" s="22">
        <f t="shared" si="3"/>
        <v>51.376093939847372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239.58480000000017</v>
      </c>
      <c r="AK61" s="13">
        <f t="shared" si="35"/>
        <v>58.350189179304486</v>
      </c>
      <c r="AL61" s="20">
        <f t="shared" si="4"/>
        <v>518.90343948728889</v>
      </c>
      <c r="AM61" s="59">
        <f t="shared" si="5"/>
        <v>812.23677282062226</v>
      </c>
      <c r="AN61" s="59">
        <f ca="1">AVERAGE(OFFSET($AM$3,0,0,'Données projet'!$E$10+1,1))-AVERAGE(OFFSET($H$3,0,0,'Données projet'!$E$10+1,1))</f>
        <v>0</v>
      </c>
      <c r="AO61" s="59">
        <f t="shared" si="36"/>
        <v>0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240.43967999999995</v>
      </c>
      <c r="BF61" s="13">
        <f t="shared" si="37"/>
        <v>58.534119696534113</v>
      </c>
      <c r="BG61" s="20">
        <f t="shared" si="7"/>
        <v>520.71270113813011</v>
      </c>
      <c r="BH61" s="59">
        <f t="shared" si="8"/>
        <v>814.04603447146337</v>
      </c>
      <c r="BI61" s="59">
        <f ca="1">AVERAGE(OFFSET($BH$3,0,0,'Données projet'!$E$11+1,1))-AVERAGE(OFFSET($H$3,0,0,'Données projet'!$E$11+1,1))</f>
        <v>292.4657394642</v>
      </c>
      <c r="BJ61" s="59">
        <f t="shared" si="38"/>
        <v>333.80517619352395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1.5503064412078211</v>
      </c>
      <c r="BQ61" s="21">
        <f>EXP(-LN(2)/25)*BQ60+(1-EXP(-LN(2)/25))/(LN(2)/25)*Calculateur!BL61*Calculateur!BN61*VLOOKUP('Données projet'!$B$11,Paramètres!$A$1:$I$89,3,0)*0.475*44/12</f>
        <v>7.8098214782874518</v>
      </c>
      <c r="BR61" s="21">
        <f>EXP(-LN(2)/2)*BR60+(1-EXP(-LN(2)/2))/(LN(2)/2)*BL61*BO61*VLOOKUP('Données projet'!$B$11,Paramètres!$A$1:$I$89,3,0)*0.475*44/12</f>
        <v>1.4959953531223427E-3</v>
      </c>
      <c r="BS61" s="22">
        <f t="shared" si="9"/>
        <v>9.361623914848396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0</v>
      </c>
      <c r="CE61" s="59">
        <f t="shared" si="40"/>
        <v>0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150.98674906185317</v>
      </c>
      <c r="T62" s="59">
        <f t="shared" si="34"/>
        <v>306.44063087948552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23.687953330859564</v>
      </c>
      <c r="AA62" s="21">
        <f>EXP(-LN(2)/25)*AA61+(1-EXP(-LN(2)/25))/(LN(2)/25)*Calculateur!V62*Calculateur!X62*VLOOKUP('Données projet'!$B$9,Paramètres!$A$1:$I$89,3,0)*0.475*44/12</f>
        <v>26.451785204213881</v>
      </c>
      <c r="AB62" s="21">
        <f>EXP(-LN(2)/2)*AB61+(1-EXP(-LN(2)/2))/(LN(2)/2)*V62*Y62*VLOOKUP('Données projet'!$B$9,Paramètres!$A$1:$I$89,3,0)*0.475*44/12</f>
        <v>1.3362416250620854E-2</v>
      </c>
      <c r="AC62" s="22">
        <f t="shared" si="3"/>
        <v>50.15310095132407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248.10240000000016</v>
      </c>
      <c r="AK62" s="13">
        <f t="shared" si="35"/>
        <v>60.179418356999982</v>
      </c>
      <c r="AL62" s="20">
        <f t="shared" si="4"/>
        <v>536.92416697177521</v>
      </c>
      <c r="AM62" s="59">
        <f t="shared" si="5"/>
        <v>830.25750030510858</v>
      </c>
      <c r="AN62" s="59">
        <f ca="1">AVERAGE(OFFSET($AM$3,0,0,'Données projet'!$E$10+1,1))-AVERAGE(OFFSET($H$3,0,0,'Données projet'!$E$10+1,1))</f>
        <v>0</v>
      </c>
      <c r="AO62" s="59">
        <f t="shared" si="36"/>
        <v>0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245.95583999999994</v>
      </c>
      <c r="BF62" s="13">
        <f t="shared" si="37"/>
        <v>59.719124586743611</v>
      </c>
      <c r="BG62" s="20">
        <f t="shared" si="7"/>
        <v>532.38389665524505</v>
      </c>
      <c r="BH62" s="59">
        <f t="shared" si="8"/>
        <v>825.71722998857831</v>
      </c>
      <c r="BI62" s="59">
        <f ca="1">AVERAGE(OFFSET($BH$3,0,0,'Données projet'!$E$11+1,1))-AVERAGE(OFFSET($H$3,0,0,'Données projet'!$E$11+1,1))</f>
        <v>292.4657394642</v>
      </c>
      <c r="BJ62" s="59">
        <f t="shared" si="38"/>
        <v>333.80517619352395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1.5199058774892953</v>
      </c>
      <c r="BQ62" s="21">
        <f>EXP(-LN(2)/25)*BQ61+(1-EXP(-LN(2)/25))/(LN(2)/25)*Calculateur!BL62*Calculateur!BN62*VLOOKUP('Données projet'!$B$11,Paramètres!$A$1:$I$89,3,0)*0.475*44/12</f>
        <v>7.5962614992630195</v>
      </c>
      <c r="BR62" s="21">
        <f>EXP(-LN(2)/2)*BR61+(1-EXP(-LN(2)/2))/(LN(2)/2)*BL62*BO62*VLOOKUP('Données projet'!$B$11,Paramètres!$A$1:$I$89,3,0)*0.475*44/12</f>
        <v>1.0578284588163723E-3</v>
      </c>
      <c r="BS62" s="22">
        <f t="shared" si="9"/>
        <v>9.1172252052111311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0</v>
      </c>
      <c r="CE62" s="59">
        <f t="shared" si="40"/>
        <v>0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150.98674906185317</v>
      </c>
      <c r="T63" s="59">
        <f t="shared" si="34"/>
        <v>306.44063087948552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23.223447014266295</v>
      </c>
      <c r="AA63" s="21">
        <f>EXP(-LN(2)/25)*AA62+(1-EXP(-LN(2)/25))/(LN(2)/25)*Calculateur!V63*Calculateur!X63*VLOOKUP('Données projet'!$B$9,Paramètres!$A$1:$I$89,3,0)*0.475*44/12</f>
        <v>25.728459746765726</v>
      </c>
      <c r="AB63" s="21">
        <f>EXP(-LN(2)/2)*AB62+(1-EXP(-LN(2)/2))/(LN(2)/2)*V63*Y63*VLOOKUP('Données projet'!$B$9,Paramètres!$A$1:$I$89,3,0)*0.475*44/12</f>
        <v>9.4486551438513269E-3</v>
      </c>
      <c r="AC63" s="22">
        <f t="shared" si="3"/>
        <v>48.96135541617587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256.62000000000018</v>
      </c>
      <c r="AK63" s="13">
        <f t="shared" si="35"/>
        <v>62.001350774926571</v>
      </c>
      <c r="AL63" s="20">
        <f t="shared" si="4"/>
        <v>554.93218593299741</v>
      </c>
      <c r="AM63" s="59">
        <f t="shared" si="5"/>
        <v>848.26551926633078</v>
      </c>
      <c r="AN63" s="59">
        <f ca="1">AVERAGE(OFFSET($AM$3,0,0,'Données projet'!$E$10+1,1))-AVERAGE(OFFSET($H$3,0,0,'Données projet'!$E$10+1,1))</f>
        <v>0</v>
      </c>
      <c r="AO63" s="59">
        <f t="shared" si="36"/>
        <v>0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251.47199999999998</v>
      </c>
      <c r="BF63" s="13">
        <f t="shared" si="37"/>
        <v>60.901039718208651</v>
      </c>
      <c r="BG63" s="20">
        <f t="shared" si="7"/>
        <v>544.04971084254669</v>
      </c>
      <c r="BH63" s="59">
        <f t="shared" si="8"/>
        <v>837.38304417588006</v>
      </c>
      <c r="BI63" s="59">
        <f ca="1">AVERAGE(OFFSET($BH$3,0,0,'Données projet'!$E$11+1,1))-AVERAGE(OFFSET($H$3,0,0,'Données projet'!$E$11+1,1))</f>
        <v>292.4657394642</v>
      </c>
      <c r="BJ63" s="59">
        <f t="shared" si="38"/>
        <v>333.80517619352395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1.4901014502827767</v>
      </c>
      <c r="BQ63" s="21">
        <f>EXP(-LN(2)/25)*BQ62+(1-EXP(-LN(2)/25))/(LN(2)/25)*Calculateur!BL63*Calculateur!BN63*VLOOKUP('Données projet'!$B$11,Paramètres!$A$1:$I$89,3,0)*0.475*44/12</f>
        <v>7.3885413290956414</v>
      </c>
      <c r="BR63" s="21">
        <f>EXP(-LN(2)/2)*BR62+(1-EXP(-LN(2)/2))/(LN(2)/2)*BL63*BO63*VLOOKUP('Données projet'!$B$11,Paramètres!$A$1:$I$89,3,0)*0.475*44/12</f>
        <v>7.4799767656117137E-4</v>
      </c>
      <c r="BS63" s="22">
        <f t="shared" si="9"/>
        <v>8.8793907770549794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0</v>
      </c>
      <c r="CE63" s="59">
        <f t="shared" si="40"/>
        <v>0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150.98674906185317</v>
      </c>
      <c r="T64" s="59">
        <f t="shared" si="34"/>
        <v>306.44063087948552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22.768049383220543</v>
      </c>
      <c r="AA64" s="21">
        <f>EXP(-LN(2)/25)*AA63+(1-EXP(-LN(2)/25))/(LN(2)/25)*Calculateur!V64*Calculateur!X64*VLOOKUP('Données projet'!$B$9,Paramètres!$A$1:$I$89,3,0)*0.475*44/12</f>
        <v>25.024913661989522</v>
      </c>
      <c r="AB64" s="21">
        <f>EXP(-LN(2)/2)*AB63+(1-EXP(-LN(2)/2))/(LN(2)/2)*V64*Y64*VLOOKUP('Données projet'!$B$9,Paramètres!$A$1:$I$89,3,0)*0.475*44/12</f>
        <v>6.6812081253104271E-3</v>
      </c>
      <c r="AC64" s="22">
        <f t="shared" si="3"/>
        <v>47.799644253335373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218.40000000000018</v>
      </c>
      <c r="AK64" s="13">
        <f t="shared" si="35"/>
        <v>53.76698603199857</v>
      </c>
      <c r="AL64" s="20">
        <f t="shared" si="4"/>
        <v>474.02416733906449</v>
      </c>
      <c r="AM64" s="59">
        <f t="shared" si="5"/>
        <v>767.3575006723978</v>
      </c>
      <c r="AN64" s="59">
        <f ca="1">AVERAGE(OFFSET($AM$3,0,0,'Données projet'!$E$10+1,1))-AVERAGE(OFFSET($H$3,0,0,'Données projet'!$E$10+1,1))</f>
        <v>0</v>
      </c>
      <c r="AO64" s="59">
        <f t="shared" si="36"/>
        <v>0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231.11087999999995</v>
      </c>
      <c r="BF64" s="13">
        <f t="shared" si="37"/>
        <v>56.522812360621501</v>
      </c>
      <c r="BG64" s="20">
        <f t="shared" si="7"/>
        <v>500.96201419474897</v>
      </c>
      <c r="BH64" s="59">
        <f t="shared" si="8"/>
        <v>794.29534752808229</v>
      </c>
      <c r="BI64" s="59">
        <f ca="1">AVERAGE(OFFSET($BH$3,0,0,'Données projet'!$E$11+1,1))-AVERAGE(OFFSET($H$3,0,0,'Données projet'!$E$11+1,1))</f>
        <v>292.4657394642</v>
      </c>
      <c r="BJ64" s="59">
        <f t="shared" si="38"/>
        <v>333.80517619352395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1.4608814697148724</v>
      </c>
      <c r="BQ64" s="21">
        <f>EXP(-LN(2)/25)*BQ63+(1-EXP(-LN(2)/25))/(LN(2)/25)*Calculateur!BL64*Calculateur!BN64*VLOOKUP('Données projet'!$B$11,Paramètres!$A$1:$I$89,3,0)*0.475*44/12</f>
        <v>7.1865012779050197</v>
      </c>
      <c r="BR64" s="21">
        <f>EXP(-LN(2)/2)*BR63+(1-EXP(-LN(2)/2))/(LN(2)/2)*BL64*BO64*VLOOKUP('Données projet'!$B$11,Paramètres!$A$1:$I$89,3,0)*0.475*44/12</f>
        <v>5.2891422940818614E-4</v>
      </c>
      <c r="BS64" s="22">
        <f t="shared" si="9"/>
        <v>8.6479116618492995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0</v>
      </c>
      <c r="CE64" s="59">
        <f t="shared" si="40"/>
        <v>0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150.98674906185317</v>
      </c>
      <c r="T65" s="59">
        <f t="shared" si="34"/>
        <v>306.44063087948552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22.321581821954471</v>
      </c>
      <c r="AA65" s="21">
        <f>EXP(-LN(2)/25)*AA64+(1-EXP(-LN(2)/25))/(LN(2)/25)*Calculateur!V65*Calculateur!X65*VLOOKUP('Données projet'!$B$9,Paramètres!$A$1:$I$89,3,0)*0.475*44/12</f>
        <v>24.340606081899406</v>
      </c>
      <c r="AB65" s="21">
        <f>EXP(-LN(2)/2)*AB64+(1-EXP(-LN(2)/2))/(LN(2)/2)*V65*Y65*VLOOKUP('Données projet'!$B$9,Paramètres!$A$1:$I$89,3,0)*0.475*44/12</f>
        <v>4.7243275719256635E-3</v>
      </c>
      <c r="AC65" s="22">
        <f t="shared" si="3"/>
        <v>46.666912231425805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226.04400000000018</v>
      </c>
      <c r="AK65" s="13">
        <f t="shared" si="35"/>
        <v>55.426440039423554</v>
      </c>
      <c r="AL65" s="20">
        <f t="shared" si="4"/>
        <v>490.22768306866305</v>
      </c>
      <c r="AM65" s="59">
        <f t="shared" si="5"/>
        <v>783.56101640199631</v>
      </c>
      <c r="AN65" s="59">
        <f ca="1">AVERAGE(OFFSET($AM$3,0,0,'Données projet'!$E$10+1,1))-AVERAGE(OFFSET($H$3,0,0,'Données projet'!$E$10+1,1))</f>
        <v>0</v>
      </c>
      <c r="AO65" s="59">
        <f t="shared" si="36"/>
        <v>0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235.08575999999991</v>
      </c>
      <c r="BF65" s="13">
        <f t="shared" si="37"/>
        <v>57.380938085783008</v>
      </c>
      <c r="BG65" s="20">
        <f t="shared" si="7"/>
        <v>509.37949916607187</v>
      </c>
      <c r="BH65" s="59">
        <f t="shared" si="8"/>
        <v>802.71283249940518</v>
      </c>
      <c r="BI65" s="59">
        <f ca="1">AVERAGE(OFFSET($BH$3,0,0,'Données projet'!$E$11+1,1))-AVERAGE(OFFSET($H$3,0,0,'Données projet'!$E$11+1,1))</f>
        <v>292.4657394642</v>
      </c>
      <c r="BJ65" s="59">
        <f t="shared" si="38"/>
        <v>333.80517619352395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1.4322344751434763</v>
      </c>
      <c r="BQ65" s="21">
        <f>EXP(-LN(2)/25)*BQ64+(1-EXP(-LN(2)/25))/(LN(2)/25)*Calculateur!BL65*Calculateur!BN65*VLOOKUP('Données projet'!$B$11,Paramètres!$A$1:$I$89,3,0)*0.475*44/12</f>
        <v>6.9899860225390293</v>
      </c>
      <c r="BR65" s="21">
        <f>EXP(-LN(2)/2)*BR64+(1-EXP(-LN(2)/2))/(LN(2)/2)*BL65*BO65*VLOOKUP('Données projet'!$B$11,Paramètres!$A$1:$I$89,3,0)*0.475*44/12</f>
        <v>3.7399883828058569E-4</v>
      </c>
      <c r="BS65" s="22">
        <f t="shared" si="9"/>
        <v>8.4225944965207873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0</v>
      </c>
      <c r="CE65" s="59">
        <f t="shared" si="40"/>
        <v>0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150.98674906185317</v>
      </c>
      <c r="T66" s="59">
        <f t="shared" si="34"/>
        <v>306.44063087948552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21.883869217246502</v>
      </c>
      <c r="AA66" s="21">
        <f>EXP(-LN(2)/25)*AA65+(1-EXP(-LN(2)/25))/(LN(2)/25)*Calculateur!V66*Calculateur!X66*VLOOKUP('Données projet'!$B$9,Paramètres!$A$1:$I$89,3,0)*0.475*44/12</f>
        <v>23.675010928573023</v>
      </c>
      <c r="AB66" s="21">
        <f>EXP(-LN(2)/2)*AB65+(1-EXP(-LN(2)/2))/(LN(2)/2)*V66*Y66*VLOOKUP('Données projet'!$B$9,Paramètres!$A$1:$I$89,3,0)*0.475*44/12</f>
        <v>3.3406040626552135E-3</v>
      </c>
      <c r="AC66" s="22">
        <f t="shared" si="3"/>
        <v>45.562220749882187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233.68800000000016</v>
      </c>
      <c r="AK66" s="13">
        <f t="shared" si="35"/>
        <v>57.079373577095041</v>
      </c>
      <c r="AL66" s="20">
        <f t="shared" si="4"/>
        <v>506.41984231344077</v>
      </c>
      <c r="AM66" s="59">
        <f t="shared" si="5"/>
        <v>799.75317564677403</v>
      </c>
      <c r="AN66" s="59">
        <f ca="1">AVERAGE(OFFSET($AM$3,0,0,'Données projet'!$E$10+1,1))-AVERAGE(OFFSET($H$3,0,0,'Données projet'!$E$10+1,1))</f>
        <v>0</v>
      </c>
      <c r="AO66" s="59">
        <f t="shared" si="36"/>
        <v>0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239.06063999999992</v>
      </c>
      <c r="BF66" s="13">
        <f t="shared" si="37"/>
        <v>58.237376495903035</v>
      </c>
      <c r="BG66" s="20">
        <f t="shared" si="7"/>
        <v>517.79404539703103</v>
      </c>
      <c r="BH66" s="59">
        <f t="shared" si="8"/>
        <v>811.1273787303644</v>
      </c>
      <c r="BI66" s="59">
        <f ca="1">AVERAGE(OFFSET($BH$3,0,0,'Données projet'!$E$11+1,1))-AVERAGE(OFFSET($H$3,0,0,'Données projet'!$E$11+1,1))</f>
        <v>292.4657394642</v>
      </c>
      <c r="BJ66" s="59">
        <f t="shared" si="38"/>
        <v>333.80517619352395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1.4041492306626842</v>
      </c>
      <c r="BQ66" s="21">
        <f>EXP(-LN(2)/25)*BQ65+(1-EXP(-LN(2)/25))/(LN(2)/25)*Calculateur!BL66*Calculateur!BN66*VLOOKUP('Données projet'!$B$11,Paramètres!$A$1:$I$89,3,0)*0.475*44/12</f>
        <v>6.7988444871653106</v>
      </c>
      <c r="BR66" s="21">
        <f>EXP(-LN(2)/2)*BR65+(1-EXP(-LN(2)/2))/(LN(2)/2)*BL66*BO66*VLOOKUP('Données projet'!$B$11,Paramètres!$A$1:$I$89,3,0)*0.475*44/12</f>
        <v>2.6445711470409307E-4</v>
      </c>
      <c r="BS66" s="22">
        <f t="shared" si="9"/>
        <v>8.2032581749427003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0</v>
      </c>
      <c r="CE66" s="59">
        <f t="shared" si="40"/>
        <v>0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150.98674906185317</v>
      </c>
      <c r="T67" s="59">
        <f t="shared" si="34"/>
        <v>306.44063087948552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21.45473988973853</v>
      </c>
      <c r="AA67" s="21">
        <f>EXP(-LN(2)/25)*AA66+(1-EXP(-LN(2)/25))/(LN(2)/25)*Calculateur!V67*Calculateur!X67*VLOOKUP('Données projet'!$B$9,Paramètres!$A$1:$I$89,3,0)*0.475*44/12</f>
        <v>23.027616509716481</v>
      </c>
      <c r="AB67" s="21">
        <f>EXP(-LN(2)/2)*AB66+(1-EXP(-LN(2)/2))/(LN(2)/2)*V67*Y67*VLOOKUP('Données projet'!$B$9,Paramètres!$A$1:$I$89,3,0)*0.475*44/12</f>
        <v>2.3621637859628317E-3</v>
      </c>
      <c r="AC67" s="22">
        <f t="shared" si="3"/>
        <v>44.484718563240975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241.33200000000016</v>
      </c>
      <c r="AK67" s="13">
        <f t="shared" si="35"/>
        <v>58.726024391301159</v>
      </c>
      <c r="AL67" s="20">
        <f t="shared" si="4"/>
        <v>522.60105914818303</v>
      </c>
      <c r="AM67" s="59">
        <f t="shared" si="5"/>
        <v>815.9343924815164</v>
      </c>
      <c r="AN67" s="59">
        <f ca="1">AVERAGE(OFFSET($AM$3,0,0,'Données projet'!$E$10+1,1))-AVERAGE(OFFSET($H$3,0,0,'Données projet'!$E$10+1,1))</f>
        <v>0</v>
      </c>
      <c r="AO67" s="59">
        <f t="shared" si="36"/>
        <v>0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243.03551999999988</v>
      </c>
      <c r="BF67" s="13">
        <f t="shared" si="37"/>
        <v>59.092158884332932</v>
      </c>
      <c r="BG67" s="20">
        <f t="shared" si="7"/>
        <v>526.20570739021298</v>
      </c>
      <c r="BH67" s="59">
        <f t="shared" si="8"/>
        <v>819.53904072354635</v>
      </c>
      <c r="BI67" s="59">
        <f ca="1">AVERAGE(OFFSET($BH$3,0,0,'Données projet'!$E$11+1,1))-AVERAGE(OFFSET($H$3,0,0,'Données projet'!$E$11+1,1))</f>
        <v>292.4657394642</v>
      </c>
      <c r="BJ67" s="59">
        <f t="shared" si="38"/>
        <v>333.80517619352395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1.3766147206958526</v>
      </c>
      <c r="BQ67" s="21">
        <f>EXP(-LN(2)/25)*BQ66+(1-EXP(-LN(2)/25))/(LN(2)/25)*Calculateur!BL67*Calculateur!BN67*VLOOKUP('Données projet'!$B$11,Paramètres!$A$1:$I$89,3,0)*0.475*44/12</f>
        <v>6.6129297271280825</v>
      </c>
      <c r="BR67" s="21">
        <f>EXP(-LN(2)/2)*BR66+(1-EXP(-LN(2)/2))/(LN(2)/2)*BL67*BO67*VLOOKUP('Données projet'!$B$11,Paramètres!$A$1:$I$89,3,0)*0.475*44/12</f>
        <v>1.8699941914029284E-4</v>
      </c>
      <c r="BS67" s="22">
        <f t="shared" si="9"/>
        <v>7.9897314472430754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0</v>
      </c>
      <c r="CE67" s="59">
        <f t="shared" si="40"/>
        <v>0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150.98674906185317</v>
      </c>
      <c r="T68" s="59">
        <f t="shared" si="34"/>
        <v>306.44063087948552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21.034025526599944</v>
      </c>
      <c r="AA68" s="21">
        <f>EXP(-LN(2)/25)*AA67+(1-EXP(-LN(2)/25))/(LN(2)/25)*Calculateur!V68*Calculateur!X68*VLOOKUP('Données projet'!$B$9,Paramètres!$A$1:$I$89,3,0)*0.475*44/12</f>
        <v>22.397925125288562</v>
      </c>
      <c r="AB68" s="21">
        <f>EXP(-LN(2)/2)*AB67+(1-EXP(-LN(2)/2))/(LN(2)/2)*V68*Y68*VLOOKUP('Données projet'!$B$9,Paramètres!$A$1:$I$89,3,0)*0.475*44/12</f>
        <v>1.6703020313276068E-3</v>
      </c>
      <c r="AC68" s="22">
        <f t="shared" ref="AC68:AC131" si="57">SUM(Z68:AB68)</f>
        <v>43.433620953919835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248.97600000000017</v>
      </c>
      <c r="AK68" s="13">
        <f t="shared" si="35"/>
        <v>60.366614312202785</v>
      </c>
      <c r="AL68" s="20">
        <f t="shared" ref="AL68:AL131" si="58">(AJ68+AK68)*0.475*44/12</f>
        <v>538.77171992708679</v>
      </c>
      <c r="AM68" s="59">
        <f t="shared" ref="AM68:AM131" si="59">AL68+(AD68+AE68)*44/12</f>
        <v>832.10505326042016</v>
      </c>
      <c r="AN68" s="59">
        <f ca="1">AVERAGE(OFFSET($AM$3,0,0,'Données projet'!$E$10+1,1))-AVERAGE(OFFSET($H$3,0,0,'Données projet'!$E$10+1,1))</f>
        <v>0</v>
      </c>
      <c r="AO68" s="59">
        <f t="shared" si="36"/>
        <v>0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247.01039999999989</v>
      </c>
      <c r="BF68" s="13">
        <f t="shared" si="37"/>
        <v>59.945315462121812</v>
      </c>
      <c r="BG68" s="20">
        <f t="shared" ref="BG68:BG131" si="61">(BE68+BF68)*0.475*44/12</f>
        <v>534.61453776319524</v>
      </c>
      <c r="BH68" s="59">
        <f t="shared" ref="BH68:BH131" si="62">BG68+(AY68+AZ68)*44/12</f>
        <v>827.94787109652862</v>
      </c>
      <c r="BI68" s="59">
        <f ca="1">AVERAGE(OFFSET($BH$3,0,0,'Données projet'!$E$11+1,1))-AVERAGE(OFFSET($H$3,0,0,'Données projet'!$E$11+1,1))</f>
        <v>292.4657394642</v>
      </c>
      <c r="BJ68" s="59">
        <f t="shared" si="38"/>
        <v>333.80517619352395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1.3496201456750778</v>
      </c>
      <c r="BQ68" s="21">
        <f>EXP(-LN(2)/25)*BQ67+(1-EXP(-LN(2)/25))/(LN(2)/25)*Calculateur!BL68*Calculateur!BN68*VLOOKUP('Données projet'!$B$11,Paramètres!$A$1:$I$89,3,0)*0.475*44/12</f>
        <v>6.4320988159809049</v>
      </c>
      <c r="BR68" s="21">
        <f>EXP(-LN(2)/2)*BR67+(1-EXP(-LN(2)/2))/(LN(2)/2)*BL68*BO68*VLOOKUP('Données projet'!$B$11,Paramètres!$A$1:$I$89,3,0)*0.475*44/12</f>
        <v>1.3222855735204654E-4</v>
      </c>
      <c r="BS68" s="22">
        <f t="shared" ref="BS68:BS131" si="63">SUM(BP68:BR68)</f>
        <v>7.7818511902133354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0</v>
      </c>
      <c r="CE68" s="59">
        <f t="shared" si="40"/>
        <v>0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150.98674906185317</v>
      </c>
      <c r="T69" s="59">
        <f t="shared" ref="T69:T132" si="88">$T$3</f>
        <v>306.44063087948552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20.621561115512083</v>
      </c>
      <c r="AA69" s="21">
        <f>EXP(-LN(2)/25)*AA68+(1-EXP(-LN(2)/25))/(LN(2)/25)*Calculateur!V69*Calculateur!X69*VLOOKUP('Données projet'!$B$9,Paramètres!$A$1:$I$89,3,0)*0.475*44/12</f>
        <v>21.785452684881857</v>
      </c>
      <c r="AB69" s="21">
        <f>EXP(-LN(2)/2)*AB68+(1-EXP(-LN(2)/2))/(LN(2)/2)*V69*Y69*VLOOKUP('Données projet'!$B$9,Paramètres!$A$1:$I$89,3,0)*0.475*44/12</f>
        <v>1.1810818929814159E-3</v>
      </c>
      <c r="AC69" s="22">
        <f t="shared" si="57"/>
        <v>42.408194882286921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256.62000000000018</v>
      </c>
      <c r="AK69" s="13">
        <f t="shared" ref="AK69:AK132" si="89">EXP(-1.0587+0.8836*LN(AJ69)+0.284)</f>
        <v>62.001350774926571</v>
      </c>
      <c r="AL69" s="20">
        <f t="shared" si="58"/>
        <v>554.93218593299741</v>
      </c>
      <c r="AM69" s="59">
        <f t="shared" si="59"/>
        <v>848.26551926633078</v>
      </c>
      <c r="AN69" s="59">
        <f ca="1">AVERAGE(OFFSET($AM$3,0,0,'Données projet'!$E$10+1,1))-AVERAGE(OFFSET($H$3,0,0,'Données projet'!$E$10+1,1))</f>
        <v>0</v>
      </c>
      <c r="AO69" s="59">
        <f t="shared" ref="AO69:AO132" si="90">$AO$3</f>
        <v>0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250.98527999999985</v>
      </c>
      <c r="BF69" s="13">
        <f t="shared" ref="BF69:BF132" si="91">EXP(-1.0587+0.8836*LN(BE69)+0.284)</f>
        <v>60.796875412251005</v>
      </c>
      <c r="BG69" s="20">
        <f t="shared" si="61"/>
        <v>543.02058734300351</v>
      </c>
      <c r="BH69" s="59">
        <f t="shared" si="62"/>
        <v>836.35392067633688</v>
      </c>
      <c r="BI69" s="59">
        <f ca="1">AVERAGE(OFFSET($BH$3,0,0,'Données projet'!$E$11+1,1))-AVERAGE(OFFSET($H$3,0,0,'Données projet'!$E$11+1,1))</f>
        <v>292.4657394642</v>
      </c>
      <c r="BJ69" s="59">
        <f t="shared" ref="BJ69:BJ132" si="92">$BJ$3</f>
        <v>333.80517619352395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1.3231549178053954</v>
      </c>
      <c r="BQ69" s="21">
        <f>EXP(-LN(2)/25)*BQ68+(1-EXP(-LN(2)/25))/(LN(2)/25)*Calculateur!BL69*Calculateur!BN69*VLOOKUP('Données projet'!$B$11,Paramètres!$A$1:$I$89,3,0)*0.475*44/12</f>
        <v>6.2562127356085311</v>
      </c>
      <c r="BR69" s="21">
        <f>EXP(-LN(2)/2)*BR68+(1-EXP(-LN(2)/2))/(LN(2)/2)*BL69*BO69*VLOOKUP('Données projet'!$B$11,Paramètres!$A$1:$I$89,3,0)*0.475*44/12</f>
        <v>9.3499709570146422E-5</v>
      </c>
      <c r="BS69" s="22">
        <f t="shared" si="63"/>
        <v>7.5794611531234972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0</v>
      </c>
      <c r="CE69" s="59">
        <f t="shared" ref="CE69:CE132" si="94">$CE$3</f>
        <v>0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150.98674906185317</v>
      </c>
      <c r="T70" s="59">
        <f t="shared" si="88"/>
        <v>306.44063087948552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20.217184879947208</v>
      </c>
      <c r="AA70" s="21">
        <f>EXP(-LN(2)/25)*AA69+(1-EXP(-LN(2)/25))/(LN(2)/25)*Calculateur!V70*Calculateur!X70*VLOOKUP('Données projet'!$B$9,Paramètres!$A$1:$I$89,3,0)*0.475*44/12</f>
        <v>21.189728335566599</v>
      </c>
      <c r="AB70" s="21">
        <f>EXP(-LN(2)/2)*AB69+(1-EXP(-LN(2)/2))/(LN(2)/2)*V70*Y70*VLOOKUP('Données projet'!$B$9,Paramètres!$A$1:$I$89,3,0)*0.475*44/12</f>
        <v>8.3515101566380338E-4</v>
      </c>
      <c r="AC70" s="22">
        <f t="shared" si="57"/>
        <v>41.407748366529475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264.26400000000018</v>
      </c>
      <c r="AK70" s="13">
        <f t="shared" si="89"/>
        <v>63.630428154328932</v>
      </c>
      <c r="AL70" s="20">
        <f t="shared" si="58"/>
        <v>571.08279570212312</v>
      </c>
      <c r="AM70" s="59">
        <f t="shared" si="59"/>
        <v>864.41612903545638</v>
      </c>
      <c r="AN70" s="59">
        <f ca="1">AVERAGE(OFFSET($AM$3,0,0,'Données projet'!$E$10+1,1))-AVERAGE(OFFSET($H$3,0,0,'Données projet'!$E$10+1,1))</f>
        <v>0</v>
      </c>
      <c r="AO70" s="59">
        <f t="shared" si="90"/>
        <v>0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254.96015999999983</v>
      </c>
      <c r="BF70" s="13">
        <f t="shared" si="91"/>
        <v>61.646866940336174</v>
      </c>
      <c r="BG70" s="20">
        <f t="shared" si="61"/>
        <v>551.42390525441863</v>
      </c>
      <c r="BH70" s="59">
        <f t="shared" si="62"/>
        <v>844.757238587752</v>
      </c>
      <c r="BI70" s="59">
        <f ca="1">AVERAGE(OFFSET($BH$3,0,0,'Données projet'!$E$11+1,1))-AVERAGE(OFFSET($H$3,0,0,'Données projet'!$E$11+1,1))</f>
        <v>292.4657394642</v>
      </c>
      <c r="BJ70" s="59">
        <f t="shared" si="92"/>
        <v>333.80517619352395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1.2972086569120425</v>
      </c>
      <c r="BQ70" s="21">
        <f>EXP(-LN(2)/25)*BQ69+(1-EXP(-LN(2)/25))/(LN(2)/25)*Calculateur!BL70*Calculateur!BN70*VLOOKUP('Données projet'!$B$11,Paramètres!$A$1:$I$89,3,0)*0.475*44/12</f>
        <v>6.085136269353387</v>
      </c>
      <c r="BR70" s="21">
        <f>EXP(-LN(2)/2)*BR69+(1-EXP(-LN(2)/2))/(LN(2)/2)*BL70*BO70*VLOOKUP('Données projet'!$B$11,Paramètres!$A$1:$I$89,3,0)*0.475*44/12</f>
        <v>6.6114278676023268E-5</v>
      </c>
      <c r="BS70" s="22">
        <f t="shared" si="63"/>
        <v>7.3824110405441052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0</v>
      </c>
      <c r="CE70" s="59">
        <f t="shared" si="94"/>
        <v>0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150.98674906185317</v>
      </c>
      <c r="T71" s="59">
        <f t="shared" si="88"/>
        <v>306.44063087948552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19.820738215716609</v>
      </c>
      <c r="AA71" s="21">
        <f>EXP(-LN(2)/25)*AA70+(1-EXP(-LN(2)/25))/(LN(2)/25)*Calculateur!V71*Calculateur!X71*VLOOKUP('Données projet'!$B$9,Paramètres!$A$1:$I$89,3,0)*0.475*44/12</f>
        <v>20.610294099911147</v>
      </c>
      <c r="AB71" s="21">
        <f>EXP(-LN(2)/2)*AB70+(1-EXP(-LN(2)/2))/(LN(2)/2)*V71*Y71*VLOOKUP('Données projet'!$B$9,Paramètres!$A$1:$I$89,3,0)*0.475*44/12</f>
        <v>5.9054094649070793E-4</v>
      </c>
      <c r="AC71" s="22">
        <f t="shared" si="57"/>
        <v>40.431622856574251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271.90800000000019</v>
      </c>
      <c r="AK71" s="13">
        <f t="shared" si="89"/>
        <v>65.254028940984384</v>
      </c>
      <c r="AL71" s="20">
        <f t="shared" si="58"/>
        <v>587.22386707221472</v>
      </c>
      <c r="AM71" s="59">
        <f t="shared" si="59"/>
        <v>880.55720040554797</v>
      </c>
      <c r="AN71" s="59">
        <f ca="1">AVERAGE(OFFSET($AM$3,0,0,'Données projet'!$E$10+1,1))-AVERAGE(OFFSET($H$3,0,0,'Données projet'!$E$10+1,1))</f>
        <v>0</v>
      </c>
      <c r="AO71" s="59">
        <f t="shared" si="90"/>
        <v>0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258.93503999999984</v>
      </c>
      <c r="BF71" s="13">
        <f t="shared" si="91"/>
        <v>62.495317322077085</v>
      </c>
      <c r="BG71" s="20">
        <f t="shared" si="61"/>
        <v>559.82453900261726</v>
      </c>
      <c r="BH71" s="59">
        <f t="shared" si="62"/>
        <v>853.15787233595051</v>
      </c>
      <c r="BI71" s="59">
        <f ca="1">AVERAGE(OFFSET($BH$3,0,0,'Données projet'!$E$11+1,1))-AVERAGE(OFFSET($H$3,0,0,'Données projet'!$E$11+1,1))</f>
        <v>292.4657394642</v>
      </c>
      <c r="BJ71" s="59">
        <f t="shared" si="92"/>
        <v>333.80517619352395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1.2717711863691517</v>
      </c>
      <c r="BQ71" s="21">
        <f>EXP(-LN(2)/25)*BQ70+(1-EXP(-LN(2)/25))/(LN(2)/25)*Calculateur!BL71*Calculateur!BN71*VLOOKUP('Données projet'!$B$11,Paramètres!$A$1:$I$89,3,0)*0.475*44/12</f>
        <v>5.91873789806451</v>
      </c>
      <c r="BR71" s="21">
        <f>EXP(-LN(2)/2)*BR70+(1-EXP(-LN(2)/2))/(LN(2)/2)*BL71*BO71*VLOOKUP('Données projet'!$B$11,Paramètres!$A$1:$I$89,3,0)*0.475*44/12</f>
        <v>4.6749854785073211E-5</v>
      </c>
      <c r="BS71" s="22">
        <f t="shared" si="63"/>
        <v>7.1905558342884461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0</v>
      </c>
      <c r="CE71" s="59">
        <f t="shared" si="94"/>
        <v>0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150.98674906185317</v>
      </c>
      <c r="T72" s="59">
        <f t="shared" si="88"/>
        <v>306.44063087948552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19.432065628762984</v>
      </c>
      <c r="AA72" s="21">
        <f>EXP(-LN(2)/25)*AA71+(1-EXP(-LN(2)/25))/(LN(2)/25)*Calculateur!V72*Calculateur!X72*VLOOKUP('Données projet'!$B$9,Paramètres!$A$1:$I$89,3,0)*0.475*44/12</f>
        <v>20.046704523900814</v>
      </c>
      <c r="AB72" s="21">
        <f>EXP(-LN(2)/2)*AB71+(1-EXP(-LN(2)/2))/(LN(2)/2)*V72*Y72*VLOOKUP('Données projet'!$B$9,Paramètres!$A$1:$I$89,3,0)*0.475*44/12</f>
        <v>4.1757550783190169E-4</v>
      </c>
      <c r="AC72" s="22">
        <f t="shared" si="57"/>
        <v>39.479187728171631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279.55200000000019</v>
      </c>
      <c r="AK72" s="13">
        <f t="shared" si="89"/>
        <v>66.872324781216591</v>
      </c>
      <c r="AL72" s="20">
        <f t="shared" si="58"/>
        <v>603.35569899395261</v>
      </c>
      <c r="AM72" s="59">
        <f t="shared" si="59"/>
        <v>896.68903232728599</v>
      </c>
      <c r="AN72" s="59">
        <f ca="1">AVERAGE(OFFSET($AM$3,0,0,'Données projet'!$E$10+1,1))-AVERAGE(OFFSET($H$3,0,0,'Données projet'!$E$10+1,1))</f>
        <v>0</v>
      </c>
      <c r="AO72" s="59">
        <f t="shared" si="90"/>
        <v>0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262.90991999999983</v>
      </c>
      <c r="BF72" s="13">
        <f t="shared" si="91"/>
        <v>63.342252947711806</v>
      </c>
      <c r="BG72" s="20">
        <f t="shared" si="61"/>
        <v>568.22253455059774</v>
      </c>
      <c r="BH72" s="59">
        <f t="shared" si="62"/>
        <v>861.55586788393111</v>
      </c>
      <c r="BI72" s="59">
        <f ca="1">AVERAGE(OFFSET($BH$3,0,0,'Données projet'!$E$11+1,1))-AVERAGE(OFFSET($H$3,0,0,'Données projet'!$E$11+1,1))</f>
        <v>292.4657394642</v>
      </c>
      <c r="BJ72" s="59">
        <f t="shared" si="92"/>
        <v>333.80517619352395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1.2468325291082818</v>
      </c>
      <c r="BQ72" s="21">
        <f>EXP(-LN(2)/25)*BQ71+(1-EXP(-LN(2)/25))/(LN(2)/25)*Calculateur!BL72*Calculateur!BN72*VLOOKUP('Données projet'!$B$11,Paramètres!$A$1:$I$89,3,0)*0.475*44/12</f>
        <v>5.7568896989890375</v>
      </c>
      <c r="BR72" s="21">
        <f>EXP(-LN(2)/2)*BR71+(1-EXP(-LN(2)/2))/(LN(2)/2)*BL72*BO72*VLOOKUP('Données projet'!$B$11,Paramètres!$A$1:$I$89,3,0)*0.475*44/12</f>
        <v>3.3057139338011634E-5</v>
      </c>
      <c r="BS72" s="22">
        <f t="shared" si="63"/>
        <v>7.0037552852366574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0</v>
      </c>
      <c r="CE72" s="59">
        <f t="shared" si="94"/>
        <v>0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150.98674906185317</v>
      </c>
      <c r="T73" s="59">
        <f t="shared" si="88"/>
        <v>306.44063087948552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19.051014674172649</v>
      </c>
      <c r="AA73" s="21">
        <f>EXP(-LN(2)/25)*AA72+(1-EXP(-LN(2)/25))/(LN(2)/25)*Calculateur!V73*Calculateur!X73*VLOOKUP('Données projet'!$B$9,Paramètres!$A$1:$I$89,3,0)*0.475*44/12</f>
        <v>19.498526334484374</v>
      </c>
      <c r="AB73" s="21">
        <f>EXP(-LN(2)/2)*AB72+(1-EXP(-LN(2)/2))/(LN(2)/2)*V73*Y73*VLOOKUP('Données projet'!$B$9,Paramètres!$A$1:$I$89,3,0)*0.475*44/12</f>
        <v>2.9527047324535397E-4</v>
      </c>
      <c r="AC73" s="22">
        <f t="shared" si="57"/>
        <v>38.549836279130268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287.1960000000002</v>
      </c>
      <c r="AK73" s="13">
        <f t="shared" si="89"/>
        <v>68.485477400178169</v>
      </c>
      <c r="AL73" s="20">
        <f t="shared" si="58"/>
        <v>619.47857313864404</v>
      </c>
      <c r="AM73" s="59">
        <f t="shared" si="59"/>
        <v>912.81190647197741</v>
      </c>
      <c r="AN73" s="59">
        <f ca="1">AVERAGE(OFFSET($AM$3,0,0,'Données projet'!$E$10+1,1))-AVERAGE(OFFSET($H$3,0,0,'Données projet'!$E$10+1,1))</f>
        <v>0</v>
      </c>
      <c r="AO73" s="59">
        <f t="shared" si="90"/>
        <v>0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266.88479999999981</v>
      </c>
      <c r="BF73" s="13">
        <f t="shared" si="91"/>
        <v>64.187699363705633</v>
      </c>
      <c r="BG73" s="20">
        <f t="shared" si="61"/>
        <v>576.617936391787</v>
      </c>
      <c r="BH73" s="59">
        <f t="shared" si="62"/>
        <v>869.95126972512026</v>
      </c>
      <c r="BI73" s="59">
        <f ca="1">AVERAGE(OFFSET($BH$3,0,0,'Données projet'!$E$11+1,1))-AVERAGE(OFFSET($H$3,0,0,'Données projet'!$E$11+1,1))</f>
        <v>292.4657394642</v>
      </c>
      <c r="BJ73" s="59">
        <f t="shared" si="92"/>
        <v>333.80517619352395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1.2223829037052187</v>
      </c>
      <c r="BQ73" s="21">
        <f>EXP(-LN(2)/25)*BQ72+(1-EXP(-LN(2)/25))/(LN(2)/25)*Calculateur!BL73*Calculateur!BN73*VLOOKUP('Données projet'!$B$11,Paramètres!$A$1:$I$89,3,0)*0.475*44/12</f>
        <v>5.5994672474285103</v>
      </c>
      <c r="BR73" s="21">
        <f>EXP(-LN(2)/2)*BR72+(1-EXP(-LN(2)/2))/(LN(2)/2)*BL73*BO73*VLOOKUP('Données projet'!$B$11,Paramètres!$A$1:$I$89,3,0)*0.475*44/12</f>
        <v>2.3374927392536605E-5</v>
      </c>
      <c r="BS73" s="22">
        <f t="shared" si="63"/>
        <v>6.8218735260611219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0</v>
      </c>
      <c r="CE73" s="59">
        <f t="shared" si="94"/>
        <v>0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150.98674906185317</v>
      </c>
      <c r="T74" s="59">
        <f t="shared" si="88"/>
        <v>306.44063087948552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18.677435896383699</v>
      </c>
      <c r="AA74" s="21">
        <f>EXP(-LN(2)/25)*AA73+(1-EXP(-LN(2)/25))/(LN(2)/25)*Calculateur!V74*Calculateur!X74*VLOOKUP('Données projet'!$B$9,Paramètres!$A$1:$I$89,3,0)*0.475*44/12</f>
        <v>18.965338106484964</v>
      </c>
      <c r="AB74" s="21">
        <f>EXP(-LN(2)/2)*AB73+(1-EXP(-LN(2)/2))/(LN(2)/2)*V74*Y74*VLOOKUP('Données projet'!$B$9,Paramètres!$A$1:$I$89,3,0)*0.475*44/12</f>
        <v>2.0878775391595085E-4</v>
      </c>
      <c r="AC74" s="22">
        <f t="shared" si="57"/>
        <v>37.642982790622575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247.99320000000017</v>
      </c>
      <c r="AK74" s="13">
        <f t="shared" si="89"/>
        <v>60.15601347301552</v>
      </c>
      <c r="AL74" s="20">
        <f t="shared" si="58"/>
        <v>536.69321346550237</v>
      </c>
      <c r="AM74" s="59">
        <f t="shared" si="59"/>
        <v>830.02654679883562</v>
      </c>
      <c r="AN74" s="59">
        <f ca="1">AVERAGE(OFFSET($AM$3,0,0,'Données projet'!$E$10+1,1))-AVERAGE(OFFSET($H$3,0,0,'Données projet'!$E$10+1,1))</f>
        <v>0</v>
      </c>
      <c r="AO74" s="59">
        <f t="shared" si="90"/>
        <v>0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248.95727999999977</v>
      </c>
      <c r="BF74" s="13">
        <f t="shared" si="91"/>
        <v>60.362603772817359</v>
      </c>
      <c r="BG74" s="20">
        <f t="shared" si="61"/>
        <v>538.73213090432318</v>
      </c>
      <c r="BH74" s="59">
        <f t="shared" si="62"/>
        <v>832.06546423765644</v>
      </c>
      <c r="BI74" s="59">
        <f ca="1">AVERAGE(OFFSET($BH$3,0,0,'Données projet'!$E$11+1,1))-AVERAGE(OFFSET($H$3,0,0,'Données projet'!$E$11+1,1))</f>
        <v>292.4657394642</v>
      </c>
      <c r="BJ74" s="59">
        <f t="shared" si="92"/>
        <v>333.80517619352395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1.1984127205435107</v>
      </c>
      <c r="BQ74" s="21">
        <f>EXP(-LN(2)/25)*BQ73+(1-EXP(-LN(2)/25))/(LN(2)/25)*Calculateur!BL74*Calculateur!BN74*VLOOKUP('Données projet'!$B$11,Paramètres!$A$1:$I$89,3,0)*0.475*44/12</f>
        <v>5.4463495210843931</v>
      </c>
      <c r="BR74" s="21">
        <f>EXP(-LN(2)/2)*BR73+(1-EXP(-LN(2)/2))/(LN(2)/2)*BL74*BO74*VLOOKUP('Données projet'!$B$11,Paramètres!$A$1:$I$89,3,0)*0.475*44/12</f>
        <v>1.6528569669005817E-5</v>
      </c>
      <c r="BS74" s="22">
        <f t="shared" si="63"/>
        <v>6.6447787701975729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0</v>
      </c>
      <c r="CE74" s="59">
        <f t="shared" si="94"/>
        <v>0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150.98674906185317</v>
      </c>
      <c r="T75" s="59">
        <f t="shared" si="88"/>
        <v>306.44063087948552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18.311182770566635</v>
      </c>
      <c r="AA75" s="21">
        <f>EXP(-LN(2)/25)*AA74+(1-EXP(-LN(2)/25))/(LN(2)/25)*Calculateur!V75*Calculateur!X75*VLOOKUP('Données projet'!$B$9,Paramètres!$A$1:$I$89,3,0)*0.475*44/12</f>
        <v>18.446729938619349</v>
      </c>
      <c r="AB75" s="21">
        <f>EXP(-LN(2)/2)*AB74+(1-EXP(-LN(2)/2))/(LN(2)/2)*V75*Y75*VLOOKUP('Données projet'!$B$9,Paramètres!$A$1:$I$89,3,0)*0.475*44/12</f>
        <v>1.4763523662267698E-4</v>
      </c>
      <c r="AC75" s="22">
        <f t="shared" si="57"/>
        <v>36.75806034442261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254.65440000000021</v>
      </c>
      <c r="AK75" s="13">
        <f t="shared" si="89"/>
        <v>61.581538033976493</v>
      </c>
      <c r="AL75" s="20">
        <f t="shared" si="58"/>
        <v>550.77759207584268</v>
      </c>
      <c r="AM75" s="59">
        <f t="shared" si="59"/>
        <v>844.11092540917593</v>
      </c>
      <c r="AN75" s="59">
        <f ca="1">AVERAGE(OFFSET($AM$3,0,0,'Données projet'!$E$10+1,1))-AVERAGE(OFFSET($H$3,0,0,'Données projet'!$E$10+1,1))</f>
        <v>0</v>
      </c>
      <c r="AO75" s="59">
        <f t="shared" si="90"/>
        <v>0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252.12095999999977</v>
      </c>
      <c r="BF75" s="13">
        <f t="shared" si="91"/>
        <v>61.039888967775269</v>
      </c>
      <c r="BG75" s="20">
        <f t="shared" si="61"/>
        <v>545.42181195220826</v>
      </c>
      <c r="BH75" s="59">
        <f t="shared" si="62"/>
        <v>838.75514528554163</v>
      </c>
      <c r="BI75" s="59">
        <f ca="1">AVERAGE(OFFSET($BH$3,0,0,'Données projet'!$E$11+1,1))-AVERAGE(OFFSET($H$3,0,0,'Données projet'!$E$11+1,1))</f>
        <v>292.4657394642</v>
      </c>
      <c r="BJ75" s="59">
        <f t="shared" si="92"/>
        <v>333.80517619352395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1.1749125780532357</v>
      </c>
      <c r="BQ75" s="21">
        <f>EXP(-LN(2)/25)*BQ74+(1-EXP(-LN(2)/25))/(LN(2)/25)*Calculateur!BL75*Calculateur!BN75*VLOOKUP('Données projet'!$B$11,Paramètres!$A$1:$I$89,3,0)*0.475*44/12</f>
        <v>5.2974188070192669</v>
      </c>
      <c r="BR75" s="21">
        <f>EXP(-LN(2)/2)*BR74+(1-EXP(-LN(2)/2))/(LN(2)/2)*BL75*BO75*VLOOKUP('Données projet'!$B$11,Paramètres!$A$1:$I$89,3,0)*0.475*44/12</f>
        <v>1.1687463696268303E-5</v>
      </c>
      <c r="BS75" s="22">
        <f t="shared" si="63"/>
        <v>6.4723430725361988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0</v>
      </c>
      <c r="CE75" s="59">
        <f t="shared" si="94"/>
        <v>0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150.98674906185317</v>
      </c>
      <c r="T76" s="59">
        <f t="shared" si="88"/>
        <v>306.44063087948552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17.952111645154496</v>
      </c>
      <c r="AA76" s="21">
        <f>EXP(-LN(2)/25)*AA75+(1-EXP(-LN(2)/25))/(LN(2)/25)*Calculateur!V76*Calculateur!X76*VLOOKUP('Données projet'!$B$9,Paramètres!$A$1:$I$89,3,0)*0.475*44/12</f>
        <v>17.942303138376435</v>
      </c>
      <c r="AB76" s="21">
        <f>EXP(-LN(2)/2)*AB75+(1-EXP(-LN(2)/2))/(LN(2)/2)*V76*Y76*VLOOKUP('Données projet'!$B$9,Paramètres!$A$1:$I$89,3,0)*0.475*44/12</f>
        <v>1.0439387695797542E-4</v>
      </c>
      <c r="AC76" s="22">
        <f t="shared" si="57"/>
        <v>35.894519177407894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261.31560000000019</v>
      </c>
      <c r="AK76" s="13">
        <f t="shared" si="89"/>
        <v>63.002728281452278</v>
      </c>
      <c r="AL76" s="20">
        <f t="shared" si="58"/>
        <v>564.85442175686296</v>
      </c>
      <c r="AM76" s="59">
        <f t="shared" si="59"/>
        <v>858.18775509019633</v>
      </c>
      <c r="AN76" s="59">
        <f ca="1">AVERAGE(OFFSET($AM$3,0,0,'Données projet'!$E$10+1,1))-AVERAGE(OFFSET($H$3,0,0,'Données projet'!$E$10+1,1))</f>
        <v>0</v>
      </c>
      <c r="AO76" s="59">
        <f t="shared" si="90"/>
        <v>0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255.28463999999974</v>
      </c>
      <c r="BF76" s="13">
        <f t="shared" si="91"/>
        <v>61.71618560262462</v>
      </c>
      <c r="BG76" s="20">
        <f t="shared" si="61"/>
        <v>552.10977125790407</v>
      </c>
      <c r="BH76" s="59">
        <f t="shared" si="62"/>
        <v>845.44310459123744</v>
      </c>
      <c r="BI76" s="59">
        <f ca="1">AVERAGE(OFFSET($BH$3,0,0,'Données projet'!$E$11+1,1))-AVERAGE(OFFSET($H$3,0,0,'Données projet'!$E$11+1,1))</f>
        <v>292.4657394642</v>
      </c>
      <c r="BJ76" s="59">
        <f t="shared" si="92"/>
        <v>333.80517619352395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1.1518732590235234</v>
      </c>
      <c r="BQ76" s="21">
        <f>EXP(-LN(2)/25)*BQ75+(1-EXP(-LN(2)/25))/(LN(2)/25)*Calculateur!BL76*Calculateur!BN76*VLOOKUP('Données projet'!$B$11,Paramètres!$A$1:$I$89,3,0)*0.475*44/12</f>
        <v>5.1525606111621771</v>
      </c>
      <c r="BR76" s="21">
        <f>EXP(-LN(2)/2)*BR75+(1-EXP(-LN(2)/2))/(LN(2)/2)*BL76*BO76*VLOOKUP('Données projet'!$B$11,Paramètres!$A$1:$I$89,3,0)*0.475*44/12</f>
        <v>8.2642848345029085E-6</v>
      </c>
      <c r="BS76" s="22">
        <f t="shared" si="63"/>
        <v>6.304442134470535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0</v>
      </c>
      <c r="CE76" s="59">
        <f t="shared" si="94"/>
        <v>0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150.98674906185317</v>
      </c>
      <c r="T77" s="59">
        <f t="shared" si="88"/>
        <v>306.44063087948552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17.600081685499926</v>
      </c>
      <c r="AA77" s="21">
        <f>EXP(-LN(2)/25)*AA76+(1-EXP(-LN(2)/25))/(LN(2)/25)*Calculateur!V77*Calculateur!X77*VLOOKUP('Données projet'!$B$9,Paramètres!$A$1:$I$89,3,0)*0.475*44/12</f>
        <v>17.451669915512817</v>
      </c>
      <c r="AB77" s="21">
        <f>EXP(-LN(2)/2)*AB76+(1-EXP(-LN(2)/2))/(LN(2)/2)*V77*Y77*VLOOKUP('Données projet'!$B$9,Paramètres!$A$1:$I$89,3,0)*0.475*44/12</f>
        <v>7.3817618311338492E-5</v>
      </c>
      <c r="AC77" s="22">
        <f t="shared" si="57"/>
        <v>35.051825418631054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267.9768000000002</v>
      </c>
      <c r="AK77" s="13">
        <f t="shared" si="89"/>
        <v>64.419707406254119</v>
      </c>
      <c r="AL77" s="20">
        <f t="shared" si="58"/>
        <v>578.92391706589285</v>
      </c>
      <c r="AM77" s="59">
        <f t="shared" si="59"/>
        <v>872.25725039922622</v>
      </c>
      <c r="AN77" s="59">
        <f ca="1">AVERAGE(OFFSET($AM$3,0,0,'Données projet'!$E$10+1,1))-AVERAGE(OFFSET($H$3,0,0,'Données projet'!$E$10+1,1))</f>
        <v>0</v>
      </c>
      <c r="AO77" s="59">
        <f t="shared" si="90"/>
        <v>0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258.44831999999968</v>
      </c>
      <c r="BF77" s="13">
        <f t="shared" si="91"/>
        <v>62.391507345206676</v>
      </c>
      <c r="BG77" s="20">
        <f t="shared" si="61"/>
        <v>558.79603262623436</v>
      </c>
      <c r="BH77" s="59">
        <f t="shared" si="62"/>
        <v>852.12936595956762</v>
      </c>
      <c r="BI77" s="59">
        <f ca="1">AVERAGE(OFFSET($BH$3,0,0,'Données projet'!$E$11+1,1))-AVERAGE(OFFSET($H$3,0,0,'Données projet'!$E$11+1,1))</f>
        <v>292.4657394642</v>
      </c>
      <c r="BJ77" s="59">
        <f t="shared" si="92"/>
        <v>333.80517619352395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1.1292857269873868</v>
      </c>
      <c r="BQ77" s="21">
        <f>EXP(-LN(2)/25)*BQ76+(1-EXP(-LN(2)/25))/(LN(2)/25)*Calculateur!BL77*Calculateur!BN77*VLOOKUP('Données projet'!$B$11,Paramètres!$A$1:$I$89,3,0)*0.475*44/12</f>
        <v>5.0116635702885608</v>
      </c>
      <c r="BR77" s="21">
        <f>EXP(-LN(2)/2)*BR76+(1-EXP(-LN(2)/2))/(LN(2)/2)*BL77*BO77*VLOOKUP('Données projet'!$B$11,Paramètres!$A$1:$I$89,3,0)*0.475*44/12</f>
        <v>5.8437318481341513E-6</v>
      </c>
      <c r="BS77" s="22">
        <f t="shared" si="63"/>
        <v>6.1409551410077956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0</v>
      </c>
      <c r="CE77" s="59">
        <f t="shared" si="94"/>
        <v>0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150.98674906185317</v>
      </c>
      <c r="T78" s="59">
        <f t="shared" si="88"/>
        <v>306.44063087948552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17.25495481863711</v>
      </c>
      <c r="AA78" s="21">
        <f>EXP(-LN(2)/25)*AA77+(1-EXP(-LN(2)/25))/(LN(2)/25)*Calculateur!V78*Calculateur!X78*VLOOKUP('Données projet'!$B$9,Paramètres!$A$1:$I$89,3,0)*0.475*44/12</f>
        <v>16.974453083929685</v>
      </c>
      <c r="AB78" s="21">
        <f>EXP(-LN(2)/2)*AB77+(1-EXP(-LN(2)/2))/(LN(2)/2)*V78*Y78*VLOOKUP('Données projet'!$B$9,Paramètres!$A$1:$I$89,3,0)*0.475*44/12</f>
        <v>5.2196938478987712E-5</v>
      </c>
      <c r="AC78" s="22">
        <f t="shared" si="57"/>
        <v>34.229460099505268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274.63800000000015</v>
      </c>
      <c r="AK78" s="13">
        <f t="shared" si="89"/>
        <v>65.832592125710079</v>
      </c>
      <c r="AL78" s="20">
        <f t="shared" si="58"/>
        <v>592.98628128561199</v>
      </c>
      <c r="AM78" s="59">
        <f t="shared" si="59"/>
        <v>886.31961461894525</v>
      </c>
      <c r="AN78" s="59">
        <f ca="1">AVERAGE(OFFSET($AM$3,0,0,'Données projet'!$E$10+1,1))-AVERAGE(OFFSET($H$3,0,0,'Données projet'!$E$10+1,1))</f>
        <v>0</v>
      </c>
      <c r="AO78" s="59">
        <f t="shared" si="90"/>
        <v>0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261.61199999999968</v>
      </c>
      <c r="BF78" s="13">
        <f t="shared" si="91"/>
        <v>63.065867509496385</v>
      </c>
      <c r="BG78" s="20">
        <f t="shared" si="61"/>
        <v>565.48061924570573</v>
      </c>
      <c r="BH78" s="59">
        <f t="shared" si="62"/>
        <v>858.8139525790391</v>
      </c>
      <c r="BI78" s="59">
        <f ca="1">AVERAGE(OFFSET($BH$3,0,0,'Données projet'!$E$11+1,1))-AVERAGE(OFFSET($H$3,0,0,'Données projet'!$E$11+1,1))</f>
        <v>292.4657394642</v>
      </c>
      <c r="BJ78" s="59">
        <f t="shared" si="92"/>
        <v>333.80517619352395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1.1071411226774446</v>
      </c>
      <c r="BQ78" s="21">
        <f>EXP(-LN(2)/25)*BQ77+(1-EXP(-LN(2)/25))/(LN(2)/25)*Calculateur!BL78*Calculateur!BN78*VLOOKUP('Données projet'!$B$11,Paramètres!$A$1:$I$89,3,0)*0.475*44/12</f>
        <v>4.8746193664070869</v>
      </c>
      <c r="BR78" s="21">
        <f>EXP(-LN(2)/2)*BR77+(1-EXP(-LN(2)/2))/(LN(2)/2)*BL78*BO78*VLOOKUP('Données projet'!$B$11,Paramètres!$A$1:$I$89,3,0)*0.475*44/12</f>
        <v>4.1321424172514543E-6</v>
      </c>
      <c r="BS78" s="22">
        <f t="shared" si="63"/>
        <v>5.9817646212269491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0</v>
      </c>
      <c r="CE78" s="59">
        <f t="shared" si="94"/>
        <v>0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150.98674906185317</v>
      </c>
      <c r="T79" s="59">
        <f t="shared" si="88"/>
        <v>306.44063087948552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16.916595679126868</v>
      </c>
      <c r="AA79" s="21">
        <f>EXP(-LN(2)/25)*AA78+(1-EXP(-LN(2)/25))/(LN(2)/25)*Calculateur!V79*Calculateur!X79*VLOOKUP('Données projet'!$B$9,Paramètres!$A$1:$I$89,3,0)*0.475*44/12</f>
        <v>16.510285771701934</v>
      </c>
      <c r="AB79" s="21">
        <f>EXP(-LN(2)/2)*AB78+(1-EXP(-LN(2)/2))/(LN(2)/2)*V79*Y79*VLOOKUP('Données projet'!$B$9,Paramètres!$A$1:$I$89,3,0)*0.475*44/12</f>
        <v>3.6908809155669246E-5</v>
      </c>
      <c r="AC79" s="22">
        <f t="shared" si="57"/>
        <v>33.426918359637959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281.29920000000021</v>
      </c>
      <c r="AK79" s="13">
        <f t="shared" si="89"/>
        <v>67.241493172476709</v>
      </c>
      <c r="AL79" s="20">
        <f t="shared" si="58"/>
        <v>607.04170727539724</v>
      </c>
      <c r="AM79" s="59">
        <f t="shared" si="59"/>
        <v>900.37504060873061</v>
      </c>
      <c r="AN79" s="59">
        <f ca="1">AVERAGE(OFFSET($AM$3,0,0,'Données projet'!$E$10+1,1))-AVERAGE(OFFSET($H$3,0,0,'Données projet'!$E$10+1,1))</f>
        <v>0</v>
      </c>
      <c r="AO79" s="59">
        <f t="shared" si="90"/>
        <v>0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264.77567999999968</v>
      </c>
      <c r="BF79" s="13">
        <f t="shared" si="91"/>
        <v>63.739279068930102</v>
      </c>
      <c r="BG79" s="20">
        <f t="shared" si="61"/>
        <v>572.16355371171937</v>
      </c>
      <c r="BH79" s="59">
        <f t="shared" si="62"/>
        <v>865.49688704505274</v>
      </c>
      <c r="BI79" s="59">
        <f ca="1">AVERAGE(OFFSET($BH$3,0,0,'Données projet'!$E$11+1,1))-AVERAGE(OFFSET($H$3,0,0,'Données projet'!$E$11+1,1))</f>
        <v>292.4657394642</v>
      </c>
      <c r="BJ79" s="59">
        <f t="shared" si="92"/>
        <v>333.80517619352395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1.0854307605511455</v>
      </c>
      <c r="BQ79" s="21">
        <f>EXP(-LN(2)/25)*BQ78+(1-EXP(-LN(2)/25))/(LN(2)/25)*Calculateur!BL79*Calculateur!BN79*VLOOKUP('Données projet'!$B$11,Paramètres!$A$1:$I$89,3,0)*0.475*44/12</f>
        <v>4.7413226434875941</v>
      </c>
      <c r="BR79" s="21">
        <f>EXP(-LN(2)/2)*BR78+(1-EXP(-LN(2)/2))/(LN(2)/2)*BL79*BO79*VLOOKUP('Données projet'!$B$11,Paramètres!$A$1:$I$89,3,0)*0.475*44/12</f>
        <v>2.9218659240670757E-6</v>
      </c>
      <c r="BS79" s="22">
        <f t="shared" si="63"/>
        <v>5.8267563259046637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0</v>
      </c>
      <c r="CE79" s="59">
        <f t="shared" si="94"/>
        <v>0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150.98674906185317</v>
      </c>
      <c r="T80" s="59">
        <f t="shared" si="88"/>
        <v>306.44063087948552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16.584871555963726</v>
      </c>
      <c r="AA80" s="21">
        <f>EXP(-LN(2)/25)*AA79+(1-EXP(-LN(2)/25))/(LN(2)/25)*Calculateur!V80*Calculateur!X80*VLOOKUP('Données projet'!$B$9,Paramètres!$A$1:$I$89,3,0)*0.475*44/12</f>
        <v>16.05881113903655</v>
      </c>
      <c r="AB80" s="21">
        <f>EXP(-LN(2)/2)*AB79+(1-EXP(-LN(2)/2))/(LN(2)/2)*V80*Y80*VLOOKUP('Données projet'!$B$9,Paramètres!$A$1:$I$89,3,0)*0.475*44/12</f>
        <v>2.6098469239493856E-5</v>
      </c>
      <c r="AC80" s="22">
        <f t="shared" si="57"/>
        <v>32.643708793469521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287.96040000000022</v>
      </c>
      <c r="AK80" s="13">
        <f t="shared" si="89"/>
        <v>68.646515735746149</v>
      </c>
      <c r="AL80" s="20">
        <f t="shared" si="58"/>
        <v>621.09037823975825</v>
      </c>
      <c r="AM80" s="59">
        <f t="shared" si="59"/>
        <v>914.42371157309162</v>
      </c>
      <c r="AN80" s="59">
        <f ca="1">AVERAGE(OFFSET($AM$3,0,0,'Données projet'!$E$10+1,1))-AVERAGE(OFFSET($H$3,0,0,'Données projet'!$E$10+1,1))</f>
        <v>0</v>
      </c>
      <c r="AO80" s="59">
        <f t="shared" si="90"/>
        <v>0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267.93935999999968</v>
      </c>
      <c r="BF80" s="13">
        <f t="shared" si="91"/>
        <v>64.411754669078491</v>
      </c>
      <c r="BG80" s="20">
        <f t="shared" si="61"/>
        <v>578.84485804864448</v>
      </c>
      <c r="BH80" s="59">
        <f t="shared" si="62"/>
        <v>872.17819138197774</v>
      </c>
      <c r="BI80" s="59">
        <f ca="1">AVERAGE(OFFSET($BH$3,0,0,'Données projet'!$E$11+1,1))-AVERAGE(OFFSET($H$3,0,0,'Données projet'!$E$11+1,1))</f>
        <v>292.4657394642</v>
      </c>
      <c r="BJ80" s="59">
        <f t="shared" si="92"/>
        <v>333.80517619352395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1.0641461253841298</v>
      </c>
      <c r="BQ80" s="21">
        <f>EXP(-LN(2)/25)*BQ79+(1-EXP(-LN(2)/25))/(LN(2)/25)*Calculateur!BL80*Calculateur!BN80*VLOOKUP('Données projet'!$B$11,Paramètres!$A$1:$I$89,3,0)*0.475*44/12</f>
        <v>4.6116709264661049</v>
      </c>
      <c r="BR80" s="21">
        <f>EXP(-LN(2)/2)*BR79+(1-EXP(-LN(2)/2))/(LN(2)/2)*BL80*BO80*VLOOKUP('Données projet'!$B$11,Paramètres!$A$1:$I$89,3,0)*0.475*44/12</f>
        <v>2.0660712086257271E-6</v>
      </c>
      <c r="BS80" s="22">
        <f t="shared" si="63"/>
        <v>5.675819117921443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0</v>
      </c>
      <c r="CE80" s="59">
        <f t="shared" si="94"/>
        <v>0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150.98674906185317</v>
      </c>
      <c r="T81" s="59">
        <f t="shared" si="88"/>
        <v>306.44063087948552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16.259652340524077</v>
      </c>
      <c r="AA81" s="21">
        <f>EXP(-LN(2)/25)*AA80+(1-EXP(-LN(2)/25))/(LN(2)/25)*Calculateur!V81*Calculateur!X81*VLOOKUP('Données projet'!$B$9,Paramètres!$A$1:$I$89,3,0)*0.475*44/12</f>
        <v>15.61968210394342</v>
      </c>
      <c r="AB81" s="21">
        <f>EXP(-LN(2)/2)*AB80+(1-EXP(-LN(2)/2))/(LN(2)/2)*V81*Y81*VLOOKUP('Données projet'!$B$9,Paramètres!$A$1:$I$89,3,0)*0.475*44/12</f>
        <v>1.8454404577834623E-5</v>
      </c>
      <c r="AC81" s="22">
        <f t="shared" si="57"/>
        <v>31.879352898872074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294.62160000000023</v>
      </c>
      <c r="AK81" s="13">
        <f t="shared" si="89"/>
        <v>70.047759860478052</v>
      </c>
      <c r="AL81" s="20">
        <f t="shared" si="58"/>
        <v>635.1324684236663</v>
      </c>
      <c r="AM81" s="59">
        <f t="shared" si="59"/>
        <v>928.46580175699955</v>
      </c>
      <c r="AN81" s="59">
        <f ca="1">AVERAGE(OFFSET($AM$3,0,0,'Données projet'!$E$10+1,1))-AVERAGE(OFFSET($H$3,0,0,'Données projet'!$E$10+1,1))</f>
        <v>0</v>
      </c>
      <c r="AO81" s="59">
        <f t="shared" si="90"/>
        <v>0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271.10303999999962</v>
      </c>
      <c r="BF81" s="13">
        <f t="shared" si="91"/>
        <v>65.083306639703608</v>
      </c>
      <c r="BG81" s="20">
        <f t="shared" si="61"/>
        <v>585.52455373081636</v>
      </c>
      <c r="BH81" s="59">
        <f t="shared" si="62"/>
        <v>878.85788706414974</v>
      </c>
      <c r="BI81" s="59">
        <f ca="1">AVERAGE(OFFSET($BH$3,0,0,'Données projet'!$E$11+1,1))-AVERAGE(OFFSET($H$3,0,0,'Données projet'!$E$11+1,1))</f>
        <v>292.4657394642</v>
      </c>
      <c r="BJ81" s="59">
        <f t="shared" si="92"/>
        <v>333.80517619352395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1.0432788689303936</v>
      </c>
      <c r="BQ81" s="21">
        <f>EXP(-LN(2)/25)*BQ80+(1-EXP(-LN(2)/25))/(LN(2)/25)*Calculateur!BL81*Calculateur!BN81*VLOOKUP('Données projet'!$B$11,Paramètres!$A$1:$I$89,3,0)*0.475*44/12</f>
        <v>4.4855645424646555</v>
      </c>
      <c r="BR81" s="21">
        <f>EXP(-LN(2)/2)*BR80+(1-EXP(-LN(2)/2))/(LN(2)/2)*BL81*BO81*VLOOKUP('Données projet'!$B$11,Paramètres!$A$1:$I$89,3,0)*0.475*44/12</f>
        <v>1.4609329620335378E-6</v>
      </c>
      <c r="BS81" s="22">
        <f t="shared" si="63"/>
        <v>5.528844872328011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0</v>
      </c>
      <c r="CE81" s="59">
        <f t="shared" si="94"/>
        <v>0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150.98674906185317</v>
      </c>
      <c r="T82" s="59">
        <f t="shared" si="88"/>
        <v>306.44063087948552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15.940810475535065</v>
      </c>
      <c r="AA82" s="21">
        <f>EXP(-LN(2)/25)*AA81+(1-EXP(-LN(2)/25))/(LN(2)/25)*Calculateur!V82*Calculateur!X82*VLOOKUP('Données projet'!$B$9,Paramètres!$A$1:$I$89,3,0)*0.475*44/12</f>
        <v>15.192561075407705</v>
      </c>
      <c r="AB82" s="21">
        <f>EXP(-LN(2)/2)*AB81+(1-EXP(-LN(2)/2))/(LN(2)/2)*V82*Y82*VLOOKUP('Données projet'!$B$9,Paramètres!$A$1:$I$89,3,0)*0.475*44/12</f>
        <v>1.3049234619746928E-5</v>
      </c>
      <c r="AC82" s="22">
        <f t="shared" si="57"/>
        <v>31.13338460017739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301.28280000000029</v>
      </c>
      <c r="AK82" s="13">
        <f t="shared" si="89"/>
        <v>71.445320809508729</v>
      </c>
      <c r="AL82" s="20">
        <f t="shared" si="58"/>
        <v>649.16814374322814</v>
      </c>
      <c r="AM82" s="59">
        <f t="shared" si="59"/>
        <v>942.50147707656151</v>
      </c>
      <c r="AN82" s="59">
        <f ca="1">AVERAGE(OFFSET($AM$3,0,0,'Données projet'!$E$10+1,1))-AVERAGE(OFFSET($H$3,0,0,'Données projet'!$E$10+1,1))</f>
        <v>0</v>
      </c>
      <c r="AO82" s="59">
        <f t="shared" si="90"/>
        <v>0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274.26671999999962</v>
      </c>
      <c r="BF82" s="13">
        <f t="shared" si="91"/>
        <v>65.753947006237524</v>
      </c>
      <c r="BG82" s="20">
        <f t="shared" si="61"/>
        <v>592.20266170252955</v>
      </c>
      <c r="BH82" s="59">
        <f t="shared" si="62"/>
        <v>885.53599503586292</v>
      </c>
      <c r="BI82" s="59">
        <f ca="1">AVERAGE(OFFSET($BH$3,0,0,'Données projet'!$E$11+1,1))-AVERAGE(OFFSET($H$3,0,0,'Données projet'!$E$11+1,1))</f>
        <v>292.4657394642</v>
      </c>
      <c r="BJ82" s="59">
        <f t="shared" si="92"/>
        <v>333.80517619352395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1.0228208066479456</v>
      </c>
      <c r="BQ82" s="21">
        <f>EXP(-LN(2)/25)*BQ81+(1-EXP(-LN(2)/25))/(LN(2)/25)*Calculateur!BL82*Calculateur!BN82*VLOOKUP('Données projet'!$B$11,Paramètres!$A$1:$I$89,3,0)*0.475*44/12</f>
        <v>4.362906544165372</v>
      </c>
      <c r="BR82" s="21">
        <f>EXP(-LN(2)/2)*BR81+(1-EXP(-LN(2)/2))/(LN(2)/2)*BL82*BO82*VLOOKUP('Données projet'!$B$11,Paramètres!$A$1:$I$89,3,0)*0.475*44/12</f>
        <v>1.0330356043128636E-6</v>
      </c>
      <c r="BS82" s="22">
        <f t="shared" si="63"/>
        <v>5.3857283838489218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0</v>
      </c>
      <c r="CE82" s="59">
        <f t="shared" si="94"/>
        <v>0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150.98674906185317</v>
      </c>
      <c r="T83" s="59">
        <f t="shared" si="88"/>
        <v>306.44063087948552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15.628220905044152</v>
      </c>
      <c r="AA83" s="21">
        <f>EXP(-LN(2)/25)*AA82+(1-EXP(-LN(2)/25))/(LN(2)/25)*Calculateur!V83*Calculateur!X83*VLOOKUP('Données projet'!$B$9,Paramètres!$A$1:$I$89,3,0)*0.475*44/12</f>
        <v>14.777119693858618</v>
      </c>
      <c r="AB83" s="21">
        <f>EXP(-LN(2)/2)*AB82+(1-EXP(-LN(2)/2))/(LN(2)/2)*V83*Y83*VLOOKUP('Données projet'!$B$9,Paramètres!$A$1:$I$89,3,0)*0.475*44/12</f>
        <v>9.2272022889173115E-6</v>
      </c>
      <c r="AC83" s="22">
        <f t="shared" si="57"/>
        <v>30.405349826105056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307.9440000000003</v>
      </c>
      <c r="AK83" s="13">
        <f t="shared" si="89"/>
        <v>72.839289392732255</v>
      </c>
      <c r="AL83" s="20">
        <f t="shared" si="58"/>
        <v>663.19756235900911</v>
      </c>
      <c r="AM83" s="59">
        <f t="shared" si="59"/>
        <v>956.53089569234248</v>
      </c>
      <c r="AN83" s="59">
        <f ca="1">AVERAGE(OFFSET($AM$3,0,0,'Données projet'!$E$10+1,1))-AVERAGE(OFFSET($H$3,0,0,'Données projet'!$E$10+1,1))</f>
        <v>0</v>
      </c>
      <c r="AO83" s="59">
        <f t="shared" si="90"/>
        <v>0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277.43039999999962</v>
      </c>
      <c r="BF83" s="13">
        <f t="shared" si="91"/>
        <v>66.423687500715616</v>
      </c>
      <c r="BG83" s="20">
        <f t="shared" si="61"/>
        <v>598.8792023970791</v>
      </c>
      <c r="BH83" s="59">
        <f t="shared" si="62"/>
        <v>892.21253573041236</v>
      </c>
      <c r="BI83" s="59">
        <f ca="1">AVERAGE(OFFSET($BH$3,0,0,'Données projet'!$E$11+1,1))-AVERAGE(OFFSET($H$3,0,0,'Données projet'!$E$11+1,1))</f>
        <v>292.4657394642</v>
      </c>
      <c r="BJ83" s="59">
        <f t="shared" si="92"/>
        <v>333.80517619352395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1.0027639144886704</v>
      </c>
      <c r="BQ83" s="21">
        <f>EXP(-LN(2)/25)*BQ82+(1-EXP(-LN(2)/25))/(LN(2)/25)*Calculateur!BL83*Calculateur!BN83*VLOOKUP('Données projet'!$B$11,Paramètres!$A$1:$I$89,3,0)*0.475*44/12</f>
        <v>4.2436026352798866</v>
      </c>
      <c r="BR83" s="21">
        <f>EXP(-LN(2)/2)*BR82+(1-EXP(-LN(2)/2))/(LN(2)/2)*BL83*BO83*VLOOKUP('Données projet'!$B$11,Paramètres!$A$1:$I$89,3,0)*0.475*44/12</f>
        <v>7.3046648101676892E-7</v>
      </c>
      <c r="BS83" s="22">
        <f t="shared" si="63"/>
        <v>5.2463672802350381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0</v>
      </c>
      <c r="CE83" s="59">
        <f t="shared" si="94"/>
        <v>0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150.98674906185317</v>
      </c>
      <c r="T84" s="59">
        <f t="shared" si="88"/>
        <v>306.44063087948552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15.321761025369755</v>
      </c>
      <c r="AA84" s="21">
        <f>EXP(-LN(2)/25)*AA83+(1-EXP(-LN(2)/25))/(LN(2)/25)*Calculateur!V84*Calculateur!X84*VLOOKUP('Données projet'!$B$9,Paramètres!$A$1:$I$89,3,0)*0.475*44/12</f>
        <v>14.373038578735102</v>
      </c>
      <c r="AB84" s="21">
        <f>EXP(-LN(2)/2)*AB83+(1-EXP(-LN(2)/2))/(LN(2)/2)*V84*Y84*VLOOKUP('Données projet'!$B$9,Paramètres!$A$1:$I$89,3,0)*0.475*44/12</f>
        <v>6.5246173098734639E-6</v>
      </c>
      <c r="AC84" s="22">
        <f t="shared" si="57"/>
        <v>29.694806128722167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268.19520000000034</v>
      </c>
      <c r="AK84" s="13">
        <f t="shared" si="89"/>
        <v>64.466095796107737</v>
      </c>
      <c r="AL84" s="20">
        <f t="shared" si="58"/>
        <v>579.38509017822162</v>
      </c>
      <c r="AM84" s="59">
        <f t="shared" si="59"/>
        <v>872.71842351155487</v>
      </c>
      <c r="AN84" s="59">
        <f ca="1">AVERAGE(OFFSET($AM$3,0,0,'Données projet'!$E$10+1,1))-AVERAGE(OFFSET($H$3,0,0,'Données projet'!$E$10+1,1))</f>
        <v>0</v>
      </c>
      <c r="AO84" s="59">
        <f t="shared" si="90"/>
        <v>0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-4.1500243241898714E-13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292.4657394642</v>
      </c>
      <c r="BJ84" s="59">
        <f t="shared" si="92"/>
        <v>333.80517619352395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0.98310032575114237</v>
      </c>
      <c r="BQ84" s="21">
        <f>EXP(-LN(2)/25)*BQ83+(1-EXP(-LN(2)/25))/(LN(2)/25)*Calculateur!BL84*Calculateur!BN84*VLOOKUP('Données projet'!$B$11,Paramètres!$A$1:$I$89,3,0)*0.475*44/12</f>
        <v>4.1275610980567947</v>
      </c>
      <c r="BR84" s="21">
        <f>EXP(-LN(2)/2)*BR83+(1-EXP(-LN(2)/2))/(LN(2)/2)*BL84*BO84*VLOOKUP('Données projet'!$B$11,Paramètres!$A$1:$I$89,3,0)*0.475*44/12</f>
        <v>5.1651780215643178E-7</v>
      </c>
      <c r="BS84" s="22">
        <f t="shared" si="63"/>
        <v>5.1106619403257385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0</v>
      </c>
      <c r="CE84" s="59">
        <f t="shared" si="94"/>
        <v>0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150.98674906185317</v>
      </c>
      <c r="T85" s="59">
        <f t="shared" si="88"/>
        <v>306.44063087948552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15.021310637013702</v>
      </c>
      <c r="AA85" s="21">
        <f>EXP(-LN(2)/25)*AA84+(1-EXP(-LN(2)/25))/(LN(2)/25)*Calculateur!V85*Calculateur!X85*VLOOKUP('Données projet'!$B$9,Paramètres!$A$1:$I$89,3,0)*0.475*44/12</f>
        <v>13.980007082954341</v>
      </c>
      <c r="AB85" s="21">
        <f>EXP(-LN(2)/2)*AB84+(1-EXP(-LN(2)/2))/(LN(2)/2)*V85*Y85*VLOOKUP('Données projet'!$B$9,Paramètres!$A$1:$I$89,3,0)*0.475*44/12</f>
        <v>4.6136011444586557E-6</v>
      </c>
      <c r="AC85" s="22">
        <f t="shared" si="57"/>
        <v>29.001322333569188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274.3104000000003</v>
      </c>
      <c r="AK85" s="13">
        <f t="shared" si="89"/>
        <v>65.763200016124017</v>
      </c>
      <c r="AL85" s="20">
        <f t="shared" si="58"/>
        <v>592.29485336141647</v>
      </c>
      <c r="AM85" s="59">
        <f t="shared" si="59"/>
        <v>885.62818669474973</v>
      </c>
      <c r="AN85" s="59">
        <f ca="1">AVERAGE(OFFSET($AM$3,0,0,'Données projet'!$E$10+1,1))-AVERAGE(OFFSET($H$3,0,0,'Données projet'!$E$10+1,1))</f>
        <v>0</v>
      </c>
      <c r="AO85" s="59">
        <f t="shared" si="90"/>
        <v>0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-4.1500243241898714E-13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292.4657394642</v>
      </c>
      <c r="BJ85" s="59">
        <f t="shared" si="92"/>
        <v>333.80517619352395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0.96382232799515244</v>
      </c>
      <c r="BQ85" s="21">
        <f>EXP(-LN(2)/25)*BQ84+(1-EXP(-LN(2)/25))/(LN(2)/25)*Calculateur!BL85*Calculateur!BN85*VLOOKUP('Données projet'!$B$11,Paramètres!$A$1:$I$89,3,0)*0.475*44/12</f>
        <v>4.0146927227714269</v>
      </c>
      <c r="BR85" s="21">
        <f>EXP(-LN(2)/2)*BR84+(1-EXP(-LN(2)/2))/(LN(2)/2)*BL85*BO85*VLOOKUP('Données projet'!$B$11,Paramètres!$A$1:$I$89,3,0)*0.475*44/12</f>
        <v>3.6523324050838446E-7</v>
      </c>
      <c r="BS85" s="22">
        <f t="shared" si="63"/>
        <v>4.9785154159998193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0</v>
      </c>
      <c r="CE85" s="59">
        <f t="shared" si="94"/>
        <v>0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150.98674906185317</v>
      </c>
      <c r="T86" s="59">
        <f t="shared" si="88"/>
        <v>306.44063087948552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14.726751897516671</v>
      </c>
      <c r="AA86" s="21">
        <f>EXP(-LN(2)/25)*AA85+(1-EXP(-LN(2)/25))/(LN(2)/25)*Calculateur!V86*Calculateur!X86*VLOOKUP('Données projet'!$B$9,Paramètres!$A$1:$I$89,3,0)*0.475*44/12</f>
        <v>13.597723054094333</v>
      </c>
      <c r="AB86" s="21">
        <f>EXP(-LN(2)/2)*AB85+(1-EXP(-LN(2)/2))/(LN(2)/2)*V86*Y86*VLOOKUP('Données projet'!$B$9,Paramètres!$A$1:$I$89,3,0)*0.475*44/12</f>
        <v>3.262308654936732E-6</v>
      </c>
      <c r="AC86" s="22">
        <f t="shared" si="57"/>
        <v>28.324478213919658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280.42560000000032</v>
      </c>
      <c r="AK86" s="13">
        <f t="shared" si="89"/>
        <v>67.05694244357089</v>
      </c>
      <c r="AL86" s="20">
        <f t="shared" si="58"/>
        <v>605.19876142255328</v>
      </c>
      <c r="AM86" s="59">
        <f t="shared" si="59"/>
        <v>898.53209475588665</v>
      </c>
      <c r="AN86" s="59">
        <f ca="1">AVERAGE(OFFSET($AM$3,0,0,'Données projet'!$E$10+1,1))-AVERAGE(OFFSET($H$3,0,0,'Données projet'!$E$10+1,1))</f>
        <v>0</v>
      </c>
      <c r="AO86" s="59">
        <f t="shared" si="90"/>
        <v>0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-4.1500243241898714E-13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292.4657394642</v>
      </c>
      <c r="BJ86" s="59">
        <f t="shared" si="92"/>
        <v>333.80517619352395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0.9449223600167399</v>
      </c>
      <c r="BQ86" s="21">
        <f>EXP(-LN(2)/25)*BQ85+(1-EXP(-LN(2)/25))/(LN(2)/25)*Calculateur!BL86*Calculateur!BN86*VLOOKUP('Données projet'!$B$11,Paramètres!$A$1:$I$89,3,0)*0.475*44/12</f>
        <v>3.9049107391437277</v>
      </c>
      <c r="BR86" s="21">
        <f>EXP(-LN(2)/2)*BR85+(1-EXP(-LN(2)/2))/(LN(2)/2)*BL86*BO86*VLOOKUP('Données projet'!$B$11,Paramètres!$A$1:$I$89,3,0)*0.475*44/12</f>
        <v>2.5825890107821589E-7</v>
      </c>
      <c r="BS86" s="22">
        <f t="shared" si="63"/>
        <v>4.8498333574193691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0</v>
      </c>
      <c r="CE86" s="59">
        <f t="shared" si="94"/>
        <v>0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150.98674906185317</v>
      </c>
      <c r="T87" s="59">
        <f t="shared" si="88"/>
        <v>306.44063087948552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14.437969275238085</v>
      </c>
      <c r="AA87" s="21">
        <f>EXP(-LN(2)/25)*AA86+(1-EXP(-LN(2)/25))/(LN(2)/25)*Calculateur!V87*Calculateur!X87*VLOOKUP('Données projet'!$B$9,Paramètres!$A$1:$I$89,3,0)*0.475*44/12</f>
        <v>13.225892602106946</v>
      </c>
      <c r="AB87" s="21">
        <f>EXP(-LN(2)/2)*AB86+(1-EXP(-LN(2)/2))/(LN(2)/2)*V87*Y87*VLOOKUP('Données projet'!$B$9,Paramètres!$A$1:$I$89,3,0)*0.475*44/12</f>
        <v>2.3068005722293279E-6</v>
      </c>
      <c r="AC87" s="22">
        <f t="shared" si="57"/>
        <v>27.663864184145602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286.54080000000033</v>
      </c>
      <c r="AK87" s="13">
        <f t="shared" si="89"/>
        <v>68.347404831167992</v>
      </c>
      <c r="AL87" s="20">
        <f t="shared" si="58"/>
        <v>618.09695674761804</v>
      </c>
      <c r="AM87" s="59">
        <f t="shared" si="59"/>
        <v>911.43029008095141</v>
      </c>
      <c r="AN87" s="59">
        <f ca="1">AVERAGE(OFFSET($AM$3,0,0,'Données projet'!$E$10+1,1))-AVERAGE(OFFSET($H$3,0,0,'Données projet'!$E$10+1,1))</f>
        <v>0</v>
      </c>
      <c r="AO87" s="59">
        <f t="shared" si="90"/>
        <v>0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-4.1500243241898714E-13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292.4657394642</v>
      </c>
      <c r="BJ87" s="59">
        <f t="shared" si="92"/>
        <v>333.80517619352395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0.92639300888254184</v>
      </c>
      <c r="BQ87" s="21">
        <f>EXP(-LN(2)/25)*BQ86+(1-EXP(-LN(2)/25))/(LN(2)/25)*Calculateur!BL87*Calculateur!BN87*VLOOKUP('Données projet'!$B$11,Paramètres!$A$1:$I$89,3,0)*0.475*44/12</f>
        <v>3.7981307496315115</v>
      </c>
      <c r="BR87" s="21">
        <f>EXP(-LN(2)/2)*BR86+(1-EXP(-LN(2)/2))/(LN(2)/2)*BL87*BO87*VLOOKUP('Données projet'!$B$11,Paramètres!$A$1:$I$89,3,0)*0.475*44/12</f>
        <v>1.8261662025419223E-7</v>
      </c>
      <c r="BS87" s="22">
        <f t="shared" si="63"/>
        <v>4.7245239411306734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0</v>
      </c>
      <c r="CE87" s="59">
        <f t="shared" si="94"/>
        <v>0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150.98674906185317</v>
      </c>
      <c r="T88" s="59">
        <f t="shared" si="88"/>
        <v>306.44063087948552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14.154849504042376</v>
      </c>
      <c r="AA88" s="21">
        <f>EXP(-LN(2)/25)*AA87+(1-EXP(-LN(2)/25))/(LN(2)/25)*Calculateur!V88*Calculateur!X88*VLOOKUP('Données projet'!$B$9,Paramètres!$A$1:$I$89,3,0)*0.475*44/12</f>
        <v>12.864229873382868</v>
      </c>
      <c r="AB88" s="21">
        <f>EXP(-LN(2)/2)*AB87+(1-EXP(-LN(2)/2))/(LN(2)/2)*V88*Y88*VLOOKUP('Données projet'!$B$9,Paramètres!$A$1:$I$89,3,0)*0.475*44/12</f>
        <v>1.631154327468366E-6</v>
      </c>
      <c r="AC88" s="22">
        <f t="shared" si="57"/>
        <v>27.019081008579569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292.65600000000035</v>
      </c>
      <c r="AK88" s="13">
        <f t="shared" si="89"/>
        <v>69.634665242845813</v>
      </c>
      <c r="AL88" s="20">
        <f t="shared" si="58"/>
        <v>630.989575297957</v>
      </c>
      <c r="AM88" s="59">
        <f t="shared" si="59"/>
        <v>924.32290863129037</v>
      </c>
      <c r="AN88" s="59">
        <f ca="1">AVERAGE(OFFSET($AM$3,0,0,'Données projet'!$E$10+1,1))-AVERAGE(OFFSET($H$3,0,0,'Données projet'!$E$10+1,1))</f>
        <v>0</v>
      </c>
      <c r="AO88" s="59">
        <f t="shared" si="90"/>
        <v>0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-4.1500243241898714E-13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292.4657394642</v>
      </c>
      <c r="BJ88" s="59">
        <f t="shared" si="92"/>
        <v>333.80517619352395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0.90822700702229719</v>
      </c>
      <c r="BQ88" s="21">
        <f>EXP(-LN(2)/25)*BQ87+(1-EXP(-LN(2)/25))/(LN(2)/25)*Calculateur!BL88*Calculateur!BN88*VLOOKUP('Données projet'!$B$11,Paramètres!$A$1:$I$89,3,0)*0.475*44/12</f>
        <v>3.6942706645478225</v>
      </c>
      <c r="BR88" s="21">
        <f>EXP(-LN(2)/2)*BR87+(1-EXP(-LN(2)/2))/(LN(2)/2)*BL88*BO88*VLOOKUP('Données projet'!$B$11,Paramètres!$A$1:$I$89,3,0)*0.475*44/12</f>
        <v>1.2912945053910795E-7</v>
      </c>
      <c r="BS88" s="22">
        <f t="shared" si="63"/>
        <v>4.6024978006995703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0</v>
      </c>
      <c r="CE88" s="59">
        <f t="shared" si="94"/>
        <v>0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150.98674906185317</v>
      </c>
      <c r="T89" s="59">
        <f t="shared" si="88"/>
        <v>306.44063087948552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13.877281538873804</v>
      </c>
      <c r="AA89" s="21">
        <f>EXP(-LN(2)/25)*AA88+(1-EXP(-LN(2)/25))/(LN(2)/25)*Calculateur!V89*Calculateur!X89*VLOOKUP('Données projet'!$B$9,Paramètres!$A$1:$I$89,3,0)*0.475*44/12</f>
        <v>12.512456830994767</v>
      </c>
      <c r="AB89" s="21">
        <f>EXP(-LN(2)/2)*AB88+(1-EXP(-LN(2)/2))/(LN(2)/2)*V89*Y89*VLOOKUP('Données projet'!$B$9,Paramètres!$A$1:$I$89,3,0)*0.475*44/12</f>
        <v>1.1534002861146639E-6</v>
      </c>
      <c r="AC89" s="22">
        <f t="shared" si="57"/>
        <v>26.389739523268858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298.77120000000036</v>
      </c>
      <c r="AK89" s="13">
        <f t="shared" si="89"/>
        <v>70.918798293732806</v>
      </c>
      <c r="AL89" s="20">
        <f t="shared" si="58"/>
        <v>643.87674702825188</v>
      </c>
      <c r="AM89" s="59">
        <f t="shared" si="59"/>
        <v>937.21008036158514</v>
      </c>
      <c r="AN89" s="59">
        <f ca="1">AVERAGE(OFFSET($AM$3,0,0,'Données projet'!$E$10+1,1))-AVERAGE(OFFSET($H$3,0,0,'Données projet'!$E$10+1,1))</f>
        <v>0</v>
      </c>
      <c r="AO89" s="59">
        <f t="shared" si="90"/>
        <v>0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-4.1500243241898714E-13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292.4657394642</v>
      </c>
      <c r="BJ89" s="59">
        <f t="shared" si="92"/>
        <v>333.80517619352395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0.89041722937836487</v>
      </c>
      <c r="BQ89" s="21">
        <f>EXP(-LN(2)/25)*BQ88+(1-EXP(-LN(2)/25))/(LN(2)/25)*Calculateur!BL89*Calculateur!BN89*VLOOKUP('Données projet'!$B$11,Paramètres!$A$1:$I$89,3,0)*0.475*44/12</f>
        <v>3.5932506389525116</v>
      </c>
      <c r="BR89" s="21">
        <f>EXP(-LN(2)/2)*BR88+(1-EXP(-LN(2)/2))/(LN(2)/2)*BL89*BO89*VLOOKUP('Données projet'!$B$11,Paramètres!$A$1:$I$89,3,0)*0.475*44/12</f>
        <v>9.1308310127096115E-8</v>
      </c>
      <c r="BS89" s="22">
        <f t="shared" si="63"/>
        <v>4.4836679596391864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0</v>
      </c>
      <c r="CE89" s="59">
        <f t="shared" si="94"/>
        <v>0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150.98674906185317</v>
      </c>
      <c r="T90" s="59">
        <f t="shared" si="88"/>
        <v>306.44063087948552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13.605156512202447</v>
      </c>
      <c r="AA90" s="21">
        <f>EXP(-LN(2)/25)*AA89+(1-EXP(-LN(2)/25))/(LN(2)/25)*Calculateur!V90*Calculateur!X90*VLOOKUP('Données projet'!$B$9,Paramètres!$A$1:$I$89,3,0)*0.475*44/12</f>
        <v>12.170303040949708</v>
      </c>
      <c r="AB90" s="21">
        <f>EXP(-LN(2)/2)*AB89+(1-EXP(-LN(2)/2))/(LN(2)/2)*V90*Y90*VLOOKUP('Données projet'!$B$9,Paramètres!$A$1:$I$89,3,0)*0.475*44/12</f>
        <v>8.1557716373418299E-7</v>
      </c>
      <c r="AC90" s="22">
        <f t="shared" si="57"/>
        <v>25.775460368729316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304.88640000000038</v>
      </c>
      <c r="AK90" s="13">
        <f t="shared" si="89"/>
        <v>72.199875369940401</v>
      </c>
      <c r="AL90" s="20">
        <f t="shared" si="58"/>
        <v>656.75859626931356</v>
      </c>
      <c r="AM90" s="59">
        <f t="shared" si="59"/>
        <v>950.09192960264681</v>
      </c>
      <c r="AN90" s="59">
        <f ca="1">AVERAGE(OFFSET($AM$3,0,0,'Données projet'!$E$10+1,1))-AVERAGE(OFFSET($H$3,0,0,'Données projet'!$E$10+1,1))</f>
        <v>0</v>
      </c>
      <c r="AO90" s="59">
        <f t="shared" si="90"/>
        <v>0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-4.1500243241898714E-13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292.4657394642</v>
      </c>
      <c r="BJ90" s="59">
        <f t="shared" si="92"/>
        <v>333.80517619352395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0.87295669061113834</v>
      </c>
      <c r="BQ90" s="21">
        <f>EXP(-LN(2)/25)*BQ89+(1-EXP(-LN(2)/25))/(LN(2)/25)*Calculateur!BL90*Calculateur!BN90*VLOOKUP('Données projet'!$B$11,Paramètres!$A$1:$I$89,3,0)*0.475*44/12</f>
        <v>3.4949930112695164</v>
      </c>
      <c r="BR90" s="21">
        <f>EXP(-LN(2)/2)*BR89+(1-EXP(-LN(2)/2))/(LN(2)/2)*BL90*BO90*VLOOKUP('Données projet'!$B$11,Paramètres!$A$1:$I$89,3,0)*0.475*44/12</f>
        <v>6.4564725269553973E-8</v>
      </c>
      <c r="BS90" s="22">
        <f t="shared" si="63"/>
        <v>4.3679497664453795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0</v>
      </c>
      <c r="CE90" s="59">
        <f t="shared" si="94"/>
        <v>0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150.98674906185317</v>
      </c>
      <c r="T91" s="59">
        <f t="shared" si="88"/>
        <v>306.44063087948552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13.338367691324237</v>
      </c>
      <c r="AA91" s="21">
        <f>EXP(-LN(2)/25)*AA90+(1-EXP(-LN(2)/25))/(LN(2)/25)*Calculateur!V91*Calculateur!X91*VLOOKUP('Données projet'!$B$9,Paramètres!$A$1:$I$89,3,0)*0.475*44/12</f>
        <v>11.837505464286517</v>
      </c>
      <c r="AB91" s="21">
        <f>EXP(-LN(2)/2)*AB90+(1-EXP(-LN(2)/2))/(LN(2)/2)*V91*Y91*VLOOKUP('Données projet'!$B$9,Paramètres!$A$1:$I$89,3,0)*0.475*44/12</f>
        <v>5.7670014305733197E-7</v>
      </c>
      <c r="AC91" s="22">
        <f t="shared" si="57"/>
        <v>25.175873732310894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311.00160000000045</v>
      </c>
      <c r="AK91" s="13">
        <f t="shared" si="89"/>
        <v>73.477964830216322</v>
      </c>
      <c r="AL91" s="20">
        <f t="shared" si="58"/>
        <v>669.63524207929413</v>
      </c>
      <c r="AM91" s="59">
        <f t="shared" si="59"/>
        <v>962.96857541262739</v>
      </c>
      <c r="AN91" s="59">
        <f ca="1">AVERAGE(OFFSET($AM$3,0,0,'Données projet'!$E$10+1,1))-AVERAGE(OFFSET($H$3,0,0,'Données projet'!$E$10+1,1))</f>
        <v>0</v>
      </c>
      <c r="AO91" s="59">
        <f t="shared" si="90"/>
        <v>0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-4.1500243241898714E-13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292.4657394642</v>
      </c>
      <c r="BJ91" s="59">
        <f t="shared" si="92"/>
        <v>333.80517619352395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0.85583854235926005</v>
      </c>
      <c r="BQ91" s="21">
        <f>EXP(-LN(2)/25)*BQ90+(1-EXP(-LN(2)/25))/(LN(2)/25)*Calculateur!BL91*Calculateur!BN91*VLOOKUP('Données projet'!$B$11,Paramètres!$A$1:$I$89,3,0)*0.475*44/12</f>
        <v>3.3994222435826571</v>
      </c>
      <c r="BR91" s="21">
        <f>EXP(-LN(2)/2)*BR90+(1-EXP(-LN(2)/2))/(LN(2)/2)*BL91*BO91*VLOOKUP('Données projet'!$B$11,Paramètres!$A$1:$I$89,3,0)*0.475*44/12</f>
        <v>4.5654155063548057E-8</v>
      </c>
      <c r="BS91" s="22">
        <f t="shared" si="63"/>
        <v>4.2552608315960727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0</v>
      </c>
      <c r="CE91" s="59">
        <f t="shared" si="94"/>
        <v>0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150.98674906185317</v>
      </c>
      <c r="T92" s="59">
        <f t="shared" si="88"/>
        <v>306.44063087948552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13.076810436498336</v>
      </c>
      <c r="AA92" s="21">
        <f>EXP(-LN(2)/25)*AA91+(1-EXP(-LN(2)/25))/(LN(2)/25)*Calculateur!V92*Calculateur!X92*VLOOKUP('Données projet'!$B$9,Paramètres!$A$1:$I$89,3,0)*0.475*44/12</f>
        <v>11.513808254858244</v>
      </c>
      <c r="AB92" s="21">
        <f>EXP(-LN(2)/2)*AB91+(1-EXP(-LN(2)/2))/(LN(2)/2)*V92*Y92*VLOOKUP('Données projet'!$B$9,Paramètres!$A$1:$I$89,3,0)*0.475*44/12</f>
        <v>4.077885818670915E-7</v>
      </c>
      <c r="AC92" s="22">
        <f t="shared" si="57"/>
        <v>24.590619099145165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317.11680000000047</v>
      </c>
      <c r="AK92" s="13">
        <f t="shared" si="89"/>
        <v>74.75313219128995</v>
      </c>
      <c r="AL92" s="20">
        <f t="shared" si="58"/>
        <v>682.50679856649742</v>
      </c>
      <c r="AM92" s="59">
        <f t="shared" si="59"/>
        <v>975.84013189983079</v>
      </c>
      <c r="AN92" s="59">
        <f ca="1">AVERAGE(OFFSET($AM$3,0,0,'Données projet'!$E$10+1,1))-AVERAGE(OFFSET($H$3,0,0,'Données projet'!$E$10+1,1))</f>
        <v>0</v>
      </c>
      <c r="AO92" s="59">
        <f t="shared" si="90"/>
        <v>0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-4.1500243241898714E-13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292.4657394642</v>
      </c>
      <c r="BJ92" s="59">
        <f t="shared" si="92"/>
        <v>333.80517619352395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0.83905607055356157</v>
      </c>
      <c r="BQ92" s="21">
        <f>EXP(-LN(2)/25)*BQ91+(1-EXP(-LN(2)/25))/(LN(2)/25)*Calculateur!BL92*Calculateur!BN92*VLOOKUP('Données projet'!$B$11,Paramètres!$A$1:$I$89,3,0)*0.475*44/12</f>
        <v>3.306464863564043</v>
      </c>
      <c r="BR92" s="21">
        <f>EXP(-LN(2)/2)*BR91+(1-EXP(-LN(2)/2))/(LN(2)/2)*BL92*BO92*VLOOKUP('Données projet'!$B$11,Paramètres!$A$1:$I$89,3,0)*0.475*44/12</f>
        <v>3.2282362634776986E-8</v>
      </c>
      <c r="BS92" s="22">
        <f t="shared" si="63"/>
        <v>4.1455209663999675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0</v>
      </c>
      <c r="CE92" s="59">
        <f t="shared" si="94"/>
        <v>0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150.98674906185317</v>
      </c>
      <c r="T93" s="59">
        <f t="shared" si="88"/>
        <v>306.44063087948552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12.8203821599054</v>
      </c>
      <c r="AA93" s="21">
        <f>EXP(-LN(2)/25)*AA92+(1-EXP(-LN(2)/25))/(LN(2)/25)*Calculateur!V93*Calculateur!X93*VLOOKUP('Données projet'!$B$9,Paramètres!$A$1:$I$89,3,0)*0.475*44/12</f>
        <v>11.198962562644285</v>
      </c>
      <c r="AB93" s="21">
        <f>EXP(-LN(2)/2)*AB92+(1-EXP(-LN(2)/2))/(LN(2)/2)*V93*Y93*VLOOKUP('Données projet'!$B$9,Paramètres!$A$1:$I$89,3,0)*0.475*44/12</f>
        <v>2.8835007152866598E-7</v>
      </c>
      <c r="AC93" s="22">
        <f t="shared" si="57"/>
        <v>24.019345010899755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323.23200000000048</v>
      </c>
      <c r="AK93" s="13">
        <f t="shared" si="89"/>
        <v>76.025440298516358</v>
      </c>
      <c r="AL93" s="20">
        <f t="shared" si="58"/>
        <v>695.37337518658342</v>
      </c>
      <c r="AM93" s="59">
        <f t="shared" si="59"/>
        <v>988.70670851991667</v>
      </c>
      <c r="AN93" s="59">
        <f ca="1">AVERAGE(OFFSET($AM$3,0,0,'Données projet'!$E$10+1,1))-AVERAGE(OFFSET($H$3,0,0,'Données projet'!$E$10+1,1))</f>
        <v>0</v>
      </c>
      <c r="AO93" s="59">
        <f t="shared" si="90"/>
        <v>0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-4.1500243241898714E-13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292.4657394642</v>
      </c>
      <c r="BJ93" s="59">
        <f t="shared" si="92"/>
        <v>333.80517619352395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0.82260269278367582</v>
      </c>
      <c r="BQ93" s="21">
        <f>EXP(-LN(2)/25)*BQ92+(1-EXP(-LN(2)/25))/(LN(2)/25)*Calculateur!BL93*Calculateur!BN93*VLOOKUP('Données projet'!$B$11,Paramètres!$A$1:$I$89,3,0)*0.475*44/12</f>
        <v>3.2160494079904542</v>
      </c>
      <c r="BR93" s="21">
        <f>EXP(-LN(2)/2)*BR92+(1-EXP(-LN(2)/2))/(LN(2)/2)*BL93*BO93*VLOOKUP('Données projet'!$B$11,Paramètres!$A$1:$I$89,3,0)*0.475*44/12</f>
        <v>2.2827077531774029E-8</v>
      </c>
      <c r="BS93" s="22">
        <f t="shared" si="63"/>
        <v>4.0386521236012074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0</v>
      </c>
      <c r="CE93" s="59">
        <f t="shared" si="94"/>
        <v>0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150.98674906185317</v>
      </c>
      <c r="T94" s="59">
        <f t="shared" si="88"/>
        <v>306.44063087948552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12.568982285410645</v>
      </c>
      <c r="AA94" s="21">
        <f>EXP(-LN(2)/25)*AA93+(1-EXP(-LN(2)/25))/(LN(2)/25)*Calculateur!V94*Calculateur!X94*VLOOKUP('Données projet'!$B$9,Paramètres!$A$1:$I$89,3,0)*0.475*44/12</f>
        <v>10.89272634244093</v>
      </c>
      <c r="AB94" s="21">
        <f>EXP(-LN(2)/2)*AB93+(1-EXP(-LN(2)/2))/(LN(2)/2)*V94*Y94*VLOOKUP('Données projet'!$B$9,Paramètres!$A$1:$I$89,3,0)*0.475*44/12</f>
        <v>2.0389429093354575E-7</v>
      </c>
      <c r="AC94" s="22">
        <f t="shared" si="57"/>
        <v>23.461708831745867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282.7188000000005</v>
      </c>
      <c r="AK94" s="13">
        <f t="shared" si="89"/>
        <v>67.541245947797378</v>
      </c>
      <c r="AL94" s="20">
        <f t="shared" si="58"/>
        <v>610.03624669241469</v>
      </c>
      <c r="AM94" s="59">
        <f t="shared" si="59"/>
        <v>903.36958002574806</v>
      </c>
      <c r="AN94" s="59">
        <f ca="1">AVERAGE(OFFSET($AM$3,0,0,'Données projet'!$E$10+1,1))-AVERAGE(OFFSET($H$3,0,0,'Données projet'!$E$10+1,1))</f>
        <v>0</v>
      </c>
      <c r="AO94" s="59">
        <f t="shared" si="90"/>
        <v>0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-4.1500243241898714E-13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292.4657394642</v>
      </c>
      <c r="BJ94" s="59">
        <f t="shared" si="92"/>
        <v>333.80517619352395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0.80647195571628805</v>
      </c>
      <c r="BQ94" s="21">
        <f>EXP(-LN(2)/25)*BQ93+(1-EXP(-LN(2)/25))/(LN(2)/25)*Calculateur!BL94*Calculateur!BN94*VLOOKUP('Données projet'!$B$11,Paramètres!$A$1:$I$89,3,0)*0.475*44/12</f>
        <v>3.1281063678042673</v>
      </c>
      <c r="BR94" s="21">
        <f>EXP(-LN(2)/2)*BR93+(1-EXP(-LN(2)/2))/(LN(2)/2)*BL94*BO94*VLOOKUP('Données projet'!$B$11,Paramètres!$A$1:$I$89,3,0)*0.475*44/12</f>
        <v>1.6141181317388493E-8</v>
      </c>
      <c r="BS94" s="22">
        <f t="shared" si="63"/>
        <v>3.9345783396617366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0</v>
      </c>
      <c r="CE94" s="59">
        <f t="shared" si="94"/>
        <v>0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150.98674906185317</v>
      </c>
      <c r="T95" s="59">
        <f t="shared" si="88"/>
        <v>306.44063087948552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12.322512209115949</v>
      </c>
      <c r="AA95" s="21">
        <f>EXP(-LN(2)/25)*AA94+(1-EXP(-LN(2)/25))/(LN(2)/25)*Calculateur!V95*Calculateur!X95*VLOOKUP('Données projet'!$B$9,Paramètres!$A$1:$I$89,3,0)*0.475*44/12</f>
        <v>10.594864167783301</v>
      </c>
      <c r="AB95" s="21">
        <f>EXP(-LN(2)/2)*AB94+(1-EXP(-LN(2)/2))/(LN(2)/2)*V95*Y95*VLOOKUP('Données projet'!$B$9,Paramètres!$A$1:$I$89,3,0)*0.475*44/12</f>
        <v>1.4417503576433299E-7</v>
      </c>
      <c r="AC95" s="22">
        <f t="shared" si="57"/>
        <v>22.917376521074285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288.06960000000043</v>
      </c>
      <c r="AK95" s="13">
        <f t="shared" si="89"/>
        <v>68.669517147494815</v>
      </c>
      <c r="AL95" s="20">
        <f t="shared" si="58"/>
        <v>621.32062903188751</v>
      </c>
      <c r="AM95" s="59">
        <f t="shared" si="59"/>
        <v>914.65396236522088</v>
      </c>
      <c r="AN95" s="59">
        <f ca="1">AVERAGE(OFFSET($AM$3,0,0,'Données projet'!$E$10+1,1))-AVERAGE(OFFSET($H$3,0,0,'Données projet'!$E$10+1,1))</f>
        <v>0</v>
      </c>
      <c r="AO95" s="59">
        <f t="shared" si="90"/>
        <v>0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-4.1500243241898714E-13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292.4657394642</v>
      </c>
      <c r="BJ95" s="59">
        <f t="shared" si="92"/>
        <v>333.80517619352395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0.79065753256401361</v>
      </c>
      <c r="BQ95" s="21">
        <f>EXP(-LN(2)/25)*BQ94+(1-EXP(-LN(2)/25))/(LN(2)/25)*Calculateur!BL95*Calculateur!BN95*VLOOKUP('Données projet'!$B$11,Paramètres!$A$1:$I$89,3,0)*0.475*44/12</f>
        <v>3.0425681346766953</v>
      </c>
      <c r="BR95" s="21">
        <f>EXP(-LN(2)/2)*BR94+(1-EXP(-LN(2)/2))/(LN(2)/2)*BL95*BO95*VLOOKUP('Données projet'!$B$11,Paramètres!$A$1:$I$89,3,0)*0.475*44/12</f>
        <v>1.1413538765887014E-8</v>
      </c>
      <c r="BS95" s="22">
        <f t="shared" si="63"/>
        <v>3.8332256786542476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0</v>
      </c>
      <c r="CE95" s="59">
        <f t="shared" si="94"/>
        <v>0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150.98674906185317</v>
      </c>
      <c r="T96" s="59">
        <f t="shared" si="88"/>
        <v>306.44063087948552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12.08087526068549</v>
      </c>
      <c r="AA96" s="21">
        <f>EXP(-LN(2)/25)*AA95+(1-EXP(-LN(2)/25))/(LN(2)/25)*Calculateur!V96*Calculateur!X96*VLOOKUP('Données projet'!$B$9,Paramètres!$A$1:$I$89,3,0)*0.475*44/12</f>
        <v>10.305147049955576</v>
      </c>
      <c r="AB96" s="21">
        <f>EXP(-LN(2)/2)*AB95+(1-EXP(-LN(2)/2))/(LN(2)/2)*V96*Y96*VLOOKUP('Données projet'!$B$9,Paramètres!$A$1:$I$89,3,0)*0.475*44/12</f>
        <v>1.0194714546677287E-7</v>
      </c>
      <c r="AC96" s="22">
        <f t="shared" si="57"/>
        <v>22.386022412588211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293.42040000000043</v>
      </c>
      <c r="AK96" s="13">
        <f t="shared" si="89"/>
        <v>69.795351407593984</v>
      </c>
      <c r="AL96" s="20">
        <f t="shared" si="58"/>
        <v>632.60076703489358</v>
      </c>
      <c r="AM96" s="59">
        <f t="shared" si="59"/>
        <v>925.93410036822684</v>
      </c>
      <c r="AN96" s="59">
        <f ca="1">AVERAGE(OFFSET($AM$3,0,0,'Données projet'!$E$10+1,1))-AVERAGE(OFFSET($H$3,0,0,'Données projet'!$E$10+1,1))</f>
        <v>0</v>
      </c>
      <c r="AO96" s="59">
        <f t="shared" si="90"/>
        <v>0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-4.1500243241898714E-13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292.4657394642</v>
      </c>
      <c r="BJ96" s="59">
        <f t="shared" si="92"/>
        <v>333.80517619352395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0.77515322060390957</v>
      </c>
      <c r="BQ96" s="21">
        <f>EXP(-LN(2)/25)*BQ95+(1-EXP(-LN(2)/25))/(LN(2)/25)*Calculateur!BL96*Calculateur!BN96*VLOOKUP('Données projet'!$B$11,Paramètres!$A$1:$I$89,3,0)*0.475*44/12</f>
        <v>2.9593689490322568</v>
      </c>
      <c r="BR96" s="21">
        <f>EXP(-LN(2)/2)*BR95+(1-EXP(-LN(2)/2))/(LN(2)/2)*BL96*BO96*VLOOKUP('Données projet'!$B$11,Paramètres!$A$1:$I$89,3,0)*0.475*44/12</f>
        <v>8.0705906586942466E-9</v>
      </c>
      <c r="BS96" s="22">
        <f t="shared" si="63"/>
        <v>3.7345221777067574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0</v>
      </c>
      <c r="CE96" s="59">
        <f t="shared" si="94"/>
        <v>0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150.98674906185317</v>
      </c>
      <c r="T97" s="59">
        <f t="shared" si="88"/>
        <v>306.44063087948552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11.843976665429768</v>
      </c>
      <c r="AA97" s="21">
        <f>EXP(-LN(2)/25)*AA96+(1-EXP(-LN(2)/25))/(LN(2)/25)*Calculateur!V97*Calculateur!X97*VLOOKUP('Données projet'!$B$9,Paramètres!$A$1:$I$89,3,0)*0.475*44/12</f>
        <v>10.023352261950409</v>
      </c>
      <c r="AB97" s="21">
        <f>EXP(-LN(2)/2)*AB96+(1-EXP(-LN(2)/2))/(LN(2)/2)*V97*Y97*VLOOKUP('Données projet'!$B$9,Paramètres!$A$1:$I$89,3,0)*0.475*44/12</f>
        <v>7.2087517882166496E-8</v>
      </c>
      <c r="AC97" s="22">
        <f t="shared" si="57"/>
        <v>21.867328999467695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298.77120000000036</v>
      </c>
      <c r="AK97" s="13">
        <f t="shared" si="89"/>
        <v>70.918798293732806</v>
      </c>
      <c r="AL97" s="20">
        <f t="shared" si="58"/>
        <v>643.87674702825188</v>
      </c>
      <c r="AM97" s="59">
        <f t="shared" si="59"/>
        <v>937.21008036158514</v>
      </c>
      <c r="AN97" s="59">
        <f ca="1">AVERAGE(OFFSET($AM$3,0,0,'Données projet'!$E$10+1,1))-AVERAGE(OFFSET($H$3,0,0,'Données projet'!$E$10+1,1))</f>
        <v>0</v>
      </c>
      <c r="AO97" s="59">
        <f t="shared" si="90"/>
        <v>0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-4.1500243241898714E-13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292.4657394642</v>
      </c>
      <c r="BJ97" s="59">
        <f t="shared" si="92"/>
        <v>333.80517619352395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0.75995293874464664</v>
      </c>
      <c r="BQ97" s="21">
        <f>EXP(-LN(2)/25)*BQ96+(1-EXP(-LN(2)/25))/(LN(2)/25)*Calculateur!BL97*Calculateur!BN97*VLOOKUP('Données projet'!$B$11,Paramètres!$A$1:$I$89,3,0)*0.475*44/12</f>
        <v>2.8784448494945205</v>
      </c>
      <c r="BR97" s="21">
        <f>EXP(-LN(2)/2)*BR96+(1-EXP(-LN(2)/2))/(LN(2)/2)*BL97*BO97*VLOOKUP('Données projet'!$B$11,Paramètres!$A$1:$I$89,3,0)*0.475*44/12</f>
        <v>5.7067693829435072E-9</v>
      </c>
      <c r="BS97" s="22">
        <f t="shared" si="63"/>
        <v>3.6383977939459364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0</v>
      </c>
      <c r="CE97" s="59">
        <f t="shared" si="94"/>
        <v>0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150.98674906185317</v>
      </c>
      <c r="T98" s="59">
        <f t="shared" si="88"/>
        <v>306.44063087948552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11.611723507133133</v>
      </c>
      <c r="AA98" s="21">
        <f>EXP(-LN(2)/25)*AA97+(1-EXP(-LN(2)/25))/(LN(2)/25)*Calculateur!V98*Calculateur!X98*VLOOKUP('Données projet'!$B$9,Paramètres!$A$1:$I$89,3,0)*0.475*44/12</f>
        <v>9.749263167242189</v>
      </c>
      <c r="AB98" s="21">
        <f>EXP(-LN(2)/2)*AB97+(1-EXP(-LN(2)/2))/(LN(2)/2)*V98*Y98*VLOOKUP('Données projet'!$B$9,Paramètres!$A$1:$I$89,3,0)*0.475*44/12</f>
        <v>5.0973572733386437E-8</v>
      </c>
      <c r="AC98" s="22">
        <f t="shared" si="57"/>
        <v>21.360986725348894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304.12200000000036</v>
      </c>
      <c r="AK98" s="13">
        <f t="shared" si="89"/>
        <v>72.039905494501525</v>
      </c>
      <c r="AL98" s="20">
        <f t="shared" si="58"/>
        <v>655.14865206959064</v>
      </c>
      <c r="AM98" s="59">
        <f t="shared" si="59"/>
        <v>948.48198540292401</v>
      </c>
      <c r="AN98" s="59">
        <f ca="1">AVERAGE(OFFSET($AM$3,0,0,'Données projet'!$E$10+1,1))-AVERAGE(OFFSET($H$3,0,0,'Données projet'!$E$10+1,1))</f>
        <v>0</v>
      </c>
      <c r="AO98" s="59">
        <f t="shared" si="90"/>
        <v>0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-4.1500243241898714E-13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292.4657394642</v>
      </c>
      <c r="BJ98" s="59">
        <f t="shared" si="92"/>
        <v>333.80517619352395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0.74505072514138737</v>
      </c>
      <c r="BQ98" s="21">
        <f>EXP(-LN(2)/25)*BQ97+(1-EXP(-LN(2)/25))/(LN(2)/25)*Calculateur!BL98*Calculateur!BN98*VLOOKUP('Données projet'!$B$11,Paramètres!$A$1:$I$89,3,0)*0.475*44/12</f>
        <v>2.7997336237142569</v>
      </c>
      <c r="BR98" s="21">
        <f>EXP(-LN(2)/2)*BR97+(1-EXP(-LN(2)/2))/(LN(2)/2)*BL98*BO98*VLOOKUP('Données projet'!$B$11,Paramètres!$A$1:$I$89,3,0)*0.475*44/12</f>
        <v>4.0352953293471233E-9</v>
      </c>
      <c r="BS98" s="22">
        <f t="shared" si="63"/>
        <v>3.5447843528909395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0</v>
      </c>
      <c r="CE98" s="59">
        <f t="shared" si="94"/>
        <v>0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150.98674906185317</v>
      </c>
      <c r="T99" s="59">
        <f t="shared" si="88"/>
        <v>306.44063087948552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11.384024691610257</v>
      </c>
      <c r="AA99" s="21">
        <f>EXP(-LN(2)/25)*AA98+(1-EXP(-LN(2)/25))/(LN(2)/25)*Calculateur!V99*Calculateur!X99*VLOOKUP('Données projet'!$B$9,Paramètres!$A$1:$I$89,3,0)*0.475*44/12</f>
        <v>9.4826690532424838</v>
      </c>
      <c r="AB99" s="21">
        <f>EXP(-LN(2)/2)*AB98+(1-EXP(-LN(2)/2))/(LN(2)/2)*V99*Y99*VLOOKUP('Données projet'!$B$9,Paramètres!$A$1:$I$89,3,0)*0.475*44/12</f>
        <v>3.6043758941083248E-8</v>
      </c>
      <c r="AC99" s="22">
        <f t="shared" si="57"/>
        <v>20.866693780896497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309.47280000000035</v>
      </c>
      <c r="AK99" s="13">
        <f t="shared" si="89"/>
        <v>73.158718924278148</v>
      </c>
      <c r="AL99" s="20">
        <f t="shared" si="58"/>
        <v>666.41656212645171</v>
      </c>
      <c r="AM99" s="59">
        <f t="shared" si="59"/>
        <v>959.74989545978497</v>
      </c>
      <c r="AN99" s="59">
        <f ca="1">AVERAGE(OFFSET($AM$3,0,0,'Données projet'!$E$10+1,1))-AVERAGE(OFFSET($H$3,0,0,'Données projet'!$E$10+1,1))</f>
        <v>0</v>
      </c>
      <c r="AO99" s="59">
        <f t="shared" si="90"/>
        <v>0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-4.1500243241898714E-13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292.4657394642</v>
      </c>
      <c r="BJ99" s="59">
        <f t="shared" si="92"/>
        <v>333.80517619352395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0.73044073485743521</v>
      </c>
      <c r="BQ99" s="21">
        <f>EXP(-LN(2)/25)*BQ98+(1-EXP(-LN(2)/25))/(LN(2)/25)*Calculateur!BL99*Calculateur!BN99*VLOOKUP('Données projet'!$B$11,Paramètres!$A$1:$I$89,3,0)*0.475*44/12</f>
        <v>2.7231747605421983</v>
      </c>
      <c r="BR99" s="21">
        <f>EXP(-LN(2)/2)*BR98+(1-EXP(-LN(2)/2))/(LN(2)/2)*BL99*BO99*VLOOKUP('Données projet'!$B$11,Paramètres!$A$1:$I$89,3,0)*0.475*44/12</f>
        <v>2.8533846914717536E-9</v>
      </c>
      <c r="BS99" s="22">
        <f t="shared" si="63"/>
        <v>3.4536154982530181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0</v>
      </c>
      <c r="CE99" s="59">
        <f t="shared" si="94"/>
        <v>0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150.98674906185317</v>
      </c>
      <c r="T100" s="59">
        <f t="shared" si="88"/>
        <v>306.44063087948552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11.160790910977221</v>
      </c>
      <c r="AA100" s="21">
        <f>EXP(-LN(2)/25)*AA99+(1-EXP(-LN(2)/25))/(LN(2)/25)*Calculateur!V100*Calculateur!X100*VLOOKUP('Données projet'!$B$9,Paramètres!$A$1:$I$89,3,0)*0.475*44/12</f>
        <v>9.2233649693096762</v>
      </c>
      <c r="AB100" s="21">
        <f>EXP(-LN(2)/2)*AB99+(1-EXP(-LN(2)/2))/(LN(2)/2)*V100*Y100*VLOOKUP('Données projet'!$B$9,Paramètres!$A$1:$I$89,3,0)*0.475*44/12</f>
        <v>2.5486786366693219E-8</v>
      </c>
      <c r="AC100" s="22">
        <f t="shared" si="57"/>
        <v>20.384155905773685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314.82360000000034</v>
      </c>
      <c r="AK100" s="13">
        <f t="shared" si="89"/>
        <v>74.27528281875081</v>
      </c>
      <c r="AL100" s="20">
        <f t="shared" si="58"/>
        <v>677.6805542426581</v>
      </c>
      <c r="AM100" s="59">
        <f t="shared" si="59"/>
        <v>971.01388757599148</v>
      </c>
      <c r="AN100" s="59">
        <f ca="1">AVERAGE(OFFSET($AM$3,0,0,'Données projet'!$E$10+1,1))-AVERAGE(OFFSET($H$3,0,0,'Données projet'!$E$10+1,1))</f>
        <v>0</v>
      </c>
      <c r="AO100" s="59">
        <f t="shared" si="90"/>
        <v>0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-4.1500243241898714E-13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292.4657394642</v>
      </c>
      <c r="BJ100" s="59">
        <f t="shared" si="92"/>
        <v>333.80517619352395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0.71611723757173729</v>
      </c>
      <c r="BQ100" s="21">
        <f>EXP(-LN(2)/25)*BQ99+(1-EXP(-LN(2)/25))/(LN(2)/25)*Calculateur!BL100*Calculateur!BN100*VLOOKUP('Données projet'!$B$11,Paramètres!$A$1:$I$89,3,0)*0.475*44/12</f>
        <v>2.6487094035096352</v>
      </c>
      <c r="BR100" s="21">
        <f>EXP(-LN(2)/2)*BR99+(1-EXP(-LN(2)/2))/(LN(2)/2)*BL100*BO100*VLOOKUP('Données projet'!$B$11,Paramètres!$A$1:$I$89,3,0)*0.475*44/12</f>
        <v>2.0176476646735616E-9</v>
      </c>
      <c r="BS100" s="22">
        <f t="shared" si="63"/>
        <v>3.3648266430990206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0</v>
      </c>
      <c r="CE100" s="59">
        <f t="shared" si="94"/>
        <v>0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150.98674906185317</v>
      </c>
      <c r="T101" s="59">
        <f t="shared" si="88"/>
        <v>306.44063087948552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10.941934608623237</v>
      </c>
      <c r="AA101" s="21">
        <f>EXP(-LN(2)/25)*AA100+(1-EXP(-LN(2)/25))/(LN(2)/25)*Calculateur!V101*Calculateur!X101*VLOOKUP('Données projet'!$B$9,Paramètres!$A$1:$I$89,3,0)*0.475*44/12</f>
        <v>8.9711515691882191</v>
      </c>
      <c r="AB101" s="21">
        <f>EXP(-LN(2)/2)*AB100+(1-EXP(-LN(2)/2))/(LN(2)/2)*V101*Y101*VLOOKUP('Données projet'!$B$9,Paramètres!$A$1:$I$89,3,0)*0.475*44/12</f>
        <v>1.8021879470541624E-8</v>
      </c>
      <c r="AC101" s="22">
        <f t="shared" si="57"/>
        <v>19.913086195833337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320.17440000000028</v>
      </c>
      <c r="AK101" s="13">
        <f t="shared" si="89"/>
        <v>75.389639823761939</v>
      </c>
      <c r="AL101" s="20">
        <f t="shared" si="58"/>
        <v>688.94070269305246</v>
      </c>
      <c r="AM101" s="59">
        <f t="shared" si="59"/>
        <v>982.27403602638583</v>
      </c>
      <c r="AN101" s="59">
        <f ca="1">AVERAGE(OFFSET($AM$3,0,0,'Données projet'!$E$10+1,1))-AVERAGE(OFFSET($H$3,0,0,'Données projet'!$E$10+1,1))</f>
        <v>0</v>
      </c>
      <c r="AO101" s="59">
        <f t="shared" si="90"/>
        <v>0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-4.1500243241898714E-13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292.4657394642</v>
      </c>
      <c r="BJ101" s="59">
        <f t="shared" si="92"/>
        <v>333.80517619352395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0.70207461533134119</v>
      </c>
      <c r="BQ101" s="21">
        <f>EXP(-LN(2)/25)*BQ100+(1-EXP(-LN(2)/25))/(LN(2)/25)*Calculateur!BL101*Calculateur!BN101*VLOOKUP('Données projet'!$B$11,Paramètres!$A$1:$I$89,3,0)*0.475*44/12</f>
        <v>2.5762803055810903</v>
      </c>
      <c r="BR101" s="21">
        <f>EXP(-LN(2)/2)*BR100+(1-EXP(-LN(2)/2))/(LN(2)/2)*BL101*BO101*VLOOKUP('Données projet'!$B$11,Paramètres!$A$1:$I$89,3,0)*0.475*44/12</f>
        <v>1.4266923457358768E-9</v>
      </c>
      <c r="BS101" s="22">
        <f t="shared" si="63"/>
        <v>3.278354922339124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0</v>
      </c>
      <c r="CE101" s="59">
        <f t="shared" si="94"/>
        <v>0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150.98674906185317</v>
      </c>
      <c r="T102" s="59">
        <f t="shared" si="88"/>
        <v>306.44063087948552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10.727369944869251</v>
      </c>
      <c r="AA102" s="21">
        <f>EXP(-LN(2)/25)*AA101+(1-EXP(-LN(2)/25))/(LN(2)/25)*Calculateur!V102*Calculateur!X102*VLOOKUP('Données projet'!$B$9,Paramètres!$A$1:$I$89,3,0)*0.475*44/12</f>
        <v>8.72583495775641</v>
      </c>
      <c r="AB102" s="21">
        <f>EXP(-LN(2)/2)*AB101+(1-EXP(-LN(2)/2))/(LN(2)/2)*V102*Y102*VLOOKUP('Données projet'!$B$9,Paramètres!$A$1:$I$89,3,0)*0.475*44/12</f>
        <v>1.2743393183346609E-8</v>
      </c>
      <c r="AC102" s="22">
        <f t="shared" si="57"/>
        <v>19.453204915369053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325.52520000000027</v>
      </c>
      <c r="AK102" s="13">
        <f t="shared" si="89"/>
        <v>76.501831078044987</v>
      </c>
      <c r="AL102" s="20">
        <f t="shared" si="58"/>
        <v>700.19707912759532</v>
      </c>
      <c r="AM102" s="59">
        <f t="shared" si="59"/>
        <v>993.53041246092857</v>
      </c>
      <c r="AN102" s="59">
        <f ca="1">AVERAGE(OFFSET($AM$3,0,0,'Données projet'!$E$10+1,1))-AVERAGE(OFFSET($H$3,0,0,'Données projet'!$E$10+1,1))</f>
        <v>0</v>
      </c>
      <c r="AO102" s="59">
        <f t="shared" si="90"/>
        <v>0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-4.1500243241898714E-13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292.4657394642</v>
      </c>
      <c r="BJ102" s="59">
        <f t="shared" si="92"/>
        <v>333.80517619352395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0.68830736034792539</v>
      </c>
      <c r="BQ102" s="21">
        <f>EXP(-LN(2)/25)*BQ101+(1-EXP(-LN(2)/25))/(LN(2)/25)*Calculateur!BL102*Calculateur!BN102*VLOOKUP('Données projet'!$B$11,Paramètres!$A$1:$I$89,3,0)*0.475*44/12</f>
        <v>2.5058317851442822</v>
      </c>
      <c r="BR102" s="21">
        <f>EXP(-LN(2)/2)*BR101+(1-EXP(-LN(2)/2))/(LN(2)/2)*BL102*BO102*VLOOKUP('Données projet'!$B$11,Paramètres!$A$1:$I$89,3,0)*0.475*44/12</f>
        <v>1.0088238323367808E-9</v>
      </c>
      <c r="BS102" s="22">
        <f t="shared" si="63"/>
        <v>3.1941391465010311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0</v>
      </c>
      <c r="CE102" s="59">
        <f t="shared" si="94"/>
        <v>0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150.98674906185317</v>
      </c>
      <c r="T103" s="59">
        <f t="shared" si="88"/>
        <v>306.44063087948552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10.517012763299959</v>
      </c>
      <c r="AA103" s="21">
        <f>EXP(-LN(2)/25)*AA102+(1-EXP(-LN(2)/25))/(LN(2)/25)*Calculateur!V103*Calculateur!X103*VLOOKUP('Données projet'!$B$9,Paramètres!$A$1:$I$89,3,0)*0.475*44/12</f>
        <v>8.4872265419648443</v>
      </c>
      <c r="AB103" s="21">
        <f>EXP(-LN(2)/2)*AB102+(1-EXP(-LN(2)/2))/(LN(2)/2)*V103*Y103*VLOOKUP('Données projet'!$B$9,Paramètres!$A$1:$I$89,3,0)*0.475*44/12</f>
        <v>9.010939735270812E-9</v>
      </c>
      <c r="AC103" s="22">
        <f t="shared" si="57"/>
        <v>19.004239314275743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330.8760000000002</v>
      </c>
      <c r="AK103" s="13">
        <f t="shared" si="89"/>
        <v>77.611896290367071</v>
      </c>
      <c r="AL103" s="20">
        <f t="shared" si="58"/>
        <v>711.44975270572297</v>
      </c>
      <c r="AM103" s="59">
        <f t="shared" si="59"/>
        <v>1004.7830860390563</v>
      </c>
      <c r="AN103" s="59">
        <f ca="1">AVERAGE(OFFSET($AM$3,0,0,'Données projet'!$E$10+1,1))-AVERAGE(OFFSET($H$3,0,0,'Données projet'!$E$10+1,1))</f>
        <v>0</v>
      </c>
      <c r="AO103" s="59">
        <f t="shared" si="90"/>
        <v>0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-4.1500243241898714E-13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292.4657394642</v>
      </c>
      <c r="BJ103" s="59">
        <f t="shared" si="92"/>
        <v>333.80517619352395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0.67481007283753802</v>
      </c>
      <c r="BQ103" s="21">
        <f>EXP(-LN(2)/25)*BQ102+(1-EXP(-LN(2)/25))/(LN(2)/25)*Calculateur!BL103*Calculateur!BN103*VLOOKUP('Données projet'!$B$11,Paramètres!$A$1:$I$89,3,0)*0.475*44/12</f>
        <v>2.4373096832035452</v>
      </c>
      <c r="BR103" s="21">
        <f>EXP(-LN(2)/2)*BR102+(1-EXP(-LN(2)/2))/(LN(2)/2)*BL103*BO103*VLOOKUP('Données projet'!$B$11,Paramètres!$A$1:$I$89,3,0)*0.475*44/12</f>
        <v>7.133461728679384E-10</v>
      </c>
      <c r="BS103" s="22">
        <f t="shared" si="63"/>
        <v>3.1121197567544296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0</v>
      </c>
      <c r="CE103" s="59">
        <f t="shared" si="94"/>
        <v>0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150.98674906185317</v>
      </c>
      <c r="T104" s="59">
        <f t="shared" si="88"/>
        <v>306.44063087948552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10.310780557756029</v>
      </c>
      <c r="AA104" s="21">
        <f>EXP(-LN(2)/25)*AA103+(1-EXP(-LN(2)/25))/(LN(2)/25)*Calculateur!V104*Calculateur!X104*VLOOKUP('Données projet'!$B$9,Paramètres!$A$1:$I$89,3,0)*0.475*44/12</f>
        <v>8.2551428858509688</v>
      </c>
      <c r="AB104" s="21">
        <f>EXP(-LN(2)/2)*AB103+(1-EXP(-LN(2)/2))/(LN(2)/2)*V104*Y104*VLOOKUP('Données projet'!$B$9,Paramètres!$A$1:$I$89,3,0)*0.475*44/12</f>
        <v>6.3716965916733046E-9</v>
      </c>
      <c r="AC104" s="22">
        <f t="shared" si="57"/>
        <v>18.565923449978694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289.81680000000023</v>
      </c>
      <c r="AK104" s="13">
        <f t="shared" si="89"/>
        <v>69.037402000248321</v>
      </c>
      <c r="AL104" s="20">
        <f t="shared" si="58"/>
        <v>625.00440181709962</v>
      </c>
      <c r="AM104" s="59">
        <f t="shared" si="59"/>
        <v>918.33773515043299</v>
      </c>
      <c r="AN104" s="59">
        <f ca="1">AVERAGE(OFFSET($AM$3,0,0,'Données projet'!$E$10+1,1))-AVERAGE(OFFSET($H$3,0,0,'Données projet'!$E$10+1,1))</f>
        <v>0</v>
      </c>
      <c r="AO104" s="59">
        <f t="shared" si="90"/>
        <v>0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-4.1500243241898714E-13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292.4657394642</v>
      </c>
      <c r="BJ104" s="59">
        <f t="shared" si="92"/>
        <v>333.80517619352395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0.66157745890269681</v>
      </c>
      <c r="BQ104" s="21">
        <f>EXP(-LN(2)/25)*BQ103+(1-EXP(-LN(2)/25))/(LN(2)/25)*Calculateur!BL104*Calculateur!BN104*VLOOKUP('Données projet'!$B$11,Paramètres!$A$1:$I$89,3,0)*0.475*44/12</f>
        <v>2.3706613217437984</v>
      </c>
      <c r="BR104" s="21">
        <f>EXP(-LN(2)/2)*BR103+(1-EXP(-LN(2)/2))/(LN(2)/2)*BL104*BO104*VLOOKUP('Données projet'!$B$11,Paramètres!$A$1:$I$89,3,0)*0.475*44/12</f>
        <v>5.0441191616839041E-10</v>
      </c>
      <c r="BS104" s="22">
        <f t="shared" si="63"/>
        <v>3.0322387811509075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0</v>
      </c>
      <c r="CE104" s="59">
        <f t="shared" si="94"/>
        <v>0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150.98674906185317</v>
      </c>
      <c r="T105" s="59">
        <f t="shared" si="88"/>
        <v>306.44063087948552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10.108592439973592</v>
      </c>
      <c r="AA105" s="21">
        <f>EXP(-LN(2)/25)*AA104+(1-EXP(-LN(2)/25))/(LN(2)/25)*Calculateur!V105*Calculateur!X105*VLOOKUP('Données projet'!$B$9,Paramètres!$A$1:$I$89,3,0)*0.475*44/12</f>
        <v>8.0294055695182767</v>
      </c>
      <c r="AB105" s="21">
        <f>EXP(-LN(2)/2)*AB104+(1-EXP(-LN(2)/2))/(LN(2)/2)*V105*Y105*VLOOKUP('Données projet'!$B$9,Paramètres!$A$1:$I$89,3,0)*0.475*44/12</f>
        <v>4.505469867635406E-9</v>
      </c>
      <c r="AC105" s="22">
        <f t="shared" si="57"/>
        <v>18.137998013997336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294.62160000000023</v>
      </c>
      <c r="AK105" s="13">
        <f t="shared" si="89"/>
        <v>70.047759860478052</v>
      </c>
      <c r="AL105" s="20">
        <f t="shared" si="58"/>
        <v>635.1324684236663</v>
      </c>
      <c r="AM105" s="59">
        <f t="shared" si="59"/>
        <v>928.46580175699955</v>
      </c>
      <c r="AN105" s="59">
        <f ca="1">AVERAGE(OFFSET($AM$3,0,0,'Données projet'!$E$10+1,1))-AVERAGE(OFFSET($H$3,0,0,'Données projet'!$E$10+1,1))</f>
        <v>0</v>
      </c>
      <c r="AO105" s="59">
        <f t="shared" si="90"/>
        <v>0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-4.1500243241898714E-13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292.4657394642</v>
      </c>
      <c r="BJ105" s="59">
        <f t="shared" si="92"/>
        <v>333.80517619352395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0.64860432845602034</v>
      </c>
      <c r="BQ105" s="21">
        <f>EXP(-LN(2)/25)*BQ104+(1-EXP(-LN(2)/25))/(LN(2)/25)*Calculateur!BL105*Calculateur!BN105*VLOOKUP('Données projet'!$B$11,Paramètres!$A$1:$I$89,3,0)*0.475*44/12</f>
        <v>2.3058354632330533</v>
      </c>
      <c r="BR105" s="21">
        <f>EXP(-LN(2)/2)*BR104+(1-EXP(-LN(2)/2))/(LN(2)/2)*BL105*BO105*VLOOKUP('Données projet'!$B$11,Paramètres!$A$1:$I$89,3,0)*0.475*44/12</f>
        <v>3.566730864339692E-10</v>
      </c>
      <c r="BS105" s="22">
        <f t="shared" si="63"/>
        <v>2.9544397920457466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0</v>
      </c>
      <c r="CE105" s="59">
        <f t="shared" si="94"/>
        <v>0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150.98674906185317</v>
      </c>
      <c r="T106" s="59">
        <f t="shared" si="88"/>
        <v>306.44063087948552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9.9103691078582923</v>
      </c>
      <c r="AA106" s="21">
        <f>EXP(-LN(2)/25)*AA105+(1-EXP(-LN(2)/25))/(LN(2)/25)*Calculateur!V106*Calculateur!X106*VLOOKUP('Données projet'!$B$9,Paramètres!$A$1:$I$89,3,0)*0.475*44/12</f>
        <v>7.8098410519717119</v>
      </c>
      <c r="AB106" s="21">
        <f>EXP(-LN(2)/2)*AB105+(1-EXP(-LN(2)/2))/(LN(2)/2)*V106*Y106*VLOOKUP('Données projet'!$B$9,Paramètres!$A$1:$I$89,3,0)*0.475*44/12</f>
        <v>3.1858482958366523E-9</v>
      </c>
      <c r="AC106" s="22">
        <f t="shared" si="57"/>
        <v>17.720210163015853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299.42640000000017</v>
      </c>
      <c r="AK106" s="13">
        <f t="shared" si="89"/>
        <v>71.056201492867757</v>
      </c>
      <c r="AL106" s="20">
        <f t="shared" si="58"/>
        <v>645.25719760007826</v>
      </c>
      <c r="AM106" s="59">
        <f t="shared" si="59"/>
        <v>938.59053093341163</v>
      </c>
      <c r="AN106" s="59">
        <f ca="1">AVERAGE(OFFSET($AM$3,0,0,'Données projet'!$E$10+1,1))-AVERAGE(OFFSET($H$3,0,0,'Données projet'!$E$10+1,1))</f>
        <v>0</v>
      </c>
      <c r="AO106" s="59">
        <f t="shared" si="90"/>
        <v>0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-4.1500243241898714E-13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292.4657394642</v>
      </c>
      <c r="BJ106" s="59">
        <f t="shared" si="92"/>
        <v>333.80517619352395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0.63588559318457494</v>
      </c>
      <c r="BQ106" s="21">
        <f>EXP(-LN(2)/25)*BQ105+(1-EXP(-LN(2)/25))/(LN(2)/25)*Calculateur!BL106*Calculateur!BN106*VLOOKUP('Données projet'!$B$11,Paramètres!$A$1:$I$89,3,0)*0.475*44/12</f>
        <v>2.2427822712323287</v>
      </c>
      <c r="BR106" s="21">
        <f>EXP(-LN(2)/2)*BR105+(1-EXP(-LN(2)/2))/(LN(2)/2)*BL106*BO106*VLOOKUP('Données projet'!$B$11,Paramètres!$A$1:$I$89,3,0)*0.475*44/12</f>
        <v>2.5220595808419521E-10</v>
      </c>
      <c r="BS106" s="22">
        <f t="shared" si="63"/>
        <v>2.8786678646691093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0</v>
      </c>
      <c r="CE106" s="59">
        <f t="shared" si="94"/>
        <v>0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150.98674906185317</v>
      </c>
      <c r="T107" s="59">
        <f t="shared" si="88"/>
        <v>306.44063087948552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9.7160328143814798</v>
      </c>
      <c r="AA107" s="21">
        <f>EXP(-LN(2)/25)*AA106+(1-EXP(-LN(2)/25))/(LN(2)/25)*Calculateur!V107*Calculateur!X107*VLOOKUP('Données projet'!$B$9,Paramètres!$A$1:$I$89,3,0)*0.475*44/12</f>
        <v>7.596280537703854</v>
      </c>
      <c r="AB107" s="21">
        <f>EXP(-LN(2)/2)*AB106+(1-EXP(-LN(2)/2))/(LN(2)/2)*V107*Y107*VLOOKUP('Données projet'!$B$9,Paramètres!$A$1:$I$89,3,0)*0.475*44/12</f>
        <v>2.252734933817703E-9</v>
      </c>
      <c r="AC107" s="22">
        <f t="shared" si="57"/>
        <v>17.31231335433807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304.23120000000017</v>
      </c>
      <c r="AK107" s="13">
        <f t="shared" si="89"/>
        <v>72.062761196635407</v>
      </c>
      <c r="AL107" s="20">
        <f t="shared" si="58"/>
        <v>655.37864908414019</v>
      </c>
      <c r="AM107" s="59">
        <f t="shared" si="59"/>
        <v>948.71198241747356</v>
      </c>
      <c r="AN107" s="59">
        <f ca="1">AVERAGE(OFFSET($AM$3,0,0,'Données projet'!$E$10+1,1))-AVERAGE(OFFSET($H$3,0,0,'Données projet'!$E$10+1,1))</f>
        <v>0</v>
      </c>
      <c r="AO107" s="59">
        <f t="shared" si="90"/>
        <v>0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-4.1500243241898714E-13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292.4657394642</v>
      </c>
      <c r="BJ107" s="59">
        <f t="shared" si="92"/>
        <v>333.80517619352395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0.62341626455414012</v>
      </c>
      <c r="BQ107" s="21">
        <f>EXP(-LN(2)/25)*BQ106+(1-EXP(-LN(2)/25))/(LN(2)/25)*Calculateur!BL107*Calculateur!BN107*VLOOKUP('Données projet'!$B$11,Paramètres!$A$1:$I$89,3,0)*0.475*44/12</f>
        <v>2.1814532720826869</v>
      </c>
      <c r="BR107" s="21">
        <f>EXP(-LN(2)/2)*BR106+(1-EXP(-LN(2)/2))/(LN(2)/2)*BL107*BO107*VLOOKUP('Données projet'!$B$11,Paramètres!$A$1:$I$89,3,0)*0.475*44/12</f>
        <v>1.783365432169846E-10</v>
      </c>
      <c r="BS107" s="22">
        <f t="shared" si="63"/>
        <v>2.8048695368151635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0</v>
      </c>
      <c r="CE107" s="59">
        <f t="shared" si="94"/>
        <v>0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150.98674906185317</v>
      </c>
      <c r="T108" s="59">
        <f t="shared" si="88"/>
        <v>306.44063087948552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9.5255073370863119</v>
      </c>
      <c r="AA108" s="21">
        <f>EXP(-LN(2)/25)*AA107+(1-EXP(-LN(2)/25))/(LN(2)/25)*Calculateur!V108*Calculateur!X108*VLOOKUP('Données projet'!$B$9,Paramètres!$A$1:$I$89,3,0)*0.475*44/12</f>
        <v>7.3885598469293106</v>
      </c>
      <c r="AB108" s="21">
        <f>EXP(-LN(2)/2)*AB107+(1-EXP(-LN(2)/2))/(LN(2)/2)*V108*Y108*VLOOKUP('Données projet'!$B$9,Paramètres!$A$1:$I$89,3,0)*0.475*44/12</f>
        <v>1.5929241479183262E-9</v>
      </c>
      <c r="AC108" s="22">
        <f t="shared" si="57"/>
        <v>16.914067185608545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309.03600000000012</v>
      </c>
      <c r="AK108" s="13">
        <f t="shared" si="89"/>
        <v>73.067472125463723</v>
      </c>
      <c r="AL108" s="20">
        <f t="shared" si="58"/>
        <v>665.49688061851623</v>
      </c>
      <c r="AM108" s="59">
        <f t="shared" si="59"/>
        <v>958.8302139518496</v>
      </c>
      <c r="AN108" s="59">
        <f ca="1">AVERAGE(OFFSET($AM$3,0,0,'Données projet'!$E$10+1,1))-AVERAGE(OFFSET($H$3,0,0,'Données projet'!$E$10+1,1))</f>
        <v>0</v>
      </c>
      <c r="AO108" s="59">
        <f t="shared" si="90"/>
        <v>0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-4.1500243241898714E-13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292.4657394642</v>
      </c>
      <c r="BJ108" s="59">
        <f t="shared" si="92"/>
        <v>333.80517619352395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0.61119145185260859</v>
      </c>
      <c r="BQ108" s="21">
        <f>EXP(-LN(2)/25)*BQ107+(1-EXP(-LN(2)/25))/(LN(2)/25)*Calculateur!BL108*Calculateur!BN108*VLOOKUP('Données projet'!$B$11,Paramètres!$A$1:$I$89,3,0)*0.475*44/12</f>
        <v>2.1218013176399442</v>
      </c>
      <c r="BR108" s="21">
        <f>EXP(-LN(2)/2)*BR107+(1-EXP(-LN(2)/2))/(LN(2)/2)*BL108*BO108*VLOOKUP('Données projet'!$B$11,Paramètres!$A$1:$I$89,3,0)*0.475*44/12</f>
        <v>1.261029790420976E-10</v>
      </c>
      <c r="BS108" s="22">
        <f t="shared" si="63"/>
        <v>2.7329927696186558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0</v>
      </c>
      <c r="CE108" s="59">
        <f t="shared" si="94"/>
        <v>0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150.98674906185317</v>
      </c>
      <c r="T109" s="59">
        <f t="shared" si="88"/>
        <v>306.44063087948552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9.338717948191837</v>
      </c>
      <c r="AA109" s="21">
        <f>EXP(-LN(2)/25)*AA108+(1-EXP(-LN(2)/25))/(LN(2)/25)*Calculateur!V109*Calculateur!X109*VLOOKUP('Données projet'!$B$9,Paramètres!$A$1:$I$89,3,0)*0.475*44/12</f>
        <v>7.1865192893675527</v>
      </c>
      <c r="AB109" s="21">
        <f>EXP(-LN(2)/2)*AB108+(1-EXP(-LN(2)/2))/(LN(2)/2)*V109*Y109*VLOOKUP('Données projet'!$B$9,Paramètres!$A$1:$I$89,3,0)*0.475*44/12</f>
        <v>1.1263674669088515E-9</v>
      </c>
      <c r="AC109" s="22">
        <f t="shared" si="57"/>
        <v>16.525237238685754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313.84080000000012</v>
      </c>
      <c r="AK109" s="13">
        <f t="shared" si="89"/>
        <v>74.070366342963965</v>
      </c>
      <c r="AL109" s="20">
        <f t="shared" si="58"/>
        <v>675.61194804732907</v>
      </c>
      <c r="AM109" s="59">
        <f t="shared" si="59"/>
        <v>968.94528138066244</v>
      </c>
      <c r="AN109" s="59">
        <f ca="1">AVERAGE(OFFSET($AM$3,0,0,'Données projet'!$E$10+1,1))-AVERAGE(OFFSET($H$3,0,0,'Données projet'!$E$10+1,1))</f>
        <v>0</v>
      </c>
      <c r="AO109" s="59">
        <f t="shared" si="90"/>
        <v>0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-4.1500243241898714E-13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292.4657394642</v>
      </c>
      <c r="BJ109" s="59">
        <f t="shared" si="92"/>
        <v>333.80517619352395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0.59920636027175467</v>
      </c>
      <c r="BQ109" s="21">
        <f>EXP(-LN(2)/25)*BQ108+(1-EXP(-LN(2)/25))/(LN(2)/25)*Calculateur!BL109*Calculateur!BN109*VLOOKUP('Données projet'!$B$11,Paramètres!$A$1:$I$89,3,0)*0.475*44/12</f>
        <v>2.0637805490283982</v>
      </c>
      <c r="BR109" s="21">
        <f>EXP(-LN(2)/2)*BR108+(1-EXP(-LN(2)/2))/(LN(2)/2)*BL109*BO109*VLOOKUP('Données projet'!$B$11,Paramètres!$A$1:$I$89,3,0)*0.475*44/12</f>
        <v>8.91682716084923E-11</v>
      </c>
      <c r="BS109" s="22">
        <f t="shared" si="63"/>
        <v>2.6629869093893213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0</v>
      </c>
      <c r="CE109" s="59">
        <f t="shared" si="94"/>
        <v>0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150.98674906185317</v>
      </c>
      <c r="T110" s="59">
        <f t="shared" si="88"/>
        <v>306.44063087948552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9.1555913852833051</v>
      </c>
      <c r="AA110" s="21">
        <f>EXP(-LN(2)/25)*AA109+(1-EXP(-LN(2)/25))/(LN(2)/25)*Calculateur!V110*Calculateur!X110*VLOOKUP('Données projet'!$B$9,Paramètres!$A$1:$I$89,3,0)*0.475*44/12</f>
        <v>6.9900035414771722</v>
      </c>
      <c r="AB110" s="21">
        <f>EXP(-LN(2)/2)*AB109+(1-EXP(-LN(2)/2))/(LN(2)/2)*V110*Y110*VLOOKUP('Données projet'!$B$9,Paramètres!$A$1:$I$89,3,0)*0.475*44/12</f>
        <v>7.9646207395916308E-10</v>
      </c>
      <c r="AC110" s="22">
        <f t="shared" si="57"/>
        <v>16.145594927556939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318.64560000000006</v>
      </c>
      <c r="AK110" s="13">
        <f t="shared" si="89"/>
        <v>75.071474874645631</v>
      </c>
      <c r="AL110" s="20">
        <f t="shared" si="58"/>
        <v>685.72390540667448</v>
      </c>
      <c r="AM110" s="59">
        <f t="shared" si="59"/>
        <v>979.05723874000773</v>
      </c>
      <c r="AN110" s="59">
        <f ca="1">AVERAGE(OFFSET($AM$3,0,0,'Données projet'!$E$10+1,1))-AVERAGE(OFFSET($H$3,0,0,'Données projet'!$E$10+1,1))</f>
        <v>0</v>
      </c>
      <c r="AO110" s="59">
        <f t="shared" si="90"/>
        <v>0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-4.1500243241898714E-13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292.4657394642</v>
      </c>
      <c r="BJ110" s="59">
        <f t="shared" si="92"/>
        <v>333.80517619352395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0.58745628902661717</v>
      </c>
      <c r="BQ110" s="21">
        <f>EXP(-LN(2)/25)*BQ109+(1-EXP(-LN(2)/25))/(LN(2)/25)*Calculateur!BL110*Calculateur!BN110*VLOOKUP('Données projet'!$B$11,Paramètres!$A$1:$I$89,3,0)*0.475*44/12</f>
        <v>2.0073463613857143</v>
      </c>
      <c r="BR110" s="21">
        <f>EXP(-LN(2)/2)*BR109+(1-EXP(-LN(2)/2))/(LN(2)/2)*BL110*BO110*VLOOKUP('Données projet'!$B$11,Paramètres!$A$1:$I$89,3,0)*0.475*44/12</f>
        <v>6.3051489521048801E-11</v>
      </c>
      <c r="BS110" s="22">
        <f t="shared" si="63"/>
        <v>2.5948026504753829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0</v>
      </c>
      <c r="CE110" s="59">
        <f t="shared" si="94"/>
        <v>0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150.98674906185317</v>
      </c>
      <c r="T111" s="59">
        <f t="shared" si="88"/>
        <v>306.44063087948552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8.9760558225772353</v>
      </c>
      <c r="AA111" s="21">
        <f>EXP(-LN(2)/25)*AA110+(1-EXP(-LN(2)/25))/(LN(2)/25)*Calculateur!V111*Calculateur!X111*VLOOKUP('Données projet'!$B$9,Paramètres!$A$1:$I$89,3,0)*0.475*44/12</f>
        <v>6.7988615270471682</v>
      </c>
      <c r="AB111" s="21">
        <f>EXP(-LN(2)/2)*AB110+(1-EXP(-LN(2)/2))/(LN(2)/2)*V111*Y111*VLOOKUP('Données projet'!$B$9,Paramètres!$A$1:$I$89,3,0)*0.475*44/12</f>
        <v>5.6318373345442575E-10</v>
      </c>
      <c r="AC111" s="22">
        <f t="shared" si="57"/>
        <v>15.774917350187586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323.45040000000006</v>
      </c>
      <c r="AK111" s="13">
        <f t="shared" si="89"/>
        <v>76.070827756663448</v>
      </c>
      <c r="AL111" s="20">
        <f t="shared" si="58"/>
        <v>695.8328050095223</v>
      </c>
      <c r="AM111" s="59">
        <f t="shared" si="59"/>
        <v>989.16613834285567</v>
      </c>
      <c r="AN111" s="59">
        <f ca="1">AVERAGE(OFFSET($AM$3,0,0,'Données projet'!$E$10+1,1))-AVERAGE(OFFSET($H$3,0,0,'Données projet'!$E$10+1,1))</f>
        <v>0</v>
      </c>
      <c r="AO111" s="59">
        <f t="shared" si="90"/>
        <v>0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-4.1500243241898714E-13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292.4657394642</v>
      </c>
      <c r="BJ111" s="59">
        <f t="shared" si="92"/>
        <v>333.80517619352395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0.57593662951176106</v>
      </c>
      <c r="BQ111" s="21">
        <f>EXP(-LN(2)/25)*BQ110+(1-EXP(-LN(2)/25))/(LN(2)/25)*Calculateur!BL111*Calculateur!BN111*VLOOKUP('Données projet'!$B$11,Paramètres!$A$1:$I$89,3,0)*0.475*44/12</f>
        <v>1.9524553695718647</v>
      </c>
      <c r="BR111" s="21">
        <f>EXP(-LN(2)/2)*BR110+(1-EXP(-LN(2)/2))/(LN(2)/2)*BL111*BO111*VLOOKUP('Données projet'!$B$11,Paramètres!$A$1:$I$89,3,0)*0.475*44/12</f>
        <v>4.458413580424615E-11</v>
      </c>
      <c r="BS111" s="22">
        <f t="shared" si="63"/>
        <v>2.52839199912821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0</v>
      </c>
      <c r="CE111" s="59">
        <f t="shared" si="94"/>
        <v>0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150.98674906185317</v>
      </c>
      <c r="T112" s="59">
        <f t="shared" si="88"/>
        <v>306.44063087948552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8.8000408427499508</v>
      </c>
      <c r="AA112" s="21">
        <f>EXP(-LN(2)/25)*AA111+(1-EXP(-LN(2)/25))/(LN(2)/25)*Calculateur!V112*Calculateur!X112*VLOOKUP('Données projet'!$B$9,Paramètres!$A$1:$I$89,3,0)*0.475*44/12</f>
        <v>6.6129463010534746</v>
      </c>
      <c r="AB112" s="21">
        <f>EXP(-LN(2)/2)*AB111+(1-EXP(-LN(2)/2))/(LN(2)/2)*V112*Y112*VLOOKUP('Données projet'!$B$9,Paramètres!$A$1:$I$89,3,0)*0.475*44/12</f>
        <v>3.9823103697958154E-10</v>
      </c>
      <c r="AC112" s="22">
        <f t="shared" si="57"/>
        <v>15.412987144201656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328.25520000000006</v>
      </c>
      <c r="AK112" s="13">
        <f t="shared" si="89"/>
        <v>77.068454081584889</v>
      </c>
      <c r="AL112" s="20">
        <f t="shared" si="58"/>
        <v>705.93869752542707</v>
      </c>
      <c r="AM112" s="59">
        <f t="shared" si="59"/>
        <v>999.27203085876044</v>
      </c>
      <c r="AN112" s="59">
        <f ca="1">AVERAGE(OFFSET($AM$3,0,0,'Données projet'!$E$10+1,1))-AVERAGE(OFFSET($H$3,0,0,'Données projet'!$E$10+1,1))</f>
        <v>0</v>
      </c>
      <c r="AO112" s="59">
        <f t="shared" si="90"/>
        <v>0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-4.1500243241898714E-13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292.4657394642</v>
      </c>
      <c r="BJ112" s="59">
        <f t="shared" si="92"/>
        <v>333.80517619352395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0.56464286349369275</v>
      </c>
      <c r="BQ112" s="21">
        <f>EXP(-LN(2)/25)*BQ111+(1-EXP(-LN(2)/25))/(LN(2)/25)*Calculateur!BL112*Calculateur!BN112*VLOOKUP('Données projet'!$B$11,Paramètres!$A$1:$I$89,3,0)*0.475*44/12</f>
        <v>1.8990653748157567</v>
      </c>
      <c r="BR112" s="21">
        <f>EXP(-LN(2)/2)*BR111+(1-EXP(-LN(2)/2))/(LN(2)/2)*BL112*BO112*VLOOKUP('Données projet'!$B$11,Paramètres!$A$1:$I$89,3,0)*0.475*44/12</f>
        <v>3.1525744760524401E-11</v>
      </c>
      <c r="BS112" s="22">
        <f t="shared" si="63"/>
        <v>2.4637082383409754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0</v>
      </c>
      <c r="CE112" s="59">
        <f t="shared" si="94"/>
        <v>0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150.98674906185317</v>
      </c>
      <c r="T113" s="59">
        <f t="shared" si="88"/>
        <v>306.44063087948552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8.6274774093185425</v>
      </c>
      <c r="AA113" s="21">
        <f>EXP(-LN(2)/25)*AA112+(1-EXP(-LN(2)/25))/(LN(2)/25)*Calculateur!V113*Calculateur!X113*VLOOKUP('Données projet'!$B$9,Paramètres!$A$1:$I$89,3,0)*0.475*44/12</f>
        <v>6.4321149366914359</v>
      </c>
      <c r="AB113" s="21">
        <f>EXP(-LN(2)/2)*AB112+(1-EXP(-LN(2)/2))/(LN(2)/2)*V113*Y113*VLOOKUP('Données projet'!$B$9,Paramètres!$A$1:$I$89,3,0)*0.475*44/12</f>
        <v>2.8159186672721287E-10</v>
      </c>
      <c r="AC113" s="22">
        <f t="shared" si="57"/>
        <v>15.05959234629157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333.06</v>
      </c>
      <c r="AK113" s="13">
        <f t="shared" si="89"/>
        <v>78.064382041402723</v>
      </c>
      <c r="AL113" s="20">
        <f t="shared" si="58"/>
        <v>716.04163205544307</v>
      </c>
      <c r="AM113" s="59">
        <f t="shared" si="59"/>
        <v>1009.3749653887764</v>
      </c>
      <c r="AN113" s="59">
        <f ca="1">AVERAGE(OFFSET($AM$3,0,0,'Données projet'!$E$10+1,1))-AVERAGE(OFFSET($H$3,0,0,'Données projet'!$E$10+1,1))</f>
        <v>0</v>
      </c>
      <c r="AO113" s="59">
        <f t="shared" si="90"/>
        <v>0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-4.1500243241898714E-13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292.4657394642</v>
      </c>
      <c r="BJ113" s="59">
        <f t="shared" si="92"/>
        <v>333.80517619352395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0.55357056133872162</v>
      </c>
      <c r="BQ113" s="21">
        <f>EXP(-LN(2)/25)*BQ112+(1-EXP(-LN(2)/25))/(LN(2)/25)*Calculateur!BL113*Calculateur!BN113*VLOOKUP('Données projet'!$B$11,Paramètres!$A$1:$I$89,3,0)*0.475*44/12</f>
        <v>1.8471353322739121</v>
      </c>
      <c r="BR113" s="21">
        <f>EXP(-LN(2)/2)*BR112+(1-EXP(-LN(2)/2))/(LN(2)/2)*BL113*BO113*VLOOKUP('Données projet'!$B$11,Paramètres!$A$1:$I$89,3,0)*0.475*44/12</f>
        <v>2.2292067902123075E-11</v>
      </c>
      <c r="BS113" s="22">
        <f t="shared" si="63"/>
        <v>2.4007058936349259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0</v>
      </c>
      <c r="CE113" s="59">
        <f t="shared" si="94"/>
        <v>0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150.98674906185317</v>
      </c>
      <c r="T114" s="59">
        <f t="shared" si="88"/>
        <v>306.44063087948552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8.4582978395634232</v>
      </c>
      <c r="AA114" s="21">
        <f>EXP(-LN(2)/25)*AA113+(1-EXP(-LN(2)/25))/(LN(2)/25)*Calculateur!V114*Calculateur!X114*VLOOKUP('Données projet'!$B$9,Paramètres!$A$1:$I$89,3,0)*0.475*44/12</f>
        <v>6.2562284154973851</v>
      </c>
      <c r="AB114" s="21">
        <f>EXP(-LN(2)/2)*AB113+(1-EXP(-LN(2)/2))/(LN(2)/2)*V114*Y114*VLOOKUP('Données projet'!$B$9,Paramètres!$A$1:$I$89,3,0)*0.475*44/12</f>
        <v>1.9911551848979077E-10</v>
      </c>
      <c r="AC114" s="22">
        <f t="shared" si="57"/>
        <v>14.714526255259923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294.51240000000001</v>
      </c>
      <c r="AK114" s="13">
        <f t="shared" si="89"/>
        <v>70.024818594373571</v>
      </c>
      <c r="AL114" s="20">
        <f t="shared" si="58"/>
        <v>634.9023223852007</v>
      </c>
      <c r="AM114" s="59">
        <f t="shared" si="59"/>
        <v>928.23565571853396</v>
      </c>
      <c r="AN114" s="59">
        <f ca="1">AVERAGE(OFFSET($AM$3,0,0,'Données projet'!$E$10+1,1))-AVERAGE(OFFSET($H$3,0,0,'Données projet'!$E$10+1,1))</f>
        <v>0</v>
      </c>
      <c r="AO114" s="59">
        <f t="shared" si="90"/>
        <v>0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-4.1500243241898714E-13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292.4657394642</v>
      </c>
      <c r="BJ114" s="59">
        <f t="shared" si="92"/>
        <v>333.80517619352395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0.54271538027557209</v>
      </c>
      <c r="BQ114" s="21">
        <f>EXP(-LN(2)/25)*BQ113+(1-EXP(-LN(2)/25))/(LN(2)/25)*Calculateur!BL114*Calculateur!BN114*VLOOKUP('Données projet'!$B$11,Paramètres!$A$1:$I$89,3,0)*0.475*44/12</f>
        <v>1.7966253194762565</v>
      </c>
      <c r="BR114" s="21">
        <f>EXP(-LN(2)/2)*BR113+(1-EXP(-LN(2)/2))/(LN(2)/2)*BL114*BO114*VLOOKUP('Données projet'!$B$11,Paramètres!$A$1:$I$89,3,0)*0.475*44/12</f>
        <v>1.57628723802622E-11</v>
      </c>
      <c r="BS114" s="22">
        <f t="shared" si="63"/>
        <v>2.3393406997675914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0</v>
      </c>
      <c r="CE114" s="59">
        <f t="shared" si="94"/>
        <v>0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150.98674906185317</v>
      </c>
      <c r="T115" s="59">
        <f t="shared" si="88"/>
        <v>306.44063087948552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8.2924357779818525</v>
      </c>
      <c r="AA115" s="21">
        <f>EXP(-LN(2)/25)*AA114+(1-EXP(-LN(2)/25))/(LN(2)/25)*Calculateur!V115*Calculateur!X115*VLOOKUP('Données projet'!$B$9,Paramètres!$A$1:$I$89,3,0)*0.475*44/12</f>
        <v>6.0851515204748559</v>
      </c>
      <c r="AB115" s="21">
        <f>EXP(-LN(2)/2)*AB114+(1-EXP(-LN(2)/2))/(LN(2)/2)*V115*Y115*VLOOKUP('Données projet'!$B$9,Paramètres!$A$1:$I$89,3,0)*0.475*44/12</f>
        <v>1.4079593336360644E-10</v>
      </c>
      <c r="AC115" s="22">
        <f t="shared" si="57"/>
        <v>14.377587298597504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298.55279999999993</v>
      </c>
      <c r="AK115" s="13">
        <f t="shared" si="89"/>
        <v>70.872989436379044</v>
      </c>
      <c r="AL115" s="20">
        <f t="shared" si="58"/>
        <v>643.41658326836</v>
      </c>
      <c r="AM115" s="59">
        <f t="shared" si="59"/>
        <v>936.74991660169326</v>
      </c>
      <c r="AN115" s="59">
        <f ca="1">AVERAGE(OFFSET($AM$3,0,0,'Données projet'!$E$10+1,1))-AVERAGE(OFFSET($H$3,0,0,'Données projet'!$E$10+1,1))</f>
        <v>0</v>
      </c>
      <c r="AO115" s="59">
        <f t="shared" si="90"/>
        <v>0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-4.1500243241898714E-13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292.4657394642</v>
      </c>
      <c r="BJ115" s="59">
        <f t="shared" si="92"/>
        <v>333.80517619352395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0.53207306269206422</v>
      </c>
      <c r="BQ115" s="21">
        <f>EXP(-LN(2)/25)*BQ114+(1-EXP(-LN(2)/25))/(LN(2)/25)*Calculateur!BL115*Calculateur!BN115*VLOOKUP('Données projet'!$B$11,Paramètres!$A$1:$I$89,3,0)*0.475*44/12</f>
        <v>1.7474965056347589</v>
      </c>
      <c r="BR115" s="21">
        <f>EXP(-LN(2)/2)*BR114+(1-EXP(-LN(2)/2))/(LN(2)/2)*BL115*BO115*VLOOKUP('Données projet'!$B$11,Paramètres!$A$1:$I$89,3,0)*0.475*44/12</f>
        <v>1.1146033951061537E-11</v>
      </c>
      <c r="BS115" s="22">
        <f t="shared" si="63"/>
        <v>2.2795695683379695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0</v>
      </c>
      <c r="CE115" s="59">
        <f t="shared" si="94"/>
        <v>0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150.98674906185317</v>
      </c>
      <c r="T116" s="59">
        <f t="shared" si="88"/>
        <v>306.44063087948552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8.129826170262028</v>
      </c>
      <c r="AA116" s="21">
        <f>EXP(-LN(2)/25)*AA115+(1-EXP(-LN(2)/25))/(LN(2)/25)*Calculateur!V116*Calculateur!X116*VLOOKUP('Données projet'!$B$9,Paramètres!$A$1:$I$89,3,0)*0.475*44/12</f>
        <v>5.9187527321432603</v>
      </c>
      <c r="AB116" s="21">
        <f>EXP(-LN(2)/2)*AB115+(1-EXP(-LN(2)/2))/(LN(2)/2)*V116*Y116*VLOOKUP('Données projet'!$B$9,Paramètres!$A$1:$I$89,3,0)*0.475*44/12</f>
        <v>9.9557759244895385E-11</v>
      </c>
      <c r="AC116" s="22">
        <f t="shared" si="57"/>
        <v>14.048578902504847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302.59319999999997</v>
      </c>
      <c r="AK116" s="13">
        <f t="shared" si="89"/>
        <v>71.719825185352832</v>
      </c>
      <c r="AL116" s="20">
        <f t="shared" si="58"/>
        <v>651.92851886448943</v>
      </c>
      <c r="AM116" s="59">
        <f t="shared" si="59"/>
        <v>945.26185219782269</v>
      </c>
      <c r="AN116" s="59">
        <f ca="1">AVERAGE(OFFSET($AM$3,0,0,'Données projet'!$E$10+1,1))-AVERAGE(OFFSET($H$3,0,0,'Données projet'!$E$10+1,1))</f>
        <v>0</v>
      </c>
      <c r="AO116" s="59">
        <f t="shared" si="90"/>
        <v>0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-4.1500243241898714E-13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292.4657394642</v>
      </c>
      <c r="BJ116" s="59">
        <f t="shared" si="92"/>
        <v>333.80517619352395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0.52163943446519612</v>
      </c>
      <c r="BQ116" s="21">
        <f>EXP(-LN(2)/25)*BQ115+(1-EXP(-LN(2)/25))/(LN(2)/25)*Calculateur!BL116*Calculateur!BN116*VLOOKUP('Données projet'!$B$11,Paramètres!$A$1:$I$89,3,0)*0.475*44/12</f>
        <v>1.6997111217913292</v>
      </c>
      <c r="BR116" s="21">
        <f>EXP(-LN(2)/2)*BR115+(1-EXP(-LN(2)/2))/(LN(2)/2)*BL116*BO116*VLOOKUP('Données projet'!$B$11,Paramètres!$A$1:$I$89,3,0)*0.475*44/12</f>
        <v>7.8814361901311002E-12</v>
      </c>
      <c r="BS116" s="22">
        <f t="shared" si="63"/>
        <v>2.2213505562644067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0</v>
      </c>
      <c r="CE116" s="59">
        <f t="shared" si="94"/>
        <v>0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150.98674906185317</v>
      </c>
      <c r="T117" s="59">
        <f t="shared" si="88"/>
        <v>306.44063087948552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7.9704052377675225</v>
      </c>
      <c r="AA117" s="21">
        <f>EXP(-LN(2)/25)*AA116+(1-EXP(-LN(2)/25))/(LN(2)/25)*Calculateur!V117*Calculateur!X117*VLOOKUP('Données projet'!$B$9,Paramètres!$A$1:$I$89,3,0)*0.475*44/12</f>
        <v>5.7569041274291237</v>
      </c>
      <c r="AB117" s="21">
        <f>EXP(-LN(2)/2)*AB116+(1-EXP(-LN(2)/2))/(LN(2)/2)*V117*Y117*VLOOKUP('Données projet'!$B$9,Paramètres!$A$1:$I$89,3,0)*0.475*44/12</f>
        <v>7.0397966681803219E-11</v>
      </c>
      <c r="AC117" s="22">
        <f t="shared" si="57"/>
        <v>13.727309365267045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306.63359999999994</v>
      </c>
      <c r="AK117" s="13">
        <f t="shared" si="89"/>
        <v>72.565345729018077</v>
      </c>
      <c r="AL117" s="20">
        <f t="shared" si="58"/>
        <v>660.43816381137299</v>
      </c>
      <c r="AM117" s="59">
        <f t="shared" si="59"/>
        <v>953.77149714470625</v>
      </c>
      <c r="AN117" s="59">
        <f ca="1">AVERAGE(OFFSET($AM$3,0,0,'Données projet'!$E$10+1,1))-AVERAGE(OFFSET($H$3,0,0,'Données projet'!$E$10+1,1))</f>
        <v>0</v>
      </c>
      <c r="AO117" s="59">
        <f t="shared" si="90"/>
        <v>0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-4.1500243241898714E-13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292.4657394642</v>
      </c>
      <c r="BJ117" s="59">
        <f t="shared" si="92"/>
        <v>333.80517619352395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0.51141040332397214</v>
      </c>
      <c r="BQ117" s="21">
        <f>EXP(-LN(2)/25)*BQ116+(1-EXP(-LN(2)/25))/(LN(2)/25)*Calculateur!BL117*Calculateur!BN117*VLOOKUP('Données projet'!$B$11,Paramètres!$A$1:$I$89,3,0)*0.475*44/12</f>
        <v>1.6532324317820222</v>
      </c>
      <c r="BR117" s="21">
        <f>EXP(-LN(2)/2)*BR116+(1-EXP(-LN(2)/2))/(LN(2)/2)*BL117*BO117*VLOOKUP('Données projet'!$B$11,Paramètres!$A$1:$I$89,3,0)*0.475*44/12</f>
        <v>5.5730169755307687E-12</v>
      </c>
      <c r="BS117" s="22">
        <f t="shared" si="63"/>
        <v>2.1646428351115672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0</v>
      </c>
      <c r="CE117" s="59">
        <f t="shared" si="94"/>
        <v>0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150.98674906185317</v>
      </c>
      <c r="T118" s="59">
        <f t="shared" si="88"/>
        <v>306.44063087948552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7.8141104525220664</v>
      </c>
      <c r="AA118" s="21">
        <f>EXP(-LN(2)/25)*AA117+(1-EXP(-LN(2)/25))/(LN(2)/25)*Calculateur!V118*Calculateur!X118*VLOOKUP('Données projet'!$B$9,Paramètres!$A$1:$I$89,3,0)*0.475*44/12</f>
        <v>5.5994812813221442</v>
      </c>
      <c r="AB118" s="21">
        <f>EXP(-LN(2)/2)*AB117+(1-EXP(-LN(2)/2))/(LN(2)/2)*V118*Y118*VLOOKUP('Données projet'!$B$9,Paramètres!$A$1:$I$89,3,0)*0.475*44/12</f>
        <v>4.9778879622447692E-11</v>
      </c>
      <c r="AC118" s="22">
        <f t="shared" si="57"/>
        <v>13.413591733893989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310.67399999999992</v>
      </c>
      <c r="AK118" s="13">
        <f t="shared" si="89"/>
        <v>73.409570400865704</v>
      </c>
      <c r="AL118" s="20">
        <f t="shared" si="58"/>
        <v>668.94555178150756</v>
      </c>
      <c r="AM118" s="59">
        <f t="shared" si="59"/>
        <v>962.27888511484093</v>
      </c>
      <c r="AN118" s="59">
        <f ca="1">AVERAGE(OFFSET($AM$3,0,0,'Données projet'!$E$10+1,1))-AVERAGE(OFFSET($H$3,0,0,'Données projet'!$E$10+1,1))</f>
        <v>0</v>
      </c>
      <c r="AO118" s="59">
        <f t="shared" si="90"/>
        <v>0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-4.1500243241898714E-13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292.4657394642</v>
      </c>
      <c r="BJ118" s="59">
        <f t="shared" si="92"/>
        <v>333.80517619352395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0.50138195724433454</v>
      </c>
      <c r="BQ118" s="21">
        <f>EXP(-LN(2)/25)*BQ117+(1-EXP(-LN(2)/25))/(LN(2)/25)*Calculateur!BL118*Calculateur!BN118*VLOOKUP('Données projet'!$B$11,Paramètres!$A$1:$I$89,3,0)*0.475*44/12</f>
        <v>1.6080247039952278</v>
      </c>
      <c r="BR118" s="21">
        <f>EXP(-LN(2)/2)*BR117+(1-EXP(-LN(2)/2))/(LN(2)/2)*BL118*BO118*VLOOKUP('Données projet'!$B$11,Paramètres!$A$1:$I$89,3,0)*0.475*44/12</f>
        <v>3.9407180950655501E-12</v>
      </c>
      <c r="BS118" s="22">
        <f t="shared" si="63"/>
        <v>2.1094066612435034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0</v>
      </c>
      <c r="CE118" s="59">
        <f t="shared" si="94"/>
        <v>0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150.98674906185317</v>
      </c>
      <c r="T119" s="59">
        <f t="shared" si="88"/>
        <v>306.44063087948552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7.6608805126848676</v>
      </c>
      <c r="AA119" s="21">
        <f>EXP(-LN(2)/25)*AA118+(1-EXP(-LN(2)/25))/(LN(2)/25)*Calculateur!V119*Calculateur!X119*VLOOKUP('Données projet'!$B$9,Paramètres!$A$1:$I$89,3,0)*0.475*44/12</f>
        <v>5.446363171220467</v>
      </c>
      <c r="AB119" s="21">
        <f>EXP(-LN(2)/2)*AB118+(1-EXP(-LN(2)/2))/(LN(2)/2)*V119*Y119*VLOOKUP('Données projet'!$B$9,Paramètres!$A$1:$I$89,3,0)*0.475*44/12</f>
        <v>3.5198983340901609E-11</v>
      </c>
      <c r="AC119" s="22">
        <f t="shared" si="57"/>
        <v>13.107243683940533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314.71439999999996</v>
      </c>
      <c r="AK119" s="13">
        <f t="shared" si="89"/>
        <v>74.252518002602514</v>
      </c>
      <c r="AL119" s="20">
        <f t="shared" si="58"/>
        <v>677.45071552119919</v>
      </c>
      <c r="AM119" s="59">
        <f t="shared" si="59"/>
        <v>970.78404885453256</v>
      </c>
      <c r="AN119" s="59">
        <f ca="1">AVERAGE(OFFSET($AM$3,0,0,'Données projet'!$E$10+1,1))-AVERAGE(OFFSET($H$3,0,0,'Données projet'!$E$10+1,1))</f>
        <v>0</v>
      </c>
      <c r="AO119" s="59">
        <f t="shared" si="90"/>
        <v>0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-4.1500243241898714E-13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292.4657394642</v>
      </c>
      <c r="BJ119" s="59">
        <f t="shared" si="92"/>
        <v>333.80517619352395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0.49155016287557057</v>
      </c>
      <c r="BQ119" s="21">
        <f>EXP(-LN(2)/25)*BQ118+(1-EXP(-LN(2)/25))/(LN(2)/25)*Calculateur!BL119*Calculateur!BN119*VLOOKUP('Données projet'!$B$11,Paramètres!$A$1:$I$89,3,0)*0.475*44/12</f>
        <v>1.5640531839021343</v>
      </c>
      <c r="BR119" s="21">
        <f>EXP(-LN(2)/2)*BR118+(1-EXP(-LN(2)/2))/(LN(2)/2)*BL119*BO119*VLOOKUP('Données projet'!$B$11,Paramètres!$A$1:$I$89,3,0)*0.475*44/12</f>
        <v>2.7865084877653844E-12</v>
      </c>
      <c r="BS119" s="22">
        <f t="shared" si="63"/>
        <v>2.0556033467804915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0</v>
      </c>
      <c r="CE119" s="59">
        <f t="shared" si="94"/>
        <v>0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150.98674906185317</v>
      </c>
      <c r="T120" s="59">
        <f t="shared" si="88"/>
        <v>306.44063087948552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7.5106553185068421</v>
      </c>
      <c r="AA120" s="21">
        <f>EXP(-LN(2)/25)*AA119+(1-EXP(-LN(2)/25))/(LN(2)/25)*Calculateur!V120*Calculateur!X120*VLOOKUP('Données projet'!$B$9,Paramètres!$A$1:$I$89,3,0)*0.475*44/12</f>
        <v>5.2974320838916515</v>
      </c>
      <c r="AB120" s="21">
        <f>EXP(-LN(2)/2)*AB119+(1-EXP(-LN(2)/2))/(LN(2)/2)*V120*Y120*VLOOKUP('Données projet'!$B$9,Paramètres!$A$1:$I$89,3,0)*0.475*44/12</f>
        <v>2.4889439811223846E-11</v>
      </c>
      <c r="AC120" s="22">
        <f t="shared" si="57"/>
        <v>12.808087402423384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318.75479999999988</v>
      </c>
      <c r="AK120" s="13">
        <f t="shared" si="89"/>
        <v>75.094206825413963</v>
      </c>
      <c r="AL120" s="20">
        <f t="shared" si="58"/>
        <v>685.95368688759572</v>
      </c>
      <c r="AM120" s="59">
        <f t="shared" si="59"/>
        <v>979.28702022092898</v>
      </c>
      <c r="AN120" s="59">
        <f ca="1">AVERAGE(OFFSET($AM$3,0,0,'Données projet'!$E$10+1,1))-AVERAGE(OFFSET($H$3,0,0,'Données projet'!$E$10+1,1))</f>
        <v>0</v>
      </c>
      <c r="AO120" s="59">
        <f t="shared" si="90"/>
        <v>0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-4.1500243241898714E-13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292.4657394642</v>
      </c>
      <c r="BJ120" s="59">
        <f t="shared" si="92"/>
        <v>333.80517619352395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0.48191116399757561</v>
      </c>
      <c r="BQ120" s="21">
        <f>EXP(-LN(2)/25)*BQ119+(1-EXP(-LN(2)/25))/(LN(2)/25)*Calculateur!BL120*Calculateur!BN120*VLOOKUP('Données projet'!$B$11,Paramètres!$A$1:$I$89,3,0)*0.475*44/12</f>
        <v>1.5212840673383483</v>
      </c>
      <c r="BR120" s="21">
        <f>EXP(-LN(2)/2)*BR119+(1-EXP(-LN(2)/2))/(LN(2)/2)*BL120*BO120*VLOOKUP('Données projet'!$B$11,Paramètres!$A$1:$I$89,3,0)*0.475*44/12</f>
        <v>1.970359047532775E-12</v>
      </c>
      <c r="BS120" s="22">
        <f t="shared" si="63"/>
        <v>2.0031952313378945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0</v>
      </c>
      <c r="CE120" s="59">
        <f t="shared" si="94"/>
        <v>0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150.98674906185317</v>
      </c>
      <c r="T121" s="59">
        <f t="shared" si="88"/>
        <v>306.44063087948552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7.3633759487583266</v>
      </c>
      <c r="AA121" s="21">
        <f>EXP(-LN(2)/25)*AA120+(1-EXP(-LN(2)/25))/(LN(2)/25)*Calculateur!V121*Calculateur!X121*VLOOKUP('Données projet'!$B$9,Paramètres!$A$1:$I$89,3,0)*0.475*44/12</f>
        <v>5.1525735249777886</v>
      </c>
      <c r="AB121" s="21">
        <f>EXP(-LN(2)/2)*AB120+(1-EXP(-LN(2)/2))/(LN(2)/2)*V121*Y121*VLOOKUP('Données projet'!$B$9,Paramètres!$A$1:$I$89,3,0)*0.475*44/12</f>
        <v>1.7599491670450805E-11</v>
      </c>
      <c r="AC121" s="22">
        <f t="shared" si="57"/>
        <v>12.515949473753714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322.79519999999991</v>
      </c>
      <c r="AK121" s="13">
        <f t="shared" si="89"/>
        <v>75.93465467011842</v>
      </c>
      <c r="AL121" s="20">
        <f t="shared" si="58"/>
        <v>694.45449688378949</v>
      </c>
      <c r="AM121" s="59">
        <f t="shared" si="59"/>
        <v>987.78783021712275</v>
      </c>
      <c r="AN121" s="59">
        <f ca="1">AVERAGE(OFFSET($AM$3,0,0,'Données projet'!$E$10+1,1))-AVERAGE(OFFSET($H$3,0,0,'Données projet'!$E$10+1,1))</f>
        <v>0</v>
      </c>
      <c r="AO121" s="59">
        <f t="shared" si="90"/>
        <v>0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-4.1500243241898714E-13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292.4657394642</v>
      </c>
      <c r="BJ121" s="59">
        <f t="shared" si="92"/>
        <v>333.80517619352395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0.47246118000836934</v>
      </c>
      <c r="BQ121" s="21">
        <f>EXP(-LN(2)/25)*BQ120+(1-EXP(-LN(2)/25))/(LN(2)/25)*Calculateur!BL121*Calculateur!BN121*VLOOKUP('Données projet'!$B$11,Paramètres!$A$1:$I$89,3,0)*0.475*44/12</f>
        <v>1.4796844745161291</v>
      </c>
      <c r="BR121" s="21">
        <f>EXP(-LN(2)/2)*BR120+(1-EXP(-LN(2)/2))/(LN(2)/2)*BL121*BO121*VLOOKUP('Données projet'!$B$11,Paramètres!$A$1:$I$89,3,0)*0.475*44/12</f>
        <v>1.3932542438826922E-12</v>
      </c>
      <c r="BS121" s="22">
        <f t="shared" si="63"/>
        <v>1.9521456545258917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0</v>
      </c>
      <c r="CE121" s="59">
        <f t="shared" si="94"/>
        <v>0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150.98674906185317</v>
      </c>
      <c r="T122" s="59">
        <f t="shared" si="88"/>
        <v>306.44063087948552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7.2189846376190339</v>
      </c>
      <c r="AA122" s="21">
        <f>EXP(-LN(2)/25)*AA121+(1-EXP(-LN(2)/25))/(LN(2)/25)*Calculateur!V122*Calculateur!X122*VLOOKUP('Données projet'!$B$9,Paramètres!$A$1:$I$89,3,0)*0.475*44/12</f>
        <v>5.0116761309752054</v>
      </c>
      <c r="AB122" s="21">
        <f>EXP(-LN(2)/2)*AB121+(1-EXP(-LN(2)/2))/(LN(2)/2)*V122*Y122*VLOOKUP('Données projet'!$B$9,Paramètres!$A$1:$I$89,3,0)*0.475*44/12</f>
        <v>1.2444719905611923E-11</v>
      </c>
      <c r="AC122" s="22">
        <f t="shared" si="57"/>
        <v>12.230660768606684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326.83559999999989</v>
      </c>
      <c r="AK122" s="13">
        <f t="shared" si="89"/>
        <v>76.773878866282715</v>
      </c>
      <c r="AL122" s="20">
        <f t="shared" si="58"/>
        <v>702.95317569210874</v>
      </c>
      <c r="AM122" s="59">
        <f t="shared" si="59"/>
        <v>996.286509025442</v>
      </c>
      <c r="AN122" s="59">
        <f ca="1">AVERAGE(OFFSET($AM$3,0,0,'Données projet'!$E$10+1,1))-AVERAGE(OFFSET($H$3,0,0,'Données projet'!$E$10+1,1))</f>
        <v>0</v>
      </c>
      <c r="AO122" s="59">
        <f t="shared" si="90"/>
        <v>0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-4.1500243241898714E-13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292.4657394642</v>
      </c>
      <c r="BJ122" s="59">
        <f t="shared" si="92"/>
        <v>333.80517619352395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0.46319650444127031</v>
      </c>
      <c r="BQ122" s="21">
        <f>EXP(-LN(2)/25)*BQ121+(1-EXP(-LN(2)/25))/(LN(2)/25)*Calculateur!BL122*Calculateur!BN122*VLOOKUP('Données projet'!$B$11,Paramètres!$A$1:$I$89,3,0)*0.475*44/12</f>
        <v>1.4392224247472609</v>
      </c>
      <c r="BR122" s="21">
        <f>EXP(-LN(2)/2)*BR121+(1-EXP(-LN(2)/2))/(LN(2)/2)*BL122*BO122*VLOOKUP('Données projet'!$B$11,Paramètres!$A$1:$I$89,3,0)*0.475*44/12</f>
        <v>9.8517952376638752E-13</v>
      </c>
      <c r="BS122" s="22">
        <f t="shared" si="63"/>
        <v>1.9024189291895164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0</v>
      </c>
      <c r="CE122" s="59">
        <f t="shared" si="94"/>
        <v>0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150.98674906185317</v>
      </c>
      <c r="T123" s="59">
        <f t="shared" si="88"/>
        <v>306.44063087948552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7.0774247520211793</v>
      </c>
      <c r="AA123" s="21">
        <f>EXP(-LN(2)/25)*AA122+(1-EXP(-LN(2)/25))/(LN(2)/25)*Calculateur!V123*Calculateur!X123*VLOOKUP('Données projet'!$B$9,Paramètres!$A$1:$I$89,3,0)*0.475*44/12</f>
        <v>4.8746315836210954</v>
      </c>
      <c r="AB123" s="21">
        <f>EXP(-LN(2)/2)*AB122+(1-EXP(-LN(2)/2))/(LN(2)/2)*V123*Y123*VLOOKUP('Données projet'!$B$9,Paramètres!$A$1:$I$89,3,0)*0.475*44/12</f>
        <v>8.7997458352254023E-12</v>
      </c>
      <c r="AC123" s="22">
        <f t="shared" si="57"/>
        <v>11.952056335651076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330.87599999999986</v>
      </c>
      <c r="AK123" s="13">
        <f t="shared" si="89"/>
        <v>77.611896290366928</v>
      </c>
      <c r="AL123" s="20">
        <f t="shared" si="58"/>
        <v>711.44975270572206</v>
      </c>
      <c r="AM123" s="59">
        <f t="shared" si="59"/>
        <v>1004.7830860390554</v>
      </c>
      <c r="AN123" s="59">
        <f ca="1">AVERAGE(OFFSET($AM$3,0,0,'Données projet'!$E$10+1,1))-AVERAGE(OFFSET($H$3,0,0,'Données projet'!$E$10+1,1))</f>
        <v>0</v>
      </c>
      <c r="AO123" s="59">
        <f t="shared" si="90"/>
        <v>0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-4.1500243241898714E-13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292.4657394642</v>
      </c>
      <c r="BJ123" s="59">
        <f t="shared" si="92"/>
        <v>333.80517619352395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0.45411350351114799</v>
      </c>
      <c r="BQ123" s="21">
        <f>EXP(-LN(2)/25)*BQ122+(1-EXP(-LN(2)/25))/(LN(2)/25)*Calculateur!BL123*Calculateur!BN123*VLOOKUP('Données projet'!$B$11,Paramètres!$A$1:$I$89,3,0)*0.475*44/12</f>
        <v>1.3998668118571291</v>
      </c>
      <c r="BR123" s="21">
        <f>EXP(-LN(2)/2)*BR122+(1-EXP(-LN(2)/2))/(LN(2)/2)*BL123*BO123*VLOOKUP('Données projet'!$B$11,Paramètres!$A$1:$I$89,3,0)*0.475*44/12</f>
        <v>6.9662712194134609E-13</v>
      </c>
      <c r="BS123" s="22">
        <f t="shared" si="63"/>
        <v>1.8539803153689738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0</v>
      </c>
      <c r="CE123" s="59">
        <f t="shared" si="94"/>
        <v>0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150.98674906185317</v>
      </c>
      <c r="T124" s="59">
        <f t="shared" si="88"/>
        <v>306.44063087948552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6.9386407694368941</v>
      </c>
      <c r="AA124" s="21">
        <f>EXP(-LN(2)/25)*AA123+(1-EXP(-LN(2)/25))/(LN(2)/25)*Calculateur!V124*Calculateur!X124*VLOOKUP('Données projet'!$B$9,Paramètres!$A$1:$I$89,3,0)*0.475*44/12</f>
        <v>4.7413345266212428</v>
      </c>
      <c r="AB124" s="21">
        <f>EXP(-LN(2)/2)*AB123+(1-EXP(-LN(2)/2))/(LN(2)/2)*V124*Y124*VLOOKUP('Données projet'!$B$9,Paramètres!$A$1:$I$89,3,0)*0.475*44/12</f>
        <v>6.2223599528059616E-12</v>
      </c>
      <c r="AC124" s="22">
        <f t="shared" si="57"/>
        <v>11.679975296064359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-1.2414602679200469E-13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0</v>
      </c>
      <c r="AO124" s="59">
        <f t="shared" si="90"/>
        <v>0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-4.1500243241898714E-13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292.4657394642</v>
      </c>
      <c r="BJ124" s="59">
        <f t="shared" si="92"/>
        <v>333.80517619352395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0.44520861468918183</v>
      </c>
      <c r="BQ124" s="21">
        <f>EXP(-LN(2)/25)*BQ123+(1-EXP(-LN(2)/25))/(LN(2)/25)*Calculateur!BL124*Calculateur!BN124*VLOOKUP('Données projet'!$B$11,Paramètres!$A$1:$I$89,3,0)*0.475*44/12</f>
        <v>1.3615873802710998</v>
      </c>
      <c r="BR124" s="21">
        <f>EXP(-LN(2)/2)*BR123+(1-EXP(-LN(2)/2))/(LN(2)/2)*BL124*BO124*VLOOKUP('Données projet'!$B$11,Paramètres!$A$1:$I$89,3,0)*0.475*44/12</f>
        <v>4.9258976188319376E-13</v>
      </c>
      <c r="BS124" s="22">
        <f t="shared" si="63"/>
        <v>1.8067959949607741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0</v>
      </c>
      <c r="CE124" s="59">
        <f t="shared" si="94"/>
        <v>0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150.98674906185317</v>
      </c>
      <c r="T125" s="59">
        <f t="shared" si="88"/>
        <v>306.44063087948552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6.8025782561012154</v>
      </c>
      <c r="AA125" s="21">
        <f>EXP(-LN(2)/25)*AA124+(1-EXP(-LN(2)/25))/(LN(2)/25)*Calculateur!V125*Calculateur!X125*VLOOKUP('Données projet'!$B$9,Paramètres!$A$1:$I$89,3,0)*0.475*44/12</f>
        <v>4.611682484654839</v>
      </c>
      <c r="AB125" s="21">
        <f>EXP(-LN(2)/2)*AB124+(1-EXP(-LN(2)/2))/(LN(2)/2)*V125*Y125*VLOOKUP('Données projet'!$B$9,Paramètres!$A$1:$I$89,3,0)*0.475*44/12</f>
        <v>4.3998729176127012E-12</v>
      </c>
      <c r="AC125" s="22">
        <f t="shared" si="57"/>
        <v>11.414260740760454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-1.2414602679200469E-13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0</v>
      </c>
      <c r="AO125" s="59">
        <f t="shared" si="90"/>
        <v>0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-4.1500243241898714E-13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292.4657394642</v>
      </c>
      <c r="BJ125" s="59">
        <f t="shared" si="92"/>
        <v>333.80517619352395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0.43647834530556856</v>
      </c>
      <c r="BQ125" s="21">
        <f>EXP(-LN(2)/25)*BQ124+(1-EXP(-LN(2)/25))/(LN(2)/25)*Calculateur!BL125*Calculateur!BN125*VLOOKUP('Données projet'!$B$11,Paramètres!$A$1:$I$89,3,0)*0.475*44/12</f>
        <v>1.3243547017548183</v>
      </c>
      <c r="BR125" s="21">
        <f>EXP(-LN(2)/2)*BR124+(1-EXP(-LN(2)/2))/(LN(2)/2)*BL125*BO125*VLOOKUP('Données projet'!$B$11,Paramètres!$A$1:$I$89,3,0)*0.475*44/12</f>
        <v>3.4831356097067305E-13</v>
      </c>
      <c r="BS125" s="22">
        <f t="shared" si="63"/>
        <v>1.7608330470607352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0</v>
      </c>
      <c r="CE125" s="59">
        <f t="shared" si="94"/>
        <v>0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150.98674906185317</v>
      </c>
      <c r="T126" s="59">
        <f t="shared" si="88"/>
        <v>306.44063087948552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6.6691838456621113</v>
      </c>
      <c r="AA126" s="21">
        <f>EXP(-LN(2)/25)*AA125+(1-EXP(-LN(2)/25))/(LN(2)/25)*Calculateur!V126*Calculateur!X126*VLOOKUP('Données projet'!$B$9,Paramètres!$A$1:$I$89,3,0)*0.475*44/12</f>
        <v>4.4855757845941104</v>
      </c>
      <c r="AB126" s="21">
        <f>EXP(-LN(2)/2)*AB125+(1-EXP(-LN(2)/2))/(LN(2)/2)*V126*Y126*VLOOKUP('Données projet'!$B$9,Paramètres!$A$1:$I$89,3,0)*0.475*44/12</f>
        <v>3.1111799764029808E-12</v>
      </c>
      <c r="AC126" s="22">
        <f t="shared" si="57"/>
        <v>11.154759630259333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-1.2414602679200469E-13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0</v>
      </c>
      <c r="AO126" s="59">
        <f t="shared" si="90"/>
        <v>0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-4.1500243241898714E-13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292.4657394642</v>
      </c>
      <c r="BJ126" s="59">
        <f t="shared" si="92"/>
        <v>333.80517619352395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0.42791927117962941</v>
      </c>
      <c r="BQ126" s="21">
        <f>EXP(-LN(2)/25)*BQ125+(1-EXP(-LN(2)/25))/(LN(2)/25)*Calculateur!BL126*Calculateur!BN126*VLOOKUP('Données projet'!$B$11,Paramètres!$A$1:$I$89,3,0)*0.475*44/12</f>
        <v>1.2881401527905458</v>
      </c>
      <c r="BR126" s="21">
        <f>EXP(-LN(2)/2)*BR125+(1-EXP(-LN(2)/2))/(LN(2)/2)*BL126*BO126*VLOOKUP('Données projet'!$B$11,Paramètres!$A$1:$I$89,3,0)*0.475*44/12</f>
        <v>2.4629488094159688E-13</v>
      </c>
      <c r="BS126" s="22">
        <f t="shared" si="63"/>
        <v>1.7160594239704214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0</v>
      </c>
      <c r="CE126" s="59">
        <f t="shared" si="94"/>
        <v>0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150.98674906185317</v>
      </c>
      <c r="T127" s="59">
        <f t="shared" si="88"/>
        <v>306.44063087948552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6.538405218249161</v>
      </c>
      <c r="AA127" s="21">
        <f>EXP(-LN(2)/25)*AA126+(1-EXP(-LN(2)/25))/(LN(2)/25)*Calculateur!V127*Calculateur!X127*VLOOKUP('Données projet'!$B$9,Paramètres!$A$1:$I$89,3,0)*0.475*44/12</f>
        <v>4.3629174788782059</v>
      </c>
      <c r="AB127" s="21">
        <f>EXP(-LN(2)/2)*AB126+(1-EXP(-LN(2)/2))/(LN(2)/2)*V127*Y127*VLOOKUP('Données projet'!$B$9,Paramètres!$A$1:$I$89,3,0)*0.475*44/12</f>
        <v>2.1999364588063506E-12</v>
      </c>
      <c r="AC127" s="22">
        <f t="shared" si="57"/>
        <v>10.901322697129565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-1.2414602679200469E-13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0</v>
      </c>
      <c r="AO127" s="59">
        <f t="shared" si="90"/>
        <v>0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-4.1500243241898714E-13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292.4657394642</v>
      </c>
      <c r="BJ127" s="59">
        <f t="shared" si="92"/>
        <v>333.80517619352395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0.41952803527678018</v>
      </c>
      <c r="BQ127" s="21">
        <f>EXP(-LN(2)/25)*BQ126+(1-EXP(-LN(2)/25))/(LN(2)/25)*Calculateur!BL127*Calculateur!BN127*VLOOKUP('Données projet'!$B$11,Paramètres!$A$1:$I$89,3,0)*0.475*44/12</f>
        <v>1.2529158925721418</v>
      </c>
      <c r="BR127" s="21">
        <f>EXP(-LN(2)/2)*BR126+(1-EXP(-LN(2)/2))/(LN(2)/2)*BL127*BO127*VLOOKUP('Données projet'!$B$11,Paramètres!$A$1:$I$89,3,0)*0.475*44/12</f>
        <v>1.7415678048533652E-13</v>
      </c>
      <c r="BS127" s="22">
        <f t="shared" si="63"/>
        <v>1.6724439278490961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0</v>
      </c>
      <c r="CE127" s="59">
        <f t="shared" si="94"/>
        <v>0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150.98674906185317</v>
      </c>
      <c r="T128" s="59">
        <f t="shared" si="88"/>
        <v>306.44063087948552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6.4101910799526927</v>
      </c>
      <c r="AA128" s="21">
        <f>EXP(-LN(2)/25)*AA127+(1-EXP(-LN(2)/25))/(LN(2)/25)*Calculateur!V128*Calculateur!X128*VLOOKUP('Données projet'!$B$9,Paramètres!$A$1:$I$89,3,0)*0.475*44/12</f>
        <v>4.243613270982423</v>
      </c>
      <c r="AB128" s="21">
        <f>EXP(-LN(2)/2)*AB127+(1-EXP(-LN(2)/2))/(LN(2)/2)*V128*Y128*VLOOKUP('Données projet'!$B$9,Paramètres!$A$1:$I$89,3,0)*0.475*44/12</f>
        <v>1.5555899882014904E-12</v>
      </c>
      <c r="AC128" s="22">
        <f t="shared" si="57"/>
        <v>10.653804350936671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-1.2414602679200469E-13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0</v>
      </c>
      <c r="AO128" s="59">
        <f t="shared" si="90"/>
        <v>0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-4.1500243241898714E-13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292.4657394642</v>
      </c>
      <c r="BJ128" s="59">
        <f t="shared" si="92"/>
        <v>333.80517619352395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0.4113013463918373</v>
      </c>
      <c r="BQ128" s="21">
        <f>EXP(-LN(2)/25)*BQ127+(1-EXP(-LN(2)/25))/(LN(2)/25)*Calculateur!BL128*Calculateur!BN128*VLOOKUP('Données projet'!$B$11,Paramètres!$A$1:$I$89,3,0)*0.475*44/12</f>
        <v>1.2186548416017733</v>
      </c>
      <c r="BR128" s="21">
        <f>EXP(-LN(2)/2)*BR127+(1-EXP(-LN(2)/2))/(LN(2)/2)*BL128*BO128*VLOOKUP('Données projet'!$B$11,Paramètres!$A$1:$I$89,3,0)*0.475*44/12</f>
        <v>1.2314744047079844E-13</v>
      </c>
      <c r="BS128" s="22">
        <f t="shared" si="63"/>
        <v>1.6299561879937339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0</v>
      </c>
      <c r="CE128" s="59">
        <f t="shared" si="94"/>
        <v>0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150.98674906185317</v>
      </c>
      <c r="T129" s="59">
        <f t="shared" si="88"/>
        <v>306.44063087948552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6.2844911427053152</v>
      </c>
      <c r="AA129" s="21">
        <f>EXP(-LN(2)/25)*AA128+(1-EXP(-LN(2)/25))/(LN(2)/25)*Calculateur!V129*Calculateur!X129*VLOOKUP('Données projet'!$B$9,Paramètres!$A$1:$I$89,3,0)*0.475*44/12</f>
        <v>4.1275714429254853</v>
      </c>
      <c r="AB129" s="21">
        <f>EXP(-LN(2)/2)*AB128+(1-EXP(-LN(2)/2))/(LN(2)/2)*V129*Y129*VLOOKUP('Données projet'!$B$9,Paramètres!$A$1:$I$89,3,0)*0.475*44/12</f>
        <v>1.0999682294031753E-12</v>
      </c>
      <c r="AC129" s="22">
        <f t="shared" si="57"/>
        <v>10.412062585631899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-1.2414602679200469E-13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0</v>
      </c>
      <c r="AO129" s="59">
        <f t="shared" si="90"/>
        <v>0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-4.1500243241898714E-13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292.4657394642</v>
      </c>
      <c r="BJ129" s="59">
        <f t="shared" si="92"/>
        <v>333.80517619352395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0.40323597785814341</v>
      </c>
      <c r="BQ129" s="21">
        <f>EXP(-LN(2)/25)*BQ128+(1-EXP(-LN(2)/25))/(LN(2)/25)*Calculateur!BL129*Calculateur!BN129*VLOOKUP('Données projet'!$B$11,Paramètres!$A$1:$I$89,3,0)*0.475*44/12</f>
        <v>1.1853306608718999</v>
      </c>
      <c r="BR129" s="21">
        <f>EXP(-LN(2)/2)*BR128+(1-EXP(-LN(2)/2))/(LN(2)/2)*BL129*BO129*VLOOKUP('Données projet'!$B$11,Paramètres!$A$1:$I$89,3,0)*0.475*44/12</f>
        <v>8.7078390242668261E-14</v>
      </c>
      <c r="BS129" s="22">
        <f t="shared" si="63"/>
        <v>1.5885666387301303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0</v>
      </c>
      <c r="CE129" s="59">
        <f t="shared" si="94"/>
        <v>0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150.98674906185317</v>
      </c>
      <c r="T130" s="59">
        <f t="shared" si="88"/>
        <v>306.44063087948552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6.1612561045579675</v>
      </c>
      <c r="AA130" s="21">
        <f>EXP(-LN(2)/25)*AA129+(1-EXP(-LN(2)/25))/(LN(2)/25)*Calculateur!V130*Calculateur!X130*VLOOKUP('Données projet'!$B$9,Paramètres!$A$1:$I$89,3,0)*0.475*44/12</f>
        <v>4.0147027847591392</v>
      </c>
      <c r="AB130" s="21">
        <f>EXP(-LN(2)/2)*AB129+(1-EXP(-LN(2)/2))/(LN(2)/2)*V130*Y130*VLOOKUP('Données projet'!$B$9,Paramètres!$A$1:$I$89,3,0)*0.475*44/12</f>
        <v>7.7779499410074519E-13</v>
      </c>
      <c r="AC130" s="22">
        <f t="shared" si="57"/>
        <v>10.175958889317885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-1.2414602679200469E-13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0</v>
      </c>
      <c r="AO130" s="59">
        <f t="shared" si="90"/>
        <v>0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-4.1500243241898714E-13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292.4657394642</v>
      </c>
      <c r="BJ130" s="59">
        <f t="shared" si="92"/>
        <v>333.80517619352395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0.39532876628200619</v>
      </c>
      <c r="BQ130" s="21">
        <f>EXP(-LN(2)/25)*BQ129+(1-EXP(-LN(2)/25))/(LN(2)/25)*Calculateur!BL130*Calculateur!BN130*VLOOKUP('Données projet'!$B$11,Paramètres!$A$1:$I$89,3,0)*0.475*44/12</f>
        <v>1.1529177316165273</v>
      </c>
      <c r="BR130" s="21">
        <f>EXP(-LN(2)/2)*BR129+(1-EXP(-LN(2)/2))/(LN(2)/2)*BL130*BO130*VLOOKUP('Données projet'!$B$11,Paramètres!$A$1:$I$89,3,0)*0.475*44/12</f>
        <v>6.157372023539922E-14</v>
      </c>
      <c r="BS130" s="22">
        <f t="shared" si="63"/>
        <v>1.548246497898595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0</v>
      </c>
      <c r="CE130" s="59">
        <f t="shared" si="94"/>
        <v>0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150.98674906185317</v>
      </c>
      <c r="T131" s="59">
        <f t="shared" si="88"/>
        <v>306.44063087948552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6.0404376303427387</v>
      </c>
      <c r="AA131" s="21">
        <f>EXP(-LN(2)/25)*AA130+(1-EXP(-LN(2)/25))/(LN(2)/25)*Calculateur!V131*Calculateur!X131*VLOOKUP('Données projet'!$B$9,Paramètres!$A$1:$I$89,3,0)*0.475*44/12</f>
        <v>3.9049205259858568</v>
      </c>
      <c r="AB131" s="21">
        <f>EXP(-LN(2)/2)*AB130+(1-EXP(-LN(2)/2))/(LN(2)/2)*V131*Y131*VLOOKUP('Données projet'!$B$9,Paramètres!$A$1:$I$89,3,0)*0.475*44/12</f>
        <v>5.4998411470158764E-13</v>
      </c>
      <c r="AC131" s="22">
        <f t="shared" si="57"/>
        <v>9.9453581563291458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-1.2414602679200469E-13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0</v>
      </c>
      <c r="AO131" s="59">
        <f t="shared" si="90"/>
        <v>0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-4.1500243241898714E-13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292.4657394642</v>
      </c>
      <c r="BJ131" s="59">
        <f t="shared" si="92"/>
        <v>333.80517619352395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0.38757661030195417</v>
      </c>
      <c r="BQ131" s="21">
        <f>EXP(-LN(2)/25)*BQ130+(1-EXP(-LN(2)/25))/(LN(2)/25)*Calculateur!BL131*Calculateur!BN131*VLOOKUP('Données projet'!$B$11,Paramètres!$A$1:$I$89,3,0)*0.475*44/12</f>
        <v>1.121391135616165</v>
      </c>
      <c r="BR131" s="21">
        <f>EXP(-LN(2)/2)*BR130+(1-EXP(-LN(2)/2))/(LN(2)/2)*BL131*BO131*VLOOKUP('Données projet'!$B$11,Paramètres!$A$1:$I$89,3,0)*0.475*44/12</f>
        <v>4.3539195121334131E-14</v>
      </c>
      <c r="BS131" s="22">
        <f t="shared" si="63"/>
        <v>1.5089677459181627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0</v>
      </c>
      <c r="CE131" s="59">
        <f t="shared" si="94"/>
        <v>0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150.98674906185317</v>
      </c>
      <c r="T132" s="59">
        <f t="shared" si="88"/>
        <v>306.44063087948552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5.9219883327148777</v>
      </c>
      <c r="AA132" s="21">
        <f>EXP(-LN(2)/25)*AA131+(1-EXP(-LN(2)/25))/(LN(2)/25)*Calculateur!V132*Calculateur!X132*VLOOKUP('Données projet'!$B$9,Paramètres!$A$1:$I$89,3,0)*0.475*44/12</f>
        <v>3.7981402688519279</v>
      </c>
      <c r="AB132" s="21">
        <f>EXP(-LN(2)/2)*AB131+(1-EXP(-LN(2)/2))/(LN(2)/2)*V132*Y132*VLOOKUP('Données projet'!$B$9,Paramètres!$A$1:$I$89,3,0)*0.475*44/12</f>
        <v>3.888974970503726E-13</v>
      </c>
      <c r="AC132" s="22">
        <f t="shared" ref="AC132:AC153" si="111">SUM(Z132:AB132)</f>
        <v>9.720128601567195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-1.2414602679200469E-13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0</v>
      </c>
      <c r="AO132" s="59">
        <f t="shared" si="90"/>
        <v>0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-4.1500243241898714E-13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292.4657394642</v>
      </c>
      <c r="BJ132" s="59">
        <f t="shared" si="92"/>
        <v>333.80517619352395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0.37997646937232271</v>
      </c>
      <c r="BQ132" s="21">
        <f>EXP(-LN(2)/25)*BQ131+(1-EXP(-LN(2)/25))/(LN(2)/25)*Calculateur!BL132*Calculateur!BN132*VLOOKUP('Données projet'!$B$11,Paramètres!$A$1:$I$89,3,0)*0.475*44/12</f>
        <v>1.0907266360413441</v>
      </c>
      <c r="BR132" s="21">
        <f>EXP(-LN(2)/2)*BR131+(1-EXP(-LN(2)/2))/(LN(2)/2)*BL132*BO132*VLOOKUP('Données projet'!$B$11,Paramètres!$A$1:$I$89,3,0)*0.475*44/12</f>
        <v>3.078686011769961E-14</v>
      </c>
      <c r="BS132" s="22">
        <f t="shared" ref="BS132:BS153" si="117">SUM(BP132:BR132)</f>
        <v>1.4707031054136976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0</v>
      </c>
      <c r="CE132" s="59">
        <f t="shared" si="94"/>
        <v>0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150.98674906185317</v>
      </c>
      <c r="T133" s="59">
        <f t="shared" ref="T133:T196" si="142">$T$3</f>
        <v>306.44063087948552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5.8058617535665613</v>
      </c>
      <c r="AA133" s="21">
        <f>EXP(-LN(2)/25)*AA132+(1-EXP(-LN(2)/25))/(LN(2)/25)*Calculateur!V133*Calculateur!X133*VLOOKUP('Données projet'!$B$9,Paramètres!$A$1:$I$89,3,0)*0.475*44/12</f>
        <v>3.6942799234646562</v>
      </c>
      <c r="AB133" s="21">
        <f>EXP(-LN(2)/2)*AB132+(1-EXP(-LN(2)/2))/(LN(2)/2)*V133*Y133*VLOOKUP('Données projet'!$B$9,Paramètres!$A$1:$I$89,3,0)*0.475*44/12</f>
        <v>2.7499205735079382E-13</v>
      </c>
      <c r="AC133" s="22">
        <f t="shared" si="111"/>
        <v>9.5001416770314933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-1.2414602679200469E-13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0</v>
      </c>
      <c r="AO133" s="59">
        <f t="shared" ref="AO133:AO196" si="144">$AO$3</f>
        <v>0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-4.1500243241898714E-13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292.4657394642</v>
      </c>
      <c r="BJ133" s="59">
        <f t="shared" ref="BJ133:BJ196" si="146">$BJ$3</f>
        <v>333.80517619352395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0.37252536257069313</v>
      </c>
      <c r="BQ133" s="21">
        <f>EXP(-LN(2)/25)*BQ132+(1-EXP(-LN(2)/25))/(LN(2)/25)*Calculateur!BL133*Calculateur!BN133*VLOOKUP('Données projet'!$B$11,Paramètres!$A$1:$I$89,3,0)*0.475*44/12</f>
        <v>1.0609006588199728</v>
      </c>
      <c r="BR133" s="21">
        <f>EXP(-LN(2)/2)*BR132+(1-EXP(-LN(2)/2))/(LN(2)/2)*BL133*BO133*VLOOKUP('Données projet'!$B$11,Paramètres!$A$1:$I$89,3,0)*0.475*44/12</f>
        <v>2.1769597560667065E-14</v>
      </c>
      <c r="BS133" s="22">
        <f t="shared" si="117"/>
        <v>1.4334260213906878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0</v>
      </c>
      <c r="CE133" s="59">
        <f t="shared" ref="CE133:CE196" si="148">$CE$3</f>
        <v>0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150.98674906185317</v>
      </c>
      <c r="T134" s="59">
        <f t="shared" si="142"/>
        <v>306.44063087948552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5.6920123458051233</v>
      </c>
      <c r="AA134" s="21">
        <f>EXP(-LN(2)/25)*AA133+(1-EXP(-LN(2)/25))/(LN(2)/25)*Calculateur!V134*Calculateur!X134*VLOOKUP('Données projet'!$B$9,Paramètres!$A$1:$I$89,3,0)*0.475*44/12</f>
        <v>3.5932596446837772</v>
      </c>
      <c r="AB134" s="21">
        <f>EXP(-LN(2)/2)*AB133+(1-EXP(-LN(2)/2))/(LN(2)/2)*V134*Y134*VLOOKUP('Données projet'!$B$9,Paramètres!$A$1:$I$89,3,0)*0.475*44/12</f>
        <v>1.944487485251863E-13</v>
      </c>
      <c r="AC134" s="22">
        <f t="shared" si="111"/>
        <v>9.285271990489095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-1.2414602679200469E-13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0</v>
      </c>
      <c r="AO134" s="59">
        <f t="shared" si="144"/>
        <v>0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-4.1500243241898714E-13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292.4657394642</v>
      </c>
      <c r="BJ134" s="59">
        <f t="shared" si="146"/>
        <v>333.80517619352395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0.36522036742871711</v>
      </c>
      <c r="BQ134" s="21">
        <f>EXP(-LN(2)/25)*BQ133+(1-EXP(-LN(2)/25))/(LN(2)/25)*Calculateur!BL134*Calculateur!BN134*VLOOKUP('Données projet'!$B$11,Paramètres!$A$1:$I$89,3,0)*0.475*44/12</f>
        <v>1.0318902745141996</v>
      </c>
      <c r="BR134" s="21">
        <f>EXP(-LN(2)/2)*BR133+(1-EXP(-LN(2)/2))/(LN(2)/2)*BL134*BO134*VLOOKUP('Données projet'!$B$11,Paramètres!$A$1:$I$89,3,0)*0.475*44/12</f>
        <v>1.5393430058849805E-14</v>
      </c>
      <c r="BS134" s="22">
        <f t="shared" si="117"/>
        <v>1.397110641942932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0</v>
      </c>
      <c r="CE134" s="59">
        <f t="shared" si="148"/>
        <v>0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150.98674906185317</v>
      </c>
      <c r="T135" s="59">
        <f t="shared" si="142"/>
        <v>306.44063087948552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5.5803954554886053</v>
      </c>
      <c r="AA135" s="21">
        <f>EXP(-LN(2)/25)*AA134+(1-EXP(-LN(2)/25))/(LN(2)/25)*Calculateur!V135*Calculateur!X135*VLOOKUP('Données projet'!$B$9,Paramètres!$A$1:$I$89,3,0)*0.475*44/12</f>
        <v>3.495001770738587</v>
      </c>
      <c r="AB135" s="21">
        <f>EXP(-LN(2)/2)*AB134+(1-EXP(-LN(2)/2))/(LN(2)/2)*V135*Y135*VLOOKUP('Données projet'!$B$9,Paramètres!$A$1:$I$89,3,0)*0.475*44/12</f>
        <v>1.3749602867539691E-13</v>
      </c>
      <c r="AC135" s="22">
        <f t="shared" si="111"/>
        <v>9.075397226227329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-1.2414602679200469E-13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0</v>
      </c>
      <c r="AO135" s="59">
        <f t="shared" si="144"/>
        <v>0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-4.1500243241898714E-13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292.4657394642</v>
      </c>
      <c r="BJ135" s="59">
        <f t="shared" si="146"/>
        <v>333.80517619352395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0.35805861878586814</v>
      </c>
      <c r="BQ135" s="21">
        <f>EXP(-LN(2)/25)*BQ134+(1-EXP(-LN(2)/25))/(LN(2)/25)*Calculateur!BL135*Calculateur!BN135*VLOOKUP('Données projet'!$B$11,Paramètres!$A$1:$I$89,3,0)*0.475*44/12</f>
        <v>1.0036731806928576</v>
      </c>
      <c r="BR135" s="21">
        <f>EXP(-LN(2)/2)*BR134+(1-EXP(-LN(2)/2))/(LN(2)/2)*BL135*BO135*VLOOKUP('Données projet'!$B$11,Paramètres!$A$1:$I$89,3,0)*0.475*44/12</f>
        <v>1.0884798780333533E-14</v>
      </c>
      <c r="BS135" s="22">
        <f t="shared" si="117"/>
        <v>1.3617317994787366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0</v>
      </c>
      <c r="CE135" s="59">
        <f t="shared" si="148"/>
        <v>0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150.98674906185317</v>
      </c>
      <c r="T136" s="59">
        <f t="shared" si="142"/>
        <v>306.44063087948552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5.470967304311614</v>
      </c>
      <c r="AA136" s="21">
        <f>EXP(-LN(2)/25)*AA135+(1-EXP(-LN(2)/25))/(LN(2)/25)*Calculateur!V136*Calculateur!X136*VLOOKUP('Données projet'!$B$9,Paramètres!$A$1:$I$89,3,0)*0.475*44/12</f>
        <v>3.399430763523585</v>
      </c>
      <c r="AB136" s="21">
        <f>EXP(-LN(2)/2)*AB135+(1-EXP(-LN(2)/2))/(LN(2)/2)*V136*Y136*VLOOKUP('Données projet'!$B$9,Paramètres!$A$1:$I$89,3,0)*0.475*44/12</f>
        <v>9.7224374262593149E-14</v>
      </c>
      <c r="AC136" s="22">
        <f t="shared" si="111"/>
        <v>8.8703980678352963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-1.2414602679200469E-13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0</v>
      </c>
      <c r="AO136" s="59">
        <f t="shared" si="144"/>
        <v>0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-4.1500243241898714E-13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292.4657394642</v>
      </c>
      <c r="BJ136" s="59">
        <f t="shared" si="146"/>
        <v>333.80517619352395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0.3510373076656701</v>
      </c>
      <c r="BQ136" s="21">
        <f>EXP(-LN(2)/25)*BQ135+(1-EXP(-LN(2)/25))/(LN(2)/25)*Calculateur!BL136*Calculateur!BN136*VLOOKUP('Données projet'!$B$11,Paramètres!$A$1:$I$89,3,0)*0.475*44/12</f>
        <v>0.9762276847859328</v>
      </c>
      <c r="BR136" s="21">
        <f>EXP(-LN(2)/2)*BR135+(1-EXP(-LN(2)/2))/(LN(2)/2)*BL136*BO136*VLOOKUP('Données projet'!$B$11,Paramètres!$A$1:$I$89,3,0)*0.475*44/12</f>
        <v>7.6967150294249025E-15</v>
      </c>
      <c r="BS136" s="22">
        <f t="shared" si="117"/>
        <v>1.3272649924516107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0</v>
      </c>
      <c r="CE136" s="59">
        <f t="shared" si="148"/>
        <v>0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150.98674906185317</v>
      </c>
      <c r="T137" s="59">
        <f t="shared" si="142"/>
        <v>306.44063087948552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5.3636849724346218</v>
      </c>
      <c r="AA137" s="21">
        <f>EXP(-LN(2)/25)*AA136+(1-EXP(-LN(2)/25))/(LN(2)/25)*Calculateur!V137*Calculateur!X137*VLOOKUP('Données projet'!$B$9,Paramètres!$A$1:$I$89,3,0)*0.475*44/12</f>
        <v>3.3064731505267382</v>
      </c>
      <c r="AB137" s="21">
        <f>EXP(-LN(2)/2)*AB136+(1-EXP(-LN(2)/2))/(LN(2)/2)*V137*Y137*VLOOKUP('Données projet'!$B$9,Paramètres!$A$1:$I$89,3,0)*0.475*44/12</f>
        <v>6.8748014337698456E-14</v>
      </c>
      <c r="AC137" s="22">
        <f t="shared" si="111"/>
        <v>8.6701581229614302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-1.2414602679200469E-13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0</v>
      </c>
      <c r="AO137" s="59">
        <f t="shared" si="144"/>
        <v>0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-4.1500243241898714E-13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292.4657394642</v>
      </c>
      <c r="BJ137" s="59">
        <f t="shared" si="146"/>
        <v>333.80517619352395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0.3441536801739622</v>
      </c>
      <c r="BQ137" s="21">
        <f>EXP(-LN(2)/25)*BQ136+(1-EXP(-LN(2)/25))/(LN(2)/25)*Calculateur!BL137*Calculateur!BN137*VLOOKUP('Données projet'!$B$11,Paramètres!$A$1:$I$89,3,0)*0.475*44/12</f>
        <v>0.94953268740787877</v>
      </c>
      <c r="BR137" s="21">
        <f>EXP(-LN(2)/2)*BR136+(1-EXP(-LN(2)/2))/(LN(2)/2)*BL137*BO137*VLOOKUP('Données projet'!$B$11,Paramètres!$A$1:$I$89,3,0)*0.475*44/12</f>
        <v>5.4423993901667663E-15</v>
      </c>
      <c r="BS137" s="22">
        <f t="shared" si="117"/>
        <v>1.2936863675818466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0</v>
      </c>
      <c r="CE137" s="59">
        <f t="shared" si="148"/>
        <v>0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150.98674906185317</v>
      </c>
      <c r="T138" s="59">
        <f t="shared" si="142"/>
        <v>306.44063087948552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5.2585063816499762</v>
      </c>
      <c r="AA138" s="21">
        <f>EXP(-LN(2)/25)*AA137+(1-EXP(-LN(2)/25))/(LN(2)/25)*Calculateur!V138*Calculateur!X138*VLOOKUP('Données projet'!$B$9,Paramètres!$A$1:$I$89,3,0)*0.475*44/12</f>
        <v>3.2160574683457184</v>
      </c>
      <c r="AB138" s="21">
        <f>EXP(-LN(2)/2)*AB137+(1-EXP(-LN(2)/2))/(LN(2)/2)*V138*Y138*VLOOKUP('Données projet'!$B$9,Paramètres!$A$1:$I$89,3,0)*0.475*44/12</f>
        <v>4.8612187131296575E-14</v>
      </c>
      <c r="AC138" s="22">
        <f t="shared" si="111"/>
        <v>8.474563849995743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-1.2414602679200469E-13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0</v>
      </c>
      <c r="AO138" s="59">
        <f t="shared" si="144"/>
        <v>0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-4.1500243241898714E-13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292.4657394642</v>
      </c>
      <c r="BJ138" s="59">
        <f t="shared" si="146"/>
        <v>333.80517619352395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0.33740503641876851</v>
      </c>
      <c r="BQ138" s="21">
        <f>EXP(-LN(2)/25)*BQ137+(1-EXP(-LN(2)/25))/(LN(2)/25)*Calculateur!BL138*Calculateur!BN138*VLOOKUP('Données projet'!$B$11,Paramètres!$A$1:$I$89,3,0)*0.475*44/12</f>
        <v>0.92356766613695651</v>
      </c>
      <c r="BR138" s="21">
        <f>EXP(-LN(2)/2)*BR137+(1-EXP(-LN(2)/2))/(LN(2)/2)*BL138*BO138*VLOOKUP('Données projet'!$B$11,Paramètres!$A$1:$I$89,3,0)*0.475*44/12</f>
        <v>3.8483575147124513E-15</v>
      </c>
      <c r="BS138" s="22">
        <f t="shared" si="117"/>
        <v>1.2609727025557287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0</v>
      </c>
      <c r="CE138" s="59">
        <f t="shared" si="148"/>
        <v>0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150.98674906185317</v>
      </c>
      <c r="T139" s="59">
        <f t="shared" si="142"/>
        <v>306.44063087948552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5.155390278878011</v>
      </c>
      <c r="AA139" s="21">
        <f>EXP(-LN(2)/25)*AA138+(1-EXP(-LN(2)/25))/(LN(2)/25)*Calculateur!V139*Calculateur!X139*VLOOKUP('Données projet'!$B$9,Paramètres!$A$1:$I$89,3,0)*0.475*44/12</f>
        <v>3.128114207748693</v>
      </c>
      <c r="AB139" s="21">
        <f>EXP(-LN(2)/2)*AB138+(1-EXP(-LN(2)/2))/(LN(2)/2)*V139*Y139*VLOOKUP('Données projet'!$B$9,Paramètres!$A$1:$I$89,3,0)*0.475*44/12</f>
        <v>3.4374007168849228E-14</v>
      </c>
      <c r="AC139" s="22">
        <f t="shared" si="111"/>
        <v>8.2835044866267378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-1.2414602679200469E-13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0</v>
      </c>
      <c r="AO139" s="59">
        <f t="shared" si="144"/>
        <v>0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-4.1500243241898714E-13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292.4657394642</v>
      </c>
      <c r="BJ139" s="59">
        <f t="shared" si="146"/>
        <v>333.80517619352395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0.33078872945134796</v>
      </c>
      <c r="BQ139" s="21">
        <f>EXP(-LN(2)/25)*BQ138+(1-EXP(-LN(2)/25))/(LN(2)/25)*Calculateur!BL139*Calculateur!BN139*VLOOKUP('Données projet'!$B$11,Paramètres!$A$1:$I$89,3,0)*0.475*44/12</f>
        <v>0.89831265973812868</v>
      </c>
      <c r="BR139" s="21">
        <f>EXP(-LN(2)/2)*BR138+(1-EXP(-LN(2)/2))/(LN(2)/2)*BL139*BO139*VLOOKUP('Données projet'!$B$11,Paramètres!$A$1:$I$89,3,0)*0.475*44/12</f>
        <v>2.7211996950833832E-15</v>
      </c>
      <c r="BS139" s="22">
        <f t="shared" si="117"/>
        <v>1.2291013891894793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0</v>
      </c>
      <c r="CE139" s="59">
        <f t="shared" si="148"/>
        <v>0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150.98674906185317</v>
      </c>
      <c r="T140" s="59">
        <f t="shared" si="142"/>
        <v>306.44063087948552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5.0542962199867922</v>
      </c>
      <c r="AA140" s="21">
        <f>EXP(-LN(2)/25)*AA139+(1-EXP(-LN(2)/25))/(LN(2)/25)*Calculateur!V140*Calculateur!X140*VLOOKUP('Données projet'!$B$9,Paramètres!$A$1:$I$89,3,0)*0.475*44/12</f>
        <v>3.0425757602374284</v>
      </c>
      <c r="AB140" s="21">
        <f>EXP(-LN(2)/2)*AB139+(1-EXP(-LN(2)/2))/(LN(2)/2)*V140*Y140*VLOOKUP('Données projet'!$B$9,Paramètres!$A$1:$I$89,3,0)*0.475*44/12</f>
        <v>2.4306093565648287E-14</v>
      </c>
      <c r="AC140" s="22">
        <f t="shared" si="111"/>
        <v>8.096871980224245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-1.2414602679200469E-13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0</v>
      </c>
      <c r="AO140" s="59">
        <f t="shared" si="144"/>
        <v>0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-4.1500243241898714E-13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292.4657394642</v>
      </c>
      <c r="BJ140" s="59">
        <f t="shared" si="146"/>
        <v>333.80517619352395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0.32430216422800973</v>
      </c>
      <c r="BQ140" s="21">
        <f>EXP(-LN(2)/25)*BQ139+(1-EXP(-LN(2)/25))/(LN(2)/25)*Calculateur!BL140*Calculateur!BN140*VLOOKUP('Données projet'!$B$11,Paramètres!$A$1:$I$89,3,0)*0.475*44/12</f>
        <v>0.87374825281737989</v>
      </c>
      <c r="BR140" s="21">
        <f>EXP(-LN(2)/2)*BR139+(1-EXP(-LN(2)/2))/(LN(2)/2)*BL140*BO140*VLOOKUP('Données projet'!$B$11,Paramètres!$A$1:$I$89,3,0)*0.475*44/12</f>
        <v>1.9241787573562256E-15</v>
      </c>
      <c r="BS140" s="22">
        <f t="shared" si="117"/>
        <v>1.1980504170453916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0</v>
      </c>
      <c r="CE140" s="59">
        <f t="shared" si="148"/>
        <v>0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150.98674906185317</v>
      </c>
      <c r="T141" s="59">
        <f t="shared" si="142"/>
        <v>306.44063087948552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4.9551845539291426</v>
      </c>
      <c r="AA141" s="21">
        <f>EXP(-LN(2)/25)*AA140+(1-EXP(-LN(2)/25))/(LN(2)/25)*Calculateur!V141*Calculateur!X141*VLOOKUP('Données projet'!$B$9,Paramètres!$A$1:$I$89,3,0)*0.475*44/12</f>
        <v>2.9593763660716306</v>
      </c>
      <c r="AB141" s="21">
        <f>EXP(-LN(2)/2)*AB140+(1-EXP(-LN(2)/2))/(LN(2)/2)*V141*Y141*VLOOKUP('Données projet'!$B$9,Paramètres!$A$1:$I$89,3,0)*0.475*44/12</f>
        <v>1.7187003584424614E-14</v>
      </c>
      <c r="AC141" s="22">
        <f t="shared" si="111"/>
        <v>7.91456092000079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-1.2414602679200469E-13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0</v>
      </c>
      <c r="AO141" s="59">
        <f t="shared" si="144"/>
        <v>0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-4.1500243241898714E-13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292.4657394642</v>
      </c>
      <c r="BJ141" s="59">
        <f t="shared" si="146"/>
        <v>333.80517619352395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0.31794279659228702</v>
      </c>
      <c r="BQ141" s="21">
        <f>EXP(-LN(2)/25)*BQ140+(1-EXP(-LN(2)/25))/(LN(2)/25)*Calculateur!BL141*Calculateur!BN141*VLOOKUP('Données projet'!$B$11,Paramètres!$A$1:$I$89,3,0)*0.475*44/12</f>
        <v>0.84985556089566505</v>
      </c>
      <c r="BR141" s="21">
        <f>EXP(-LN(2)/2)*BR140+(1-EXP(-LN(2)/2))/(LN(2)/2)*BL141*BO141*VLOOKUP('Données projet'!$B$11,Paramètres!$A$1:$I$89,3,0)*0.475*44/12</f>
        <v>1.3605998475416916E-15</v>
      </c>
      <c r="BS141" s="22">
        <f t="shared" si="117"/>
        <v>1.1677983574879534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0</v>
      </c>
      <c r="CE141" s="59">
        <f t="shared" si="148"/>
        <v>0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150.98674906185317</v>
      </c>
      <c r="T142" s="59">
        <f t="shared" si="142"/>
        <v>306.44063087948552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4.8580164071907364</v>
      </c>
      <c r="AA142" s="21">
        <f>EXP(-LN(2)/25)*AA141+(1-EXP(-LN(2)/25))/(LN(2)/25)*Calculateur!V142*Calculateur!X142*VLOOKUP('Données projet'!$B$9,Paramètres!$A$1:$I$89,3,0)*0.475*44/12</f>
        <v>2.8784520637145623</v>
      </c>
      <c r="AB142" s="21">
        <f>EXP(-LN(2)/2)*AB141+(1-EXP(-LN(2)/2))/(LN(2)/2)*V142*Y142*VLOOKUP('Données projet'!$B$9,Paramètres!$A$1:$I$89,3,0)*0.475*44/12</f>
        <v>1.2153046782824144E-14</v>
      </c>
      <c r="AC142" s="22">
        <f t="shared" si="111"/>
        <v>7.7364684709053115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-1.2414602679200469E-13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0</v>
      </c>
      <c r="AO142" s="59">
        <f t="shared" si="144"/>
        <v>0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-4.1500243241898714E-13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292.4657394642</v>
      </c>
      <c r="BJ142" s="59">
        <f t="shared" si="146"/>
        <v>333.80517619352395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0.31170813227706962</v>
      </c>
      <c r="BQ142" s="21">
        <f>EXP(-LN(2)/25)*BQ141+(1-EXP(-LN(2)/25))/(LN(2)/25)*Calculateur!BL142*Calculateur!BN142*VLOOKUP('Données projet'!$B$11,Paramètres!$A$1:$I$89,3,0)*0.475*44/12</f>
        <v>0.82661621589101153</v>
      </c>
      <c r="BR142" s="21">
        <f>EXP(-LN(2)/2)*BR141+(1-EXP(-LN(2)/2))/(LN(2)/2)*BL142*BO142*VLOOKUP('Données projet'!$B$11,Paramètres!$A$1:$I$89,3,0)*0.475*44/12</f>
        <v>9.6208937867811282E-16</v>
      </c>
      <c r="BS142" s="22">
        <f t="shared" si="117"/>
        <v>1.138324348168082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0</v>
      </c>
      <c r="CE142" s="59">
        <f t="shared" si="148"/>
        <v>0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150.98674906185317</v>
      </c>
      <c r="T143" s="59">
        <f t="shared" si="142"/>
        <v>306.44063087948552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4.7627536685431524</v>
      </c>
      <c r="AA143" s="21">
        <f>EXP(-LN(2)/25)*AA142+(1-EXP(-LN(2)/25))/(LN(2)/25)*Calculateur!V143*Calculateur!X143*VLOOKUP('Données projet'!$B$9,Paramètres!$A$1:$I$89,3,0)*0.475*44/12</f>
        <v>2.7997406406610725</v>
      </c>
      <c r="AB143" s="21">
        <f>EXP(-LN(2)/2)*AB142+(1-EXP(-LN(2)/2))/(LN(2)/2)*V143*Y143*VLOOKUP('Données projet'!$B$9,Paramètres!$A$1:$I$89,3,0)*0.475*44/12</f>
        <v>8.5935017922123069E-15</v>
      </c>
      <c r="AC143" s="22">
        <f t="shared" si="111"/>
        <v>7.5624943092042338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-1.2414602679200469E-13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0</v>
      </c>
      <c r="AO143" s="59">
        <f t="shared" si="144"/>
        <v>0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-4.1500243241898714E-13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292.4657394642</v>
      </c>
      <c r="BJ143" s="59">
        <f t="shared" si="146"/>
        <v>333.80517619352395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0.30559572592630385</v>
      </c>
      <c r="BQ143" s="21">
        <f>EXP(-LN(2)/25)*BQ142+(1-EXP(-LN(2)/25))/(LN(2)/25)*Calculateur!BL143*Calculateur!BN143*VLOOKUP('Données projet'!$B$11,Paramètres!$A$1:$I$89,3,0)*0.475*44/12</f>
        <v>0.80401235199761423</v>
      </c>
      <c r="BR143" s="21">
        <f>EXP(-LN(2)/2)*BR142+(1-EXP(-LN(2)/2))/(LN(2)/2)*BL143*BO143*VLOOKUP('Données projet'!$B$11,Paramètres!$A$1:$I$89,3,0)*0.475*44/12</f>
        <v>6.8029992377084579E-16</v>
      </c>
      <c r="BS143" s="22">
        <f t="shared" si="117"/>
        <v>1.1096080779239188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0</v>
      </c>
      <c r="CE143" s="59">
        <f t="shared" si="148"/>
        <v>0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150.98674906185317</v>
      </c>
      <c r="T144" s="59">
        <f t="shared" si="142"/>
        <v>306.44063087948552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4.6693589740959149</v>
      </c>
      <c r="AA144" s="21">
        <f>EXP(-LN(2)/25)*AA143+(1-EXP(-LN(2)/25))/(LN(2)/25)*Calculateur!V144*Calculateur!X144*VLOOKUP('Données projet'!$B$9,Paramètres!$A$1:$I$89,3,0)*0.475*44/12</f>
        <v>2.7231815856102339</v>
      </c>
      <c r="AB144" s="21">
        <f>EXP(-LN(2)/2)*AB143+(1-EXP(-LN(2)/2))/(LN(2)/2)*V144*Y144*VLOOKUP('Données projet'!$B$9,Paramètres!$A$1:$I$89,3,0)*0.475*44/12</f>
        <v>6.0765233914120718E-15</v>
      </c>
      <c r="AC144" s="22">
        <f t="shared" si="111"/>
        <v>7.3925405597061546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-1.2414602679200469E-13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0</v>
      </c>
      <c r="AO144" s="59">
        <f t="shared" si="144"/>
        <v>0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-4.1500243241898714E-13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292.4657394642</v>
      </c>
      <c r="BJ144" s="59">
        <f t="shared" si="146"/>
        <v>333.80517619352395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0.29960318013587689</v>
      </c>
      <c r="BQ144" s="21">
        <f>EXP(-LN(2)/25)*BQ143+(1-EXP(-LN(2)/25))/(LN(2)/25)*Calculateur!BL144*Calculateur!BN144*VLOOKUP('Données projet'!$B$11,Paramètres!$A$1:$I$89,3,0)*0.475*44/12</f>
        <v>0.7820265919510675</v>
      </c>
      <c r="BR144" s="21">
        <f>EXP(-LN(2)/2)*BR143+(1-EXP(-LN(2)/2))/(LN(2)/2)*BL144*BO144*VLOOKUP('Données projet'!$B$11,Paramètres!$A$1:$I$89,3,0)*0.475*44/12</f>
        <v>4.8104468933905641E-16</v>
      </c>
      <c r="BS144" s="22">
        <f t="shared" si="117"/>
        <v>1.0816297720869448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0</v>
      </c>
      <c r="CE144" s="59">
        <f t="shared" si="148"/>
        <v>0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150.98674906185317</v>
      </c>
      <c r="T145" s="59">
        <f t="shared" si="142"/>
        <v>306.44063087948552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4.577795692641649</v>
      </c>
      <c r="AA145" s="21">
        <f>EXP(-LN(2)/25)*AA144+(1-EXP(-LN(2)/25))/(LN(2)/25)*Calculateur!V145*Calculateur!X145*VLOOKUP('Données projet'!$B$9,Paramètres!$A$1:$I$89,3,0)*0.475*44/12</f>
        <v>2.6487160419458262</v>
      </c>
      <c r="AB145" s="21">
        <f>EXP(-LN(2)/2)*AB144+(1-EXP(-LN(2)/2))/(LN(2)/2)*V145*Y145*VLOOKUP('Données projet'!$B$9,Paramètres!$A$1:$I$89,3,0)*0.475*44/12</f>
        <v>4.2967508961061535E-15</v>
      </c>
      <c r="AC145" s="22">
        <f t="shared" si="111"/>
        <v>7.2265117345874801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-1.2414602679200469E-13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0</v>
      </c>
      <c r="AO145" s="59">
        <f t="shared" si="144"/>
        <v>0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-4.1500243241898714E-13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292.4657394642</v>
      </c>
      <c r="BJ145" s="59">
        <f t="shared" si="146"/>
        <v>333.80517619352395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0.29372814451330814</v>
      </c>
      <c r="BQ145" s="21">
        <f>EXP(-LN(2)/25)*BQ144+(1-EXP(-LN(2)/25))/(LN(2)/25)*Calculateur!BL145*Calculateur!BN145*VLOOKUP('Données projet'!$B$11,Paramètres!$A$1:$I$89,3,0)*0.475*44/12</f>
        <v>0.76064203366917438</v>
      </c>
      <c r="BR145" s="21">
        <f>EXP(-LN(2)/2)*BR144+(1-EXP(-LN(2)/2))/(LN(2)/2)*BL145*BO145*VLOOKUP('Données projet'!$B$11,Paramètres!$A$1:$I$89,3,0)*0.475*44/12</f>
        <v>3.401499618854229E-16</v>
      </c>
      <c r="BS145" s="22">
        <f t="shared" si="117"/>
        <v>1.054370178182483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0</v>
      </c>
      <c r="CE145" s="59">
        <f t="shared" si="148"/>
        <v>0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150.98674906185317</v>
      </c>
      <c r="T146" s="59">
        <f t="shared" si="142"/>
        <v>306.44063087948552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4.4880279112886141</v>
      </c>
      <c r="AA146" s="21">
        <f>EXP(-LN(2)/25)*AA145+(1-EXP(-LN(2)/25))/(LN(2)/25)*Calculateur!V146*Calculateur!X146*VLOOKUP('Données projet'!$B$9,Paramètres!$A$1:$I$89,3,0)*0.475*44/12</f>
        <v>2.5762867624888948</v>
      </c>
      <c r="AB146" s="21">
        <f>EXP(-LN(2)/2)*AB145+(1-EXP(-LN(2)/2))/(LN(2)/2)*V146*Y146*VLOOKUP('Données projet'!$B$9,Paramètres!$A$1:$I$89,3,0)*0.475*44/12</f>
        <v>3.0382616957060359E-15</v>
      </c>
      <c r="AC146" s="22">
        <f t="shared" si="111"/>
        <v>7.0643146737775115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-1.2414602679200469E-13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0</v>
      </c>
      <c r="AO146" s="59">
        <f t="shared" si="144"/>
        <v>0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-4.1500243241898714E-13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292.4657394642</v>
      </c>
      <c r="BJ146" s="59">
        <f t="shared" si="146"/>
        <v>333.80517619352395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0.28796831475588008</v>
      </c>
      <c r="BQ146" s="21">
        <f>EXP(-LN(2)/25)*BQ145+(1-EXP(-LN(2)/25))/(LN(2)/25)*Calculateur!BL146*Calculateur!BN146*VLOOKUP('Données projet'!$B$11,Paramètres!$A$1:$I$89,3,0)*0.475*44/12</f>
        <v>0.73984223725806475</v>
      </c>
      <c r="BR146" s="21">
        <f>EXP(-LN(2)/2)*BR145+(1-EXP(-LN(2)/2))/(LN(2)/2)*BL146*BO146*VLOOKUP('Données projet'!$B$11,Paramètres!$A$1:$I$89,3,0)*0.475*44/12</f>
        <v>2.405223446695282E-16</v>
      </c>
      <c r="BS146" s="22">
        <f t="shared" si="117"/>
        <v>1.0278105520139451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0</v>
      </c>
      <c r="CE146" s="59">
        <f t="shared" si="148"/>
        <v>0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150.98674906185317</v>
      </c>
      <c r="T147" s="59">
        <f t="shared" si="142"/>
        <v>306.44063087948552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4.4000204213749718</v>
      </c>
      <c r="AA147" s="21">
        <f>EXP(-LN(2)/25)*AA146+(1-EXP(-LN(2)/25))/(LN(2)/25)*Calculateur!V147*Calculateur!X147*VLOOKUP('Données projet'!$B$9,Paramètres!$A$1:$I$89,3,0)*0.475*44/12</f>
        <v>2.5058380654876031</v>
      </c>
      <c r="AB147" s="21">
        <f>EXP(-LN(2)/2)*AB146+(1-EXP(-LN(2)/2))/(LN(2)/2)*V147*Y147*VLOOKUP('Données projet'!$B$9,Paramètres!$A$1:$I$89,3,0)*0.475*44/12</f>
        <v>2.1483754480530767E-15</v>
      </c>
      <c r="AC147" s="22">
        <f t="shared" si="111"/>
        <v>6.9058584868625772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-1.2414602679200469E-13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0</v>
      </c>
      <c r="AO147" s="59">
        <f t="shared" si="144"/>
        <v>0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-4.1500243241898714E-13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292.4657394642</v>
      </c>
      <c r="BJ147" s="59">
        <f t="shared" si="146"/>
        <v>333.80517619352395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0.28232143174684593</v>
      </c>
      <c r="BQ147" s="21">
        <f>EXP(-LN(2)/25)*BQ146+(1-EXP(-LN(2)/25))/(LN(2)/25)*Calculateur!BL147*Calculateur!BN147*VLOOKUP('Données projet'!$B$11,Paramètres!$A$1:$I$89,3,0)*0.475*44/12</f>
        <v>0.71961121237363068</v>
      </c>
      <c r="BR147" s="21">
        <f>EXP(-LN(2)/2)*BR146+(1-EXP(-LN(2)/2))/(LN(2)/2)*BL147*BO147*VLOOKUP('Données projet'!$B$11,Paramètres!$A$1:$I$89,3,0)*0.475*44/12</f>
        <v>1.7007498094271145E-16</v>
      </c>
      <c r="BS147" s="22">
        <f t="shared" si="117"/>
        <v>1.0019326441204768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0</v>
      </c>
      <c r="CE147" s="59">
        <f t="shared" si="148"/>
        <v>0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150.98674906185317</v>
      </c>
      <c r="T148" s="59">
        <f t="shared" si="142"/>
        <v>306.44063087948552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4.3137387046592677</v>
      </c>
      <c r="AA148" s="21">
        <f>EXP(-LN(2)/25)*AA147+(1-EXP(-LN(2)/25))/(LN(2)/25)*Calculateur!V148*Calculateur!X148*VLOOKUP('Données projet'!$B$9,Paramètres!$A$1:$I$89,3,0)*0.475*44/12</f>
        <v>2.4373157918105481</v>
      </c>
      <c r="AB148" s="21">
        <f>EXP(-LN(2)/2)*AB147+(1-EXP(-LN(2)/2))/(LN(2)/2)*V148*Y148*VLOOKUP('Données projet'!$B$9,Paramètres!$A$1:$I$89,3,0)*0.475*44/12</f>
        <v>1.519130847853018E-15</v>
      </c>
      <c r="AC148" s="22">
        <f t="shared" si="111"/>
        <v>6.751054496469818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-1.2414602679200469E-13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0</v>
      </c>
      <c r="AO148" s="59">
        <f t="shared" si="144"/>
        <v>0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-4.1500243241898714E-13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292.4657394642</v>
      </c>
      <c r="BJ148" s="59">
        <f t="shared" si="146"/>
        <v>333.80517619352395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0.27678528066936042</v>
      </c>
      <c r="BQ148" s="21">
        <f>EXP(-LN(2)/25)*BQ147+(1-EXP(-LN(2)/25))/(LN(2)/25)*Calculateur!BL148*Calculateur!BN148*VLOOKUP('Données projet'!$B$11,Paramètres!$A$1:$I$89,3,0)*0.475*44/12</f>
        <v>0.69993340592856479</v>
      </c>
      <c r="BR148" s="21">
        <f>EXP(-LN(2)/2)*BR147+(1-EXP(-LN(2)/2))/(LN(2)/2)*BL148*BO148*VLOOKUP('Données projet'!$B$11,Paramètres!$A$1:$I$89,3,0)*0.475*44/12</f>
        <v>1.202611723347641E-16</v>
      </c>
      <c r="BS148" s="22">
        <f t="shared" si="117"/>
        <v>0.97671868659792527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0</v>
      </c>
      <c r="CE148" s="59">
        <f t="shared" si="148"/>
        <v>0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150.98674906185317</v>
      </c>
      <c r="T149" s="59">
        <f t="shared" si="142"/>
        <v>306.44063087948552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4.229148919781708</v>
      </c>
      <c r="AA149" s="21">
        <f>EXP(-LN(2)/25)*AA148+(1-EXP(-LN(2)/25))/(LN(2)/25)*Calculateur!V149*Calculateur!X149*VLOOKUP('Données projet'!$B$9,Paramètres!$A$1:$I$89,3,0)*0.475*44/12</f>
        <v>2.3706672633106218</v>
      </c>
      <c r="AB149" s="21">
        <f>EXP(-LN(2)/2)*AB148+(1-EXP(-LN(2)/2))/(LN(2)/2)*V149*Y149*VLOOKUP('Données projet'!$B$9,Paramètres!$A$1:$I$89,3,0)*0.475*44/12</f>
        <v>1.0741877240265384E-15</v>
      </c>
      <c r="AC149" s="22">
        <f t="shared" si="111"/>
        <v>6.5998161830923303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-1.2414602679200469E-13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0</v>
      </c>
      <c r="AO149" s="59">
        <f t="shared" si="144"/>
        <v>0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-4.1500243241898714E-13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292.4657394642</v>
      </c>
      <c r="BJ149" s="59">
        <f t="shared" si="146"/>
        <v>333.80517619352395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0.27135769013778566</v>
      </c>
      <c r="BQ149" s="21">
        <f>EXP(-LN(2)/25)*BQ148+(1-EXP(-LN(2)/25))/(LN(2)/25)*Calculateur!BL149*Calculateur!BN149*VLOOKUP('Données projet'!$B$11,Paramètres!$A$1:$I$89,3,0)*0.475*44/12</f>
        <v>0.68079369013555013</v>
      </c>
      <c r="BR149" s="21">
        <f>EXP(-LN(2)/2)*BR148+(1-EXP(-LN(2)/2))/(LN(2)/2)*BL149*BO149*VLOOKUP('Données projet'!$B$11,Paramètres!$A$1:$I$89,3,0)*0.475*44/12</f>
        <v>8.5037490471355724E-17</v>
      </c>
      <c r="BS149" s="22">
        <f t="shared" si="117"/>
        <v>0.9521513802733359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0</v>
      </c>
      <c r="CE149" s="59">
        <f t="shared" si="148"/>
        <v>0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150.98674906185317</v>
      </c>
      <c r="T150" s="59">
        <f t="shared" si="142"/>
        <v>306.44063087948552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4.1462178889909227</v>
      </c>
      <c r="AA150" s="21">
        <f>EXP(-LN(2)/25)*AA149+(1-EXP(-LN(2)/25))/(LN(2)/25)*Calculateur!V150*Calculateur!X150*VLOOKUP('Données projet'!$B$9,Paramètres!$A$1:$I$89,3,0)*0.475*44/12</f>
        <v>2.3058412423274199</v>
      </c>
      <c r="AB150" s="21">
        <f>EXP(-LN(2)/2)*AB149+(1-EXP(-LN(2)/2))/(LN(2)/2)*V150*Y150*VLOOKUP('Données projet'!$B$9,Paramètres!$A$1:$I$89,3,0)*0.475*44/12</f>
        <v>7.5956542392650898E-16</v>
      </c>
      <c r="AC150" s="22">
        <f t="shared" si="111"/>
        <v>6.452059131318344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-1.2414602679200469E-13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0</v>
      </c>
      <c r="AO150" s="59">
        <f t="shared" si="144"/>
        <v>0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-4.1500243241898714E-13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292.4657394642</v>
      </c>
      <c r="BJ150" s="59">
        <f t="shared" si="146"/>
        <v>333.80517619352395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0.26603653134603172</v>
      </c>
      <c r="BQ150" s="21">
        <f>EXP(-LN(2)/25)*BQ149+(1-EXP(-LN(2)/25))/(LN(2)/25)*Calculateur!BL150*Calculateur!BN150*VLOOKUP('Données projet'!$B$11,Paramètres!$A$1:$I$89,3,0)*0.475*44/12</f>
        <v>0.66217735087740937</v>
      </c>
      <c r="BR150" s="21">
        <f>EXP(-LN(2)/2)*BR149+(1-EXP(-LN(2)/2))/(LN(2)/2)*BL150*BO150*VLOOKUP('Données projet'!$B$11,Paramètres!$A$1:$I$89,3,0)*0.475*44/12</f>
        <v>6.0130586167382051E-17</v>
      </c>
      <c r="BS150" s="22">
        <f t="shared" si="117"/>
        <v>0.92821388222344126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0</v>
      </c>
      <c r="CE150" s="59">
        <f t="shared" si="148"/>
        <v>0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150.98674906185317</v>
      </c>
      <c r="T151" s="59">
        <f t="shared" si="142"/>
        <v>306.44063087948552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4.0649130851310105</v>
      </c>
      <c r="AA151" s="21">
        <f>EXP(-LN(2)/25)*AA150+(1-EXP(-LN(2)/25))/(LN(2)/25)*Calculateur!V151*Calculateur!X151*VLOOKUP('Données projet'!$B$9,Paramètres!$A$1:$I$89,3,0)*0.475*44/12</f>
        <v>2.2427878922970557</v>
      </c>
      <c r="AB151" s="21">
        <f>EXP(-LN(2)/2)*AB150+(1-EXP(-LN(2)/2))/(LN(2)/2)*V151*Y151*VLOOKUP('Données projet'!$B$9,Paramètres!$A$1:$I$89,3,0)*0.475*44/12</f>
        <v>5.3709386201326918E-16</v>
      </c>
      <c r="AC151" s="22">
        <f t="shared" si="111"/>
        <v>6.307700977428067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-1.2414602679200469E-13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0</v>
      </c>
      <c r="AO151" s="59">
        <f t="shared" si="144"/>
        <v>0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-4.1500243241898714E-13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292.4657394642</v>
      </c>
      <c r="BJ151" s="59">
        <f t="shared" si="146"/>
        <v>333.80517619352395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0.26081971723259773</v>
      </c>
      <c r="BQ151" s="21">
        <f>EXP(-LN(2)/25)*BQ150+(1-EXP(-LN(2)/25))/(LN(2)/25)*Calculateur!BL151*Calculateur!BN151*VLOOKUP('Données projet'!$B$11,Paramètres!$A$1:$I$89,3,0)*0.475*44/12</f>
        <v>0.64407007639527314</v>
      </c>
      <c r="BR151" s="21">
        <f>EXP(-LN(2)/2)*BR150+(1-EXP(-LN(2)/2))/(LN(2)/2)*BL151*BO151*VLOOKUP('Données projet'!$B$11,Paramètres!$A$1:$I$89,3,0)*0.475*44/12</f>
        <v>4.2518745235677862E-17</v>
      </c>
      <c r="BS151" s="22">
        <f t="shared" si="117"/>
        <v>0.90488979362787081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0</v>
      </c>
      <c r="CE151" s="59">
        <f t="shared" si="148"/>
        <v>0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150.98674906185317</v>
      </c>
      <c r="T152" s="59">
        <f t="shared" si="142"/>
        <v>306.44063087948552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3.9852026188837577</v>
      </c>
      <c r="AA152" s="21">
        <f>EXP(-LN(2)/25)*AA151+(1-EXP(-LN(2)/25))/(LN(2)/25)*Calculateur!V152*Calculateur!X152*VLOOKUP('Données projet'!$B$9,Paramètres!$A$1:$I$89,3,0)*0.475*44/12</f>
        <v>2.1814587394391034</v>
      </c>
      <c r="AB152" s="21">
        <f>EXP(-LN(2)/2)*AB151+(1-EXP(-LN(2)/2))/(LN(2)/2)*V152*Y152*VLOOKUP('Données projet'!$B$9,Paramètres!$A$1:$I$89,3,0)*0.475*44/12</f>
        <v>3.7978271196325449E-16</v>
      </c>
      <c r="AC152" s="22">
        <f t="shared" si="111"/>
        <v>6.1666613583228607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-1.2414602679200469E-13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0</v>
      </c>
      <c r="AO152" s="59">
        <f t="shared" si="144"/>
        <v>0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-4.1500243241898714E-13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292.4657394642</v>
      </c>
      <c r="BJ152" s="59">
        <f t="shared" si="146"/>
        <v>333.80517619352395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0.25570520166198574</v>
      </c>
      <c r="BQ152" s="21">
        <f>EXP(-LN(2)/25)*BQ151+(1-EXP(-LN(2)/25))/(LN(2)/25)*Calculateur!BL152*Calculateur!BN152*VLOOKUP('Données projet'!$B$11,Paramètres!$A$1:$I$89,3,0)*0.475*44/12</f>
        <v>0.6264579462860711</v>
      </c>
      <c r="BR152" s="21">
        <f>EXP(-LN(2)/2)*BR151+(1-EXP(-LN(2)/2))/(LN(2)/2)*BL152*BO152*VLOOKUP('Données projet'!$B$11,Paramètres!$A$1:$I$89,3,0)*0.475*44/12</f>
        <v>3.0065293083691025E-17</v>
      </c>
      <c r="BS152" s="22">
        <f t="shared" si="117"/>
        <v>0.88216314794805684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0</v>
      </c>
      <c r="CE152" s="59">
        <f t="shared" si="148"/>
        <v>0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150.98674906185317</v>
      </c>
      <c r="T153" s="59">
        <f t="shared" si="142"/>
        <v>306.44063087948552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3.9070552262610296</v>
      </c>
      <c r="AA153" s="21">
        <f>EXP(-LN(2)/25)*AA152+(1-EXP(-LN(2)/25))/(LN(2)/25)*Calculateur!V153*Calculateur!X153*VLOOKUP('Données projet'!$B$9,Paramètres!$A$1:$I$89,3,0)*0.475*44/12</f>
        <v>2.121806635491212</v>
      </c>
      <c r="AB153" s="21">
        <f>EXP(-LN(2)/2)*AB152+(1-EXP(-LN(2)/2))/(LN(2)/2)*V153*Y153*VLOOKUP('Données projet'!$B$9,Paramètres!$A$1:$I$89,3,0)*0.475*44/12</f>
        <v>2.6854693100663459E-16</v>
      </c>
      <c r="AC153" s="22">
        <f t="shared" si="111"/>
        <v>6.028861861752242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-1.2414602679200469E-13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0</v>
      </c>
      <c r="AO153" s="59">
        <f t="shared" si="144"/>
        <v>0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-4.1500243241898714E-13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292.4657394642</v>
      </c>
      <c r="BJ153" s="59">
        <f t="shared" si="146"/>
        <v>333.80517619352395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0.25069097862216699</v>
      </c>
      <c r="BQ153" s="21">
        <f>EXP(-LN(2)/25)*BQ152+(1-EXP(-LN(2)/25))/(LN(2)/25)*Calculateur!BL153*Calculateur!BN153*VLOOKUP('Données projet'!$B$11,Paramètres!$A$1:$I$89,3,0)*0.475*44/12</f>
        <v>0.60932742080088687</v>
      </c>
      <c r="BR153" s="21">
        <f>EXP(-LN(2)/2)*BR152+(1-EXP(-LN(2)/2))/(LN(2)/2)*BL153*BO153*VLOOKUP('Données projet'!$B$11,Paramètres!$A$1:$I$89,3,0)*0.475*44/12</f>
        <v>2.1259372617838931E-17</v>
      </c>
      <c r="BS153" s="22">
        <f t="shared" si="117"/>
        <v>0.86001839942305391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0</v>
      </c>
      <c r="CE153" s="59">
        <f t="shared" si="148"/>
        <v>0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150.98674906185317</v>
      </c>
      <c r="T154" s="59">
        <f t="shared" si="142"/>
        <v>306.44063087948552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3.8304402563424302</v>
      </c>
      <c r="AA154" s="21">
        <f>EXP(-LN(2)/25)*AA153+(1-EXP(-LN(2)/25))/(LN(2)/25)*Calculateur!V154*Calculateur!X154*VLOOKUP('Données projet'!$B$9,Paramètres!$A$1:$I$89,3,0)*0.475*44/12</f>
        <v>2.0637857214627431</v>
      </c>
      <c r="AB154" s="21">
        <f>EXP(-LN(2)/2)*AB153+(1-EXP(-LN(2)/2))/(LN(2)/2)*V154*Y154*VLOOKUP('Données projet'!$B$9,Paramètres!$A$1:$I$89,3,0)*0.475*44/12</f>
        <v>1.8989135598162724E-16</v>
      </c>
      <c r="AC154" s="22">
        <f t="shared" ref="AC154:AC203" si="163">SUM(Z154:AB154)</f>
        <v>5.8942259778051733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-1.2414602679200469E-13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0</v>
      </c>
      <c r="AO154" s="59">
        <f t="shared" si="144"/>
        <v>0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-4.1500243241898714E-13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292.4657394642</v>
      </c>
      <c r="BJ154" s="59">
        <f t="shared" si="146"/>
        <v>333.80517619352395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0.24577508143778501</v>
      </c>
      <c r="BQ154" s="21">
        <f>EXP(-LN(2)/25)*BQ153+(1-EXP(-LN(2)/25))/(LN(2)/25)*Calculateur!BL154*Calculateur!BN154*VLOOKUP('Données projet'!$B$11,Paramètres!$A$1:$I$89,3,0)*0.475*44/12</f>
        <v>0.59266533043595016</v>
      </c>
      <c r="BR154" s="21">
        <f>EXP(-LN(2)/2)*BR153+(1-EXP(-LN(2)/2))/(LN(2)/2)*BL154*BO154*VLOOKUP('Données projet'!$B$11,Paramètres!$A$1:$I$89,3,0)*0.475*44/12</f>
        <v>1.5032646541845513E-17</v>
      </c>
      <c r="BS154" s="22">
        <f t="shared" ref="BS154:BS203" si="169">SUM(BP154:BR154)</f>
        <v>0.83844041187373519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0</v>
      </c>
      <c r="CE154" s="59">
        <f t="shared" si="148"/>
        <v>0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150.98674906185317</v>
      </c>
      <c r="T155" s="59">
        <f t="shared" si="142"/>
        <v>306.44063087948552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3.7553276592534175</v>
      </c>
      <c r="AA155" s="21">
        <f>EXP(-LN(2)/25)*AA154+(1-EXP(-LN(2)/25))/(LN(2)/25)*Calculateur!V155*Calculateur!X155*VLOOKUP('Données projet'!$B$9,Paramètres!$A$1:$I$89,3,0)*0.475*44/12</f>
        <v>2.0073513923795701</v>
      </c>
      <c r="AB155" s="21">
        <f>EXP(-LN(2)/2)*AB154+(1-EXP(-LN(2)/2))/(LN(2)/2)*V155*Y155*VLOOKUP('Données projet'!$B$9,Paramètres!$A$1:$I$89,3,0)*0.475*44/12</f>
        <v>1.342734655033173E-16</v>
      </c>
      <c r="AC155" s="22">
        <f t="shared" si="163"/>
        <v>5.762679051632988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-1.2414602679200469E-13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0</v>
      </c>
      <c r="AO155" s="59">
        <f t="shared" si="144"/>
        <v>0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-4.1500243241898714E-13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292.4657394642</v>
      </c>
      <c r="BJ155" s="59">
        <f t="shared" si="146"/>
        <v>333.80517619352395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0.24095558199878753</v>
      </c>
      <c r="BQ155" s="21">
        <f>EXP(-LN(2)/25)*BQ154+(1-EXP(-LN(2)/25))/(LN(2)/25)*Calculateur!BL155*Calculateur!BN155*VLOOKUP('Données projet'!$B$11,Paramètres!$A$1:$I$89,3,0)*0.475*44/12</f>
        <v>0.57645886580826389</v>
      </c>
      <c r="BR155" s="21">
        <f>EXP(-LN(2)/2)*BR154+(1-EXP(-LN(2)/2))/(LN(2)/2)*BL155*BO155*VLOOKUP('Données projet'!$B$11,Paramètres!$A$1:$I$89,3,0)*0.475*44/12</f>
        <v>1.0629686308919465E-17</v>
      </c>
      <c r="BS155" s="22">
        <f t="shared" si="169"/>
        <v>0.81741444780705141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0</v>
      </c>
      <c r="CE155" s="59">
        <f t="shared" si="148"/>
        <v>0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150.98674906185317</v>
      </c>
      <c r="T156" s="59">
        <f t="shared" si="142"/>
        <v>306.44063087948552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3.6816879743791597</v>
      </c>
      <c r="AA156" s="21">
        <f>EXP(-LN(2)/25)*AA155+(1-EXP(-LN(2)/25))/(LN(2)/25)*Calculateur!V156*Calculateur!X156*VLOOKUP('Données projet'!$B$9,Paramètres!$A$1:$I$89,3,0)*0.475*44/12</f>
        <v>1.9524602629929289</v>
      </c>
      <c r="AB156" s="21">
        <f>EXP(-LN(2)/2)*AB155+(1-EXP(-LN(2)/2))/(LN(2)/2)*V156*Y156*VLOOKUP('Données projet'!$B$9,Paramètres!$A$1:$I$89,3,0)*0.475*44/12</f>
        <v>9.4945677990813622E-17</v>
      </c>
      <c r="AC156" s="22">
        <f t="shared" si="163"/>
        <v>5.6341482373720888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-1.2414602679200469E-13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0</v>
      </c>
      <c r="AO156" s="59">
        <f t="shared" si="144"/>
        <v>0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-4.1500243241898714E-13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292.4657394642</v>
      </c>
      <c r="BJ156" s="59">
        <f t="shared" si="146"/>
        <v>333.80517619352395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0.23623059000418439</v>
      </c>
      <c r="BQ156" s="21">
        <f>EXP(-LN(2)/25)*BQ155+(1-EXP(-LN(2)/25))/(LN(2)/25)*Calculateur!BL156*Calculateur!BN156*VLOOKUP('Données projet'!$B$11,Paramètres!$A$1:$I$89,3,0)*0.475*44/12</f>
        <v>0.56069556780808272</v>
      </c>
      <c r="BR156" s="21">
        <f>EXP(-LN(2)/2)*BR155+(1-EXP(-LN(2)/2))/(LN(2)/2)*BL156*BO156*VLOOKUP('Données projet'!$B$11,Paramètres!$A$1:$I$89,3,0)*0.475*44/12</f>
        <v>7.5163232709227564E-18</v>
      </c>
      <c r="BS156" s="22">
        <f t="shared" si="169"/>
        <v>0.79692615781226706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0</v>
      </c>
      <c r="CE156" s="59">
        <f t="shared" si="148"/>
        <v>0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150.98674906185317</v>
      </c>
      <c r="T157" s="59">
        <f t="shared" si="142"/>
        <v>306.44063087948552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3.6094923188095134</v>
      </c>
      <c r="AA157" s="21">
        <f>EXP(-LN(2)/25)*AA156+(1-EXP(-LN(2)/25))/(LN(2)/25)*Calculateur!V157*Calculateur!X157*VLOOKUP('Données projet'!$B$9,Paramètres!$A$1:$I$89,3,0)*0.475*44/12</f>
        <v>1.8990701344259644</v>
      </c>
      <c r="AB157" s="21">
        <f>EXP(-LN(2)/2)*AB156+(1-EXP(-LN(2)/2))/(LN(2)/2)*V157*Y157*VLOOKUP('Données projet'!$B$9,Paramètres!$A$1:$I$89,3,0)*0.475*44/12</f>
        <v>6.7136732751658648E-17</v>
      </c>
      <c r="AC157" s="22">
        <f t="shared" si="163"/>
        <v>5.508562453235478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-1.2414602679200469E-13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0</v>
      </c>
      <c r="AO157" s="59">
        <f t="shared" si="144"/>
        <v>0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-4.1500243241898714E-13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292.4657394642</v>
      </c>
      <c r="BJ157" s="59">
        <f t="shared" si="146"/>
        <v>333.80517619352395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0.23159825222063488</v>
      </c>
      <c r="BQ157" s="21">
        <f>EXP(-LN(2)/25)*BQ156+(1-EXP(-LN(2)/25))/(LN(2)/25)*Calculateur!BL157*Calculateur!BN157*VLOOKUP('Données projet'!$B$11,Paramètres!$A$1:$I$89,3,0)*0.475*44/12</f>
        <v>0.54536331802067228</v>
      </c>
      <c r="BR157" s="21">
        <f>EXP(-LN(2)/2)*BR156+(1-EXP(-LN(2)/2))/(LN(2)/2)*BL157*BO157*VLOOKUP('Données projet'!$B$11,Paramètres!$A$1:$I$89,3,0)*0.475*44/12</f>
        <v>5.3148431544597327E-18</v>
      </c>
      <c r="BS157" s="22">
        <f t="shared" si="169"/>
        <v>0.77696157024130719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0</v>
      </c>
      <c r="CE157" s="59">
        <f t="shared" si="148"/>
        <v>0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150.98674906185317</v>
      </c>
      <c r="T158" s="59">
        <f t="shared" si="142"/>
        <v>306.44063087948552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3.5387123760105861</v>
      </c>
      <c r="AA158" s="21">
        <f>EXP(-LN(2)/25)*AA157+(1-EXP(-LN(2)/25))/(LN(2)/25)*Calculateur!V158*Calculateur!X158*VLOOKUP('Données projet'!$B$9,Paramètres!$A$1:$I$89,3,0)*0.475*44/12</f>
        <v>1.8471399617323283</v>
      </c>
      <c r="AB158" s="21">
        <f>EXP(-LN(2)/2)*AB157+(1-EXP(-LN(2)/2))/(LN(2)/2)*V158*Y158*VLOOKUP('Données projet'!$B$9,Paramètres!$A$1:$I$89,3,0)*0.475*44/12</f>
        <v>4.7472838995406811E-17</v>
      </c>
      <c r="AC158" s="22">
        <f t="shared" si="163"/>
        <v>5.3858523377429144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-1.2414602679200469E-13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0</v>
      </c>
      <c r="AO158" s="59">
        <f t="shared" si="144"/>
        <v>0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-4.1500243241898714E-13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292.4657394642</v>
      </c>
      <c r="BJ158" s="59">
        <f t="shared" si="146"/>
        <v>333.80517619352395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0.22705675175557372</v>
      </c>
      <c r="BQ158" s="21">
        <f>EXP(-LN(2)/25)*BQ157+(1-EXP(-LN(2)/25))/(LN(2)/25)*Calculateur!BL158*Calculateur!BN158*VLOOKUP('Données projet'!$B$11,Paramètres!$A$1:$I$89,3,0)*0.475*44/12</f>
        <v>0.5304503294099866</v>
      </c>
      <c r="BR158" s="21">
        <f>EXP(-LN(2)/2)*BR157+(1-EXP(-LN(2)/2))/(LN(2)/2)*BL158*BO158*VLOOKUP('Données projet'!$B$11,Paramètres!$A$1:$I$89,3,0)*0.475*44/12</f>
        <v>3.7581616354613782E-18</v>
      </c>
      <c r="BS158" s="22">
        <f t="shared" si="169"/>
        <v>0.75750708116556031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0</v>
      </c>
      <c r="CE158" s="59">
        <f t="shared" si="148"/>
        <v>0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150.98674906185317</v>
      </c>
      <c r="T159" s="59">
        <f t="shared" si="142"/>
        <v>306.44063087948552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3.4693203847184435</v>
      </c>
      <c r="AA159" s="21">
        <f>EXP(-LN(2)/25)*AA158+(1-EXP(-LN(2)/25))/(LN(2)/25)*Calculateur!V159*Calculateur!X159*VLOOKUP('Données projet'!$B$9,Paramètres!$A$1:$I$89,3,0)*0.475*44/12</f>
        <v>1.7966298223418888</v>
      </c>
      <c r="AB159" s="21">
        <f>EXP(-LN(2)/2)*AB158+(1-EXP(-LN(2)/2))/(LN(2)/2)*V159*Y159*VLOOKUP('Données projet'!$B$9,Paramètres!$A$1:$I$89,3,0)*0.475*44/12</f>
        <v>3.3568366375829324E-17</v>
      </c>
      <c r="AC159" s="22">
        <f t="shared" si="163"/>
        <v>5.2659502070603326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-1.2414602679200469E-13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0</v>
      </c>
      <c r="AO159" s="59">
        <f t="shared" si="144"/>
        <v>0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-4.1500243241898714E-13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292.4657394642</v>
      </c>
      <c r="BJ159" s="59">
        <f t="shared" si="146"/>
        <v>333.80517619352395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0.22260430734459064</v>
      </c>
      <c r="BQ159" s="21">
        <f>EXP(-LN(2)/25)*BQ158+(1-EXP(-LN(2)/25))/(LN(2)/25)*Calculateur!BL159*Calculateur!BN159*VLOOKUP('Données projet'!$B$11,Paramètres!$A$1:$I$89,3,0)*0.475*44/12</f>
        <v>0.51594513725710001</v>
      </c>
      <c r="BR159" s="21">
        <f>EXP(-LN(2)/2)*BR158+(1-EXP(-LN(2)/2))/(LN(2)/2)*BL159*BO159*VLOOKUP('Données projet'!$B$11,Paramètres!$A$1:$I$89,3,0)*0.475*44/12</f>
        <v>2.6574215772298664E-18</v>
      </c>
      <c r="BS159" s="22">
        <f t="shared" si="169"/>
        <v>0.7385494446016907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0</v>
      </c>
      <c r="CE159" s="59">
        <f t="shared" si="148"/>
        <v>0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150.98674906185317</v>
      </c>
      <c r="T160" s="59">
        <f t="shared" si="142"/>
        <v>306.44063087948552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3.4012891280506041</v>
      </c>
      <c r="AA160" s="21">
        <f>EXP(-LN(2)/25)*AA159+(1-EXP(-LN(2)/25))/(LN(2)/25)*Calculateur!V160*Calculateur!X160*VLOOKUP('Données projet'!$B$9,Paramètres!$A$1:$I$89,3,0)*0.475*44/12</f>
        <v>1.7475008853692937</v>
      </c>
      <c r="AB160" s="21">
        <f>EXP(-LN(2)/2)*AB159+(1-EXP(-LN(2)/2))/(LN(2)/2)*V160*Y160*VLOOKUP('Données projet'!$B$9,Paramètres!$A$1:$I$89,3,0)*0.475*44/12</f>
        <v>2.3736419497703406E-17</v>
      </c>
      <c r="AC160" s="22">
        <f t="shared" si="163"/>
        <v>5.1487900134198981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-1.2414602679200469E-13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0</v>
      </c>
      <c r="AO160" s="59">
        <f t="shared" si="144"/>
        <v>0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-4.1500243241898714E-13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292.4657394642</v>
      </c>
      <c r="BJ160" s="59">
        <f t="shared" si="146"/>
        <v>333.80517619352395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0.218239172652784</v>
      </c>
      <c r="BQ160" s="21">
        <f>EXP(-LN(2)/25)*BQ159+(1-EXP(-LN(2)/25))/(LN(2)/25)*Calculateur!BL160*Calculateur!BN160*VLOOKUP('Données projet'!$B$11,Paramètres!$A$1:$I$89,3,0)*0.475*44/12</f>
        <v>0.50183659034642902</v>
      </c>
      <c r="BR160" s="21">
        <f>EXP(-LN(2)/2)*BR159+(1-EXP(-LN(2)/2))/(LN(2)/2)*BL160*BO160*VLOOKUP('Données projet'!$B$11,Paramètres!$A$1:$I$89,3,0)*0.475*44/12</f>
        <v>1.8790808177306891E-18</v>
      </c>
      <c r="BS160" s="22">
        <f t="shared" si="169"/>
        <v>0.72007576299921305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0</v>
      </c>
      <c r="CE160" s="59">
        <f t="shared" si="148"/>
        <v>0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150.98674906185317</v>
      </c>
      <c r="T161" s="59">
        <f t="shared" si="142"/>
        <v>306.44063087948552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3.3345919228310521</v>
      </c>
      <c r="AA161" s="21">
        <f>EXP(-LN(2)/25)*AA160+(1-EXP(-LN(2)/25))/(LN(2)/25)*Calculateur!V161*Calculateur!X161*VLOOKUP('Données projet'!$B$9,Paramètres!$A$1:$I$89,3,0)*0.475*44/12</f>
        <v>1.6997153817617927</v>
      </c>
      <c r="AB161" s="21">
        <f>EXP(-LN(2)/2)*AB160+(1-EXP(-LN(2)/2))/(LN(2)/2)*V161*Y161*VLOOKUP('Données projet'!$B$9,Paramètres!$A$1:$I$89,3,0)*0.475*44/12</f>
        <v>1.6784183187914662E-17</v>
      </c>
      <c r="AC161" s="22">
        <f t="shared" si="163"/>
        <v>5.0343073045928453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-1.2414602679200469E-13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0</v>
      </c>
      <c r="AO161" s="59">
        <f t="shared" si="144"/>
        <v>0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-4.1500243241898714E-13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292.4657394642</v>
      </c>
      <c r="BJ161" s="59">
        <f t="shared" si="146"/>
        <v>333.80517619352395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0.21395963558981443</v>
      </c>
      <c r="BQ161" s="21">
        <f>EXP(-LN(2)/25)*BQ160+(1-EXP(-LN(2)/25))/(LN(2)/25)*Calculateur!BL161*Calculateur!BN161*VLOOKUP('Données projet'!$B$11,Paramètres!$A$1:$I$89,3,0)*0.475*44/12</f>
        <v>0.48811384239296662</v>
      </c>
      <c r="BR161" s="21">
        <f>EXP(-LN(2)/2)*BR160+(1-EXP(-LN(2)/2))/(LN(2)/2)*BL161*BO161*VLOOKUP('Données projet'!$B$11,Paramètres!$A$1:$I$89,3,0)*0.475*44/12</f>
        <v>1.3287107886149332E-18</v>
      </c>
      <c r="BS161" s="22">
        <f t="shared" si="169"/>
        <v>0.70207347798278108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0</v>
      </c>
      <c r="CE161" s="59">
        <f t="shared" si="148"/>
        <v>0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150.98674906185317</v>
      </c>
      <c r="T162" s="59">
        <f t="shared" si="142"/>
        <v>306.44063087948552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3.2692026091245769</v>
      </c>
      <c r="AA162" s="21">
        <f>EXP(-LN(2)/25)*AA161+(1-EXP(-LN(2)/25))/(LN(2)/25)*Calculateur!V162*Calculateur!X162*VLOOKUP('Données projet'!$B$9,Paramètres!$A$1:$I$89,3,0)*0.475*44/12</f>
        <v>1.6532365752633693</v>
      </c>
      <c r="AB162" s="21">
        <f>EXP(-LN(2)/2)*AB161+(1-EXP(-LN(2)/2))/(LN(2)/2)*V162*Y162*VLOOKUP('Données projet'!$B$9,Paramètres!$A$1:$I$89,3,0)*0.475*44/12</f>
        <v>1.1868209748851703E-17</v>
      </c>
      <c r="AC162" s="22">
        <f t="shared" si="163"/>
        <v>4.9224391843879465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-1.2414602679200469E-13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0</v>
      </c>
      <c r="AO162" s="59">
        <f t="shared" si="144"/>
        <v>0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-4.1500243241898714E-13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292.4657394642</v>
      </c>
      <c r="BJ162" s="59">
        <f t="shared" si="146"/>
        <v>333.80517619352395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0.20976401763838984</v>
      </c>
      <c r="BQ162" s="21">
        <f>EXP(-LN(2)/25)*BQ161+(1-EXP(-LN(2)/25))/(LN(2)/25)*Calculateur!BL162*Calculateur!BN162*VLOOKUP('Données projet'!$B$11,Paramètres!$A$1:$I$89,3,0)*0.475*44/12</f>
        <v>0.47476634370393955</v>
      </c>
      <c r="BR162" s="21">
        <f>EXP(-LN(2)/2)*BR161+(1-EXP(-LN(2)/2))/(LN(2)/2)*BL162*BO162*VLOOKUP('Données projet'!$B$11,Paramètres!$A$1:$I$89,3,0)*0.475*44/12</f>
        <v>9.3954040886534455E-19</v>
      </c>
      <c r="BS162" s="22">
        <f t="shared" si="169"/>
        <v>0.68453036134232936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0</v>
      </c>
      <c r="CE162" s="59">
        <f t="shared" si="148"/>
        <v>0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150.98674906185317</v>
      </c>
      <c r="T163" s="59">
        <f t="shared" si="142"/>
        <v>306.44063087948552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3.2050955399763428</v>
      </c>
      <c r="AA163" s="21">
        <f>EXP(-LN(2)/25)*AA162+(1-EXP(-LN(2)/25))/(LN(2)/25)*Calculateur!V163*Calculateur!X163*VLOOKUP('Données projet'!$B$9,Paramètres!$A$1:$I$89,3,0)*0.475*44/12</f>
        <v>1.6080287341728594</v>
      </c>
      <c r="AB163" s="21">
        <f>EXP(-LN(2)/2)*AB162+(1-EXP(-LN(2)/2))/(LN(2)/2)*V163*Y163*VLOOKUP('Données projet'!$B$9,Paramètres!$A$1:$I$89,3,0)*0.475*44/12</f>
        <v>8.392091593957331E-18</v>
      </c>
      <c r="AC163" s="22">
        <f t="shared" si="163"/>
        <v>4.8131242741492022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-1.2414602679200469E-13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0</v>
      </c>
      <c r="AO163" s="59">
        <f t="shared" si="144"/>
        <v>0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-4.1500243241898714E-13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292.4657394642</v>
      </c>
      <c r="BJ163" s="59">
        <f t="shared" si="146"/>
        <v>333.80517619352395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0.2056506731959184</v>
      </c>
      <c r="BQ163" s="21">
        <f>EXP(-LN(2)/25)*BQ162+(1-EXP(-LN(2)/25))/(LN(2)/25)*Calculateur!BL163*Calculateur!BN163*VLOOKUP('Données projet'!$B$11,Paramètres!$A$1:$I$89,3,0)*0.475*44/12</f>
        <v>0.46178383306847842</v>
      </c>
      <c r="BR163" s="21">
        <f>EXP(-LN(2)/2)*BR162+(1-EXP(-LN(2)/2))/(LN(2)/2)*BL163*BO163*VLOOKUP('Données projet'!$B$11,Paramètres!$A$1:$I$89,3,0)*0.475*44/12</f>
        <v>6.6435539430746659E-19</v>
      </c>
      <c r="BS163" s="22">
        <f t="shared" si="169"/>
        <v>0.66743450626439682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0</v>
      </c>
      <c r="CE163" s="59">
        <f t="shared" si="148"/>
        <v>0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150.98674906185317</v>
      </c>
      <c r="T164" s="59">
        <f t="shared" si="142"/>
        <v>306.44063087948552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3.142245571352654</v>
      </c>
      <c r="AA164" s="21">
        <f>EXP(-LN(2)/25)*AA163+(1-EXP(-LN(2)/25))/(LN(2)/25)*Calculateur!V164*Calculateur!X164*VLOOKUP('Données projet'!$B$9,Paramètres!$A$1:$I$89,3,0)*0.475*44/12</f>
        <v>1.5640571038743467</v>
      </c>
      <c r="AB164" s="21">
        <f>EXP(-LN(2)/2)*AB163+(1-EXP(-LN(2)/2))/(LN(2)/2)*V164*Y164*VLOOKUP('Données projet'!$B$9,Paramètres!$A$1:$I$89,3,0)*0.475*44/12</f>
        <v>5.9341048744258514E-18</v>
      </c>
      <c r="AC164" s="22">
        <f t="shared" si="163"/>
        <v>4.7063026752270005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-1.2414602679200469E-13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0</v>
      </c>
      <c r="AO164" s="59">
        <f t="shared" si="144"/>
        <v>0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-4.1500243241898714E-13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292.4657394642</v>
      </c>
      <c r="BJ164" s="59">
        <f t="shared" si="146"/>
        <v>333.80517619352395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0.20161798892907146</v>
      </c>
      <c r="BQ164" s="21">
        <f>EXP(-LN(2)/25)*BQ163+(1-EXP(-LN(2)/25))/(LN(2)/25)*Calculateur!BL164*Calculateur!BN164*VLOOKUP('Données projet'!$B$11,Paramètres!$A$1:$I$89,3,0)*0.475*44/12</f>
        <v>0.44915632986906451</v>
      </c>
      <c r="BR164" s="21">
        <f>EXP(-LN(2)/2)*BR163+(1-EXP(-LN(2)/2))/(LN(2)/2)*BL164*BO164*VLOOKUP('Données projet'!$B$11,Paramètres!$A$1:$I$89,3,0)*0.475*44/12</f>
        <v>4.6977020443267227E-19</v>
      </c>
      <c r="BS164" s="22">
        <f t="shared" si="169"/>
        <v>0.65077431879813596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0</v>
      </c>
      <c r="CE164" s="59">
        <f t="shared" si="148"/>
        <v>0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150.98674906185317</v>
      </c>
      <c r="T165" s="59">
        <f t="shared" si="142"/>
        <v>306.44063087948552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3.0806280522789806</v>
      </c>
      <c r="AA165" s="21">
        <f>EXP(-LN(2)/25)*AA164+(1-EXP(-LN(2)/25))/(LN(2)/25)*Calculateur!V165*Calculateur!X165*VLOOKUP('Données projet'!$B$9,Paramètres!$A$1:$I$89,3,0)*0.475*44/12</f>
        <v>1.5212878801187144</v>
      </c>
      <c r="AB165" s="21">
        <f>EXP(-LN(2)/2)*AB164+(1-EXP(-LN(2)/2))/(LN(2)/2)*V165*Y165*VLOOKUP('Données projet'!$B$9,Paramètres!$A$1:$I$89,3,0)*0.475*44/12</f>
        <v>4.1960457969786655E-18</v>
      </c>
      <c r="AC165" s="22">
        <f t="shared" si="163"/>
        <v>4.601915932397695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-1.2414602679200469E-13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0</v>
      </c>
      <c r="AO165" s="59">
        <f t="shared" si="144"/>
        <v>0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-4.1500243241898714E-13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292.4657394642</v>
      </c>
      <c r="BJ165" s="59">
        <f t="shared" si="146"/>
        <v>333.80517619352395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0.19766438314100285</v>
      </c>
      <c r="BQ165" s="21">
        <f>EXP(-LN(2)/25)*BQ164+(1-EXP(-LN(2)/25))/(LN(2)/25)*Calculateur!BL165*Calculateur!BN165*VLOOKUP('Données projet'!$B$11,Paramètres!$A$1:$I$89,3,0)*0.475*44/12</f>
        <v>0.43687412640869011</v>
      </c>
      <c r="BR165" s="21">
        <f>EXP(-LN(2)/2)*BR164+(1-EXP(-LN(2)/2))/(LN(2)/2)*BL165*BO165*VLOOKUP('Données projet'!$B$11,Paramètres!$A$1:$I$89,3,0)*0.475*44/12</f>
        <v>3.321776971537333E-19</v>
      </c>
      <c r="BS165" s="22">
        <f t="shared" si="169"/>
        <v>0.63453850954969293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0</v>
      </c>
      <c r="CE165" s="59">
        <f t="shared" si="148"/>
        <v>0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150.98674906185317</v>
      </c>
      <c r="T166" s="59">
        <f t="shared" si="142"/>
        <v>306.44063087948552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3.0202188151713663</v>
      </c>
      <c r="AA166" s="21">
        <f>EXP(-LN(2)/25)*AA165+(1-EXP(-LN(2)/25))/(LN(2)/25)*Calculateur!V166*Calculateur!X166*VLOOKUP('Données projet'!$B$9,Paramètres!$A$1:$I$89,3,0)*0.475*44/12</f>
        <v>1.4796881830358155</v>
      </c>
      <c r="AB166" s="21">
        <f>EXP(-LN(2)/2)*AB165+(1-EXP(-LN(2)/2))/(LN(2)/2)*V166*Y166*VLOOKUP('Données projet'!$B$9,Paramètres!$A$1:$I$89,3,0)*0.475*44/12</f>
        <v>2.9670524372129257E-18</v>
      </c>
      <c r="AC166" s="22">
        <f t="shared" si="163"/>
        <v>4.499906998207182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-1.2414602679200469E-13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0</v>
      </c>
      <c r="AO166" s="59">
        <f t="shared" si="144"/>
        <v>0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-4.1500243241898714E-13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292.4657394642</v>
      </c>
      <c r="BJ166" s="59">
        <f t="shared" si="146"/>
        <v>333.80517619352395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0.19378830515097686</v>
      </c>
      <c r="BQ166" s="21">
        <f>EXP(-LN(2)/25)*BQ165+(1-EXP(-LN(2)/25))/(LN(2)/25)*Calculateur!BL166*Calculateur!BN166*VLOOKUP('Données projet'!$B$11,Paramètres!$A$1:$I$89,3,0)*0.475*44/12</f>
        <v>0.42492778044783264</v>
      </c>
      <c r="BR166" s="21">
        <f>EXP(-LN(2)/2)*BR165+(1-EXP(-LN(2)/2))/(LN(2)/2)*BL166*BO166*VLOOKUP('Données projet'!$B$11,Paramètres!$A$1:$I$89,3,0)*0.475*44/12</f>
        <v>2.3488510221633614E-19</v>
      </c>
      <c r="BS166" s="22">
        <f t="shared" si="169"/>
        <v>0.61871608559880953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0</v>
      </c>
      <c r="CE166" s="59">
        <f t="shared" si="148"/>
        <v>0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150.98674906185317</v>
      </c>
      <c r="T167" s="59">
        <f t="shared" si="142"/>
        <v>306.44063087948552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2.9609941663574357</v>
      </c>
      <c r="AA167" s="21">
        <f>EXP(-LN(2)/25)*AA166+(1-EXP(-LN(2)/25))/(LN(2)/25)*Calculateur!V167*Calculateur!X167*VLOOKUP('Données projet'!$B$9,Paramètres!$A$1:$I$89,3,0)*0.475*44/12</f>
        <v>1.4392260318572814</v>
      </c>
      <c r="AB167" s="21">
        <f>EXP(-LN(2)/2)*AB166+(1-EXP(-LN(2)/2))/(LN(2)/2)*V167*Y167*VLOOKUP('Données projet'!$B$9,Paramètres!$A$1:$I$89,3,0)*0.475*44/12</f>
        <v>2.0980228984893328E-18</v>
      </c>
      <c r="AC167" s="22">
        <f t="shared" si="163"/>
        <v>4.4002201982147167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-1.2414602679200469E-13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0</v>
      </c>
      <c r="AO167" s="59">
        <f t="shared" si="144"/>
        <v>0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-4.1500243241898714E-13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292.4657394642</v>
      </c>
      <c r="BJ167" s="59">
        <f t="shared" si="146"/>
        <v>333.80517619352395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0.18998823468616116</v>
      </c>
      <c r="BQ167" s="21">
        <f>EXP(-LN(2)/25)*BQ166+(1-EXP(-LN(2)/25))/(LN(2)/25)*Calculateur!BL167*Calculateur!BN167*VLOOKUP('Données projet'!$B$11,Paramètres!$A$1:$I$89,3,0)*0.475*44/12</f>
        <v>0.41330810794550588</v>
      </c>
      <c r="BR167" s="21">
        <f>EXP(-LN(2)/2)*BR166+(1-EXP(-LN(2)/2))/(LN(2)/2)*BL167*BO167*VLOOKUP('Données projet'!$B$11,Paramètres!$A$1:$I$89,3,0)*0.475*44/12</f>
        <v>1.6608884857686665E-19</v>
      </c>
      <c r="BS167" s="22">
        <f t="shared" si="169"/>
        <v>0.60329634263166709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0</v>
      </c>
      <c r="CE167" s="59">
        <f t="shared" si="148"/>
        <v>0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150.98674906185317</v>
      </c>
      <c r="T168" s="59">
        <f t="shared" si="142"/>
        <v>306.44063087948552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2.9029308767832775</v>
      </c>
      <c r="AA168" s="21">
        <f>EXP(-LN(2)/25)*AA167+(1-EXP(-LN(2)/25))/(LN(2)/25)*Calculateur!V168*Calculateur!X168*VLOOKUP('Données projet'!$B$9,Paramètres!$A$1:$I$89,3,0)*0.475*44/12</f>
        <v>1.3998703203305365</v>
      </c>
      <c r="AB168" s="21">
        <f>EXP(-LN(2)/2)*AB167+(1-EXP(-LN(2)/2))/(LN(2)/2)*V168*Y168*VLOOKUP('Données projet'!$B$9,Paramètres!$A$1:$I$89,3,0)*0.475*44/12</f>
        <v>1.4835262186064628E-18</v>
      </c>
      <c r="AC168" s="22">
        <f t="shared" si="163"/>
        <v>4.3028011971138138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-1.2414602679200469E-13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0</v>
      </c>
      <c r="AO168" s="59">
        <f t="shared" si="144"/>
        <v>0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-4.1500243241898714E-13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292.4657394642</v>
      </c>
      <c r="BJ168" s="59">
        <f t="shared" si="146"/>
        <v>333.80517619352395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0.18626268128534637</v>
      </c>
      <c r="BQ168" s="21">
        <f>EXP(-LN(2)/25)*BQ167+(1-EXP(-LN(2)/25))/(LN(2)/25)*Calculateur!BL168*Calculateur!BN168*VLOOKUP('Données projet'!$B$11,Paramètres!$A$1:$I$89,3,0)*0.475*44/12</f>
        <v>0.40200617599880722</v>
      </c>
      <c r="BR168" s="21">
        <f>EXP(-LN(2)/2)*BR167+(1-EXP(-LN(2)/2))/(LN(2)/2)*BL168*BO168*VLOOKUP('Données projet'!$B$11,Paramètres!$A$1:$I$89,3,0)*0.475*44/12</f>
        <v>1.1744255110816807E-19</v>
      </c>
      <c r="BS168" s="22">
        <f t="shared" si="169"/>
        <v>0.58826885728415357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0</v>
      </c>
      <c r="CE168" s="59">
        <f t="shared" si="148"/>
        <v>0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150.98674906185317</v>
      </c>
      <c r="T169" s="59">
        <f t="shared" si="142"/>
        <v>306.44063087948552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2.846006172902559</v>
      </c>
      <c r="AA169" s="21">
        <f>EXP(-LN(2)/25)*AA168+(1-EXP(-LN(2)/25))/(LN(2)/25)*Calculateur!V169*Calculateur!X169*VLOOKUP('Données projet'!$B$9,Paramètres!$A$1:$I$89,3,0)*0.475*44/12</f>
        <v>1.3615907928051172</v>
      </c>
      <c r="AB169" s="21">
        <f>EXP(-LN(2)/2)*AB168+(1-EXP(-LN(2)/2))/(LN(2)/2)*V169*Y169*VLOOKUP('Données projet'!$B$9,Paramètres!$A$1:$I$89,3,0)*0.475*44/12</f>
        <v>1.0490114492446664E-18</v>
      </c>
      <c r="AC169" s="22">
        <f t="shared" si="163"/>
        <v>4.2075969657076762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-1.2414602679200469E-13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0</v>
      </c>
      <c r="AO169" s="59">
        <f t="shared" si="144"/>
        <v>0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-4.1500243241898714E-13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292.4657394642</v>
      </c>
      <c r="BJ169" s="59">
        <f t="shared" si="146"/>
        <v>333.80517619352395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0.18261018371435836</v>
      </c>
      <c r="BQ169" s="21">
        <f>EXP(-LN(2)/25)*BQ168+(1-EXP(-LN(2)/25))/(LN(2)/25)*Calculateur!BL169*Calculateur!BN169*VLOOKUP('Données projet'!$B$11,Paramètres!$A$1:$I$89,3,0)*0.475*44/12</f>
        <v>0.39101329597553386</v>
      </c>
      <c r="BR169" s="21">
        <f>EXP(-LN(2)/2)*BR168+(1-EXP(-LN(2)/2))/(LN(2)/2)*BL169*BO169*VLOOKUP('Données projet'!$B$11,Paramètres!$A$1:$I$89,3,0)*0.475*44/12</f>
        <v>8.3044424288433324E-20</v>
      </c>
      <c r="BS169" s="22">
        <f t="shared" si="169"/>
        <v>0.57362347968989225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0</v>
      </c>
      <c r="CE169" s="59">
        <f t="shared" si="148"/>
        <v>0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150.98674906185317</v>
      </c>
      <c r="T170" s="59">
        <f t="shared" si="142"/>
        <v>306.44063087948552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2.7901977277443</v>
      </c>
      <c r="AA170" s="21">
        <f>EXP(-LN(2)/25)*AA169+(1-EXP(-LN(2)/25))/(LN(2)/25)*Calculateur!V170*Calculateur!X170*VLOOKUP('Données projet'!$B$9,Paramètres!$A$1:$I$89,3,0)*0.475*44/12</f>
        <v>1.3243580209729133</v>
      </c>
      <c r="AB170" s="21">
        <f>EXP(-LN(2)/2)*AB169+(1-EXP(-LN(2)/2))/(LN(2)/2)*V170*Y170*VLOOKUP('Données projet'!$B$9,Paramètres!$A$1:$I$89,3,0)*0.475*44/12</f>
        <v>7.4176310930323142E-19</v>
      </c>
      <c r="AC170" s="22">
        <f t="shared" si="163"/>
        <v>4.1145557487172137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-1.2414602679200469E-13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0</v>
      </c>
      <c r="AO170" s="59">
        <f t="shared" si="144"/>
        <v>0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-4.1500243241898714E-13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292.4657394642</v>
      </c>
      <c r="BJ170" s="59">
        <f t="shared" si="146"/>
        <v>333.80517619352395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0.17902930939293388</v>
      </c>
      <c r="BQ170" s="21">
        <f>EXP(-LN(2)/25)*BQ169+(1-EXP(-LN(2)/25))/(LN(2)/25)*Calculateur!BL170*Calculateur!BN170*VLOOKUP('Données projet'!$B$11,Paramètres!$A$1:$I$89,3,0)*0.475*44/12</f>
        <v>0.3803210168345873</v>
      </c>
      <c r="BR170" s="21">
        <f>EXP(-LN(2)/2)*BR169+(1-EXP(-LN(2)/2))/(LN(2)/2)*BL170*BO170*VLOOKUP('Données projet'!$B$11,Paramètres!$A$1:$I$89,3,0)*0.475*44/12</f>
        <v>5.8721275554084034E-20</v>
      </c>
      <c r="BS170" s="22">
        <f t="shared" si="169"/>
        <v>0.55935032622752123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0</v>
      </c>
      <c r="CE170" s="59">
        <f t="shared" si="148"/>
        <v>0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150.98674906185317</v>
      </c>
      <c r="T171" s="59">
        <f t="shared" si="142"/>
        <v>306.44063087948552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2.7354836521558044</v>
      </c>
      <c r="AA171" s="21">
        <f>EXP(-LN(2)/25)*AA170+(1-EXP(-LN(2)/25))/(LN(2)/25)*Calculateur!V171*Calculateur!X171*VLOOKUP('Données projet'!$B$9,Paramètres!$A$1:$I$89,3,0)*0.475*44/12</f>
        <v>1.2881433812444476</v>
      </c>
      <c r="AB171" s="21">
        <f>EXP(-LN(2)/2)*AB170+(1-EXP(-LN(2)/2))/(LN(2)/2)*V171*Y171*VLOOKUP('Données projet'!$B$9,Paramètres!$A$1:$I$89,3,0)*0.475*44/12</f>
        <v>5.2450572462233319E-19</v>
      </c>
      <c r="AC171" s="22">
        <f t="shared" si="163"/>
        <v>4.0236270334002517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-1.2414602679200469E-13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0</v>
      </c>
      <c r="AO171" s="59">
        <f t="shared" si="144"/>
        <v>0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-4.1500243241898714E-13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292.4657394642</v>
      </c>
      <c r="BJ171" s="59">
        <f t="shared" si="146"/>
        <v>333.80517619352395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0.17551865383283485</v>
      </c>
      <c r="BQ171" s="21">
        <f>EXP(-LN(2)/25)*BQ170+(1-EXP(-LN(2)/25))/(LN(2)/25)*Calculateur!BL171*Calculateur!BN171*VLOOKUP('Données projet'!$B$11,Paramètres!$A$1:$I$89,3,0)*0.475*44/12</f>
        <v>0.36992111862903249</v>
      </c>
      <c r="BR171" s="21">
        <f>EXP(-LN(2)/2)*BR170+(1-EXP(-LN(2)/2))/(LN(2)/2)*BL171*BO171*VLOOKUP('Données projet'!$B$11,Paramètres!$A$1:$I$89,3,0)*0.475*44/12</f>
        <v>4.1522212144216662E-20</v>
      </c>
      <c r="BS171" s="22">
        <f t="shared" si="169"/>
        <v>0.54543977246186737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0</v>
      </c>
      <c r="CE171" s="59">
        <f t="shared" si="148"/>
        <v>0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150.98674906185317</v>
      </c>
      <c r="T172" s="59">
        <f t="shared" si="142"/>
        <v>306.44063087948552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2.6818424862173083</v>
      </c>
      <c r="AA172" s="21">
        <f>EXP(-LN(2)/25)*AA171+(1-EXP(-LN(2)/25))/(LN(2)/25)*Calculateur!V172*Calculateur!X172*VLOOKUP('Données projet'!$B$9,Paramètres!$A$1:$I$89,3,0)*0.475*44/12</f>
        <v>1.2529190327438018</v>
      </c>
      <c r="AB172" s="21">
        <f>EXP(-LN(2)/2)*AB171+(1-EXP(-LN(2)/2))/(LN(2)/2)*V172*Y172*VLOOKUP('Données projet'!$B$9,Paramètres!$A$1:$I$89,3,0)*0.475*44/12</f>
        <v>3.7088155465161571E-19</v>
      </c>
      <c r="AC172" s="22">
        <f t="shared" si="163"/>
        <v>3.93476151896111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-1.2414602679200469E-13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0</v>
      </c>
      <c r="AO172" s="59">
        <f t="shared" si="144"/>
        <v>0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-4.1500243241898714E-13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292.4657394642</v>
      </c>
      <c r="BJ172" s="59">
        <f t="shared" si="146"/>
        <v>333.80517619352395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0.1720768400869809</v>
      </c>
      <c r="BQ172" s="21">
        <f>EXP(-LN(2)/25)*BQ171+(1-EXP(-LN(2)/25))/(LN(2)/25)*Calculateur!BL172*Calculateur!BN172*VLOOKUP('Données projet'!$B$11,Paramètres!$A$1:$I$89,3,0)*0.475*44/12</f>
        <v>0.35980560618681545</v>
      </c>
      <c r="BR172" s="21">
        <f>EXP(-LN(2)/2)*BR171+(1-EXP(-LN(2)/2))/(LN(2)/2)*BL172*BO172*VLOOKUP('Données projet'!$B$11,Paramètres!$A$1:$I$89,3,0)*0.475*44/12</f>
        <v>2.9360637777042017E-20</v>
      </c>
      <c r="BS172" s="22">
        <f t="shared" si="169"/>
        <v>0.53188244627379633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0</v>
      </c>
      <c r="CE172" s="59">
        <f t="shared" si="148"/>
        <v>0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150.98674906185317</v>
      </c>
      <c r="T173" s="59">
        <f t="shared" si="142"/>
        <v>306.44063087948552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2.6292531908249854</v>
      </c>
      <c r="AA173" s="21">
        <f>EXP(-LN(2)/25)*AA172+(1-EXP(-LN(2)/25))/(LN(2)/25)*Calculateur!V173*Calculateur!X173*VLOOKUP('Données projet'!$B$9,Paramètres!$A$1:$I$89,3,0)*0.475*44/12</f>
        <v>1.2186578959052741</v>
      </c>
      <c r="AB173" s="21">
        <f>EXP(-LN(2)/2)*AB172+(1-EXP(-LN(2)/2))/(LN(2)/2)*V173*Y173*VLOOKUP('Données projet'!$B$9,Paramètres!$A$1:$I$89,3,0)*0.475*44/12</f>
        <v>2.6225286231116659E-19</v>
      </c>
      <c r="AC173" s="22">
        <f t="shared" si="163"/>
        <v>3.8479110867302593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-1.2414602679200469E-13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0</v>
      </c>
      <c r="AO173" s="59">
        <f t="shared" si="144"/>
        <v>0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-4.1500243241898714E-13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292.4657394642</v>
      </c>
      <c r="BJ173" s="59">
        <f t="shared" si="146"/>
        <v>333.80517619352395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0.16870251820938406</v>
      </c>
      <c r="BQ173" s="21">
        <f>EXP(-LN(2)/25)*BQ172+(1-EXP(-LN(2)/25))/(LN(2)/25)*Calculateur!BL173*Calculateur!BN173*VLOOKUP('Données projet'!$B$11,Paramètres!$A$1:$I$89,3,0)*0.475*44/12</f>
        <v>0.34996670296428251</v>
      </c>
      <c r="BR173" s="21">
        <f>EXP(-LN(2)/2)*BR172+(1-EXP(-LN(2)/2))/(LN(2)/2)*BL173*BO173*VLOOKUP('Données projet'!$B$11,Paramètres!$A$1:$I$89,3,0)*0.475*44/12</f>
        <v>2.0761106072108331E-20</v>
      </c>
      <c r="BS173" s="22">
        <f t="shared" si="169"/>
        <v>0.51866922117366654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0</v>
      </c>
      <c r="CE173" s="59">
        <f t="shared" si="148"/>
        <v>0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150.98674906185317</v>
      </c>
      <c r="T174" s="59">
        <f t="shared" si="142"/>
        <v>306.44063087948552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2.5776951394390029</v>
      </c>
      <c r="AA174" s="21">
        <f>EXP(-LN(2)/25)*AA173+(1-EXP(-LN(2)/25))/(LN(2)/25)*Calculateur!V174*Calculateur!X174*VLOOKUP('Données projet'!$B$9,Paramètres!$A$1:$I$89,3,0)*0.475*44/12</f>
        <v>1.1853336316553109</v>
      </c>
      <c r="AB174" s="21">
        <f>EXP(-LN(2)/2)*AB173+(1-EXP(-LN(2)/2))/(LN(2)/2)*V174*Y174*VLOOKUP('Données projet'!$B$9,Paramètres!$A$1:$I$89,3,0)*0.475*44/12</f>
        <v>1.8544077732580786E-19</v>
      </c>
      <c r="AC174" s="22">
        <f t="shared" si="163"/>
        <v>3.763028771094314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-1.2414602679200469E-13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0</v>
      </c>
      <c r="AO174" s="59">
        <f t="shared" si="144"/>
        <v>0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-4.1500243241898714E-13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292.4657394642</v>
      </c>
      <c r="BJ174" s="59">
        <f t="shared" si="146"/>
        <v>333.80517619352395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0.16539436472567379</v>
      </c>
      <c r="BQ174" s="21">
        <f>EXP(-LN(2)/25)*BQ173+(1-EXP(-LN(2)/25))/(LN(2)/25)*Calculateur!BL174*Calculateur!BN174*VLOOKUP('Données projet'!$B$11,Paramètres!$A$1:$I$89,3,0)*0.475*44/12</f>
        <v>0.34039684506777518</v>
      </c>
      <c r="BR174" s="21">
        <f>EXP(-LN(2)/2)*BR173+(1-EXP(-LN(2)/2))/(LN(2)/2)*BL174*BO174*VLOOKUP('Données projet'!$B$11,Paramètres!$A$1:$I$89,3,0)*0.475*44/12</f>
        <v>1.4680318888521009E-20</v>
      </c>
      <c r="BS174" s="22">
        <f t="shared" si="169"/>
        <v>0.50579120979344894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0</v>
      </c>
      <c r="CE174" s="59">
        <f t="shared" si="148"/>
        <v>0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150.98674906185317</v>
      </c>
      <c r="T175" s="59">
        <f t="shared" si="142"/>
        <v>306.44063087948552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2.5271481099933935</v>
      </c>
      <c r="AA175" s="21">
        <f>EXP(-LN(2)/25)*AA174+(1-EXP(-LN(2)/25))/(LN(2)/25)*Calculateur!V175*Calculateur!X175*VLOOKUP('Données projet'!$B$9,Paramètres!$A$1:$I$89,3,0)*0.475*44/12</f>
        <v>1.15292062116371</v>
      </c>
      <c r="AB175" s="21">
        <f>EXP(-LN(2)/2)*AB174+(1-EXP(-LN(2)/2))/(LN(2)/2)*V175*Y175*VLOOKUP('Données projet'!$B$9,Paramètres!$A$1:$I$89,3,0)*0.475*44/12</f>
        <v>1.311264311555833E-19</v>
      </c>
      <c r="AC175" s="22">
        <f t="shared" si="163"/>
        <v>3.6800687311571032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-1.2414602679200469E-13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0</v>
      </c>
      <c r="AO175" s="59">
        <f t="shared" si="144"/>
        <v>0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-4.1500243241898714E-13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292.4657394642</v>
      </c>
      <c r="BJ175" s="59">
        <f t="shared" si="146"/>
        <v>333.80517619352395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0.16215108211400467</v>
      </c>
      <c r="BQ175" s="21">
        <f>EXP(-LN(2)/25)*BQ174+(1-EXP(-LN(2)/25))/(LN(2)/25)*Calculateur!BL175*Calculateur!BN175*VLOOKUP('Données projet'!$B$11,Paramètres!$A$1:$I$89,3,0)*0.475*44/12</f>
        <v>0.33108867543870479</v>
      </c>
      <c r="BR175" s="21">
        <f>EXP(-LN(2)/2)*BR174+(1-EXP(-LN(2)/2))/(LN(2)/2)*BL175*BO175*VLOOKUP('Données projet'!$B$11,Paramètres!$A$1:$I$89,3,0)*0.475*44/12</f>
        <v>1.0380553036054166E-20</v>
      </c>
      <c r="BS175" s="22">
        <f t="shared" si="169"/>
        <v>0.49323975755270943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0</v>
      </c>
      <c r="CE175" s="59">
        <f t="shared" si="148"/>
        <v>0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150.98674906185317</v>
      </c>
      <c r="T176" s="59">
        <f t="shared" si="142"/>
        <v>306.44063087948552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2.4775922769645686</v>
      </c>
      <c r="AA176" s="21">
        <f>EXP(-LN(2)/25)*AA175+(1-EXP(-LN(2)/25))/(LN(2)/25)*Calculateur!V176*Calculateur!X176*VLOOKUP('Données projet'!$B$9,Paramètres!$A$1:$I$89,3,0)*0.475*44/12</f>
        <v>1.1213939461485278</v>
      </c>
      <c r="AB176" s="21">
        <f>EXP(-LN(2)/2)*AB175+(1-EXP(-LN(2)/2))/(LN(2)/2)*V176*Y176*VLOOKUP('Données projet'!$B$9,Paramètres!$A$1:$I$89,3,0)*0.475*44/12</f>
        <v>9.2720388662903928E-20</v>
      </c>
      <c r="AC176" s="22">
        <f t="shared" si="163"/>
        <v>3.5989862231130965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-1.2414602679200469E-13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0</v>
      </c>
      <c r="AO176" s="59">
        <f t="shared" si="144"/>
        <v>0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-4.1500243241898714E-13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292.4657394642</v>
      </c>
      <c r="BJ176" s="59">
        <f t="shared" si="146"/>
        <v>333.80517619352395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0.15897139829614332</v>
      </c>
      <c r="BQ176" s="21">
        <f>EXP(-LN(2)/25)*BQ175+(1-EXP(-LN(2)/25))/(LN(2)/25)*Calculateur!BL176*Calculateur!BN176*VLOOKUP('Données projet'!$B$11,Paramètres!$A$1:$I$89,3,0)*0.475*44/12</f>
        <v>0.32203503819763668</v>
      </c>
      <c r="BR176" s="21">
        <f>EXP(-LN(2)/2)*BR175+(1-EXP(-LN(2)/2))/(LN(2)/2)*BL176*BO176*VLOOKUP('Données projet'!$B$11,Paramètres!$A$1:$I$89,3,0)*0.475*44/12</f>
        <v>7.3401594442605043E-21</v>
      </c>
      <c r="BS176" s="22">
        <f t="shared" si="169"/>
        <v>0.48100643649378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0</v>
      </c>
      <c r="CE176" s="59">
        <f t="shared" si="148"/>
        <v>0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150.98674906185317</v>
      </c>
      <c r="T177" s="59">
        <f t="shared" si="142"/>
        <v>306.44063087948552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2.4290082035953655</v>
      </c>
      <c r="AA177" s="21">
        <f>EXP(-LN(2)/25)*AA176+(1-EXP(-LN(2)/25))/(LN(2)/25)*Calculateur!V177*Calculateur!X177*VLOOKUP('Données projet'!$B$9,Paramètres!$A$1:$I$89,3,0)*0.475*44/12</f>
        <v>1.0907293697195517</v>
      </c>
      <c r="AB177" s="21">
        <f>EXP(-LN(2)/2)*AB176+(1-EXP(-LN(2)/2))/(LN(2)/2)*V177*Y177*VLOOKUP('Données projet'!$B$9,Paramètres!$A$1:$I$89,3,0)*0.475*44/12</f>
        <v>6.5563215577791648E-20</v>
      </c>
      <c r="AC177" s="22">
        <f t="shared" si="163"/>
        <v>3.5197375733149174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-1.2414602679200469E-13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0</v>
      </c>
      <c r="AO177" s="59">
        <f t="shared" si="144"/>
        <v>0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-4.1500243241898714E-13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292.4657394642</v>
      </c>
      <c r="BJ177" s="59">
        <f t="shared" si="146"/>
        <v>333.80517619352395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0.15585406613853461</v>
      </c>
      <c r="BQ177" s="21">
        <f>EXP(-LN(2)/25)*BQ176+(1-EXP(-LN(2)/25))/(LN(2)/25)*Calculateur!BL177*Calculateur!BN177*VLOOKUP('Données projet'!$B$11,Paramètres!$A$1:$I$89,3,0)*0.475*44/12</f>
        <v>0.31322897314303566</v>
      </c>
      <c r="BR177" s="21">
        <f>EXP(-LN(2)/2)*BR176+(1-EXP(-LN(2)/2))/(LN(2)/2)*BL177*BO177*VLOOKUP('Données projet'!$B$11,Paramètres!$A$1:$I$89,3,0)*0.475*44/12</f>
        <v>5.1902765180270828E-21</v>
      </c>
      <c r="BS177" s="22">
        <f t="shared" si="169"/>
        <v>0.46908303928157025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0</v>
      </c>
      <c r="CE177" s="59">
        <f t="shared" si="148"/>
        <v>0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150.98674906185317</v>
      </c>
      <c r="T178" s="59">
        <f t="shared" si="142"/>
        <v>306.44063087948552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2.381376834271574</v>
      </c>
      <c r="AA178" s="21">
        <f>EXP(-LN(2)/25)*AA177+(1-EXP(-LN(2)/25))/(LN(2)/25)*Calculateur!V178*Calculateur!X178*VLOOKUP('Données projet'!$B$9,Paramètres!$A$1:$I$89,3,0)*0.475*44/12</f>
        <v>1.060903317745606</v>
      </c>
      <c r="AB178" s="21">
        <f>EXP(-LN(2)/2)*AB177+(1-EXP(-LN(2)/2))/(LN(2)/2)*V178*Y178*VLOOKUP('Données projet'!$B$9,Paramètres!$A$1:$I$89,3,0)*0.475*44/12</f>
        <v>4.6360194331451964E-20</v>
      </c>
      <c r="AC178" s="22">
        <f t="shared" si="163"/>
        <v>3.44228015201718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-1.2414602679200469E-13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0</v>
      </c>
      <c r="AO178" s="59">
        <f t="shared" si="144"/>
        <v>0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-4.1500243241898714E-13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292.4657394642</v>
      </c>
      <c r="BJ178" s="59">
        <f t="shared" si="146"/>
        <v>333.80517619352395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0.15279786296315173</v>
      </c>
      <c r="BQ178" s="21">
        <f>EXP(-LN(2)/25)*BQ177+(1-EXP(-LN(2)/25))/(LN(2)/25)*Calculateur!BL178*Calculateur!BN178*VLOOKUP('Données projet'!$B$11,Paramètres!$A$1:$I$89,3,0)*0.475*44/12</f>
        <v>0.30466371040044354</v>
      </c>
      <c r="BR178" s="21">
        <f>EXP(-LN(2)/2)*BR177+(1-EXP(-LN(2)/2))/(LN(2)/2)*BL178*BO178*VLOOKUP('Données projet'!$B$11,Paramètres!$A$1:$I$89,3,0)*0.475*44/12</f>
        <v>3.6700797221302521E-21</v>
      </c>
      <c r="BS178" s="22">
        <f t="shared" si="169"/>
        <v>0.45746157336359528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0</v>
      </c>
      <c r="CE178" s="59">
        <f t="shared" si="148"/>
        <v>0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150.98674906185317</v>
      </c>
      <c r="T179" s="59">
        <f t="shared" si="142"/>
        <v>306.44063087948552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2.3346794870479552</v>
      </c>
      <c r="AA179" s="21">
        <f>EXP(-LN(2)/25)*AA178+(1-EXP(-LN(2)/25))/(LN(2)/25)*Calculateur!V179*Calculateur!X179*VLOOKUP('Données projet'!$B$9,Paramètres!$A$1:$I$89,3,0)*0.475*44/12</f>
        <v>1.0318928607313715</v>
      </c>
      <c r="AB179" s="21">
        <f>EXP(-LN(2)/2)*AB178+(1-EXP(-LN(2)/2))/(LN(2)/2)*V179*Y179*VLOOKUP('Données projet'!$B$9,Paramètres!$A$1:$I$89,3,0)*0.475*44/12</f>
        <v>3.2781607788895824E-20</v>
      </c>
      <c r="AC179" s="22">
        <f t="shared" si="163"/>
        <v>3.3665723477793268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-1.2414602679200469E-13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0</v>
      </c>
      <c r="AO179" s="59">
        <f t="shared" si="144"/>
        <v>0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-4.1500243241898714E-13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292.4657394642</v>
      </c>
      <c r="BJ179" s="59">
        <f t="shared" si="146"/>
        <v>333.80517619352395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0.14980159006793825</v>
      </c>
      <c r="BQ179" s="21">
        <f>EXP(-LN(2)/25)*BQ178+(1-EXP(-LN(2)/25))/(LN(2)/25)*Calculateur!BL179*Calculateur!BN179*VLOOKUP('Données projet'!$B$11,Paramètres!$A$1:$I$89,3,0)*0.475*44/12</f>
        <v>0.29633266521797519</v>
      </c>
      <c r="BR179" s="21">
        <f>EXP(-LN(2)/2)*BR178+(1-EXP(-LN(2)/2))/(LN(2)/2)*BL179*BO179*VLOOKUP('Données projet'!$B$11,Paramètres!$A$1:$I$89,3,0)*0.475*44/12</f>
        <v>2.5951382590135414E-21</v>
      </c>
      <c r="BS179" s="22">
        <f t="shared" si="169"/>
        <v>0.44613425528591344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0</v>
      </c>
      <c r="CE179" s="59">
        <f t="shared" si="148"/>
        <v>0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150.98674906185317</v>
      </c>
      <c r="T180" s="59">
        <f t="shared" si="142"/>
        <v>306.44063087948552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2.2888978463208223</v>
      </c>
      <c r="AA180" s="21">
        <f>EXP(-LN(2)/25)*AA179+(1-EXP(-LN(2)/25))/(LN(2)/25)*Calculateur!V180*Calculateur!X180*VLOOKUP('Données projet'!$B$9,Paramètres!$A$1:$I$89,3,0)*0.475*44/12</f>
        <v>1.003675696189785</v>
      </c>
      <c r="AB180" s="21">
        <f>EXP(-LN(2)/2)*AB179+(1-EXP(-LN(2)/2))/(LN(2)/2)*V180*Y180*VLOOKUP('Données projet'!$B$9,Paramètres!$A$1:$I$89,3,0)*0.475*44/12</f>
        <v>2.3180097165725982E-20</v>
      </c>
      <c r="AC180" s="22">
        <f t="shared" si="163"/>
        <v>3.2925735425106071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-1.2414602679200469E-13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0</v>
      </c>
      <c r="AO180" s="59">
        <f t="shared" si="144"/>
        <v>0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-4.1500243241898714E-13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292.4657394642</v>
      </c>
      <c r="BJ180" s="59">
        <f t="shared" si="146"/>
        <v>333.80517619352395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0.14686407225665388</v>
      </c>
      <c r="BQ180" s="21">
        <f>EXP(-LN(2)/25)*BQ179+(1-EXP(-LN(2)/25))/(LN(2)/25)*Calculateur!BL180*Calculateur!BN180*VLOOKUP('Données projet'!$B$11,Paramètres!$A$1:$I$89,3,0)*0.475*44/12</f>
        <v>0.28822943290413205</v>
      </c>
      <c r="BR180" s="21">
        <f>EXP(-LN(2)/2)*BR179+(1-EXP(-LN(2)/2))/(LN(2)/2)*BL180*BO180*VLOOKUP('Données projet'!$B$11,Paramètres!$A$1:$I$89,3,0)*0.475*44/12</f>
        <v>1.8350398610651261E-21</v>
      </c>
      <c r="BS180" s="22">
        <f t="shared" si="169"/>
        <v>0.43509350516078593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0</v>
      </c>
      <c r="CE180" s="59">
        <f t="shared" si="148"/>
        <v>0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150.98674906185317</v>
      </c>
      <c r="T181" s="59">
        <f t="shared" si="142"/>
        <v>306.44063087948552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2.2440139556443048</v>
      </c>
      <c r="AA181" s="21">
        <f>EXP(-LN(2)/25)*AA180+(1-EXP(-LN(2)/25))/(LN(2)/25)*Calculateur!V181*Calculateur!X181*VLOOKUP('Données projet'!$B$9,Paramètres!$A$1:$I$89,3,0)*0.475*44/12</f>
        <v>0.97623013149646443</v>
      </c>
      <c r="AB181" s="21">
        <f>EXP(-LN(2)/2)*AB180+(1-EXP(-LN(2)/2))/(LN(2)/2)*V181*Y181*VLOOKUP('Données projet'!$B$9,Paramètres!$A$1:$I$89,3,0)*0.475*44/12</f>
        <v>1.6390803894447912E-20</v>
      </c>
      <c r="AC181" s="22">
        <f t="shared" si="163"/>
        <v>3.2202440871407694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-1.2414602679200469E-13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0</v>
      </c>
      <c r="AO181" s="59">
        <f t="shared" si="144"/>
        <v>0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-4.1500243241898714E-13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292.4657394642</v>
      </c>
      <c r="BJ181" s="59">
        <f t="shared" si="146"/>
        <v>333.80517619352395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0.14398415737793985</v>
      </c>
      <c r="BQ181" s="21">
        <f>EXP(-LN(2)/25)*BQ180+(1-EXP(-LN(2)/25))/(LN(2)/25)*Calculateur!BL181*Calculateur!BN181*VLOOKUP('Données projet'!$B$11,Paramètres!$A$1:$I$89,3,0)*0.475*44/12</f>
        <v>0.28034778390404147</v>
      </c>
      <c r="BR181" s="21">
        <f>EXP(-LN(2)/2)*BR180+(1-EXP(-LN(2)/2))/(LN(2)/2)*BL181*BO181*VLOOKUP('Données projet'!$B$11,Paramètres!$A$1:$I$89,3,0)*0.475*44/12</f>
        <v>1.2975691295067707E-21</v>
      </c>
      <c r="BS181" s="22">
        <f t="shared" si="169"/>
        <v>0.42433194128198132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0</v>
      </c>
      <c r="CE181" s="59">
        <f t="shared" si="148"/>
        <v>0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150.98674906185317</v>
      </c>
      <c r="T182" s="59">
        <f t="shared" si="142"/>
        <v>306.44063087948552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2.2000102106874837</v>
      </c>
      <c r="AA182" s="21">
        <f>EXP(-LN(2)/25)*AA181+(1-EXP(-LN(2)/25))/(LN(2)/25)*Calculateur!V182*Calculateur!X182*VLOOKUP('Données projet'!$B$9,Paramètres!$A$1:$I$89,3,0)*0.475*44/12</f>
        <v>0.9495350672129822</v>
      </c>
      <c r="AB182" s="21">
        <f>EXP(-LN(2)/2)*AB181+(1-EXP(-LN(2)/2))/(LN(2)/2)*V182*Y182*VLOOKUP('Données projet'!$B$9,Paramètres!$A$1:$I$89,3,0)*0.475*44/12</f>
        <v>1.1590048582862991E-20</v>
      </c>
      <c r="AC182" s="22">
        <f t="shared" si="163"/>
        <v>3.149545277900466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-1.2414602679200469E-13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0</v>
      </c>
      <c r="AO182" s="59">
        <f t="shared" si="144"/>
        <v>0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-4.1500243241898714E-13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292.4657394642</v>
      </c>
      <c r="BJ182" s="59">
        <f t="shared" si="146"/>
        <v>333.80517619352395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0.14116071587342277</v>
      </c>
      <c r="BQ182" s="21">
        <f>EXP(-LN(2)/25)*BQ181+(1-EXP(-LN(2)/25))/(LN(2)/25)*Calculateur!BL182*Calculateur!BN182*VLOOKUP('Données projet'!$B$11,Paramètres!$A$1:$I$89,3,0)*0.475*44/12</f>
        <v>0.27268165901033625</v>
      </c>
      <c r="BR182" s="21">
        <f>EXP(-LN(2)/2)*BR181+(1-EXP(-LN(2)/2))/(LN(2)/2)*BL182*BO182*VLOOKUP('Données projet'!$B$11,Paramètres!$A$1:$I$89,3,0)*0.475*44/12</f>
        <v>9.1751993053256303E-22</v>
      </c>
      <c r="BS182" s="22">
        <f t="shared" si="169"/>
        <v>0.41384237488375902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0</v>
      </c>
      <c r="CE182" s="59">
        <f t="shared" si="148"/>
        <v>0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150.98674906185317</v>
      </c>
      <c r="T183" s="59">
        <f t="shared" si="142"/>
        <v>306.44063087948552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2.1568693523296316</v>
      </c>
      <c r="AA183" s="21">
        <f>EXP(-LN(2)/25)*AA182+(1-EXP(-LN(2)/25))/(LN(2)/25)*Calculateur!V183*Calculateur!X183*VLOOKUP('Données projet'!$B$9,Paramètres!$A$1:$I$89,3,0)*0.475*44/12</f>
        <v>0.92356998086616415</v>
      </c>
      <c r="AB183" s="21">
        <f>EXP(-LN(2)/2)*AB182+(1-EXP(-LN(2)/2))/(LN(2)/2)*V183*Y183*VLOOKUP('Données projet'!$B$9,Paramètres!$A$1:$I$89,3,0)*0.475*44/12</f>
        <v>8.1954019472239561E-21</v>
      </c>
      <c r="AC183" s="22">
        <f t="shared" si="163"/>
        <v>3.0804393331957955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-1.2414602679200469E-13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0</v>
      </c>
      <c r="AO183" s="59">
        <f t="shared" si="144"/>
        <v>0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-4.1500243241898714E-13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292.4657394642</v>
      </c>
      <c r="BJ183" s="59">
        <f t="shared" si="146"/>
        <v>333.80517619352395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0.13839264033468002</v>
      </c>
      <c r="BQ183" s="21">
        <f>EXP(-LN(2)/25)*BQ182+(1-EXP(-LN(2)/25))/(LN(2)/25)*Calculateur!BL183*Calculateur!BN183*VLOOKUP('Données projet'!$B$11,Paramètres!$A$1:$I$89,3,0)*0.475*44/12</f>
        <v>0.26522516470499341</v>
      </c>
      <c r="BR183" s="21">
        <f>EXP(-LN(2)/2)*BR182+(1-EXP(-LN(2)/2))/(LN(2)/2)*BL183*BO183*VLOOKUP('Données projet'!$B$11,Paramètres!$A$1:$I$89,3,0)*0.475*44/12</f>
        <v>6.4878456475338535E-22</v>
      </c>
      <c r="BS183" s="22">
        <f t="shared" si="169"/>
        <v>0.40361780503967343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0</v>
      </c>
      <c r="CE183" s="59">
        <f t="shared" si="148"/>
        <v>0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150.98674906185317</v>
      </c>
      <c r="T184" s="59">
        <f t="shared" si="142"/>
        <v>306.44063087948552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2.1145744598908518</v>
      </c>
      <c r="AA184" s="21">
        <f>EXP(-LN(2)/25)*AA183+(1-EXP(-LN(2)/25))/(LN(2)/25)*Calculateur!V184*Calculateur!X184*VLOOKUP('Données projet'!$B$9,Paramètres!$A$1:$I$89,3,0)*0.475*44/12</f>
        <v>0.89831491117094442</v>
      </c>
      <c r="AB184" s="21">
        <f>EXP(-LN(2)/2)*AB183+(1-EXP(-LN(2)/2))/(LN(2)/2)*V184*Y184*VLOOKUP('Données projet'!$B$9,Paramètres!$A$1:$I$89,3,0)*0.475*44/12</f>
        <v>5.7950242914314955E-21</v>
      </c>
      <c r="AC184" s="22">
        <f t="shared" si="163"/>
        <v>3.0128893710617963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-1.2414602679200469E-13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0</v>
      </c>
      <c r="AO184" s="59">
        <f t="shared" si="144"/>
        <v>0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-4.1500243241898714E-13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292.4657394642</v>
      </c>
      <c r="BJ184" s="59">
        <f t="shared" si="146"/>
        <v>333.80517619352395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0.13567884506889263</v>
      </c>
      <c r="BQ184" s="21">
        <f>EXP(-LN(2)/25)*BQ183+(1-EXP(-LN(2)/25))/(LN(2)/25)*Calculateur!BL184*Calculateur!BN184*VLOOKUP('Données projet'!$B$11,Paramètres!$A$1:$I$89,3,0)*0.475*44/12</f>
        <v>0.25797256862855011</v>
      </c>
      <c r="BR184" s="21">
        <f>EXP(-LN(2)/2)*BR183+(1-EXP(-LN(2)/2))/(LN(2)/2)*BL184*BO184*VLOOKUP('Données projet'!$B$11,Paramètres!$A$1:$I$89,3,0)*0.475*44/12</f>
        <v>4.5875996526628152E-22</v>
      </c>
      <c r="BS184" s="22">
        <f t="shared" si="169"/>
        <v>0.39365141369744272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0</v>
      </c>
      <c r="CE184" s="59">
        <f t="shared" si="148"/>
        <v>0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150.98674906185317</v>
      </c>
      <c r="T185" s="59">
        <f t="shared" si="142"/>
        <v>306.44063087948552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2.0731089444954591</v>
      </c>
      <c r="AA185" s="21">
        <f>EXP(-LN(2)/25)*AA184+(1-EXP(-LN(2)/25))/(LN(2)/25)*Calculateur!V185*Calculateur!X185*VLOOKUP('Données projet'!$B$9,Paramètres!$A$1:$I$89,3,0)*0.475*44/12</f>
        <v>0.87375044268464686</v>
      </c>
      <c r="AB185" s="21">
        <f>EXP(-LN(2)/2)*AB184+(1-EXP(-LN(2)/2))/(LN(2)/2)*V185*Y185*VLOOKUP('Données projet'!$B$9,Paramètres!$A$1:$I$89,3,0)*0.475*44/12</f>
        <v>4.097700973611978E-21</v>
      </c>
      <c r="AC185" s="22">
        <f t="shared" si="163"/>
        <v>2.9468593871801061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-1.2414602679200469E-13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0</v>
      </c>
      <c r="AO185" s="59">
        <f t="shared" si="144"/>
        <v>0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-4.1500243241898714E-13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292.4657394642</v>
      </c>
      <c r="BJ185" s="59">
        <f t="shared" si="146"/>
        <v>333.80517619352395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0.13301826567301567</v>
      </c>
      <c r="BQ185" s="21">
        <f>EXP(-LN(2)/25)*BQ184+(1-EXP(-LN(2)/25))/(LN(2)/25)*Calculateur!BL185*Calculateur!BN185*VLOOKUP('Données projet'!$B$11,Paramètres!$A$1:$I$89,3,0)*0.475*44/12</f>
        <v>0.25091829517321462</v>
      </c>
      <c r="BR185" s="21">
        <f>EXP(-LN(2)/2)*BR184+(1-EXP(-LN(2)/2))/(LN(2)/2)*BL185*BO185*VLOOKUP('Données projet'!$B$11,Paramètres!$A$1:$I$89,3,0)*0.475*44/12</f>
        <v>3.2439228237669267E-22</v>
      </c>
      <c r="BS185" s="22">
        <f t="shared" si="169"/>
        <v>0.38393656084623029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0</v>
      </c>
      <c r="CE185" s="59">
        <f t="shared" si="148"/>
        <v>0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150.98674906185317</v>
      </c>
      <c r="T186" s="59">
        <f t="shared" si="142"/>
        <v>306.44063087948552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2.032456542565503</v>
      </c>
      <c r="AA186" s="21">
        <f>EXP(-LN(2)/25)*AA185+(1-EXP(-LN(2)/25))/(LN(2)/25)*Calculateur!V186*Calculateur!X186*VLOOKUP('Données projet'!$B$9,Paramètres!$A$1:$I$89,3,0)*0.475*44/12</f>
        <v>0.84985769088089635</v>
      </c>
      <c r="AB186" s="21">
        <f>EXP(-LN(2)/2)*AB185+(1-EXP(-LN(2)/2))/(LN(2)/2)*V186*Y186*VLOOKUP('Données projet'!$B$9,Paramètres!$A$1:$I$89,3,0)*0.475*44/12</f>
        <v>2.8975121457157478E-21</v>
      </c>
      <c r="AC186" s="22">
        <f t="shared" si="163"/>
        <v>2.8823142334463991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-1.2414602679200469E-13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0</v>
      </c>
      <c r="AO186" s="59">
        <f t="shared" si="144"/>
        <v>0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-4.1500243241898714E-13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292.4657394642</v>
      </c>
      <c r="BJ186" s="59">
        <f t="shared" si="146"/>
        <v>333.80517619352395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0.13040985861629867</v>
      </c>
      <c r="BQ186" s="21">
        <f>EXP(-LN(2)/25)*BQ185+(1-EXP(-LN(2)/25))/(LN(2)/25)*Calculateur!BL186*Calculateur!BN186*VLOOKUP('Données projet'!$B$11,Paramètres!$A$1:$I$89,3,0)*0.475*44/12</f>
        <v>0.2440569211964834</v>
      </c>
      <c r="BR186" s="21">
        <f>EXP(-LN(2)/2)*BR185+(1-EXP(-LN(2)/2))/(LN(2)/2)*BL186*BO186*VLOOKUP('Données projet'!$B$11,Paramètres!$A$1:$I$89,3,0)*0.475*44/12</f>
        <v>2.2937998263314076E-22</v>
      </c>
      <c r="BS186" s="22">
        <f t="shared" si="169"/>
        <v>0.37446677981278209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0</v>
      </c>
      <c r="CE186" s="59">
        <f t="shared" si="148"/>
        <v>0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150.98674906185317</v>
      </c>
      <c r="T187" s="59">
        <f t="shared" si="142"/>
        <v>306.44063087948552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1.9926013094418766</v>
      </c>
      <c r="AA187" s="21">
        <f>EXP(-LN(2)/25)*AA186+(1-EXP(-LN(2)/25))/(LN(2)/25)*Calculateur!V187*Calculateur!X187*VLOOKUP('Données projet'!$B$9,Paramètres!$A$1:$I$89,3,0)*0.475*44/12</f>
        <v>0.82661828763168466</v>
      </c>
      <c r="AB187" s="21">
        <f>EXP(-LN(2)/2)*AB186+(1-EXP(-LN(2)/2))/(LN(2)/2)*V187*Y187*VLOOKUP('Données projet'!$B$9,Paramètres!$A$1:$I$89,3,0)*0.475*44/12</f>
        <v>2.048850486805989E-21</v>
      </c>
      <c r="AC187" s="22">
        <f t="shared" si="163"/>
        <v>2.8192195970735612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-1.2414602679200469E-13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0</v>
      </c>
      <c r="AO187" s="59">
        <f t="shared" si="144"/>
        <v>0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-4.1500243241898714E-13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292.4657394642</v>
      </c>
      <c r="BJ187" s="59">
        <f t="shared" si="146"/>
        <v>333.80517619352395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0.12785260083099267</v>
      </c>
      <c r="BQ187" s="21">
        <f>EXP(-LN(2)/25)*BQ186+(1-EXP(-LN(2)/25))/(LN(2)/25)*Calculateur!BL187*Calculateur!BN187*VLOOKUP('Données projet'!$B$11,Paramètres!$A$1:$I$89,3,0)*0.475*44/12</f>
        <v>0.23738317185196986</v>
      </c>
      <c r="BR187" s="21">
        <f>EXP(-LN(2)/2)*BR186+(1-EXP(-LN(2)/2))/(LN(2)/2)*BL187*BO187*VLOOKUP('Données projet'!$B$11,Paramètres!$A$1:$I$89,3,0)*0.475*44/12</f>
        <v>1.6219614118834634E-22</v>
      </c>
      <c r="BS187" s="22">
        <f t="shared" si="169"/>
        <v>0.36523577268296253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0</v>
      </c>
      <c r="CE187" s="59">
        <f t="shared" si="148"/>
        <v>0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150.98674906185317</v>
      </c>
      <c r="T188" s="59">
        <f t="shared" si="142"/>
        <v>306.44063087948552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1.9535276131305126</v>
      </c>
      <c r="AA188" s="21">
        <f>EXP(-LN(2)/25)*AA187+(1-EXP(-LN(2)/25))/(LN(2)/25)*Calculateur!V188*Calculateur!X188*VLOOKUP('Données projet'!$B$9,Paramètres!$A$1:$I$89,3,0)*0.475*44/12</f>
        <v>0.8040143670864297</v>
      </c>
      <c r="AB188" s="21">
        <f>EXP(-LN(2)/2)*AB187+(1-EXP(-LN(2)/2))/(LN(2)/2)*V188*Y188*VLOOKUP('Données projet'!$B$9,Paramètres!$A$1:$I$89,3,0)*0.475*44/12</f>
        <v>1.4487560728578739E-21</v>
      </c>
      <c r="AC188" s="22">
        <f t="shared" si="163"/>
        <v>2.7575419802169421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-1.2414602679200469E-13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0</v>
      </c>
      <c r="AO188" s="59">
        <f t="shared" si="144"/>
        <v>0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-4.1500243241898714E-13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292.4657394642</v>
      </c>
      <c r="BJ188" s="59">
        <f t="shared" si="146"/>
        <v>333.80517619352395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0.1253454893110833</v>
      </c>
      <c r="BQ188" s="21">
        <f>EXP(-LN(2)/25)*BQ187+(1-EXP(-LN(2)/25))/(LN(2)/25)*Calculateur!BL188*Calculateur!BN188*VLOOKUP('Données projet'!$B$11,Paramètres!$A$1:$I$89,3,0)*0.475*44/12</f>
        <v>0.23089191653423929</v>
      </c>
      <c r="BR188" s="21">
        <f>EXP(-LN(2)/2)*BR187+(1-EXP(-LN(2)/2))/(LN(2)/2)*BL188*BO188*VLOOKUP('Données projet'!$B$11,Paramètres!$A$1:$I$89,3,0)*0.475*44/12</f>
        <v>1.1468999131657038E-22</v>
      </c>
      <c r="BS188" s="22">
        <f t="shared" si="169"/>
        <v>0.3562374058453226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0</v>
      </c>
      <c r="CE188" s="59">
        <f t="shared" si="148"/>
        <v>0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150.98674906185317</v>
      </c>
      <c r="T189" s="59">
        <f t="shared" si="142"/>
        <v>306.44063087948552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1.9152201281712131</v>
      </c>
      <c r="AA189" s="21">
        <f>EXP(-LN(2)/25)*AA188+(1-EXP(-LN(2)/25))/(LN(2)/25)*Calculateur!V189*Calculateur!X189*VLOOKUP('Données projet'!$B$9,Paramètres!$A$1:$I$89,3,0)*0.475*44/12</f>
        <v>0.78202855193717336</v>
      </c>
      <c r="AB189" s="21">
        <f>EXP(-LN(2)/2)*AB188+(1-EXP(-LN(2)/2))/(LN(2)/2)*V189*Y189*VLOOKUP('Données projet'!$B$9,Paramètres!$A$1:$I$89,3,0)*0.475*44/12</f>
        <v>1.0244252434029945E-21</v>
      </c>
      <c r="AC189" s="22">
        <f t="shared" si="163"/>
        <v>2.6972486801083866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-1.2414602679200469E-13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0</v>
      </c>
      <c r="AO189" s="59">
        <f t="shared" si="144"/>
        <v>0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-4.1500243241898714E-13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292.4657394642</v>
      </c>
      <c r="BJ189" s="59">
        <f t="shared" si="146"/>
        <v>333.80517619352395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0.12288754071889231</v>
      </c>
      <c r="BQ189" s="21">
        <f>EXP(-LN(2)/25)*BQ188+(1-EXP(-LN(2)/25))/(LN(2)/25)*Calculateur!BL189*Calculateur!BN189*VLOOKUP('Données projet'!$B$11,Paramètres!$A$1:$I$89,3,0)*0.475*44/12</f>
        <v>0.22457816493453234</v>
      </c>
      <c r="BR189" s="21">
        <f>EXP(-LN(2)/2)*BR188+(1-EXP(-LN(2)/2))/(LN(2)/2)*BL189*BO189*VLOOKUP('Données projet'!$B$11,Paramètres!$A$1:$I$89,3,0)*0.475*44/12</f>
        <v>8.1098070594173168E-23</v>
      </c>
      <c r="BS189" s="22">
        <f t="shared" si="169"/>
        <v>0.34746570565342466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0</v>
      </c>
      <c r="CE189" s="59">
        <f t="shared" si="148"/>
        <v>0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150.98674906185317</v>
      </c>
      <c r="T190" s="59">
        <f t="shared" si="142"/>
        <v>306.44063087948552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1.8776638296267067</v>
      </c>
      <c r="AA190" s="21">
        <f>EXP(-LN(2)/25)*AA189+(1-EXP(-LN(2)/25))/(LN(2)/25)*Calculateur!V190*Calculateur!X190*VLOOKUP('Données projet'!$B$9,Paramètres!$A$1:$I$89,3,0)*0.475*44/12</f>
        <v>0.7606439400593572</v>
      </c>
      <c r="AB190" s="21">
        <f>EXP(-LN(2)/2)*AB189+(1-EXP(-LN(2)/2))/(LN(2)/2)*V190*Y190*VLOOKUP('Données projet'!$B$9,Paramètres!$A$1:$I$89,3,0)*0.475*44/12</f>
        <v>7.2437803642893694E-22</v>
      </c>
      <c r="AC190" s="22">
        <f t="shared" si="163"/>
        <v>2.638307769686064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-1.2414602679200469E-13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0</v>
      </c>
      <c r="AO190" s="59">
        <f t="shared" si="144"/>
        <v>0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-4.1500243241898714E-13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292.4657394642</v>
      </c>
      <c r="BJ190" s="59">
        <f t="shared" si="146"/>
        <v>333.80517619352395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0.12047779099939358</v>
      </c>
      <c r="BQ190" s="21">
        <f>EXP(-LN(2)/25)*BQ189+(1-EXP(-LN(2)/25))/(LN(2)/25)*Calculateur!BL190*Calculateur!BN190*VLOOKUP('Données projet'!$B$11,Paramètres!$A$1:$I$89,3,0)*0.475*44/12</f>
        <v>0.21843706320434514</v>
      </c>
      <c r="BR190" s="21">
        <f>EXP(-LN(2)/2)*BR189+(1-EXP(-LN(2)/2))/(LN(2)/2)*BL190*BO190*VLOOKUP('Données projet'!$B$11,Paramètres!$A$1:$I$89,3,0)*0.475*44/12</f>
        <v>5.734499565828519E-23</v>
      </c>
      <c r="BS190" s="22">
        <f t="shared" si="169"/>
        <v>0.33891485420373874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0</v>
      </c>
      <c r="CE190" s="59">
        <f t="shared" si="148"/>
        <v>0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150.98674906185317</v>
      </c>
      <c r="T191" s="59">
        <f t="shared" si="142"/>
        <v>306.44063087948552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1.8408439871895779</v>
      </c>
      <c r="AA191" s="21">
        <f>EXP(-LN(2)/25)*AA190+(1-EXP(-LN(2)/25))/(LN(2)/25)*Calculateur!V191*Calculateur!X191*VLOOKUP('Données projet'!$B$9,Paramètres!$A$1:$I$89,3,0)*0.475*44/12</f>
        <v>0.73984409151790775</v>
      </c>
      <c r="AB191" s="21">
        <f>EXP(-LN(2)/2)*AB190+(1-EXP(-LN(2)/2))/(LN(2)/2)*V191*Y191*VLOOKUP('Données projet'!$B$9,Paramètres!$A$1:$I$89,3,0)*0.475*44/12</f>
        <v>5.1221262170149725E-22</v>
      </c>
      <c r="AC191" s="22">
        <f t="shared" si="163"/>
        <v>2.5806880787074857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-1.2414602679200469E-13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0</v>
      </c>
      <c r="AO191" s="59">
        <f t="shared" si="144"/>
        <v>0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-4.1500243241898714E-13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292.4657394642</v>
      </c>
      <c r="BJ191" s="59">
        <f t="shared" si="146"/>
        <v>333.80517619352395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0.11811529500209202</v>
      </c>
      <c r="BQ191" s="21">
        <f>EXP(-LN(2)/25)*BQ190+(1-EXP(-LN(2)/25))/(LN(2)/25)*Calculateur!BL191*Calculateur!BN191*VLOOKUP('Données projet'!$B$11,Paramètres!$A$1:$I$89,3,0)*0.475*44/12</f>
        <v>0.2124638902239164</v>
      </c>
      <c r="BR191" s="21">
        <f>EXP(-LN(2)/2)*BR190+(1-EXP(-LN(2)/2))/(LN(2)/2)*BL191*BO191*VLOOKUP('Données projet'!$B$11,Paramètres!$A$1:$I$89,3,0)*0.475*44/12</f>
        <v>4.0549035297086584E-23</v>
      </c>
      <c r="BS191" s="22">
        <f t="shared" si="169"/>
        <v>0.33057918522600843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0</v>
      </c>
      <c r="CE191" s="59">
        <f t="shared" si="148"/>
        <v>0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150.98674906185317</v>
      </c>
      <c r="T192" s="59">
        <f t="shared" si="142"/>
        <v>306.44063087948552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1.8047461594047547</v>
      </c>
      <c r="AA192" s="21">
        <f>EXP(-LN(2)/25)*AA191+(1-EXP(-LN(2)/25))/(LN(2)/25)*Calculateur!V192*Calculateur!X192*VLOOKUP('Données projet'!$B$9,Paramètres!$A$1:$I$89,3,0)*0.475*44/12</f>
        <v>0.71961301592864069</v>
      </c>
      <c r="AB192" s="21">
        <f>EXP(-LN(2)/2)*AB191+(1-EXP(-LN(2)/2))/(LN(2)/2)*V192*Y192*VLOOKUP('Données projet'!$B$9,Paramètres!$A$1:$I$89,3,0)*0.475*44/12</f>
        <v>3.6218901821446847E-22</v>
      </c>
      <c r="AC192" s="22">
        <f t="shared" si="163"/>
        <v>2.5243591753333954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-1.2414602679200469E-13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0</v>
      </c>
      <c r="AO192" s="59">
        <f t="shared" si="144"/>
        <v>0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-4.1500243241898714E-13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292.4657394642</v>
      </c>
      <c r="BJ192" s="59">
        <f t="shared" si="146"/>
        <v>333.80517619352395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0.11579912611031727</v>
      </c>
      <c r="BQ192" s="21">
        <f>EXP(-LN(2)/25)*BQ191+(1-EXP(-LN(2)/25))/(LN(2)/25)*Calculateur!BL192*Calculateur!BN192*VLOOKUP('Données projet'!$B$11,Paramètres!$A$1:$I$89,3,0)*0.475*44/12</f>
        <v>0.20665405397275302</v>
      </c>
      <c r="BR192" s="21">
        <f>EXP(-LN(2)/2)*BR191+(1-EXP(-LN(2)/2))/(LN(2)/2)*BL192*BO192*VLOOKUP('Données projet'!$B$11,Paramètres!$A$1:$I$89,3,0)*0.475*44/12</f>
        <v>2.8672497829142595E-23</v>
      </c>
      <c r="BS192" s="22">
        <f t="shared" si="169"/>
        <v>0.32245318008307028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0</v>
      </c>
      <c r="CE192" s="59">
        <f t="shared" si="148"/>
        <v>0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150.98674906185317</v>
      </c>
      <c r="T193" s="59">
        <f t="shared" si="142"/>
        <v>306.44063087948552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1.769356188005291</v>
      </c>
      <c r="AA193" s="21">
        <f>EXP(-LN(2)/25)*AA192+(1-EXP(-LN(2)/25))/(LN(2)/25)*Calculateur!V193*Calculateur!X193*VLOOKUP('Données projet'!$B$9,Paramètres!$A$1:$I$89,3,0)*0.475*44/12</f>
        <v>0.69993516016526824</v>
      </c>
      <c r="AB193" s="21">
        <f>EXP(-LN(2)/2)*AB192+(1-EXP(-LN(2)/2))/(LN(2)/2)*V193*Y193*VLOOKUP('Données projet'!$B$9,Paramètres!$A$1:$I$89,3,0)*0.475*44/12</f>
        <v>2.5610631085074863E-22</v>
      </c>
      <c r="AC193" s="22">
        <f t="shared" si="163"/>
        <v>2.4692913481705592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-1.2414602679200469E-13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0</v>
      </c>
      <c r="AO193" s="59">
        <f t="shared" si="144"/>
        <v>0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-4.1500243241898714E-13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292.4657394642</v>
      </c>
      <c r="BJ193" s="59">
        <f t="shared" si="146"/>
        <v>333.80517619352395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0.11352837587778669</v>
      </c>
      <c r="BQ193" s="21">
        <f>EXP(-LN(2)/25)*BQ192+(1-EXP(-LN(2)/25))/(LN(2)/25)*Calculateur!BL193*Calculateur!BN193*VLOOKUP('Données projet'!$B$11,Paramètres!$A$1:$I$89,3,0)*0.475*44/12</f>
        <v>0.2010030879994037</v>
      </c>
      <c r="BR193" s="21">
        <f>EXP(-LN(2)/2)*BR192+(1-EXP(-LN(2)/2))/(LN(2)/2)*BL193*BO193*VLOOKUP('Données projet'!$B$11,Paramètres!$A$1:$I$89,3,0)*0.475*44/12</f>
        <v>2.0274517648543292E-23</v>
      </c>
      <c r="BS193" s="22">
        <f t="shared" si="169"/>
        <v>0.31453146387719039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0</v>
      </c>
      <c r="CE193" s="59">
        <f t="shared" si="148"/>
        <v>0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150.98674906185317</v>
      </c>
      <c r="T194" s="59">
        <f t="shared" si="142"/>
        <v>306.44063087948552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1.7346601923592198</v>
      </c>
      <c r="AA194" s="21">
        <f>EXP(-LN(2)/25)*AA193+(1-EXP(-LN(2)/25))/(LN(2)/25)*Calculateur!V194*Calculateur!X194*VLOOKUP('Données projet'!$B$9,Paramètres!$A$1:$I$89,3,0)*0.475*44/12</f>
        <v>0.68079539640255859</v>
      </c>
      <c r="AB194" s="21">
        <f>EXP(-LN(2)/2)*AB193+(1-EXP(-LN(2)/2))/(LN(2)/2)*V194*Y194*VLOOKUP('Données projet'!$B$9,Paramètres!$A$1:$I$89,3,0)*0.475*44/12</f>
        <v>1.8109450910723423E-22</v>
      </c>
      <c r="AC194" s="22">
        <f t="shared" si="163"/>
        <v>2.4154555887617786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-1.2414602679200469E-13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0</v>
      </c>
      <c r="AO194" s="59">
        <f t="shared" si="144"/>
        <v>0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-4.1500243241898714E-13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292.4657394642</v>
      </c>
      <c r="BJ194" s="59">
        <f t="shared" si="146"/>
        <v>333.80517619352395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0.11130215367229515</v>
      </c>
      <c r="BQ194" s="21">
        <f>EXP(-LN(2)/25)*BQ193+(1-EXP(-LN(2)/25))/(LN(2)/25)*Calculateur!BL194*Calculateur!BN194*VLOOKUP('Données projet'!$B$11,Paramètres!$A$1:$I$89,3,0)*0.475*44/12</f>
        <v>0.19550664798776701</v>
      </c>
      <c r="BR194" s="21">
        <f>EXP(-LN(2)/2)*BR193+(1-EXP(-LN(2)/2))/(LN(2)/2)*BL194*BO194*VLOOKUP('Données projet'!$B$11,Paramètres!$A$1:$I$89,3,0)*0.475*44/12</f>
        <v>1.4336248914571297E-23</v>
      </c>
      <c r="BS194" s="22">
        <f t="shared" si="169"/>
        <v>0.30680880166006219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0</v>
      </c>
      <c r="CE194" s="59">
        <f t="shared" si="148"/>
        <v>0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150.98674906185317</v>
      </c>
      <c r="T195" s="59">
        <f t="shared" si="142"/>
        <v>306.44063087948552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1.7006445640253003</v>
      </c>
      <c r="AA195" s="21">
        <f>EXP(-LN(2)/25)*AA194+(1-EXP(-LN(2)/25))/(LN(2)/25)*Calculateur!V195*Calculateur!X195*VLOOKUP('Données projet'!$B$9,Paramètres!$A$1:$I$89,3,0)*0.475*44/12</f>
        <v>0.66217901048645667</v>
      </c>
      <c r="AB195" s="21">
        <f>EXP(-LN(2)/2)*AB194+(1-EXP(-LN(2)/2))/(LN(2)/2)*V195*Y195*VLOOKUP('Données projet'!$B$9,Paramètres!$A$1:$I$89,3,0)*0.475*44/12</f>
        <v>1.2805315542537431E-22</v>
      </c>
      <c r="AC195" s="22">
        <f t="shared" si="163"/>
        <v>2.362823574511757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-1.2414602679200469E-13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0</v>
      </c>
      <c r="AO195" s="59">
        <f t="shared" si="144"/>
        <v>0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-4.1500243241898714E-13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292.4657394642</v>
      </c>
      <c r="BJ195" s="59">
        <f t="shared" si="146"/>
        <v>333.80517619352395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0.10911958632639183</v>
      </c>
      <c r="BQ195" s="21">
        <f>EXP(-LN(2)/25)*BQ194+(1-EXP(-LN(2)/25))/(LN(2)/25)*Calculateur!BL195*Calculateur!BN195*VLOOKUP('Données projet'!$B$11,Paramètres!$A$1:$I$89,3,0)*0.475*44/12</f>
        <v>0.19016050841729373</v>
      </c>
      <c r="BR195" s="21">
        <f>EXP(-LN(2)/2)*BR194+(1-EXP(-LN(2)/2))/(LN(2)/2)*BL195*BO195*VLOOKUP('Données projet'!$B$11,Paramètres!$A$1:$I$89,3,0)*0.475*44/12</f>
        <v>1.0137258824271646E-23</v>
      </c>
      <c r="BS195" s="22">
        <f t="shared" si="169"/>
        <v>0.29928009474368555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0</v>
      </c>
      <c r="CE195" s="59">
        <f t="shared" si="148"/>
        <v>0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150.98674906185317</v>
      </c>
      <c r="T196" s="59">
        <f t="shared" si="142"/>
        <v>306.44063087948552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1.6672959614155243</v>
      </c>
      <c r="AA196" s="21">
        <f>EXP(-LN(2)/25)*AA195+(1-EXP(-LN(2)/25))/(LN(2)/25)*Calculateur!V196*Calculateur!X196*VLOOKUP('Données projet'!$B$9,Paramètres!$A$1:$I$89,3,0)*0.475*44/12</f>
        <v>0.6440716906222238</v>
      </c>
      <c r="AB196" s="21">
        <f>EXP(-LN(2)/2)*AB195+(1-EXP(-LN(2)/2))/(LN(2)/2)*V196*Y196*VLOOKUP('Données projet'!$B$9,Paramètres!$A$1:$I$89,3,0)*0.475*44/12</f>
        <v>9.0547254553617117E-23</v>
      </c>
      <c r="AC196" s="22">
        <f t="shared" si="163"/>
        <v>2.311367652037748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-1.2414602679200469E-13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0</v>
      </c>
      <c r="AO196" s="59">
        <f t="shared" si="144"/>
        <v>0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-4.1500243241898714E-13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292.4657394642</v>
      </c>
      <c r="BJ196" s="59">
        <f t="shared" si="146"/>
        <v>333.80517619352395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0.10697981779490705</v>
      </c>
      <c r="BQ196" s="21">
        <f>EXP(-LN(2)/25)*BQ195+(1-EXP(-LN(2)/25))/(LN(2)/25)*Calculateur!BL196*Calculateur!BN196*VLOOKUP('Données projet'!$B$11,Paramètres!$A$1:$I$89,3,0)*0.475*44/12</f>
        <v>0.18496055931451633</v>
      </c>
      <c r="BR196" s="21">
        <f>EXP(-LN(2)/2)*BR195+(1-EXP(-LN(2)/2))/(LN(2)/2)*BL196*BO196*VLOOKUP('Données projet'!$B$11,Paramètres!$A$1:$I$89,3,0)*0.475*44/12</f>
        <v>7.1681244572856487E-24</v>
      </c>
      <c r="BS196" s="22">
        <f t="shared" si="169"/>
        <v>0.29194037710942339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0</v>
      </c>
      <c r="CE196" s="59">
        <f t="shared" si="148"/>
        <v>0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150.98674906185317</v>
      </c>
      <c r="T197" s="59">
        <f t="shared" ref="T197:T203" si="204">$T$3</f>
        <v>306.44063087948552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1.6346013045622869</v>
      </c>
      <c r="AA197" s="21">
        <f>EXP(-LN(2)/25)*AA196+(1-EXP(-LN(2)/25))/(LN(2)/25)*Calculateur!V197*Calculateur!X197*VLOOKUP('Données projet'!$B$9,Paramètres!$A$1:$I$89,3,0)*0.475*44/12</f>
        <v>0.62645951637190089</v>
      </c>
      <c r="AB197" s="21">
        <f>EXP(-LN(2)/2)*AB196+(1-EXP(-LN(2)/2))/(LN(2)/2)*V197*Y197*VLOOKUP('Données projet'!$B$9,Paramètres!$A$1:$I$89,3,0)*0.475*44/12</f>
        <v>6.4026577712687157E-23</v>
      </c>
      <c r="AC197" s="22">
        <f t="shared" si="163"/>
        <v>2.2610608209341878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-1.2414602679200469E-13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0</v>
      </c>
      <c r="AO197" s="59">
        <f t="shared" ref="AO197:AO203" si="205">$AO$3</f>
        <v>0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-4.1500243241898714E-13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292.4657394642</v>
      </c>
      <c r="BJ197" s="59">
        <f t="shared" ref="BJ197:BJ203" si="206">$BJ$3</f>
        <v>333.80517619352395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0.10488200881919475</v>
      </c>
      <c r="BQ197" s="21">
        <f>EXP(-LN(2)/25)*BQ196+(1-EXP(-LN(2)/25))/(LN(2)/25)*Calculateur!BL197*Calculateur!BN197*VLOOKUP('Données projet'!$B$11,Paramètres!$A$1:$I$89,3,0)*0.475*44/12</f>
        <v>0.17990280309340781</v>
      </c>
      <c r="BR197" s="21">
        <f>EXP(-LN(2)/2)*BR196+(1-EXP(-LN(2)/2))/(LN(2)/2)*BL197*BO197*VLOOKUP('Données projet'!$B$11,Paramètres!$A$1:$I$89,3,0)*0.475*44/12</f>
        <v>5.068629412135823E-24</v>
      </c>
      <c r="BS197" s="22">
        <f t="shared" si="169"/>
        <v>0.28478481191260258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0</v>
      </c>
      <c r="CE197" s="59">
        <f t="shared" ref="CE197:CE203" si="207">$CE$3</f>
        <v>0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150.98674906185317</v>
      </c>
      <c r="T198" s="59">
        <f t="shared" si="204"/>
        <v>306.44063087948552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1.6025477699881698</v>
      </c>
      <c r="AA198" s="21">
        <f>EXP(-LN(2)/25)*AA197+(1-EXP(-LN(2)/25))/(LN(2)/25)*Calculateur!V198*Calculateur!X198*VLOOKUP('Données projet'!$B$9,Paramètres!$A$1:$I$89,3,0)*0.475*44/12</f>
        <v>0.60932894795263703</v>
      </c>
      <c r="AB198" s="21">
        <f>EXP(-LN(2)/2)*AB197+(1-EXP(-LN(2)/2))/(LN(2)/2)*V198*Y198*VLOOKUP('Données projet'!$B$9,Paramètres!$A$1:$I$89,3,0)*0.475*44/12</f>
        <v>4.5273627276808559E-23</v>
      </c>
      <c r="AC198" s="22">
        <f t="shared" si="163"/>
        <v>2.211876717940807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-1.2414602679200469E-13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0</v>
      </c>
      <c r="AO198" s="59">
        <f t="shared" si="205"/>
        <v>0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-4.1500243241898714E-13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292.4657394642</v>
      </c>
      <c r="BJ198" s="59">
        <f t="shared" si="206"/>
        <v>333.80517619352395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0.10282533659795905</v>
      </c>
      <c r="BQ198" s="21">
        <f>EXP(-LN(2)/25)*BQ197+(1-EXP(-LN(2)/25))/(LN(2)/25)*Calculateur!BL198*Calculateur!BN198*VLOOKUP('Données projet'!$B$11,Paramètres!$A$1:$I$89,3,0)*0.475*44/12</f>
        <v>0.17498335148214134</v>
      </c>
      <c r="BR198" s="21">
        <f>EXP(-LN(2)/2)*BR197+(1-EXP(-LN(2)/2))/(LN(2)/2)*BL198*BO198*VLOOKUP('Données projet'!$B$11,Paramètres!$A$1:$I$89,3,0)*0.475*44/12</f>
        <v>3.5840622286428243E-24</v>
      </c>
      <c r="BS198" s="22">
        <f t="shared" si="169"/>
        <v>0.2778086880801004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0</v>
      </c>
      <c r="CE198" s="59">
        <f t="shared" si="207"/>
        <v>0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150.98674906185317</v>
      </c>
      <c r="T199" s="59">
        <f t="shared" si="204"/>
        <v>306.44063087948552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1.5711227856763257</v>
      </c>
      <c r="AA199" s="21">
        <f>EXP(-LN(2)/25)*AA198+(1-EXP(-LN(2)/25))/(LN(2)/25)*Calculateur!V199*Calculateur!X199*VLOOKUP('Données projet'!$B$9,Paramètres!$A$1:$I$89,3,0)*0.475*44/12</f>
        <v>0.59266681582765546</v>
      </c>
      <c r="AB199" s="21">
        <f>EXP(-LN(2)/2)*AB198+(1-EXP(-LN(2)/2))/(LN(2)/2)*V199*Y199*VLOOKUP('Données projet'!$B$9,Paramètres!$A$1:$I$89,3,0)*0.475*44/12</f>
        <v>3.2013288856343578E-23</v>
      </c>
      <c r="AC199" s="22">
        <f t="shared" si="163"/>
        <v>2.1637896015039813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-1.2414602679200469E-13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0</v>
      </c>
      <c r="AO199" s="59">
        <f t="shared" si="205"/>
        <v>0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-4.1500243241898714E-13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292.4657394642</v>
      </c>
      <c r="BJ199" s="59">
        <f t="shared" si="206"/>
        <v>333.80517619352395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0.10080899446453558</v>
      </c>
      <c r="BQ199" s="21">
        <f>EXP(-LN(2)/25)*BQ198+(1-EXP(-LN(2)/25))/(LN(2)/25)*Calculateur!BL199*Calculateur!BN199*VLOOKUP('Données projet'!$B$11,Paramètres!$A$1:$I$89,3,0)*0.475*44/12</f>
        <v>0.17019842253388764</v>
      </c>
      <c r="BR199" s="21">
        <f>EXP(-LN(2)/2)*BR198+(1-EXP(-LN(2)/2))/(LN(2)/2)*BL199*BO199*VLOOKUP('Données projet'!$B$11,Paramètres!$A$1:$I$89,3,0)*0.475*44/12</f>
        <v>2.5343147060679115E-24</v>
      </c>
      <c r="BS199" s="22">
        <f t="shared" si="169"/>
        <v>0.27100741699842323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0</v>
      </c>
      <c r="CE199" s="59">
        <f t="shared" si="207"/>
        <v>0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150.98674906185317</v>
      </c>
      <c r="T200" s="59">
        <f t="shared" si="204"/>
        <v>306.44063087948552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1.540314026139489</v>
      </c>
      <c r="AA200" s="21">
        <f>EXP(-LN(2)/25)*AA199+(1-EXP(-LN(2)/25))/(LN(2)/25)*Calculateur!V200*Calculateur!X200*VLOOKUP('Données projet'!$B$9,Paramètres!$A$1:$I$89,3,0)*0.475*44/12</f>
        <v>0.57646031058185498</v>
      </c>
      <c r="AB200" s="21">
        <f>EXP(-LN(2)/2)*AB199+(1-EXP(-LN(2)/2))/(LN(2)/2)*V200*Y200*VLOOKUP('Données projet'!$B$9,Paramètres!$A$1:$I$89,3,0)*0.475*44/12</f>
        <v>2.2636813638404279E-23</v>
      </c>
      <c r="AC200" s="22">
        <f t="shared" si="163"/>
        <v>2.1167743367213441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-1.2414602679200469E-13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0</v>
      </c>
      <c r="AO200" s="59">
        <f t="shared" si="205"/>
        <v>0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-4.1500243241898714E-13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292.4657394642</v>
      </c>
      <c r="BJ200" s="59">
        <f t="shared" si="206"/>
        <v>333.80517619352395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9.8832191570501285E-2</v>
      </c>
      <c r="BQ200" s="21">
        <f>EXP(-LN(2)/25)*BQ199+(1-EXP(-LN(2)/25))/(LN(2)/25)*Calculateur!BL200*Calculateur!BN200*VLOOKUP('Données projet'!$B$11,Paramètres!$A$1:$I$89,3,0)*0.475*44/12</f>
        <v>0.16554433771935245</v>
      </c>
      <c r="BR200" s="21">
        <f>EXP(-LN(2)/2)*BR199+(1-EXP(-LN(2)/2))/(LN(2)/2)*BL200*BO200*VLOOKUP('Données projet'!$B$11,Paramètres!$A$1:$I$89,3,0)*0.475*44/12</f>
        <v>1.7920311143214122E-24</v>
      </c>
      <c r="BS200" s="22">
        <f t="shared" si="169"/>
        <v>0.26437652928985372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0</v>
      </c>
      <c r="CE200" s="59">
        <f t="shared" si="207"/>
        <v>0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150.98674906185317</v>
      </c>
      <c r="T201" s="59">
        <f t="shared" si="204"/>
        <v>306.44063087948552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1.5101094075856818</v>
      </c>
      <c r="AA201" s="21">
        <f>EXP(-LN(2)/25)*AA200+(1-EXP(-LN(2)/25))/(LN(2)/25)*Calculateur!V201*Calculateur!X201*VLOOKUP('Données projet'!$B$9,Paramètres!$A$1:$I$89,3,0)*0.475*44/12</f>
        <v>0.56069697307426392</v>
      </c>
      <c r="AB201" s="21">
        <f>EXP(-LN(2)/2)*AB200+(1-EXP(-LN(2)/2))/(LN(2)/2)*V201*Y201*VLOOKUP('Données projet'!$B$9,Paramètres!$A$1:$I$89,3,0)*0.475*44/12</f>
        <v>1.6006644428171789E-23</v>
      </c>
      <c r="AC201" s="22">
        <f t="shared" si="163"/>
        <v>2.0708063806599455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-1.2414602679200469E-13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0</v>
      </c>
      <c r="AO201" s="59">
        <f t="shared" si="205"/>
        <v>0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-4.1500243241898714E-13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292.4657394642</v>
      </c>
      <c r="BJ201" s="59">
        <f t="shared" si="206"/>
        <v>333.80517619352395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9.6894152575488293E-2</v>
      </c>
      <c r="BQ201" s="21">
        <f>EXP(-LN(2)/25)*BQ200+(1-EXP(-LN(2)/25))/(LN(2)/25)*Calculateur!BL201*Calculateur!BN201*VLOOKUP('Données projet'!$B$11,Paramètres!$A$1:$I$89,3,0)*0.475*44/12</f>
        <v>0.1610175190988184</v>
      </c>
      <c r="BR201" s="21">
        <f>EXP(-LN(2)/2)*BR200+(1-EXP(-LN(2)/2))/(LN(2)/2)*BL201*BO201*VLOOKUP('Données projet'!$B$11,Paramètres!$A$1:$I$89,3,0)*0.475*44/12</f>
        <v>1.2671573530339558E-24</v>
      </c>
      <c r="BS201" s="22">
        <f t="shared" si="169"/>
        <v>0.25791167167430668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0</v>
      </c>
      <c r="CE201" s="59">
        <f t="shared" si="207"/>
        <v>0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150.98674906185317</v>
      </c>
      <c r="T202" s="59">
        <f t="shared" si="204"/>
        <v>306.44063087948552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1.4804970831787165</v>
      </c>
      <c r="AA202" s="21">
        <f>EXP(-LN(2)/25)*AA201+(1-EXP(-LN(2)/25))/(LN(2)/25)*Calculateur!V202*Calculateur!X202*VLOOKUP('Données projet'!$B$9,Paramètres!$A$1:$I$89,3,0)*0.475*44/12</f>
        <v>0.54536468485977585</v>
      </c>
      <c r="AB202" s="21">
        <f>EXP(-LN(2)/2)*AB201+(1-EXP(-LN(2)/2))/(LN(2)/2)*V202*Y202*VLOOKUP('Données projet'!$B$9,Paramètres!$A$1:$I$89,3,0)*0.475*44/12</f>
        <v>1.131840681920214E-23</v>
      </c>
      <c r="AC202" s="22">
        <f t="shared" si="163"/>
        <v>2.0258617680384923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-1.2414602679200469E-13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0</v>
      </c>
      <c r="AO202" s="59">
        <f t="shared" si="205"/>
        <v>0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-4.1500243241898714E-13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292.4657394642</v>
      </c>
      <c r="BJ202" s="59">
        <f t="shared" si="206"/>
        <v>333.80517619352395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9.4994117343080442E-2</v>
      </c>
      <c r="BQ202" s="21">
        <f>EXP(-LN(2)/25)*BQ201+(1-EXP(-LN(2)/25))/(LN(2)/25)*Calculateur!BL202*Calculateur!BN202*VLOOKUP('Données projet'!$B$11,Paramètres!$A$1:$I$89,3,0)*0.475*44/12</f>
        <v>0.15661448657151789</v>
      </c>
      <c r="BR202" s="21">
        <f>EXP(-LN(2)/2)*BR201+(1-EXP(-LN(2)/2))/(LN(2)/2)*BL202*BO202*VLOOKUP('Données projet'!$B$11,Paramètres!$A$1:$I$89,3,0)*0.475*44/12</f>
        <v>8.9601555716070609E-25</v>
      </c>
      <c r="BS202" s="22">
        <f t="shared" si="169"/>
        <v>0.25160860391459833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0</v>
      </c>
      <c r="CE202" s="59">
        <f t="shared" si="207"/>
        <v>0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150.98674906185317</v>
      </c>
      <c r="T203" s="59">
        <f t="shared" si="204"/>
        <v>306.44063087948552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1.4514654383916374</v>
      </c>
      <c r="AA203" s="21">
        <f>EXP(-LN(2)/25)*AA202+(1-EXP(-LN(2)/25))/(LN(2)/25)*Calculateur!V203*Calculateur!X203*VLOOKUP('Données projet'!$B$9,Paramètres!$A$1:$I$89,3,0)*0.475*44/12</f>
        <v>0.53045165887280299</v>
      </c>
      <c r="AB203" s="21">
        <f>EXP(-LN(2)/2)*AB202+(1-EXP(-LN(2)/2))/(LN(2)/2)*V203*Y203*VLOOKUP('Données projet'!$B$9,Paramètres!$A$1:$I$89,3,0)*0.475*44/12</f>
        <v>8.0033222140858946E-24</v>
      </c>
      <c r="AC203" s="22">
        <f t="shared" si="163"/>
        <v>1.9819170972644404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-1.2414602679200469E-13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0</v>
      </c>
      <c r="AO203" s="59">
        <f t="shared" si="205"/>
        <v>0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-4.1500243241898714E-13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292.4657394642</v>
      </c>
      <c r="BJ203" s="59">
        <f t="shared" si="206"/>
        <v>333.80517619352395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9.3131340642673047E-2</v>
      </c>
      <c r="BQ203" s="21">
        <f>EXP(-LN(2)/25)*BQ202+(1-EXP(-LN(2)/25))/(LN(2)/25)*Calculateur!BL203*Calculateur!BN203*VLOOKUP('Données projet'!$B$11,Paramètres!$A$1:$I$89,3,0)*0.475*44/12</f>
        <v>0.15233185520022183</v>
      </c>
      <c r="BR203" s="21">
        <f>EXP(-LN(2)/2)*BR202+(1-EXP(-LN(2)/2))/(LN(2)/2)*BL203*BO203*VLOOKUP('Données projet'!$B$11,Paramètres!$A$1:$I$89,3,0)*0.475*44/12</f>
        <v>6.3357867651697788E-25</v>
      </c>
      <c r="BS203" s="22">
        <f t="shared" si="169"/>
        <v>0.24546319584289489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0</v>
      </c>
      <c r="CE203" s="59">
        <f t="shared" si="207"/>
        <v>0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1.4257057907404673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1.2709816152101407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D18" sqref="D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2" width="11.42578125" style="62"/>
    <col min="13" max="13" width="12" style="62" bestFit="1" customWidth="1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5.1210000000000004</v>
      </c>
      <c r="C6" s="147">
        <f ca="1">IF(OR('Données projet'!B9="",'Données projet'!C9="",'Données projet'!C9=0%),0,Calculateur!S3)</f>
        <v>150.98674906185317</v>
      </c>
      <c r="D6" s="147">
        <f>IF(OR('Données projet'!B9="",'Données projet'!C9="",'Données projet'!C9=0%),0,Calculateur!T3)</f>
        <v>306.44063087948552</v>
      </c>
      <c r="E6" s="147">
        <f ca="1">MIN(C6,D6)</f>
        <v>150.98674906185317</v>
      </c>
      <c r="F6" s="147">
        <f ca="1">E6*B6</f>
        <v>773.20314194575019</v>
      </c>
      <c r="G6" s="147">
        <f ca="1">F6*(100%-'Données projet'!$C$24)*(100%-'Données projet'!$C$25)*(100%-'Données projet'!$C$26)*(100%-'Données projet'!$C$27)</f>
        <v>591.5004035884989</v>
      </c>
      <c r="H6" s="148">
        <f>IF(OR('Données projet'!B9="",'Données projet'!C9="",'Données projet'!C9=0%),0,AVERAGE(Calculateur!$AC$3:$AC$33)*B6)</f>
        <v>59.859693885324937</v>
      </c>
      <c r="I6" s="149">
        <f>H6*(100%-'Données projet'!$C$24)*(100%-'Données projet'!$C$25)*(100%-'Données projet'!$C$26)*(100%-'Données projet'!$C$27)</f>
        <v>45.792665822273577</v>
      </c>
      <c r="J6" s="150">
        <f>IF(OR('Données projet'!B9="",'Données projet'!C9="",'Données projet'!C9=0%),0,SUM(Calculateur!$V$3:$V$33)*VLOOKUP('Données projet'!$B$9,Paramètres!$A$1:$I$89,9,0)*B6)</f>
        <v>365.75673255659973</v>
      </c>
      <c r="K6" s="151">
        <f>J6*(100%-'Données projet'!$C$24)*(100%-'Données projet'!$C$25)*(100%-'Données projet'!$C$26)*(100%-'Données projet'!$C$27)</f>
        <v>279.8039004057988</v>
      </c>
      <c r="L6" s="152">
        <f ca="1">G6+I6+K6</f>
        <v>917.09696981657123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Chêne-liège</v>
      </c>
      <c r="B7" s="154">
        <f>'Données projet'!D10</f>
        <v>0.22760000000000002</v>
      </c>
      <c r="C7" s="147">
        <f ca="1"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ca="1" si="0">MIN(C7,D7)</f>
        <v>0</v>
      </c>
      <c r="F7" s="147">
        <f t="shared" ref="F7:F15" ca="1" si="1">E7*B7</f>
        <v>0</v>
      </c>
      <c r="G7" s="147">
        <f ca="1"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1.6501000000000001</v>
      </c>
      <c r="K7" s="151">
        <f>J7*(100%-'Données projet'!$C$24)*(100%-'Données projet'!$C$25)*(100%-'Données projet'!$C$26)*(100%-'Données projet'!$C$27)</f>
        <v>1.2623265000000001</v>
      </c>
      <c r="L7" s="152">
        <f t="shared" ref="L7:L15" ca="1" si="2">G7+I7+K7</f>
        <v>1.2623265000000001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Bouleau verruqueux</v>
      </c>
      <c r="B8" s="154">
        <f>'Données projet'!D11</f>
        <v>0.17070000000000002</v>
      </c>
      <c r="C8" s="147">
        <f ca="1">IF(OR('Données projet'!B11="",'Données projet'!C11="",'Données projet'!C11=0%),0,Calculateur!BI3)</f>
        <v>292.4657394642</v>
      </c>
      <c r="D8" s="147">
        <f>IF(OR('Données projet'!B11="",'Données projet'!C11="",'Données projet'!C11=0%),0,Calculateur!BJ3)</f>
        <v>333.80517619352395</v>
      </c>
      <c r="E8" s="147">
        <f t="shared" ca="1" si="0"/>
        <v>292.4657394642</v>
      </c>
      <c r="F8" s="147">
        <f t="shared" ca="1" si="1"/>
        <v>49.923901726538944</v>
      </c>
      <c r="G8" s="147">
        <f ca="1">F8*(100%-'Données projet'!$C$24)*(100%-'Données projet'!$C$25)*(100%-'Données projet'!$C$26)*(100%-'Données projet'!$C$27)</f>
        <v>38.19178482080229</v>
      </c>
      <c r="H8" s="155">
        <f>IF(OR('Données projet'!B11="",'Données projet'!C11="",'Données projet'!C11=0%),0,AVERAGE(Calculateur!$BS$3:$BS$33)*B8)</f>
        <v>0.7904839106088678</v>
      </c>
      <c r="I8" s="149">
        <f>H8*(100%-'Données projet'!$C$24)*(100%-'Données projet'!$C$25)*(100%-'Données projet'!$C$26)*(100%-'Données projet'!$C$27)</f>
        <v>0.60472019161578383</v>
      </c>
      <c r="J8" s="150">
        <f>IF(OR('Données projet'!B11="",'Données projet'!C11="",'Données projet'!C11=0%),0,SUM(Calculateur!$BL$3:$BL$33)*VLOOKUP('Données projet'!$B$11,Paramètres!$A$1:$I$89,9,0)*B8)</f>
        <v>5.8464750000000008</v>
      </c>
      <c r="K8" s="151">
        <f>J8*(100%-'Données projet'!$C$24)*(100%-'Données projet'!$C$25)*(100%-'Données projet'!$C$26)*(100%-'Données projet'!$C$27)</f>
        <v>4.4725533750000004</v>
      </c>
      <c r="L8" s="152">
        <f t="shared" ca="1" si="2"/>
        <v>43.26905838741807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Cormier</v>
      </c>
      <c r="B9" s="154">
        <f>'Données projet'!D12</f>
        <v>0.17070000000000002</v>
      </c>
      <c r="C9" s="147">
        <f ca="1"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ca="1" si="0"/>
        <v>0</v>
      </c>
      <c r="F9" s="147">
        <f t="shared" ca="1" si="1"/>
        <v>0</v>
      </c>
      <c r="G9" s="147">
        <f ca="1"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823.12704367228912</v>
      </c>
      <c r="G16" s="166">
        <f t="shared" ca="1" si="3"/>
        <v>629.69218840930114</v>
      </c>
      <c r="H16" s="167">
        <f t="shared" si="3"/>
        <v>60.650177795933807</v>
      </c>
      <c r="I16" s="167">
        <f t="shared" si="3"/>
        <v>46.39738601388936</v>
      </c>
      <c r="J16" s="168">
        <f t="shared" si="3"/>
        <v>373.25330755659974</v>
      </c>
      <c r="K16" s="168">
        <f t="shared" si="3"/>
        <v>285.53878028079879</v>
      </c>
      <c r="L16" s="169">
        <f t="shared" ca="1" si="3"/>
        <v>961.62835470398932</v>
      </c>
      <c r="M16" s="23">
        <f ca="1">L16*0.9</f>
        <v>865.46551923359038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69" right="0.14000000000000001" top="0.75" bottom="0.47" header="0.3" footer="0.3"/>
  <pageSetup paperSize="8" scale="3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tabSelected="1" topLeftCell="B13" zoomScale="8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4384.8981378506041</v>
      </c>
      <c r="U10" s="178">
        <f>'Données projet'!D9</f>
        <v>5.1210000000000004</v>
      </c>
      <c r="V10" s="177">
        <f>U10*T10</f>
        <v>22455.063363932946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-8000</v>
      </c>
      <c r="U11" s="178">
        <f>'Données projet'!D10</f>
        <v>0.22760000000000002</v>
      </c>
      <c r="V11" s="177">
        <f t="shared" ref="V11" si="0">U11*T11</f>
        <v>-1820.8000000000002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-8000</v>
      </c>
      <c r="U12" s="178">
        <f>'Données projet'!D11</f>
        <v>0.17070000000000002</v>
      </c>
      <c r="V12" s="177">
        <f t="shared" ref="V12:V19" si="1">U12*T12</f>
        <v>-1365.6000000000001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-8000</v>
      </c>
      <c r="U13" s="178">
        <f>'Données projet'!D12</f>
        <v>0.17070000000000002</v>
      </c>
      <c r="V13" s="177">
        <f t="shared" si="1"/>
        <v>-1365.6000000000001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1000</v>
      </c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1050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0</v>
      </c>
      <c r="I20" s="191">
        <v>1700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200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13</v>
      </c>
      <c r="B23" s="181">
        <f>'Données projet'!D36</f>
        <v>28.45250451563658</v>
      </c>
      <c r="C23" s="193">
        <v>10</v>
      </c>
      <c r="D23" s="182">
        <f>B23*C23</f>
        <v>284.52504515636582</v>
      </c>
      <c r="E23" s="193"/>
      <c r="F23" s="230"/>
      <c r="H23" s="190">
        <v>3</v>
      </c>
      <c r="I23" s="191">
        <v>60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-6485.6726094717305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18</v>
      </c>
      <c r="B24" s="181">
        <f>'Données projet'!D37</f>
        <v>40.327640133665668</v>
      </c>
      <c r="C24" s="193">
        <v>40</v>
      </c>
      <c r="D24" s="182">
        <f t="shared" ref="D24:D42" si="2">B24*C24</f>
        <v>1613.1056053466268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1280.0631628883489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23</v>
      </c>
      <c r="B25" s="181">
        <f>'Données projet'!D38</f>
        <v>52.275638469262297</v>
      </c>
      <c r="C25" s="193">
        <v>45</v>
      </c>
      <c r="D25" s="182">
        <f t="shared" si="2"/>
        <v>2352.4037311168036</v>
      </c>
      <c r="E25" s="193"/>
      <c r="F25" s="233"/>
      <c r="H25" s="190">
        <v>5</v>
      </c>
      <c r="I25" s="191">
        <v>450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-7765.7357723600799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34</v>
      </c>
      <c r="B26" s="181">
        <f>'Données projet'!D39</f>
        <v>325.07856050041272</v>
      </c>
      <c r="C26" s="193">
        <v>50</v>
      </c>
      <c r="D26" s="182">
        <f t="shared" si="2"/>
        <v>16253.928025020636</v>
      </c>
      <c r="E26" s="193"/>
      <c r="F26" s="233"/>
      <c r="G26" s="229"/>
      <c r="H26" s="190">
        <v>6</v>
      </c>
      <c r="I26" s="191">
        <v>60</v>
      </c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60</v>
      </c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450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450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450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>
        <v>25</v>
      </c>
      <c r="I45" s="191">
        <v>450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8000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450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303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str">
        <f>IF(O67+1&lt;=MIN('Données projet'!$E$9:$E$18),O67+1,"STOP")</f>
        <v>STOP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8000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67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70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70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43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30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26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342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8000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17" top="0.17" bottom="0.25" header="0.3" footer="0.3"/>
  <pageSetup paperSize="8" scale="1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9A8308-B469-4C41-9E8A-950FBC3AAFEA}">
  <ds:schemaRefs/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cp:lastPrinted>2023-01-10T13:00:39Z</cp:lastPrinted>
  <dcterms:created xsi:type="dcterms:W3CDTF">2021-02-01T08:22:39Z</dcterms:created>
  <dcterms:modified xsi:type="dcterms:W3CDTF">2023-01-10T17:26:01Z</dcterms:modified>
</cp:coreProperties>
</file>