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Pierroton\DOUENCE - HOSTENS (33)\Dossier final 2\"/>
    </mc:Choice>
  </mc:AlternateContent>
  <xr:revisionPtr revIDLastSave="0" documentId="13_ncr:1_{B0CD951E-1123-42EA-827D-4C62DE55FAE6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62" i="2" l="1" a="1"/>
  <c r="AH62" i="2" s="1"/>
  <c r="AH90" i="2" a="1"/>
  <c r="AH90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<sst xmlns="http://schemas.openxmlformats.org/spreadsheetml/2006/main" count="1172" uniqueCount="324">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</sst>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2.6226570787660513</c:v>
                </c:pt>
                <c:pt idx="2">
                  <c:v>3.3074676524347191</c:v>
                </c:pt>
                <c:pt idx="3">
                  <c:v>4.1717902478374764</c:v>
                </c:pt>
                <c:pt idx="4">
                  <c:v>5.2628537100246024</c:v>
                </c:pt>
                <c:pt idx="5">
                  <c:v>6.6403550855833053</c:v>
                </c:pt>
                <c:pt idx="6">
                  <c:v>8.3797615911680001</c:v>
                </c:pt>
                <c:pt idx="7">
                  <c:v>10.576489592474234</c:v>
                </c:pt>
                <c:pt idx="8">
                  <c:v>13.351194149895173</c:v>
                </c:pt>
                <c:pt idx="9">
                  <c:v>16.856465036001829</c:v>
                </c:pt>
                <c:pt idx="10">
                  <c:v>21.285304159707806</c:v>
                </c:pt>
                <c:pt idx="11">
                  <c:v>26.881859514119139</c:v>
                </c:pt>
                <c:pt idx="12">
                  <c:v>33.955017772055356</c:v>
                </c:pt>
                <c:pt idx="13">
                  <c:v>42.895618681292397</c:v>
                </c:pt>
                <c:pt idx="14">
                  <c:v>54.198258590746377</c:v>
                </c:pt>
                <c:pt idx="15">
                  <c:v>68.488909353343658</c:v>
                </c:pt>
                <c:pt idx="16">
                  <c:v>62.361466590328156</c:v>
                </c:pt>
                <c:pt idx="17">
                  <c:v>83.211344052224646</c:v>
                </c:pt>
                <c:pt idx="18">
                  <c:v>103.92838758980967</c:v>
                </c:pt>
                <c:pt idx="19">
                  <c:v>124.54300535423552</c:v>
                </c:pt>
                <c:pt idx="20">
                  <c:v>145.07460486529598</c:v>
                </c:pt>
                <c:pt idx="21">
                  <c:v>117.79987679600281</c:v>
                </c:pt>
                <c:pt idx="22">
                  <c:v>140.12550916282296</c:v>
                </c:pt>
                <c:pt idx="23">
                  <c:v>162.36560837552486</c:v>
                </c:pt>
                <c:pt idx="24">
                  <c:v>184.5335587844996</c:v>
                </c:pt>
                <c:pt idx="25">
                  <c:v>206.63925413557965</c:v>
                </c:pt>
                <c:pt idx="26">
                  <c:v>178.2065931117728</c:v>
                </c:pt>
                <c:pt idx="27">
                  <c:v>198.92636489646625</c:v>
                </c:pt>
                <c:pt idx="28">
                  <c:v>219.5960728520653</c:v>
                </c:pt>
                <c:pt idx="29">
                  <c:v>240.22109256685007</c:v>
                </c:pt>
                <c:pt idx="30">
                  <c:v>260.80580020638388</c:v>
                </c:pt>
                <c:pt idx="31">
                  <c:v>230.78777111964931</c:v>
                </c:pt>
                <c:pt idx="32">
                  <c:v>249.64598194061804</c:v>
                </c:pt>
                <c:pt idx="33">
                  <c:v>268.47188986404808</c:v>
                </c:pt>
                <c:pt idx="34">
                  <c:v>287.26807832489447</c:v>
                </c:pt>
                <c:pt idx="35">
                  <c:v>306.03676500452588</c:v>
                </c:pt>
                <c:pt idx="36">
                  <c:v>274.04412300873832</c:v>
                </c:pt>
                <c:pt idx="37">
                  <c:v>290.74577498968887</c:v>
                </c:pt>
                <c:pt idx="38">
                  <c:v>307.42599859997205</c:v>
                </c:pt>
                <c:pt idx="39">
                  <c:v>324.0861199880448</c:v>
                </c:pt>
                <c:pt idx="40">
                  <c:v>340.72731782352463</c:v>
                </c:pt>
                <c:pt idx="41">
                  <c:v>306.38408652237484</c:v>
                </c:pt>
                <c:pt idx="42">
                  <c:v>320.6168590632679</c:v>
                </c:pt>
                <c:pt idx="43">
                  <c:v>334.83565591359422</c:v>
                </c:pt>
                <c:pt idx="44">
                  <c:v>349.04115416302778</c:v>
                </c:pt>
                <c:pt idx="45">
                  <c:v>363.23397128485459</c:v>
                </c:pt>
                <c:pt idx="46">
                  <c:v>337.6084846109411</c:v>
                </c:pt>
                <c:pt idx="47">
                  <c:v>350.08007582809643</c:v>
                </c:pt>
                <c:pt idx="48">
                  <c:v>362.54192422951866</c:v>
                </c:pt>
                <c:pt idx="49">
                  <c:v>374.99441195677679</c:v>
                </c:pt>
                <c:pt idx="50">
                  <c:v>387.43789369626387</c:v>
                </c:pt>
                <c:pt idx="51">
                  <c:v>368.42340983207049</c:v>
                </c:pt>
                <c:pt idx="52">
                  <c:v>378.79752673207048</c:v>
                </c:pt>
                <c:pt idx="53">
                  <c:v>389.16546165993583</c:v>
                </c:pt>
                <c:pt idx="54">
                  <c:v>399.52740258860331</c:v>
                </c:pt>
                <c:pt idx="55">
                  <c:v>409.88352694182026</c:v>
                </c:pt>
                <c:pt idx="56">
                  <c:v>396.41943892845512</c:v>
                </c:pt>
                <c:pt idx="57">
                  <c:v>405.39657623414723</c:v>
                </c:pt>
                <c:pt idx="58">
                  <c:v>414.36941703418364</c:v>
                </c:pt>
                <c:pt idx="59">
                  <c:v>423.33806752801564</c:v>
                </c:pt>
                <c:pt idx="60">
                  <c:v>432.30262904622094</c:v>
                </c:pt>
                <c:pt idx="61">
                  <c:v>419.19920449941787</c:v>
                </c:pt>
                <c:pt idx="62">
                  <c:v>426.78645432329751</c:v>
                </c:pt>
                <c:pt idx="63">
                  <c:v>434.37080363760282</c:v>
                </c:pt>
                <c:pt idx="64">
                  <c:v>441.95231025909084</c:v>
                </c:pt>
                <c:pt idx="65">
                  <c:v>449.53102985794345</c:v>
                </c:pt>
                <c:pt idx="66">
                  <c:v>437.12804107015171</c:v>
                </c:pt>
                <c:pt idx="67">
                  <c:v>443.67498930140238</c:v>
                </c:pt>
                <c:pt idx="68">
                  <c:v>450.21986803667011</c:v>
                </c:pt>
                <c:pt idx="69">
                  <c:v>456.7627116241062</c:v>
                </c:pt>
                <c:pt idx="70">
                  <c:v>463.30355334692064</c:v>
                </c:pt>
                <c:pt idx="71">
                  <c:v>451.94186491705608</c:v>
                </c:pt>
                <c:pt idx="72">
                  <c:v>457.79560835488581</c:v>
                </c:pt>
                <c:pt idx="73">
                  <c:v>463.64775333711032</c:v>
                </c:pt>
                <c:pt idx="74">
                  <c:v>469.49832289995226</c:v>
                </c:pt>
                <c:pt idx="75">
                  <c:v>475.34733945827821</c:v>
                </c:pt>
                <c:pt idx="76">
                  <c:v>464.68032061955677</c:v>
                </c:pt>
                <c:pt idx="77">
                  <c:v>469.49832289995226</c:v>
                </c:pt>
                <c:pt idx="78">
                  <c:v>474.31527194246542</c:v>
                </c:pt>
                <c:pt idx="79">
                  <c:v>479.13117996114801</c:v>
                </c:pt>
                <c:pt idx="80">
                  <c:v>483.94605890429216</c:v>
                </c:pt>
                <c:pt idx="81">
                  <c:v>470.18652267359886</c:v>
                </c:pt>
                <c:pt idx="82">
                  <c:v>470.18652267359886</c:v>
                </c:pt>
                <c:pt idx="83">
                  <c:v>470.18652267359886</c:v>
                </c:pt>
                <c:pt idx="84">
                  <c:v>470.18652267359886</c:v>
                </c:pt>
                <c:pt idx="85">
                  <c:v>470.18652267359886</c:v>
                </c:pt>
                <c:pt idx="86">
                  <c:v>470.18652267359886</c:v>
                </c:pt>
                <c:pt idx="87">
                  <c:v>470.18652267359886</c:v>
                </c:pt>
                <c:pt idx="88">
                  <c:v>470.18652267359886</c:v>
                </c:pt>
                <c:pt idx="89">
                  <c:v>470.18652267359886</c:v>
                </c:pt>
                <c:pt idx="90">
                  <c:v>470.18652267359886</c:v>
                </c:pt>
                <c:pt idx="91">
                  <c:v>470.18652267359886</c:v>
                </c:pt>
                <c:pt idx="92">
                  <c:v>470.18652267359886</c:v>
                </c:pt>
                <c:pt idx="93">
                  <c:v>470.18652267359886</c:v>
                </c:pt>
                <c:pt idx="94">
                  <c:v>470.18652267359886</c:v>
                </c:pt>
                <c:pt idx="95">
                  <c:v>470.18652267359886</c:v>
                </c:pt>
                <c:pt idx="96">
                  <c:v>470.18652267359886</c:v>
                </c:pt>
                <c:pt idx="97">
                  <c:v>470.18652267359886</c:v>
                </c:pt>
                <c:pt idx="98">
                  <c:v>470.18652267359886</c:v>
                </c:pt>
                <c:pt idx="99">
                  <c:v>470.18652267359886</c:v>
                </c:pt>
                <c:pt idx="100">
                  <c:v>470.18652267359886</c:v>
                </c:pt>
                <c:pt idx="101">
                  <c:v>470.18652267359886</c:v>
                </c:pt>
                <c:pt idx="102">
                  <c:v>470.18652267359886</c:v>
                </c:pt>
                <c:pt idx="103">
                  <c:v>470.18652267359886</c:v>
                </c:pt>
                <c:pt idx="104">
                  <c:v>470.18652267359886</c:v>
                </c:pt>
                <c:pt idx="105">
                  <c:v>470.18652267359886</c:v>
                </c:pt>
                <c:pt idx="106">
                  <c:v>470.18652267359886</c:v>
                </c:pt>
                <c:pt idx="107">
                  <c:v>470.18652267359886</c:v>
                </c:pt>
                <c:pt idx="108">
                  <c:v>470.18652267359886</c:v>
                </c:pt>
                <c:pt idx="109">
                  <c:v>470.18652267359886</c:v>
                </c:pt>
                <c:pt idx="110">
                  <c:v>470.18652267359886</c:v>
                </c:pt>
                <c:pt idx="111">
                  <c:v>470.18652267359886</c:v>
                </c:pt>
                <c:pt idx="112">
                  <c:v>470.18652267359886</c:v>
                </c:pt>
                <c:pt idx="113">
                  <c:v>470.18652267359886</c:v>
                </c:pt>
                <c:pt idx="114">
                  <c:v>470.18652267359886</c:v>
                </c:pt>
                <c:pt idx="115">
                  <c:v>470.18652267359886</c:v>
                </c:pt>
                <c:pt idx="116">
                  <c:v>470.18652267359886</c:v>
                </c:pt>
                <c:pt idx="117">
                  <c:v>470.18652267359886</c:v>
                </c:pt>
                <c:pt idx="118">
                  <c:v>470.18652267359886</c:v>
                </c:pt>
                <c:pt idx="119">
                  <c:v>470.18652267359886</c:v>
                </c:pt>
                <c:pt idx="120">
                  <c:v>470.18652267359886</c:v>
                </c:pt>
                <c:pt idx="121">
                  <c:v>470.18652267359886</c:v>
                </c:pt>
                <c:pt idx="122">
                  <c:v>470.18652267359886</c:v>
                </c:pt>
                <c:pt idx="123">
                  <c:v>470.18652267359886</c:v>
                </c:pt>
                <c:pt idx="124">
                  <c:v>470.18652267359886</c:v>
                </c:pt>
                <c:pt idx="125">
                  <c:v>470.18652267359886</c:v>
                </c:pt>
                <c:pt idx="126">
                  <c:v>470.18652267359886</c:v>
                </c:pt>
                <c:pt idx="127">
                  <c:v>470.18652267359886</c:v>
                </c:pt>
                <c:pt idx="128">
                  <c:v>470.18652267359886</c:v>
                </c:pt>
                <c:pt idx="129">
                  <c:v>470.18652267359886</c:v>
                </c:pt>
                <c:pt idx="130">
                  <c:v>470.18652267359886</c:v>
                </c:pt>
                <c:pt idx="131">
                  <c:v>470.18652267359886</c:v>
                </c:pt>
                <c:pt idx="132">
                  <c:v>470.18652267359886</c:v>
                </c:pt>
                <c:pt idx="133">
                  <c:v>470.18652267359886</c:v>
                </c:pt>
                <c:pt idx="134">
                  <c:v>470.18652267359886</c:v>
                </c:pt>
                <c:pt idx="135">
                  <c:v>470.18652267359886</c:v>
                </c:pt>
                <c:pt idx="136">
                  <c:v>470.18652267359886</c:v>
                </c:pt>
                <c:pt idx="137">
                  <c:v>470.18652267359886</c:v>
                </c:pt>
                <c:pt idx="138">
                  <c:v>470.18652267359886</c:v>
                </c:pt>
                <c:pt idx="139">
                  <c:v>470.18652267359886</c:v>
                </c:pt>
                <c:pt idx="140">
                  <c:v>470.18652267359886</c:v>
                </c:pt>
                <c:pt idx="141">
                  <c:v>470.18652267359886</c:v>
                </c:pt>
                <c:pt idx="142">
                  <c:v>470.18652267359886</c:v>
                </c:pt>
                <c:pt idx="143">
                  <c:v>470.18652267359886</c:v>
                </c:pt>
                <c:pt idx="144">
                  <c:v>470.18652267359886</c:v>
                </c:pt>
                <c:pt idx="145">
                  <c:v>470.18652267359886</c:v>
                </c:pt>
                <c:pt idx="146">
                  <c:v>470.18652267359886</c:v>
                </c:pt>
                <c:pt idx="147">
                  <c:v>470.18652267359886</c:v>
                </c:pt>
                <c:pt idx="148">
                  <c:v>470.18652267359886</c:v>
                </c:pt>
                <c:pt idx="149">
                  <c:v>470.18652267359886</c:v>
                </c:pt>
                <c:pt idx="150">
                  <c:v>470.18652267359886</c:v>
                </c:pt>
                <c:pt idx="151">
                  <c:v>470.18652267359886</c:v>
                </c:pt>
                <c:pt idx="152">
                  <c:v>470.18652267359886</c:v>
                </c:pt>
                <c:pt idx="153">
                  <c:v>470.18652267359886</c:v>
                </c:pt>
                <c:pt idx="154">
                  <c:v>470.18652267359886</c:v>
                </c:pt>
                <c:pt idx="155">
                  <c:v>470.18652267359886</c:v>
                </c:pt>
                <c:pt idx="156">
                  <c:v>470.18652267359886</c:v>
                </c:pt>
                <c:pt idx="157">
                  <c:v>470.18652267359886</c:v>
                </c:pt>
                <c:pt idx="158">
                  <c:v>470.18652267359886</c:v>
                </c:pt>
                <c:pt idx="159">
                  <c:v>470.18652267359886</c:v>
                </c:pt>
                <c:pt idx="160">
                  <c:v>470.18652267359886</c:v>
                </c:pt>
                <c:pt idx="161">
                  <c:v>470.18652267359886</c:v>
                </c:pt>
                <c:pt idx="162">
                  <c:v>470.18652267359886</c:v>
                </c:pt>
                <c:pt idx="163">
                  <c:v>470.18652267359886</c:v>
                </c:pt>
                <c:pt idx="164">
                  <c:v>470.18652267359886</c:v>
                </c:pt>
                <c:pt idx="165">
                  <c:v>470.18652267359886</c:v>
                </c:pt>
                <c:pt idx="166">
                  <c:v>470.18652267359886</c:v>
                </c:pt>
                <c:pt idx="167">
                  <c:v>470.18652267359886</c:v>
                </c:pt>
                <c:pt idx="168">
                  <c:v>470.18652267359886</c:v>
                </c:pt>
                <c:pt idx="169">
                  <c:v>470.18652267359886</c:v>
                </c:pt>
                <c:pt idx="170">
                  <c:v>470.18652267359886</c:v>
                </c:pt>
                <c:pt idx="171">
                  <c:v>470.18652267359886</c:v>
                </c:pt>
                <c:pt idx="172">
                  <c:v>470.18652267359886</c:v>
                </c:pt>
                <c:pt idx="173">
                  <c:v>470.18652267359886</c:v>
                </c:pt>
                <c:pt idx="174">
                  <c:v>470.18652267359886</c:v>
                </c:pt>
                <c:pt idx="175">
                  <c:v>470.18652267359886</c:v>
                </c:pt>
                <c:pt idx="176">
                  <c:v>470.18652267359886</c:v>
                </c:pt>
                <c:pt idx="177">
                  <c:v>470.18652267359886</c:v>
                </c:pt>
                <c:pt idx="178">
                  <c:v>470.18652267359886</c:v>
                </c:pt>
                <c:pt idx="179">
                  <c:v>470.18652267359886</c:v>
                </c:pt>
                <c:pt idx="180">
                  <c:v>470.18652267359886</c:v>
                </c:pt>
                <c:pt idx="181">
                  <c:v>470.18652267359886</c:v>
                </c:pt>
                <c:pt idx="182">
                  <c:v>470.18652267359886</c:v>
                </c:pt>
                <c:pt idx="183">
                  <c:v>470.18652267359886</c:v>
                </c:pt>
                <c:pt idx="184">
                  <c:v>470.18652267359886</c:v>
                </c:pt>
                <c:pt idx="185">
                  <c:v>470.18652267359886</c:v>
                </c:pt>
                <c:pt idx="186">
                  <c:v>470.18652267359886</c:v>
                </c:pt>
                <c:pt idx="187">
                  <c:v>470.18652267359886</c:v>
                </c:pt>
                <c:pt idx="188">
                  <c:v>470.18652267359886</c:v>
                </c:pt>
                <c:pt idx="189">
                  <c:v>470.18652267359886</c:v>
                </c:pt>
                <c:pt idx="190">
                  <c:v>470.18652267359886</c:v>
                </c:pt>
                <c:pt idx="191">
                  <c:v>470.18652267359886</c:v>
                </c:pt>
                <c:pt idx="192">
                  <c:v>470.18652267359886</c:v>
                </c:pt>
                <c:pt idx="193">
                  <c:v>470.18652267359886</c:v>
                </c:pt>
                <c:pt idx="194">
                  <c:v>470.18652267359886</c:v>
                </c:pt>
                <c:pt idx="195">
                  <c:v>470.18652267359886</c:v>
                </c:pt>
                <c:pt idx="196">
                  <c:v>470.18652267359886</c:v>
                </c:pt>
                <c:pt idx="197">
                  <c:v>470.18652267359886</c:v>
                </c:pt>
                <c:pt idx="198">
                  <c:v>470.18652267359886</c:v>
                </c:pt>
                <c:pt idx="199">
                  <c:v>470.18652267359886</c:v>
                </c:pt>
                <c:pt idx="200">
                  <c:v>470.18652267359886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9" zoomScale="90" zoomScaleNormal="90" workbookViewId="0">
      <selection activeCell="F66" sqref="F6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49.25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0.40699999999999997</v>
      </c>
      <c r="D9" s="36">
        <f t="shared" ref="D9:D18" si="0">C9*$C$5</f>
        <v>20.044749999999997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5</v>
      </c>
      <c r="C10" s="35">
        <v>0.105</v>
      </c>
      <c r="D10" s="36">
        <f t="shared" si="0"/>
        <v>5.1712499999999997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36</v>
      </c>
      <c r="C11" s="35">
        <v>0.48799999999999999</v>
      </c>
      <c r="D11" s="36">
        <f t="shared" si="0"/>
        <v>24.033999999999999</v>
      </c>
      <c r="E11" s="37">
        <v>34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49.25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Bouleau verruqueux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3">
        <v>37</v>
      </c>
      <c r="C62" s="63">
        <v>1</v>
      </c>
      <c r="D62" s="63">
        <v>15</v>
      </c>
      <c r="E62" s="54"/>
      <c r="F62" s="54"/>
      <c r="G62" s="54">
        <v>1</v>
      </c>
      <c r="H62" s="54"/>
      <c r="I62" s="56">
        <f>IFERROR(B62/A62,"")</f>
        <v>2.4666666666666668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20</v>
      </c>
      <c r="B63" s="63">
        <v>80</v>
      </c>
      <c r="C63" s="63">
        <v>2</v>
      </c>
      <c r="D63" s="63">
        <v>28</v>
      </c>
      <c r="E63" s="54"/>
      <c r="F63" s="54"/>
      <c r="G63" s="54">
        <v>1</v>
      </c>
      <c r="H63" s="54"/>
      <c r="I63" s="52">
        <f>IF(A63&lt;&gt;0,(B63-(B62-D62))/(A63-A62),"")</f>
        <v>11.6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115</v>
      </c>
      <c r="C64" s="63">
        <v>3</v>
      </c>
      <c r="D64" s="63">
        <v>28</v>
      </c>
      <c r="E64" s="54"/>
      <c r="F64" s="54">
        <v>1</v>
      </c>
      <c r="G64" s="54"/>
      <c r="H64" s="54"/>
      <c r="I64" s="52">
        <f>IF(A64&lt;&gt;0,(B64-(B63-D63))/(A64-A63),"")</f>
        <v>12.6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146</v>
      </c>
      <c r="C65" s="63">
        <v>4</v>
      </c>
      <c r="D65" s="63">
        <v>28</v>
      </c>
      <c r="E65" s="54"/>
      <c r="F65" s="54">
        <v>1</v>
      </c>
      <c r="G65" s="54"/>
      <c r="H65" s="54"/>
      <c r="I65" s="52">
        <f>IF(A65&lt;&gt;0,(B65-(B64-D64))/(A65-A64),"")</f>
        <v>11.8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35</v>
      </c>
      <c r="B66" s="63">
        <v>172</v>
      </c>
      <c r="C66" s="63">
        <v>5</v>
      </c>
      <c r="D66" s="63">
        <v>28</v>
      </c>
      <c r="E66" s="54"/>
      <c r="F66" s="54"/>
      <c r="G66" s="54"/>
      <c r="H66" s="54"/>
      <c r="I66" s="52">
        <f t="shared" ref="I66:I81" si="2">IF(A66&lt;&gt;0,(B66-(B65-D65))/(A66-A65),"")</f>
        <v>10.8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40</v>
      </c>
      <c r="B67" s="63">
        <v>192</v>
      </c>
      <c r="C67" s="63">
        <v>6</v>
      </c>
      <c r="D67" s="63">
        <v>28</v>
      </c>
      <c r="E67" s="54"/>
      <c r="F67" s="54"/>
      <c r="G67" s="54"/>
      <c r="H67" s="54"/>
      <c r="I67" s="52">
        <f t="shared" si="2"/>
        <v>9.6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45</v>
      </c>
      <c r="B68" s="63">
        <v>205</v>
      </c>
      <c r="C68" s="63">
        <v>7</v>
      </c>
      <c r="D68" s="63">
        <v>22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50</v>
      </c>
      <c r="B69" s="53">
        <v>219</v>
      </c>
      <c r="C69" s="53">
        <v>8</v>
      </c>
      <c r="D69" s="53">
        <v>17</v>
      </c>
      <c r="E69" s="54"/>
      <c r="F69" s="54"/>
      <c r="G69" s="54"/>
      <c r="H69" s="54"/>
      <c r="I69" s="52">
        <f t="shared" si="2"/>
        <v>7.2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55</v>
      </c>
      <c r="B70" s="53">
        <v>232</v>
      </c>
      <c r="C70" s="53">
        <v>9</v>
      </c>
      <c r="D70" s="53">
        <v>13</v>
      </c>
      <c r="E70" s="54"/>
      <c r="F70" s="54"/>
      <c r="G70" s="54"/>
      <c r="H70" s="54"/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60</v>
      </c>
      <c r="B71" s="53">
        <v>245</v>
      </c>
      <c r="C71" s="53">
        <v>10</v>
      </c>
      <c r="D71" s="53">
        <v>12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65</v>
      </c>
      <c r="B72" s="53">
        <v>255</v>
      </c>
      <c r="C72" s="53">
        <v>11</v>
      </c>
      <c r="D72" s="53">
        <v>11</v>
      </c>
      <c r="E72" s="54"/>
      <c r="F72" s="54"/>
      <c r="G72" s="54"/>
      <c r="H72" s="54"/>
      <c r="I72" s="52">
        <f t="shared" si="2"/>
        <v>4.4000000000000004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70</v>
      </c>
      <c r="B73" s="53">
        <v>263</v>
      </c>
      <c r="C73" s="53">
        <v>12</v>
      </c>
      <c r="D73" s="53">
        <v>10</v>
      </c>
      <c r="E73" s="54"/>
      <c r="F73" s="54"/>
      <c r="G73" s="54"/>
      <c r="H73" s="54"/>
      <c r="I73" s="52">
        <f t="shared" si="2"/>
        <v>3.8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75</v>
      </c>
      <c r="B74" s="53">
        <v>270</v>
      </c>
      <c r="C74" s="53">
        <v>13</v>
      </c>
      <c r="D74" s="53">
        <v>9</v>
      </c>
      <c r="E74" s="54"/>
      <c r="F74" s="54"/>
      <c r="G74" s="54"/>
      <c r="H74" s="54"/>
      <c r="I74" s="52">
        <f t="shared" si="2"/>
        <v>3.4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53">
        <v>275</v>
      </c>
      <c r="C75" s="53">
        <v>14</v>
      </c>
      <c r="D75" s="53">
        <v>8</v>
      </c>
      <c r="E75" s="54"/>
      <c r="F75" s="54"/>
      <c r="G75" s="54"/>
      <c r="H75" s="54"/>
      <c r="I75" s="52">
        <f t="shared" si="2"/>
        <v>2.8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maritime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13</v>
      </c>
      <c r="B88" s="63">
        <v>101</v>
      </c>
      <c r="C88" s="63">
        <v>1</v>
      </c>
      <c r="D88" s="63">
        <v>28</v>
      </c>
      <c r="E88" s="54"/>
      <c r="F88" s="54"/>
      <c r="G88" s="54">
        <v>1</v>
      </c>
      <c r="H88" s="93"/>
      <c r="I88" s="56">
        <f>IFERROR(B88/A88,"")</f>
        <v>7.7692307692307692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18</v>
      </c>
      <c r="B89" s="63">
        <v>166</v>
      </c>
      <c r="C89" s="63">
        <v>2</v>
      </c>
      <c r="D89" s="63">
        <v>40</v>
      </c>
      <c r="E89" s="54">
        <v>0.25</v>
      </c>
      <c r="F89" s="54"/>
      <c r="G89" s="54">
        <v>0.75</v>
      </c>
      <c r="H89" s="93"/>
      <c r="I89" s="56">
        <f t="shared" ref="I89:I107" si="3">IF(A89&lt;&gt;0,(B89-(B88-D88))/(A89-A88),"")</f>
        <v>18.600000000000001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23</v>
      </c>
      <c r="B90" s="63">
        <v>215</v>
      </c>
      <c r="C90" s="63">
        <v>3</v>
      </c>
      <c r="D90" s="63">
        <v>52</v>
      </c>
      <c r="E90" s="93">
        <v>0.5</v>
      </c>
      <c r="F90" s="93"/>
      <c r="G90" s="93">
        <v>0.5</v>
      </c>
      <c r="H90" s="93"/>
      <c r="I90" s="56">
        <f t="shared" si="3"/>
        <v>17.8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34</v>
      </c>
      <c r="B91" s="63">
        <v>325</v>
      </c>
      <c r="C91" s="63">
        <v>4</v>
      </c>
      <c r="D91" s="63">
        <v>325</v>
      </c>
      <c r="E91" s="93">
        <v>0.7</v>
      </c>
      <c r="F91" s="93"/>
      <c r="G91" s="93">
        <v>0.3</v>
      </c>
      <c r="H91" s="93"/>
      <c r="I91" s="56">
        <f t="shared" si="3"/>
        <v>14.727272727272727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Bouleau verruqueux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Pin maritime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219.96569743439244</v>
      </c>
      <c r="AO3" s="62">
        <f>IF('Données projet'!E10&gt;30,$AM$33-$H$33,LOOKUP('Données projet'!$E$10,$A$3:$A$203,AM3:AM203)-LOOKUP('Données projet'!$E$10,$A$3:$A$203,$H$3:$H$203))</f>
        <v>219.27079214454579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150.99976380209381</v>
      </c>
      <c r="BJ3" s="62">
        <f>IF('Données projet'!E11&gt;30,$BH$33-$H$33,LOOKUP('Données projet'!$E$11,$A$3:$A$203,BH3:BH203)-LOOKUP('Données projet'!$E$11,$A$3:$A$203,$H$3:$H$203))</f>
        <v>306.39227726293234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2.4666666666666668</v>
      </c>
      <c r="AI4" s="14">
        <f>IF('Données projet'!$A$62&gt;35,AI3+AH4-AQ3,IF(A4&lt;'Données projet'!$A$62,$AF$205^A4,IF(A4='Données projet'!$A$62,'Données projet'!$B$62,AI3+AH4-AQ3)))</f>
        <v>1.2721747796233518</v>
      </c>
      <c r="AJ4" s="14">
        <f>AI4*VLOOKUP('Données projet'!$B$10,Paramètres!$A$1:$I$89,3,0)*VLOOKUP('Données projet'!$B$10,Paramètres!$A$1:$I$89,5,0)</f>
        <v>1.031988181230463</v>
      </c>
      <c r="AK4" s="14">
        <f>EXP(-1.0587+0.8836*LN(AJ4)+0.284)</f>
        <v>0.47384363432899212</v>
      </c>
      <c r="AL4" s="22">
        <f t="shared" ref="AL4:AL67" si="4">(AJ4+AK4)*0.475*44/12</f>
        <v>2.6226570787660513</v>
      </c>
      <c r="AM4" s="62">
        <f t="shared" ref="AM4:AM67" si="5">AL4+(AD4+AE4)*44/12</f>
        <v>295.95599041209937</v>
      </c>
      <c r="AN4" s="62">
        <f ca="1">AVERAGE(OFFSET($AM$3,0,0,'Données projet'!$E$10+1,1))-AVERAGE(OFFSET($H$3,0,0,'Données projet'!$E$10+1,1))</f>
        <v>219.96569743439244</v>
      </c>
      <c r="AO4" s="62">
        <f>$AO$3</f>
        <v>219.27079214454579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7.7692307692307692</v>
      </c>
      <c r="BD4" s="13">
        <f>IF('Données projet'!$A$88&gt;35,BD3+BC4-BL3,IF(A4&lt;'Données projet'!$A$88,$BA$205^A4,IF(A4='Données projet'!$A$88,'Données projet'!$B$88,BD3+BC4-BL3)))</f>
        <v>1.4261938757879591</v>
      </c>
      <c r="BE4" s="14">
        <f>BD4*VLOOKUP('Données projet'!$B$11,Paramètres!$A$1:$I$89,3,0)*VLOOKUP('Données projet'!$B$11,Paramètres!$A$1:$I$89,5,0)</f>
        <v>0.85286393772119951</v>
      </c>
      <c r="BF4" s="14">
        <f>EXP(-1.0587+0.8836*LN(BE4)+0.284)</f>
        <v>0.40038464441801103</v>
      </c>
      <c r="BG4" s="22">
        <f t="shared" ref="BG4:BG67" si="7">(BE4+BF4)*0.475*44/12</f>
        <v>2.1827412805591249</v>
      </c>
      <c r="BH4" s="62">
        <f t="shared" ref="BH4:BH67" si="8">BG4+(AY4+AZ4)*44/12</f>
        <v>295.51607461389244</v>
      </c>
      <c r="BI4" s="62">
        <f ca="1">AVERAGE(OFFSET($BH$3,0,0,'Données projet'!$E$11+1,1))-AVERAGE(OFFSET($H$3,0,0,'Données projet'!$E$11+1,1))</f>
        <v>150.99976380209381</v>
      </c>
      <c r="BJ4" s="62">
        <f>$BJ$3</f>
        <v>306.39227726293234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2.4666666666666668</v>
      </c>
      <c r="AI5" s="14">
        <f>IF('Données projet'!$A$62&gt;35,AI4+AH5-AQ4,IF(A5&lt;'Données projet'!$A$62,$AF$205^A5,IF(A5='Données projet'!$A$62,'Données projet'!$B$62,AI4+AH5-AQ4)))</f>
        <v>1.6184286699097237</v>
      </c>
      <c r="AJ5" s="14">
        <f>AI5*VLOOKUP('Données projet'!$B$10,Paramètres!$A$1:$I$89,3,0)*VLOOKUP('Données projet'!$B$10,Paramètres!$A$1:$I$89,5,0)</f>
        <v>1.312869337030768</v>
      </c>
      <c r="AK5" s="14">
        <f t="shared" ref="AK5:AK68" si="35">EXP(-1.0587+0.8836*LN(AJ5)+0.284)</f>
        <v>0.58615515240543437</v>
      </c>
      <c r="AL5" s="22">
        <f t="shared" si="4"/>
        <v>3.3074676524347191</v>
      </c>
      <c r="AM5" s="62">
        <f t="shared" si="5"/>
        <v>296.64080098576801</v>
      </c>
      <c r="AN5" s="62">
        <f ca="1">AVERAGE(OFFSET($AM$3,0,0,'Données projet'!$E$10+1,1))-AVERAGE(OFFSET($H$3,0,0,'Données projet'!$E$10+1,1))</f>
        <v>219.96569743439244</v>
      </c>
      <c r="AO5" s="62">
        <f t="shared" ref="AO5:AO68" si="36">$AO$3</f>
        <v>219.27079214454579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7.7692307692307692</v>
      </c>
      <c r="BD5" s="13">
        <f>IF('Données projet'!$A$88&gt;35,BD4+BC5-BL4,IF(A5&lt;'Données projet'!$A$88,$BA$205^A5,IF(A5='Données projet'!$A$88,'Données projet'!$B$88,BD4+BC5-BL4)))</f>
        <v>2.0340289713350805</v>
      </c>
      <c r="BE5" s="14">
        <f>BD5*VLOOKUP('Données projet'!$B$11,Paramètres!$A$1:$I$89,3,0)*VLOOKUP('Données projet'!$B$11,Paramètres!$A$1:$I$89,5,0)</f>
        <v>1.2163493248583781</v>
      </c>
      <c r="BF5" s="14">
        <f t="shared" ref="BF5:BF68" si="37">EXP(-1.0587+0.8836*LN(BE5)+0.284)</f>
        <v>0.54791046443869817</v>
      </c>
      <c r="BG5" s="22">
        <f t="shared" si="7"/>
        <v>3.072752466359074</v>
      </c>
      <c r="BH5" s="62">
        <f t="shared" si="8"/>
        <v>296.40608579969239</v>
      </c>
      <c r="BI5" s="62">
        <f ca="1">AVERAGE(OFFSET($BH$3,0,0,'Données projet'!$E$11+1,1))-AVERAGE(OFFSET($H$3,0,0,'Données projet'!$E$11+1,1))</f>
        <v>150.99976380209381</v>
      </c>
      <c r="BJ5" s="62">
        <f t="shared" ref="BJ5:BJ68" si="38">$BJ$3</f>
        <v>306.39227726293234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2.4666666666666668</v>
      </c>
      <c r="AI6" s="14">
        <f>IF('Données projet'!$A$62&gt;35,AI5+AH6-AQ5,IF(A6&lt;'Données projet'!$A$62,$AF$205^A6,IF(A6='Données projet'!$A$62,'Données projet'!$B$62,AI5+AH6-AQ5)))</f>
        <v>2.0589241364785171</v>
      </c>
      <c r="AJ6" s="14">
        <f>AI6*VLOOKUP('Données projet'!$B$10,Paramètres!$A$1:$I$89,3,0)*VLOOKUP('Données projet'!$B$10,Paramètres!$A$1:$I$89,5,0)</f>
        <v>1.6701992595113733</v>
      </c>
      <c r="AK6" s="14">
        <f t="shared" si="35"/>
        <v>0.72508700718957031</v>
      </c>
      <c r="AL6" s="22">
        <f t="shared" si="4"/>
        <v>4.1717902478374764</v>
      </c>
      <c r="AM6" s="62">
        <f t="shared" si="5"/>
        <v>297.50512358117078</v>
      </c>
      <c r="AN6" s="62">
        <f ca="1">AVERAGE(OFFSET($AM$3,0,0,'Données projet'!$E$10+1,1))-AVERAGE(OFFSET($H$3,0,0,'Données projet'!$E$10+1,1))</f>
        <v>219.96569743439244</v>
      </c>
      <c r="AO6" s="62">
        <f t="shared" si="36"/>
        <v>219.27079214454579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7.7692307692307692</v>
      </c>
      <c r="BD6" s="13">
        <f>IF('Données projet'!$A$88&gt;35,BD5+BC6-BL5,IF(A6&lt;'Données projet'!$A$88,$BA$205^A6,IF(A6='Données projet'!$A$88,'Données projet'!$B$88,BD5+BC6-BL5)))</f>
        <v>2.9009196620933739</v>
      </c>
      <c r="BE6" s="14">
        <f>BD6*VLOOKUP('Données projet'!$B$11,Paramètres!$A$1:$I$89,3,0)*VLOOKUP('Données projet'!$B$11,Paramètres!$A$1:$I$89,5,0)</f>
        <v>1.7347499579318377</v>
      </c>
      <c r="BF6" s="14">
        <f t="shared" si="37"/>
        <v>0.74979368271678282</v>
      </c>
      <c r="BG6" s="22">
        <f t="shared" si="7"/>
        <v>4.3272468407963478</v>
      </c>
      <c r="BH6" s="62">
        <f t="shared" si="8"/>
        <v>297.66058017412968</v>
      </c>
      <c r="BI6" s="62">
        <f ca="1">AVERAGE(OFFSET($BH$3,0,0,'Données projet'!$E$11+1,1))-AVERAGE(OFFSET($H$3,0,0,'Données projet'!$E$11+1,1))</f>
        <v>150.99976380209381</v>
      </c>
      <c r="BJ6" s="62">
        <f t="shared" si="38"/>
        <v>306.39227726293234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2.4666666666666668</v>
      </c>
      <c r="AI7" s="14">
        <f>IF('Données projet'!$A$62&gt;35,AI6+AH7-AQ6,IF(A7&lt;'Données projet'!$A$62,$AF$205^A7,IF(A7='Données projet'!$A$62,'Données projet'!$B$62,AI6+AH7-AQ6)))</f>
        <v>2.6193113595857573</v>
      </c>
      <c r="AJ7" s="14">
        <f>AI7*VLOOKUP('Données projet'!$B$10,Paramètres!$A$1:$I$89,3,0)*VLOOKUP('Données projet'!$B$10,Paramètres!$A$1:$I$89,5,0)</f>
        <v>2.1247853748959664</v>
      </c>
      <c r="AK7" s="14">
        <f t="shared" si="35"/>
        <v>0.89694881267796833</v>
      </c>
      <c r="AL7" s="22">
        <f t="shared" si="4"/>
        <v>5.2628537100246024</v>
      </c>
      <c r="AM7" s="62">
        <f t="shared" si="5"/>
        <v>298.59618704335793</v>
      </c>
      <c r="AN7" s="62">
        <f ca="1">AVERAGE(OFFSET($AM$3,0,0,'Données projet'!$E$10+1,1))-AVERAGE(OFFSET($H$3,0,0,'Données projet'!$E$10+1,1))</f>
        <v>219.96569743439244</v>
      </c>
      <c r="AO7" s="62">
        <f t="shared" si="36"/>
        <v>219.27079214454579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7.7692307692307692</v>
      </c>
      <c r="BD7" s="13">
        <f>IF('Données projet'!$A$88&gt;35,BD6+BC7-BL6,IF(A7&lt;'Données projet'!$A$88,$BA$205^A7,IF(A7='Données projet'!$A$88,'Données projet'!$B$88,BD6+BC7-BL6)))</f>
        <v>4.1372738562304461</v>
      </c>
      <c r="BE7" s="14">
        <f>BD7*VLOOKUP('Données projet'!$B$11,Paramètres!$A$1:$I$89,3,0)*VLOOKUP('Données projet'!$B$11,Paramètres!$A$1:$I$89,5,0)</f>
        <v>2.474089766025807</v>
      </c>
      <c r="BF7" s="14">
        <f t="shared" si="37"/>
        <v>1.0260628389675426</v>
      </c>
      <c r="BG7" s="22">
        <f t="shared" si="7"/>
        <v>6.0960991203634167</v>
      </c>
      <c r="BH7" s="62">
        <f t="shared" si="8"/>
        <v>299.42943245369673</v>
      </c>
      <c r="BI7" s="62">
        <f ca="1">AVERAGE(OFFSET($BH$3,0,0,'Données projet'!$E$11+1,1))-AVERAGE(OFFSET($H$3,0,0,'Données projet'!$E$11+1,1))</f>
        <v>150.99976380209381</v>
      </c>
      <c r="BJ7" s="62">
        <f t="shared" si="38"/>
        <v>306.39227726293234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2.4666666666666668</v>
      </c>
      <c r="AI8" s="14">
        <f>IF('Données projet'!$A$62&gt;35,AI7+AH8-AQ7,IF(A8&lt;'Données projet'!$A$62,$AF$205^A8,IF(A8='Données projet'!$A$62,'Données projet'!$B$62,AI7+AH8-AQ7)))</f>
        <v>3.332221851645953</v>
      </c>
      <c r="AJ8" s="14">
        <f>AI8*VLOOKUP('Données projet'!$B$10,Paramètres!$A$1:$I$89,3,0)*VLOOKUP('Données projet'!$B$10,Paramètres!$A$1:$I$89,5,0)</f>
        <v>2.703098366055197</v>
      </c>
      <c r="AK8" s="14">
        <f t="shared" si="35"/>
        <v>1.1095457022222992</v>
      </c>
      <c r="AL8" s="22">
        <f t="shared" si="4"/>
        <v>6.6403550855833053</v>
      </c>
      <c r="AM8" s="62">
        <f t="shared" si="5"/>
        <v>299.97368841891659</v>
      </c>
      <c r="AN8" s="62">
        <f ca="1">AVERAGE(OFFSET($AM$3,0,0,'Données projet'!$E$10+1,1))-AVERAGE(OFFSET($H$3,0,0,'Données projet'!$E$10+1,1))</f>
        <v>219.96569743439244</v>
      </c>
      <c r="AO8" s="62">
        <f t="shared" si="36"/>
        <v>219.27079214454579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7.7692307692307692</v>
      </c>
      <c r="BD8" s="13">
        <f>IF('Données projet'!$A$88&gt;35,BD7+BC8-BL7,IF(A8&lt;'Données projet'!$A$88,$BA$205^A8,IF(A8='Données projet'!$A$88,'Données projet'!$B$88,BD7+BC8-BL7)))</f>
        <v>5.9005546362134957</v>
      </c>
      <c r="BE8" s="14">
        <f>BD8*VLOOKUP('Données projet'!$B$11,Paramètres!$A$1:$I$89,3,0)*VLOOKUP('Données projet'!$B$11,Paramètres!$A$1:$I$89,5,0)</f>
        <v>3.5285316724556708</v>
      </c>
      <c r="BF8" s="14">
        <f t="shared" si="37"/>
        <v>1.404126193348852</v>
      </c>
      <c r="BG8" s="22">
        <f t="shared" si="7"/>
        <v>8.5910457829428761</v>
      </c>
      <c r="BH8" s="62">
        <f t="shared" si="8"/>
        <v>301.92437911627621</v>
      </c>
      <c r="BI8" s="62">
        <f ca="1">AVERAGE(OFFSET($BH$3,0,0,'Données projet'!$E$11+1,1))-AVERAGE(OFFSET($H$3,0,0,'Données projet'!$E$11+1,1))</f>
        <v>150.99976380209381</v>
      </c>
      <c r="BJ8" s="62">
        <f t="shared" si="38"/>
        <v>306.39227726293234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2.4666666666666668</v>
      </c>
      <c r="AI9" s="14">
        <f>IF('Données projet'!$A$62&gt;35,AI8+AH9-AQ8,IF(A9&lt;'Données projet'!$A$62,$AF$205^A9,IF(A9='Données projet'!$A$62,'Données projet'!$B$62,AI8+AH9-AQ8)))</f>
        <v>4.2391685997738069</v>
      </c>
      <c r="AJ9" s="14">
        <f>AI9*VLOOKUP('Données projet'!$B$10,Paramètres!$A$1:$I$89,3,0)*VLOOKUP('Données projet'!$B$10,Paramètres!$A$1:$I$89,5,0)</f>
        <v>3.4388135681365122</v>
      </c>
      <c r="AK9" s="14">
        <f t="shared" si="35"/>
        <v>1.3725327999982246</v>
      </c>
      <c r="AL9" s="22">
        <f t="shared" si="4"/>
        <v>8.3797615911680001</v>
      </c>
      <c r="AM9" s="62">
        <f t="shared" si="5"/>
        <v>301.71309492450132</v>
      </c>
      <c r="AN9" s="62">
        <f ca="1">AVERAGE(OFFSET($AM$3,0,0,'Données projet'!$E$10+1,1))-AVERAGE(OFFSET($H$3,0,0,'Données projet'!$E$10+1,1))</f>
        <v>219.96569743439244</v>
      </c>
      <c r="AO9" s="62">
        <f t="shared" si="36"/>
        <v>219.27079214454579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7.7692307692307692</v>
      </c>
      <c r="BD9" s="13">
        <f>IF('Données projet'!$A$88&gt;35,BD8+BC9-BL8,IF(A9&lt;'Données projet'!$A$88,$BA$205^A9,IF(A9='Données projet'!$A$88,'Données projet'!$B$88,BD8+BC9-BL8)))</f>
        <v>8.4153348859199362</v>
      </c>
      <c r="BE9" s="14">
        <f>BD9*VLOOKUP('Données projet'!$B$11,Paramètres!$A$1:$I$89,3,0)*VLOOKUP('Données projet'!$B$11,Paramètres!$A$1:$I$89,5,0)</f>
        <v>5.0323702617801223</v>
      </c>
      <c r="BF9" s="14">
        <f t="shared" si="37"/>
        <v>1.9214908599868947</v>
      </c>
      <c r="BG9" s="22">
        <f t="shared" si="7"/>
        <v>12.111308120410888</v>
      </c>
      <c r="BH9" s="62">
        <f t="shared" si="8"/>
        <v>305.44464145374423</v>
      </c>
      <c r="BI9" s="62">
        <f ca="1">AVERAGE(OFFSET($BH$3,0,0,'Données projet'!$E$11+1,1))-AVERAGE(OFFSET($H$3,0,0,'Données projet'!$E$11+1,1))</f>
        <v>150.99976380209381</v>
      </c>
      <c r="BJ9" s="62">
        <f t="shared" si="38"/>
        <v>306.39227726293234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2.4666666666666668</v>
      </c>
      <c r="AI10" s="14">
        <f>IF('Données projet'!$A$62&gt;35,AI9+AH10-AQ9,IF(A10&lt;'Données projet'!$A$62,$AF$205^A10,IF(A10='Données projet'!$A$62,'Données projet'!$B$62,AI9+AH10-AQ9)))</f>
        <v>5.3929633792034757</v>
      </c>
      <c r="AJ10" s="14">
        <f>AI10*VLOOKUP('Données projet'!$B$10,Paramètres!$A$1:$I$89,3,0)*VLOOKUP('Données projet'!$B$10,Paramètres!$A$1:$I$89,5,0)</f>
        <v>4.3747718932098598</v>
      </c>
      <c r="AK10" s="14">
        <f t="shared" si="35"/>
        <v>1.6978537101246285</v>
      </c>
      <c r="AL10" s="22">
        <f t="shared" si="4"/>
        <v>10.576489592474234</v>
      </c>
      <c r="AM10" s="62">
        <f t="shared" si="5"/>
        <v>303.90982292580753</v>
      </c>
      <c r="AN10" s="62">
        <f ca="1">AVERAGE(OFFSET($AM$3,0,0,'Données projet'!$E$10+1,1))-AVERAGE(OFFSET($H$3,0,0,'Données projet'!$E$10+1,1))</f>
        <v>219.96569743439244</v>
      </c>
      <c r="AO10" s="62">
        <f t="shared" si="36"/>
        <v>219.27079214454579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7.7692307692307692</v>
      </c>
      <c r="BD10" s="13">
        <f>IF('Données projet'!$A$88&gt;35,BD9+BC10-BL9,IF(A10&lt;'Données projet'!$A$88,$BA$205^A10,IF(A10='Données projet'!$A$88,'Données projet'!$B$88,BD9+BC10-BL9)))</f>
        <v>12.001899077003776</v>
      </c>
      <c r="BE10" s="14">
        <f>BD10*VLOOKUP('Données projet'!$B$11,Paramètres!$A$1:$I$89,3,0)*VLOOKUP('Données projet'!$B$11,Paramètres!$A$1:$I$89,5,0)</f>
        <v>7.1771356480482584</v>
      </c>
      <c r="BF10" s="14">
        <f t="shared" si="37"/>
        <v>2.6294838330787229</v>
      </c>
      <c r="BG10" s="22">
        <f t="shared" si="7"/>
        <v>17.079862262962827</v>
      </c>
      <c r="BH10" s="62">
        <f t="shared" si="8"/>
        <v>310.41319559629613</v>
      </c>
      <c r="BI10" s="62">
        <f ca="1">AVERAGE(OFFSET($BH$3,0,0,'Données projet'!$E$11+1,1))-AVERAGE(OFFSET($H$3,0,0,'Données projet'!$E$11+1,1))</f>
        <v>150.99976380209381</v>
      </c>
      <c r="BJ10" s="62">
        <f t="shared" si="38"/>
        <v>306.39227726293234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2.4666666666666668</v>
      </c>
      <c r="AI11" s="14">
        <f>IF('Données projet'!$A$62&gt;35,AI10+AH11-AQ10,IF(A11&lt;'Données projet'!$A$62,$AF$205^A11,IF(A11='Données projet'!$A$62,'Données projet'!$B$62,AI10+AH11-AQ10)))</f>
        <v>6.8607919984549888</v>
      </c>
      <c r="AJ11" s="14">
        <f>AI11*VLOOKUP('Données projet'!$B$10,Paramètres!$A$1:$I$89,3,0)*VLOOKUP('Données projet'!$B$10,Paramètres!$A$1:$I$89,5,0)</f>
        <v>5.5654744691466869</v>
      </c>
      <c r="AK11" s="14">
        <f t="shared" si="35"/>
        <v>2.10028293749169</v>
      </c>
      <c r="AL11" s="22">
        <f t="shared" si="4"/>
        <v>13.351194149895173</v>
      </c>
      <c r="AM11" s="62">
        <f t="shared" si="5"/>
        <v>306.68452748322846</v>
      </c>
      <c r="AN11" s="62">
        <f ca="1">AVERAGE(OFFSET($AM$3,0,0,'Données projet'!$E$10+1,1))-AVERAGE(OFFSET($H$3,0,0,'Données projet'!$E$10+1,1))</f>
        <v>219.96569743439244</v>
      </c>
      <c r="AO11" s="62">
        <f t="shared" si="36"/>
        <v>219.27079214454579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7.7692307692307692</v>
      </c>
      <c r="BD11" s="13">
        <f>IF('Données projet'!$A$88&gt;35,BD10+BC11-BL10,IF(A11&lt;'Données projet'!$A$88,$BA$205^A11,IF(A11='Données projet'!$A$88,'Données projet'!$B$88,BD10+BC11-BL10)))</f>
        <v>17.117034961447946</v>
      </c>
      <c r="BE11" s="14">
        <f>BD11*VLOOKUP('Données projet'!$B$11,Paramètres!$A$1:$I$89,3,0)*VLOOKUP('Données projet'!$B$11,Paramètres!$A$1:$I$89,5,0)</f>
        <v>10.235986906945872</v>
      </c>
      <c r="BF11" s="14">
        <f t="shared" si="37"/>
        <v>3.5983440631455994</v>
      </c>
      <c r="BG11" s="22">
        <f t="shared" si="7"/>
        <v>24.094793106242644</v>
      </c>
      <c r="BH11" s="62">
        <f t="shared" si="8"/>
        <v>317.42812643957598</v>
      </c>
      <c r="BI11" s="62">
        <f ca="1">AVERAGE(OFFSET($BH$3,0,0,'Données projet'!$E$11+1,1))-AVERAGE(OFFSET($H$3,0,0,'Données projet'!$E$11+1,1))</f>
        <v>150.99976380209381</v>
      </c>
      <c r="BJ11" s="62">
        <f t="shared" si="38"/>
        <v>306.39227726293234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2.4666666666666668</v>
      </c>
      <c r="AI12" s="14">
        <f>IF('Données projet'!$A$62&gt;35,AI11+AH12-AQ11,IF(A12&lt;'Données projet'!$A$62,$AF$205^A12,IF(A12='Données projet'!$A$62,'Données projet'!$B$62,AI11+AH12-AQ11)))</f>
        <v>8.7281265486761299</v>
      </c>
      <c r="AJ12" s="14">
        <f>AI12*VLOOKUP('Données projet'!$B$10,Paramètres!$A$1:$I$89,3,0)*VLOOKUP('Données projet'!$B$10,Paramètres!$A$1:$I$89,5,0)</f>
        <v>7.0802562562860771</v>
      </c>
      <c r="AK12" s="14">
        <f t="shared" si="35"/>
        <v>2.5980968744326778</v>
      </c>
      <c r="AL12" s="22">
        <f t="shared" si="4"/>
        <v>16.856465036001829</v>
      </c>
      <c r="AM12" s="62">
        <f t="shared" si="5"/>
        <v>310.18979836933516</v>
      </c>
      <c r="AN12" s="62">
        <f ca="1">AVERAGE(OFFSET($AM$3,0,0,'Données projet'!$E$10+1,1))-AVERAGE(OFFSET($H$3,0,0,'Données projet'!$E$10+1,1))</f>
        <v>219.96569743439244</v>
      </c>
      <c r="AO12" s="62">
        <f t="shared" si="36"/>
        <v>219.27079214454579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7.7692307692307692</v>
      </c>
      <c r="BD12" s="13">
        <f>IF('Données projet'!$A$88&gt;35,BD11+BC12-BL11,IF(A12&lt;'Données projet'!$A$88,$BA$205^A12,IF(A12='Données projet'!$A$88,'Données projet'!$B$88,BD11+BC12-BL11)))</f>
        <v>24.412210433665443</v>
      </c>
      <c r="BE12" s="14">
        <f>BD12*VLOOKUP('Données projet'!$B$11,Paramètres!$A$1:$I$89,3,0)*VLOOKUP('Données projet'!$B$11,Paramètres!$A$1:$I$89,5,0)</f>
        <v>14.598501839331936</v>
      </c>
      <c r="BF12" s="14">
        <f t="shared" si="37"/>
        <v>4.9241907608973428</v>
      </c>
      <c r="BG12" s="22">
        <f t="shared" si="7"/>
        <v>34.002022945399325</v>
      </c>
      <c r="BH12" s="62">
        <f t="shared" si="8"/>
        <v>327.33535627873266</v>
      </c>
      <c r="BI12" s="62">
        <f ca="1">AVERAGE(OFFSET($BH$3,0,0,'Données projet'!$E$11+1,1))-AVERAGE(OFFSET($H$3,0,0,'Données projet'!$E$11+1,1))</f>
        <v>150.99976380209381</v>
      </c>
      <c r="BJ12" s="62">
        <f t="shared" si="38"/>
        <v>306.39227726293234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2.4666666666666668</v>
      </c>
      <c r="AI13" s="14">
        <f>IF('Données projet'!$A$62&gt;35,AI12+AH13-AQ12,IF(A13&lt;'Données projet'!$A$62,$AF$205^A13,IF(A13='Données projet'!$A$62,'Données projet'!$B$62,AI12+AH13-AQ12)))</f>
        <v>11.103702468586782</v>
      </c>
      <c r="AJ13" s="14">
        <f>AI13*VLOOKUP('Données projet'!$B$10,Paramètres!$A$1:$I$89,3,0)*VLOOKUP('Données projet'!$B$10,Paramètres!$A$1:$I$89,5,0)</f>
        <v>9.007323442517599</v>
      </c>
      <c r="AK13" s="14">
        <f t="shared" si="35"/>
        <v>3.2139038262141559</v>
      </c>
      <c r="AL13" s="22">
        <f t="shared" si="4"/>
        <v>21.285304159707806</v>
      </c>
      <c r="AM13" s="62">
        <f t="shared" si="5"/>
        <v>314.61863749304109</v>
      </c>
      <c r="AN13" s="62">
        <f ca="1">AVERAGE(OFFSET($AM$3,0,0,'Données projet'!$E$10+1,1))-AVERAGE(OFFSET($H$3,0,0,'Données projet'!$E$10+1,1))</f>
        <v>219.96569743439244</v>
      </c>
      <c r="AO13" s="62">
        <f t="shared" si="36"/>
        <v>219.27079214454579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7.7692307692307692</v>
      </c>
      <c r="BD13" s="13">
        <f>IF('Données projet'!$A$88&gt;35,BD12+BC13-BL12,IF(A13&lt;'Données projet'!$A$88,$BA$205^A13,IF(A13='Données projet'!$A$88,'Données projet'!$B$88,BD12+BC13-BL12)))</f>
        <v>34.816545014940573</v>
      </c>
      <c r="BE13" s="14">
        <f>BD13*VLOOKUP('Données projet'!$B$11,Paramètres!$A$1:$I$89,3,0)*VLOOKUP('Données projet'!$B$11,Paramètres!$A$1:$I$89,5,0)</f>
        <v>20.820293918934464</v>
      </c>
      <c r="BF13" s="14">
        <f t="shared" si="37"/>
        <v>6.7385592439734481</v>
      </c>
      <c r="BG13" s="22">
        <f t="shared" si="7"/>
        <v>47.998335925397946</v>
      </c>
      <c r="BH13" s="62">
        <f t="shared" si="8"/>
        <v>341.33166925873127</v>
      </c>
      <c r="BI13" s="62">
        <f ca="1">AVERAGE(OFFSET($BH$3,0,0,'Données projet'!$E$11+1,1))-AVERAGE(OFFSET($H$3,0,0,'Données projet'!$E$11+1,1))</f>
        <v>150.99976380209381</v>
      </c>
      <c r="BJ13" s="62">
        <f t="shared" si="38"/>
        <v>306.39227726293234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2.4666666666666668</v>
      </c>
      <c r="AI14" s="14">
        <f>IF('Données projet'!$A$62&gt;35,AI13+AH14-AQ13,IF(A14&lt;'Données projet'!$A$62,$AF$205^A14,IF(A14='Données projet'!$A$62,'Données projet'!$B$62,AI13+AH14-AQ13)))</f>
        <v>14.125850240977657</v>
      </c>
      <c r="AJ14" s="14">
        <f>AI14*VLOOKUP('Données projet'!$B$10,Paramètres!$A$1:$I$89,3,0)*VLOOKUP('Données projet'!$B$10,Paramètres!$A$1:$I$89,5,0)</f>
        <v>11.458889715481076</v>
      </c>
      <c r="AK14" s="14">
        <f t="shared" si="35"/>
        <v>3.9756707710945065</v>
      </c>
      <c r="AL14" s="22">
        <f t="shared" si="4"/>
        <v>26.881859514119139</v>
      </c>
      <c r="AM14" s="62">
        <f t="shared" si="5"/>
        <v>320.21519284745244</v>
      </c>
      <c r="AN14" s="62">
        <f ca="1">AVERAGE(OFFSET($AM$3,0,0,'Données projet'!$E$10+1,1))-AVERAGE(OFFSET($H$3,0,0,'Données projet'!$E$10+1,1))</f>
        <v>219.96569743439244</v>
      </c>
      <c r="AO14" s="62">
        <f t="shared" si="36"/>
        <v>219.27079214454579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7.7692307692307692</v>
      </c>
      <c r="BD14" s="13">
        <f>IF('Données projet'!$A$88&gt;35,BD13+BC14-BL13,IF(A14&lt;'Données projet'!$A$88,$BA$205^A14,IF(A14='Données projet'!$A$88,'Données projet'!$B$88,BD13+BC14-BL13)))</f>
        <v>49.65514327640404</v>
      </c>
      <c r="BE14" s="14">
        <f>BD14*VLOOKUP('Données projet'!$B$11,Paramètres!$A$1:$I$89,3,0)*VLOOKUP('Données projet'!$B$11,Paramètres!$A$1:$I$89,5,0)</f>
        <v>29.693775679289619</v>
      </c>
      <c r="BF14" s="14">
        <f t="shared" si="37"/>
        <v>9.2214503640117265</v>
      </c>
      <c r="BG14" s="22">
        <f t="shared" si="7"/>
        <v>67.777352025416505</v>
      </c>
      <c r="BH14" s="62">
        <f t="shared" si="8"/>
        <v>361.11068535874983</v>
      </c>
      <c r="BI14" s="62">
        <f ca="1">AVERAGE(OFFSET($BH$3,0,0,'Données projet'!$E$11+1,1))-AVERAGE(OFFSET($H$3,0,0,'Données projet'!$E$11+1,1))</f>
        <v>150.99976380209381</v>
      </c>
      <c r="BJ14" s="62">
        <f t="shared" si="38"/>
        <v>306.39227726293234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2.4666666666666668</v>
      </c>
      <c r="AI15" s="14">
        <f>IF('Données projet'!$A$62&gt;35,AI14+AH15-AQ14,IF(A15&lt;'Données projet'!$A$62,$AF$205^A15,IF(A15='Données projet'!$A$62,'Données projet'!$B$62,AI14+AH15-AQ14)))</f>
        <v>17.970550417308221</v>
      </c>
      <c r="AJ15" s="14">
        <f>AI15*VLOOKUP('Données projet'!$B$10,Paramètres!$A$1:$I$89,3,0)*VLOOKUP('Données projet'!$B$10,Paramètres!$A$1:$I$89,5,0)</f>
        <v>14.57771049852043</v>
      </c>
      <c r="AK15" s="14">
        <f t="shared" si="35"/>
        <v>4.9179934854347964</v>
      </c>
      <c r="AL15" s="22">
        <f t="shared" si="4"/>
        <v>33.955017772055356</v>
      </c>
      <c r="AM15" s="62">
        <f t="shared" si="5"/>
        <v>327.28835110538864</v>
      </c>
      <c r="AN15" s="62">
        <f ca="1">AVERAGE(OFFSET($AM$3,0,0,'Données projet'!$E$10+1,1))-AVERAGE(OFFSET($H$3,0,0,'Données projet'!$E$10+1,1))</f>
        <v>219.96569743439244</v>
      </c>
      <c r="AO15" s="62">
        <f t="shared" si="36"/>
        <v>219.27079214454579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7.7692307692307692</v>
      </c>
      <c r="BD15" s="13">
        <f>IF('Données projet'!$A$88&gt;35,BD14+BC15-BL14,IF(A15&lt;'Données projet'!$A$88,$BA$205^A15,IF(A15='Données projet'!$A$88,'Données projet'!$B$88,BD14+BC15-BL14)))</f>
        <v>70.81786124218111</v>
      </c>
      <c r="BE15" s="14">
        <f>BD15*VLOOKUP('Données projet'!$B$11,Paramètres!$A$1:$I$89,3,0)*VLOOKUP('Données projet'!$B$11,Paramètres!$A$1:$I$89,5,0)</f>
        <v>42.349081022824308</v>
      </c>
      <c r="BF15" s="14">
        <f t="shared" si="37"/>
        <v>12.61918812867636</v>
      </c>
      <c r="BG15" s="22">
        <f t="shared" si="7"/>
        <v>95.736402105530317</v>
      </c>
      <c r="BH15" s="62">
        <f t="shared" si="8"/>
        <v>389.06973543886363</v>
      </c>
      <c r="BI15" s="62">
        <f ca="1">AVERAGE(OFFSET($BH$3,0,0,'Données projet'!$E$11+1,1))-AVERAGE(OFFSET($H$3,0,0,'Données projet'!$E$11+1,1))</f>
        <v>150.99976380209381</v>
      </c>
      <c r="BJ15" s="62">
        <f t="shared" si="38"/>
        <v>306.39227726293234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2.4666666666666668</v>
      </c>
      <c r="AI16" s="14">
        <f>IF('Données projet'!$A$62&gt;35,AI15+AH16-AQ15,IF(A16&lt;'Données projet'!$A$62,$AF$205^A16,IF(A16='Données projet'!$A$62,'Données projet'!$B$62,AI15+AH16-AQ15)))</f>
        <v>22.86168101684942</v>
      </c>
      <c r="AJ16" s="14">
        <f>AI16*VLOOKUP('Données projet'!$B$10,Paramètres!$A$1:$I$89,3,0)*VLOOKUP('Données projet'!$B$10,Paramètres!$A$1:$I$89,5,0)</f>
        <v>18.545395640868254</v>
      </c>
      <c r="AK16" s="14">
        <f t="shared" si="35"/>
        <v>6.0836677168115934</v>
      </c>
      <c r="AL16" s="22">
        <f t="shared" si="4"/>
        <v>42.895618681292397</v>
      </c>
      <c r="AM16" s="62">
        <f t="shared" si="5"/>
        <v>336.22895201462569</v>
      </c>
      <c r="AN16" s="62">
        <f ca="1">AVERAGE(OFFSET($AM$3,0,0,'Données projet'!$E$10+1,1))-AVERAGE(OFFSET($H$3,0,0,'Données projet'!$E$10+1,1))</f>
        <v>219.96569743439244</v>
      </c>
      <c r="AO16" s="62">
        <f t="shared" si="36"/>
        <v>219.27079214454579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>
        <f>VLOOKUP(A16,'Données projet'!$A$87:$I$107,2,0)</f>
        <v>101</v>
      </c>
      <c r="BB16" s="13">
        <f>VLOOKUP(A16,'Données projet'!$A$87:$I$107,9,0)</f>
        <v>7.7692307692307692</v>
      </c>
      <c r="BC16" s="13">
        <f t="array" ref="BC16">INDEX(BB:BB,MIN(IF(ISNUMBER(BB16:BB212),ROW(BB16:BB212),"")))</f>
        <v>7.7692307692307692</v>
      </c>
      <c r="BD16" s="13">
        <f>IF('Données projet'!$A$88&gt;35,BD15+BC16-BL15,IF(A16&lt;'Données projet'!$A$88,$BA$205^A16,IF(A16='Données projet'!$A$88,'Données projet'!$B$88,BD15+BC16-BL15)))</f>
        <v>101</v>
      </c>
      <c r="BE16" s="14">
        <f>BD16*VLOOKUP('Données projet'!$B$11,Paramètres!$A$1:$I$89,3,0)*VLOOKUP('Données projet'!$B$11,Paramètres!$A$1:$I$89,5,0)</f>
        <v>60.398000000000003</v>
      </c>
      <c r="BF16" s="14">
        <f t="shared" si="37"/>
        <v>17.26885714728807</v>
      </c>
      <c r="BG16" s="22">
        <f t="shared" si="7"/>
        <v>135.26977619819337</v>
      </c>
      <c r="BH16" s="62">
        <f t="shared" si="8"/>
        <v>428.60310953152668</v>
      </c>
      <c r="BI16" s="62">
        <f ca="1">AVERAGE(OFFSET($BH$3,0,0,'Données projet'!$E$11+1,1))-AVERAGE(OFFSET($H$3,0,0,'Données projet'!$E$11+1,1))</f>
        <v>150.99976380209381</v>
      </c>
      <c r="BJ16" s="62">
        <f t="shared" si="38"/>
        <v>306.39227726293234</v>
      </c>
      <c r="BK16" s="16">
        <f>IF(ISNA(VLOOKUP(A16,'Données projet'!$A$87:$I$107,3,0)),0,VLOOKUP(A16,'Données projet'!$A$87:$I$107,3,0))</f>
        <v>1</v>
      </c>
      <c r="BL16" s="16">
        <f>IF(ISNA(VLOOKUP(A16,'Données projet'!$A$87:$I$107,4,0)),0,VLOOKUP(A16,'Données projet'!$A$87:$I$107,4,0))</f>
        <v>28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1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18.958097589783147</v>
      </c>
      <c r="BS16" s="24">
        <f t="shared" si="9"/>
        <v>18.958097589783147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2.4666666666666668</v>
      </c>
      <c r="AI17" s="14">
        <f>IF('Données projet'!$A$62&gt;35,AI16+AH17-AQ16,IF(A17&lt;'Données projet'!$A$62,$AF$205^A17,IF(A17='Données projet'!$A$62,'Données projet'!$B$62,AI16+AH17-AQ16)))</f>
        <v>29.084054009429774</v>
      </c>
      <c r="AJ17" s="14">
        <f>AI17*VLOOKUP('Données projet'!$B$10,Paramètres!$A$1:$I$89,3,0)*VLOOKUP('Données projet'!$B$10,Paramètres!$A$1:$I$89,5,0)</f>
        <v>23.592984612449435</v>
      </c>
      <c r="AK17" s="14">
        <f t="shared" si="35"/>
        <v>7.5256327602279143</v>
      </c>
      <c r="AL17" s="22">
        <f t="shared" si="4"/>
        <v>54.198258590746377</v>
      </c>
      <c r="AM17" s="62">
        <f t="shared" si="5"/>
        <v>347.53159192407969</v>
      </c>
      <c r="AN17" s="62">
        <f ca="1">AVERAGE(OFFSET($AM$3,0,0,'Données projet'!$E$10+1,1))-AVERAGE(OFFSET($H$3,0,0,'Données projet'!$E$10+1,1))</f>
        <v>219.96569743439244</v>
      </c>
      <c r="AO17" s="62">
        <f t="shared" si="36"/>
        <v>219.27079214454579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18.600000000000001</v>
      </c>
      <c r="BD17" s="13">
        <f>IF('Données projet'!$A$88&gt;35,BD16+BC17-BL16,IF(A17&lt;'Données projet'!$A$88,$BA$205^A17,IF(A17='Données projet'!$A$88,'Données projet'!$B$88,BD16+BC17-BL16)))</f>
        <v>91.6</v>
      </c>
      <c r="BE17" s="14">
        <f>BD17*VLOOKUP('Données projet'!$B$11,Paramètres!$A$1:$I$89,3,0)*VLOOKUP('Données projet'!$B$11,Paramètres!$A$1:$I$89,5,0)</f>
        <v>54.776799999999994</v>
      </c>
      <c r="BF17" s="14">
        <f t="shared" si="37"/>
        <v>15.840762095818524</v>
      </c>
      <c r="BG17" s="22">
        <f t="shared" si="7"/>
        <v>122.99225398355058</v>
      </c>
      <c r="BH17" s="62">
        <f t="shared" si="8"/>
        <v>416.32558731688391</v>
      </c>
      <c r="BI17" s="62">
        <f ca="1">AVERAGE(OFFSET($BH$3,0,0,'Données projet'!$E$11+1,1))-AVERAGE(OFFSET($H$3,0,0,'Données projet'!$E$11+1,1))</f>
        <v>150.99976380209381</v>
      </c>
      <c r="BJ17" s="62">
        <f t="shared" si="38"/>
        <v>306.39227726293234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13.405399364132007</v>
      </c>
      <c r="BS17" s="24">
        <f t="shared" si="9"/>
        <v>13.405399364132007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37</v>
      </c>
      <c r="AG18" s="13">
        <f>VLOOKUP(A18,'Données projet'!$A$61:$I$81,9,0)</f>
        <v>2.4666666666666668</v>
      </c>
      <c r="AH18" s="13">
        <f t="array" ref="AH18">INDEX(AG:AG,MIN(IF(ISNUMBER(AG18:AG214),ROW(AG18:AG214),"")))</f>
        <v>2.4666666666666668</v>
      </c>
      <c r="AI18" s="14">
        <f>IF('Données projet'!$A$62&gt;35,AI17+AH18-AQ17,IF(A18&lt;'Données projet'!$A$62,$AF$205^A18,IF(A18='Données projet'!$A$62,'Données projet'!$B$62,AI17+AH18-AQ17)))</f>
        <v>37</v>
      </c>
      <c r="AJ18" s="14">
        <f>AI18*VLOOKUP('Données projet'!$B$10,Paramètres!$A$1:$I$89,3,0)*VLOOKUP('Données projet'!$B$10,Paramètres!$A$1:$I$89,5,0)</f>
        <v>30.014400000000006</v>
      </c>
      <c r="AK18" s="14">
        <f t="shared" si="35"/>
        <v>9.309375705269078</v>
      </c>
      <c r="AL18" s="22">
        <f t="shared" si="4"/>
        <v>68.488909353343658</v>
      </c>
      <c r="AM18" s="62">
        <f t="shared" si="5"/>
        <v>361.82224268667699</v>
      </c>
      <c r="AN18" s="62">
        <f ca="1">AVERAGE(OFFSET($AM$3,0,0,'Données projet'!$E$10+1,1))-AVERAGE(OFFSET($H$3,0,0,'Données projet'!$E$10+1,1))</f>
        <v>219.96569743439244</v>
      </c>
      <c r="AO18" s="62">
        <f t="shared" si="36"/>
        <v>219.27079214454579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15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1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11.480835496918365</v>
      </c>
      <c r="AX18" s="23">
        <f t="shared" si="6"/>
        <v>11.480835496918365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18.600000000000001</v>
      </c>
      <c r="BD18" s="13">
        <f>IF('Données projet'!$A$88&gt;35,BD17+BC18-BL17,IF(A18&lt;'Données projet'!$A$88,$BA$205^A18,IF(A18='Données projet'!$A$88,'Données projet'!$B$88,BD17+BC18-BL17)))</f>
        <v>110.19999999999999</v>
      </c>
      <c r="BE18" s="14">
        <f>BD18*VLOOKUP('Données projet'!$B$11,Paramètres!$A$1:$I$89,3,0)*VLOOKUP('Données projet'!$B$11,Paramètres!$A$1:$I$89,5,0)</f>
        <v>65.899600000000007</v>
      </c>
      <c r="BF18" s="14">
        <f t="shared" si="37"/>
        <v>18.651634138580526</v>
      </c>
      <c r="BG18" s="22">
        <f t="shared" si="7"/>
        <v>147.26006612469442</v>
      </c>
      <c r="BH18" s="62">
        <f t="shared" si="8"/>
        <v>440.59339945802776</v>
      </c>
      <c r="BI18" s="62">
        <f ca="1">AVERAGE(OFFSET($BH$3,0,0,'Données projet'!$E$11+1,1))-AVERAGE(OFFSET($H$3,0,0,'Données projet'!$E$11+1,1))</f>
        <v>150.99976380209381</v>
      </c>
      <c r="BJ18" s="62">
        <f t="shared" si="38"/>
        <v>306.39227726293234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9.4790487948915754</v>
      </c>
      <c r="BS18" s="24">
        <f t="shared" si="9"/>
        <v>9.4790487948915754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11.6</v>
      </c>
      <c r="AI19" s="14">
        <f>IF('Données projet'!$A$62&gt;35,AI18+AH19-AQ18,IF(A19&lt;'Données projet'!$A$62,$AF$205^A19,IF(A19='Données projet'!$A$62,'Données projet'!$B$62,AI18+AH19-AQ18)))</f>
        <v>33.6</v>
      </c>
      <c r="AJ19" s="14">
        <f>AI19*VLOOKUP('Données projet'!$B$10,Paramètres!$A$1:$I$89,3,0)*VLOOKUP('Données projet'!$B$10,Paramètres!$A$1:$I$89,5,0)</f>
        <v>27.256320000000002</v>
      </c>
      <c r="AK19" s="14">
        <f t="shared" si="35"/>
        <v>8.5493067504276556</v>
      </c>
      <c r="AL19" s="22">
        <f t="shared" si="4"/>
        <v>62.361466590328156</v>
      </c>
      <c r="AM19" s="62">
        <f t="shared" si="5"/>
        <v>355.69479992366149</v>
      </c>
      <c r="AN19" s="62">
        <f ca="1">AVERAGE(OFFSET($AM$3,0,0,'Données projet'!$E$10+1,1))-AVERAGE(OFFSET($H$3,0,0,'Données projet'!$E$10+1,1))</f>
        <v>219.96569743439244</v>
      </c>
      <c r="AO19" s="62">
        <f t="shared" si="36"/>
        <v>219.27079214454579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8.1181766335582033</v>
      </c>
      <c r="AX19" s="23">
        <f t="shared" si="6"/>
        <v>8.1181766335582033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18.600000000000001</v>
      </c>
      <c r="BD19" s="13">
        <f>IF('Données projet'!$A$88&gt;35,BD18+BC19-BL18,IF(A19&lt;'Données projet'!$A$88,$BA$205^A19,IF(A19='Données projet'!$A$88,'Données projet'!$B$88,BD18+BC19-BL18)))</f>
        <v>128.79999999999998</v>
      </c>
      <c r="BE19" s="14">
        <f>BD19*VLOOKUP('Données projet'!$B$11,Paramètres!$A$1:$I$89,3,0)*VLOOKUP('Données projet'!$B$11,Paramètres!$A$1:$I$89,5,0)</f>
        <v>77.022400000000005</v>
      </c>
      <c r="BF19" s="14">
        <f t="shared" si="37"/>
        <v>21.407546084466961</v>
      </c>
      <c r="BG19" s="22">
        <f t="shared" si="7"/>
        <v>171.43215609711328</v>
      </c>
      <c r="BH19" s="62">
        <f t="shared" si="8"/>
        <v>464.76548943044656</v>
      </c>
      <c r="BI19" s="62">
        <f ca="1">AVERAGE(OFFSET($BH$3,0,0,'Données projet'!$E$11+1,1))-AVERAGE(OFFSET($H$3,0,0,'Données projet'!$E$11+1,1))</f>
        <v>150.99976380209381</v>
      </c>
      <c r="BJ19" s="62">
        <f t="shared" si="38"/>
        <v>306.39227726293234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6.7026996820660045</v>
      </c>
      <c r="BS19" s="24">
        <f t="shared" si="9"/>
        <v>6.7026996820660045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11.6</v>
      </c>
      <c r="AI20" s="14">
        <f>IF('Données projet'!$A$62&gt;35,AI19+AH20-AQ19,IF(A20&lt;'Données projet'!$A$62,$AF$205^A20,IF(A20='Données projet'!$A$62,'Données projet'!$B$62,AI19+AH20-AQ19)))</f>
        <v>45.2</v>
      </c>
      <c r="AJ20" s="14">
        <f>AI20*VLOOKUP('Données projet'!$B$10,Paramètres!$A$1:$I$89,3,0)*VLOOKUP('Données projet'!$B$10,Paramètres!$A$1:$I$89,5,0)</f>
        <v>36.666240000000002</v>
      </c>
      <c r="AK20" s="14">
        <f t="shared" si="35"/>
        <v>11.110608259650514</v>
      </c>
      <c r="AL20" s="22">
        <f t="shared" si="4"/>
        <v>83.211344052224646</v>
      </c>
      <c r="AM20" s="62">
        <f t="shared" si="5"/>
        <v>376.54467738555797</v>
      </c>
      <c r="AN20" s="62">
        <f ca="1">AVERAGE(OFFSET($AM$3,0,0,'Données projet'!$E$10+1,1))-AVERAGE(OFFSET($H$3,0,0,'Données projet'!$E$10+1,1))</f>
        <v>219.96569743439244</v>
      </c>
      <c r="AO20" s="62">
        <f t="shared" si="36"/>
        <v>219.27079214454579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5.7404177484591843</v>
      </c>
      <c r="AX20" s="23">
        <f t="shared" si="6"/>
        <v>5.7404177484591843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18.600000000000001</v>
      </c>
      <c r="BD20" s="13">
        <f>IF('Données projet'!$A$88&gt;35,BD19+BC20-BL19,IF(A20&lt;'Données projet'!$A$88,$BA$205^A20,IF(A20='Données projet'!$A$88,'Données projet'!$B$88,BD19+BC20-BL19)))</f>
        <v>147.39999999999998</v>
      </c>
      <c r="BE20" s="14">
        <f>BD20*VLOOKUP('Données projet'!$B$11,Paramètres!$A$1:$I$89,3,0)*VLOOKUP('Données projet'!$B$11,Paramètres!$A$1:$I$89,5,0)</f>
        <v>88.145199999999988</v>
      </c>
      <c r="BF20" s="14">
        <f t="shared" si="37"/>
        <v>24.117351189004136</v>
      </c>
      <c r="BG20" s="22">
        <f t="shared" si="7"/>
        <v>195.52394332084884</v>
      </c>
      <c r="BH20" s="62">
        <f t="shared" si="8"/>
        <v>488.85727665418216</v>
      </c>
      <c r="BI20" s="62">
        <f ca="1">AVERAGE(OFFSET($BH$3,0,0,'Données projet'!$E$11+1,1))-AVERAGE(OFFSET($H$3,0,0,'Données projet'!$E$11+1,1))</f>
        <v>150.99976380209381</v>
      </c>
      <c r="BJ20" s="62">
        <f t="shared" si="38"/>
        <v>306.39227726293234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4.7395243974457886</v>
      </c>
      <c r="BS20" s="24">
        <f t="shared" si="9"/>
        <v>4.7395243974457886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11.6</v>
      </c>
      <c r="AI21" s="14">
        <f>IF('Données projet'!$A$62&gt;35,AI20+AH21-AQ20,IF(A21&lt;'Données projet'!$A$62,$AF$205^A21,IF(A21='Données projet'!$A$62,'Données projet'!$B$62,AI20+AH21-AQ20)))</f>
        <v>56.800000000000004</v>
      </c>
      <c r="AJ21" s="14">
        <f>AI21*VLOOKUP('Données projet'!$B$10,Paramètres!$A$1:$I$89,3,0)*VLOOKUP('Données projet'!$B$10,Paramètres!$A$1:$I$89,5,0)</f>
        <v>46.076160000000009</v>
      </c>
      <c r="AK21" s="14">
        <f t="shared" si="35"/>
        <v>13.595641486972058</v>
      </c>
      <c r="AL21" s="22">
        <f t="shared" si="4"/>
        <v>103.92838758980967</v>
      </c>
      <c r="AM21" s="62">
        <f t="shared" si="5"/>
        <v>397.261720923143</v>
      </c>
      <c r="AN21" s="62">
        <f ca="1">AVERAGE(OFFSET($AM$3,0,0,'Données projet'!$E$10+1,1))-AVERAGE(OFFSET($H$3,0,0,'Données projet'!$E$10+1,1))</f>
        <v>219.96569743439244</v>
      </c>
      <c r="AO21" s="62">
        <f t="shared" si="36"/>
        <v>219.27079214454579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4.0590883167791025</v>
      </c>
      <c r="AX21" s="23">
        <f t="shared" si="6"/>
        <v>4.0590883167791025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>
        <f>VLOOKUP(A21,'Données projet'!$A$87:$I$107,2,0)</f>
        <v>166</v>
      </c>
      <c r="BB21" s="13">
        <f>VLOOKUP(A21,'Données projet'!$A$87:$I$107,9,0)</f>
        <v>18.600000000000001</v>
      </c>
      <c r="BC21" s="13">
        <f t="array" ref="BC21">INDEX(BB:BB,MIN(IF(ISNUMBER(BB21:BB217),ROW(BB21:BB217),"")))</f>
        <v>18.600000000000001</v>
      </c>
      <c r="BD21" s="13">
        <f>IF('Données projet'!$A$88&gt;35,BD20+BC21-BL20,IF(A21&lt;'Données projet'!$A$88,$BA$205^A21,IF(A21='Données projet'!$A$88,'Données projet'!$B$88,BD20+BC21-BL20)))</f>
        <v>165.99999999999997</v>
      </c>
      <c r="BE21" s="14">
        <f>BD21*VLOOKUP('Données projet'!$B$11,Paramètres!$A$1:$I$89,3,0)*VLOOKUP('Données projet'!$B$11,Paramètres!$A$1:$I$89,5,0)</f>
        <v>99.267999999999986</v>
      </c>
      <c r="BF21" s="14">
        <f t="shared" si="37"/>
        <v>26.78753414535981</v>
      </c>
      <c r="BG21" s="22">
        <f t="shared" si="7"/>
        <v>219.54672196983498</v>
      </c>
      <c r="BH21" s="62">
        <f t="shared" si="8"/>
        <v>512.88005530316832</v>
      </c>
      <c r="BI21" s="62">
        <f ca="1">AVERAGE(OFFSET($BH$3,0,0,'Données projet'!$E$11+1,1))-AVERAGE(OFFSET($H$3,0,0,'Données projet'!$E$11+1,1))</f>
        <v>150.99976380209381</v>
      </c>
      <c r="BJ21" s="62">
        <f t="shared" si="38"/>
        <v>306.39227726293234</v>
      </c>
      <c r="BK21" s="16">
        <f>IF(ISNA(VLOOKUP(A21,'Données projet'!$A$87:$I$107,3,0)),0,VLOOKUP(A21,'Données projet'!$A$87:$I$107,3,0))</f>
        <v>2</v>
      </c>
      <c r="BL21" s="16">
        <f>IF(ISNA(VLOOKUP(A21,'Données projet'!$A$87:$I$107,4,0)),0,VLOOKUP(A21,'Données projet'!$A$87:$I$107,4,0))</f>
        <v>40</v>
      </c>
      <c r="BM21" s="17">
        <f>IF(ISNA(VLOOKUP(A21,'Données projet'!$A$87:$I$107,5,0)),0%,VLOOKUP(A21,'Données projet'!$A$87:$I$107,5,0)*VLOOKUP('Données projet'!$B$11,Paramètres!$A$1:$I$89,7,0))</f>
        <v>0.1125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0.75</v>
      </c>
      <c r="BP21" s="23">
        <f>EXP(-LN(2)/35)*BP20+(1-EXP(-LN(2)/35))/(LN(2)/35)*BL21*BM21*VLOOKUP('Données projet'!$B$11,Paramètres!$A$1:$I$89,3,0)*0.475*44/12</f>
        <v>3.5697849495878025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23.663597258657802</v>
      </c>
      <c r="BS21" s="24">
        <f t="shared" si="9"/>
        <v>27.233382208245605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11.6</v>
      </c>
      <c r="AI22" s="14">
        <f>IF('Données projet'!$A$62&gt;35,AI21+AH22-AQ21,IF(A22&lt;'Données projet'!$A$62,$AF$205^A22,IF(A22='Données projet'!$A$62,'Données projet'!$B$62,AI21+AH22-AQ21)))</f>
        <v>68.400000000000006</v>
      </c>
      <c r="AJ22" s="14">
        <f>AI22*VLOOKUP('Données projet'!$B$10,Paramètres!$A$1:$I$89,3,0)*VLOOKUP('Données projet'!$B$10,Paramètres!$A$1:$I$89,5,0)</f>
        <v>55.486080000000008</v>
      </c>
      <c r="AK22" s="14">
        <f t="shared" si="35"/>
        <v>16.021865657934267</v>
      </c>
      <c r="AL22" s="22">
        <f t="shared" si="4"/>
        <v>124.54300535423552</v>
      </c>
      <c r="AM22" s="62">
        <f t="shared" si="5"/>
        <v>417.87633868756882</v>
      </c>
      <c r="AN22" s="62">
        <f ca="1">AVERAGE(OFFSET($AM$3,0,0,'Données projet'!$E$10+1,1))-AVERAGE(OFFSET($H$3,0,0,'Données projet'!$E$10+1,1))</f>
        <v>219.96569743439244</v>
      </c>
      <c r="AO22" s="62">
        <f t="shared" si="36"/>
        <v>219.27079214454579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2.8702088742295926</v>
      </c>
      <c r="AX22" s="23">
        <f t="shared" si="6"/>
        <v>2.8702088742295926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17.8</v>
      </c>
      <c r="BD22" s="13">
        <f>IF('Données projet'!$A$88&gt;35,BD21+BC22-BL21,IF(A22&lt;'Données projet'!$A$88,$BA$205^A22,IF(A22='Données projet'!$A$88,'Données projet'!$B$88,BD21+BC22-BL21)))</f>
        <v>143.79999999999998</v>
      </c>
      <c r="BE22" s="14">
        <f>BD22*VLOOKUP('Données projet'!$B$11,Paramètres!$A$1:$I$89,3,0)*VLOOKUP('Données projet'!$B$11,Paramètres!$A$1:$I$89,5,0)</f>
        <v>85.992400000000004</v>
      </c>
      <c r="BF22" s="14">
        <f t="shared" si="37"/>
        <v>23.596141005324462</v>
      </c>
      <c r="BG22" s="22">
        <f t="shared" si="7"/>
        <v>190.86670891760676</v>
      </c>
      <c r="BH22" s="62">
        <f t="shared" si="8"/>
        <v>484.2000422509401</v>
      </c>
      <c r="BI22" s="62">
        <f ca="1">AVERAGE(OFFSET($BH$3,0,0,'Données projet'!$E$11+1,1))-AVERAGE(OFFSET($H$3,0,0,'Données projet'!$E$11+1,1))</f>
        <v>150.99976380209381</v>
      </c>
      <c r="BJ22" s="62">
        <f t="shared" si="38"/>
        <v>306.39227726293234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3.499783644080209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16.732690088864331</v>
      </c>
      <c r="BS22" s="24">
        <f t="shared" si="9"/>
        <v>20.232473732944541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80</v>
      </c>
      <c r="AG23" s="13">
        <f>VLOOKUP(A23,'Données projet'!$A$61:$I$81,9,0)</f>
        <v>11.6</v>
      </c>
      <c r="AH23" s="13">
        <f t="array" ref="AH23">INDEX(AG:AG,MIN(IF(ISNUMBER(AG23:AG219),ROW(AG23:AG219),"")))</f>
        <v>11.6</v>
      </c>
      <c r="AI23" s="14">
        <f>IF('Données projet'!$A$62&gt;35,AI22+AH23-AQ22,IF(A23&lt;'Données projet'!$A$62,$AF$205^A23,IF(A23='Données projet'!$A$62,'Données projet'!$B$62,AI22+AH23-AQ22)))</f>
        <v>80</v>
      </c>
      <c r="AJ23" s="14">
        <f>AI23*VLOOKUP('Données projet'!$B$10,Paramètres!$A$1:$I$89,3,0)*VLOOKUP('Données projet'!$B$10,Paramètres!$A$1:$I$89,5,0)</f>
        <v>64.896000000000001</v>
      </c>
      <c r="AK23" s="14">
        <f t="shared" si="35"/>
        <v>18.400423846102964</v>
      </c>
      <c r="AL23" s="22">
        <f t="shared" si="4"/>
        <v>145.07460486529598</v>
      </c>
      <c r="AM23" s="62">
        <f t="shared" si="5"/>
        <v>438.40793819862927</v>
      </c>
      <c r="AN23" s="62">
        <f ca="1">AVERAGE(OFFSET($AM$3,0,0,'Données projet'!$E$10+1,1))-AVERAGE(OFFSET($H$3,0,0,'Données projet'!$E$10+1,1))</f>
        <v>219.96569743439244</v>
      </c>
      <c r="AO23" s="62">
        <f t="shared" si="36"/>
        <v>219.27079214454579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28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23.460437085970497</v>
      </c>
      <c r="AX23" s="23">
        <f t="shared" si="6"/>
        <v>23.460437085970497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17.8</v>
      </c>
      <c r="BD23" s="13">
        <f>IF('Données projet'!$A$88&gt;35,BD22+BC23-BL22,IF(A23&lt;'Données projet'!$A$88,$BA$205^A23,IF(A23='Données projet'!$A$88,'Données projet'!$B$88,BD22+BC23-BL22)))</f>
        <v>161.6</v>
      </c>
      <c r="BE23" s="14">
        <f>BD23*VLOOKUP('Données projet'!$B$11,Paramètres!$A$1:$I$89,3,0)*VLOOKUP('Données projet'!$B$11,Paramètres!$A$1:$I$89,5,0)</f>
        <v>96.636800000000008</v>
      </c>
      <c r="BF23" s="14">
        <f t="shared" si="37"/>
        <v>26.159173215164081</v>
      </c>
      <c r="BG23" s="22">
        <f t="shared" si="7"/>
        <v>213.86965334974411</v>
      </c>
      <c r="BH23" s="62">
        <f t="shared" si="8"/>
        <v>507.20298668307743</v>
      </c>
      <c r="BI23" s="62">
        <f ca="1">AVERAGE(OFFSET($BH$3,0,0,'Données projet'!$E$11+1,1))-AVERAGE(OFFSET($H$3,0,0,'Données projet'!$E$11+1,1))</f>
        <v>150.99976380209381</v>
      </c>
      <c r="BJ23" s="62">
        <f t="shared" si="38"/>
        <v>306.39227726293234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3.4311550214770392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11.831798629328903</v>
      </c>
      <c r="BS23" s="24">
        <f t="shared" si="9"/>
        <v>15.262953650805942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12.6</v>
      </c>
      <c r="AI24" s="14">
        <f>IF('Données projet'!$A$62&gt;35,AI23+AH24-AQ23,IF(A24&lt;'Données projet'!$A$62,$AF$205^A24,IF(A24='Données projet'!$A$62,'Données projet'!$B$62,AI23+AH24-AQ23)))</f>
        <v>64.599999999999994</v>
      </c>
      <c r="AJ24" s="14">
        <f>AI24*VLOOKUP('Données projet'!$B$10,Paramètres!$A$1:$I$89,3,0)*VLOOKUP('Données projet'!$B$10,Paramètres!$A$1:$I$89,5,0)</f>
        <v>52.40352</v>
      </c>
      <c r="AK24" s="14">
        <f t="shared" si="35"/>
        <v>15.232772897226488</v>
      </c>
      <c r="AL24" s="22">
        <f t="shared" si="4"/>
        <v>117.79987679600281</v>
      </c>
      <c r="AM24" s="62">
        <f t="shared" si="5"/>
        <v>411.13321012933613</v>
      </c>
      <c r="AN24" s="62">
        <f ca="1">AVERAGE(OFFSET($AM$3,0,0,'Données projet'!$E$10+1,1))-AVERAGE(OFFSET($H$3,0,0,'Données projet'!$E$10+1,1))</f>
        <v>219.96569743439244</v>
      </c>
      <c r="AO24" s="62">
        <f t="shared" si="36"/>
        <v>219.27079214454579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16.589034153090108</v>
      </c>
      <c r="AX24" s="23">
        <f t="shared" si="6"/>
        <v>16.589034153090108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17.8</v>
      </c>
      <c r="BD24" s="13">
        <f>IF('Données projet'!$A$88&gt;35,BD23+BC24-BL23,IF(A24&lt;'Données projet'!$A$88,$BA$205^A24,IF(A24='Données projet'!$A$88,'Données projet'!$B$88,BD23+BC24-BL23)))</f>
        <v>179.4</v>
      </c>
      <c r="BE24" s="14">
        <f>BD24*VLOOKUP('Données projet'!$B$11,Paramètres!$A$1:$I$89,3,0)*VLOOKUP('Données projet'!$B$11,Paramètres!$A$1:$I$89,5,0)</f>
        <v>107.2812</v>
      </c>
      <c r="BF24" s="14">
        <f t="shared" si="37"/>
        <v>28.68948404302737</v>
      </c>
      <c r="BG24" s="22">
        <f t="shared" si="7"/>
        <v>236.81560804160597</v>
      </c>
      <c r="BH24" s="62">
        <f t="shared" si="8"/>
        <v>530.14894137493934</v>
      </c>
      <c r="BI24" s="62">
        <f ca="1">AVERAGE(OFFSET($BH$3,0,0,'Données projet'!$E$11+1,1))-AVERAGE(OFFSET($H$3,0,0,'Données projet'!$E$11+1,1))</f>
        <v>150.99976380209381</v>
      </c>
      <c r="BJ24" s="62">
        <f t="shared" si="38"/>
        <v>306.39227726293234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3.3638721643037908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8.3663450444321654</v>
      </c>
      <c r="BS24" s="24">
        <f t="shared" si="9"/>
        <v>11.730217208735956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12.6</v>
      </c>
      <c r="AI25" s="14">
        <f>IF('Données projet'!$A$62&gt;35,AI24+AH25-AQ24,IF(A25&lt;'Données projet'!$A$62,$AF$205^A25,IF(A25='Données projet'!$A$62,'Données projet'!$B$62,AI24+AH25-AQ24)))</f>
        <v>77.199999999999989</v>
      </c>
      <c r="AJ25" s="14">
        <f>AI25*VLOOKUP('Données projet'!$B$10,Paramètres!$A$1:$I$89,3,0)*VLOOKUP('Données projet'!$B$10,Paramètres!$A$1:$I$89,5,0)</f>
        <v>62.624639999999999</v>
      </c>
      <c r="AK25" s="14">
        <f t="shared" si="35"/>
        <v>17.830197796836153</v>
      </c>
      <c r="AL25" s="22">
        <f t="shared" si="4"/>
        <v>140.12550916282296</v>
      </c>
      <c r="AM25" s="62">
        <f t="shared" si="5"/>
        <v>433.45884249615631</v>
      </c>
      <c r="AN25" s="62">
        <f ca="1">AVERAGE(OFFSET($AM$3,0,0,'Données projet'!$E$10+1,1))-AVERAGE(OFFSET($H$3,0,0,'Données projet'!$E$10+1,1))</f>
        <v>219.96569743439244</v>
      </c>
      <c r="AO25" s="62">
        <f t="shared" si="36"/>
        <v>219.27079214454579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11.73021854298525</v>
      </c>
      <c r="AX25" s="23">
        <f t="shared" si="6"/>
        <v>11.73021854298525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17.8</v>
      </c>
      <c r="BD25" s="13">
        <f>IF('Données projet'!$A$88&gt;35,BD24+BC25-BL24,IF(A25&lt;'Données projet'!$A$88,$BA$205^A25,IF(A25='Données projet'!$A$88,'Données projet'!$B$88,BD24+BC25-BL24)))</f>
        <v>197.20000000000002</v>
      </c>
      <c r="BE25" s="14">
        <f>BD25*VLOOKUP('Données projet'!$B$11,Paramètres!$A$1:$I$89,3,0)*VLOOKUP('Données projet'!$B$11,Paramètres!$A$1:$I$89,5,0)</f>
        <v>117.92560000000003</v>
      </c>
      <c r="BF25" s="14">
        <f t="shared" si="37"/>
        <v>31.190689636070587</v>
      </c>
      <c r="BG25" s="22">
        <f t="shared" si="7"/>
        <v>259.71087111615634</v>
      </c>
      <c r="BH25" s="62">
        <f t="shared" si="8"/>
        <v>553.0442044494896</v>
      </c>
      <c r="BI25" s="62">
        <f ca="1">AVERAGE(OFFSET($BH$3,0,0,'Données projet'!$E$11+1,1))-AVERAGE(OFFSET($H$3,0,0,'Données projet'!$E$11+1,1))</f>
        <v>150.99976380209381</v>
      </c>
      <c r="BJ25" s="62">
        <f t="shared" si="38"/>
        <v>306.39227726293234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3.2979086829212192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5.9158993146644514</v>
      </c>
      <c r="BS25" s="24">
        <f t="shared" si="9"/>
        <v>9.2138079975856702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12.6</v>
      </c>
      <c r="AI26" s="14">
        <f>IF('Données projet'!$A$62&gt;35,AI25+AH26-AQ25,IF(A26&lt;'Données projet'!$A$62,$AF$205^A26,IF(A26='Données projet'!$A$62,'Données projet'!$B$62,AI25+AH26-AQ25)))</f>
        <v>89.799999999999983</v>
      </c>
      <c r="AJ26" s="14">
        <f>AI26*VLOOKUP('Données projet'!$B$10,Paramètres!$A$1:$I$89,3,0)*VLOOKUP('Données projet'!$B$10,Paramètres!$A$1:$I$89,5,0)</f>
        <v>72.845759999999984</v>
      </c>
      <c r="AK26" s="14">
        <f t="shared" si="35"/>
        <v>20.378512751497539</v>
      </c>
      <c r="AL26" s="22">
        <f t="shared" si="4"/>
        <v>162.36560837552486</v>
      </c>
      <c r="AM26" s="62">
        <f t="shared" si="5"/>
        <v>455.69894170885817</v>
      </c>
      <c r="AN26" s="62">
        <f ca="1">AVERAGE(OFFSET($AM$3,0,0,'Données projet'!$E$10+1,1))-AVERAGE(OFFSET($H$3,0,0,'Données projet'!$E$10+1,1))</f>
        <v>219.96569743439244</v>
      </c>
      <c r="AO26" s="62">
        <f t="shared" si="36"/>
        <v>219.27079214454579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8.2945170765450538</v>
      </c>
      <c r="AX26" s="23">
        <f t="shared" si="6"/>
        <v>8.2945170765450538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>
        <f>VLOOKUP(A26,'Données projet'!$A$87:$I$107,2,0)</f>
        <v>215</v>
      </c>
      <c r="BB26" s="13">
        <f>VLOOKUP(A26,'Données projet'!$A$87:$I$107,9,0)</f>
        <v>17.8</v>
      </c>
      <c r="BC26" s="13">
        <f t="array" ref="BC26">INDEX(BB:BB,MIN(IF(ISNUMBER(BB26:BB222),ROW(BB26:BB222),"")))</f>
        <v>17.8</v>
      </c>
      <c r="BD26" s="13">
        <f>IF('Données projet'!$A$88&gt;35,BD25+BC26-BL25,IF(A26&lt;'Données projet'!$A$88,$BA$205^A26,IF(A26='Données projet'!$A$88,'Données projet'!$B$88,BD25+BC26-BL25)))</f>
        <v>215.00000000000003</v>
      </c>
      <c r="BE26" s="14">
        <f>BD26*VLOOKUP('Données projet'!$B$11,Paramètres!$A$1:$I$89,3,0)*VLOOKUP('Données projet'!$B$11,Paramètres!$A$1:$I$89,5,0)</f>
        <v>128.57000000000002</v>
      </c>
      <c r="BF26" s="14">
        <f t="shared" si="37"/>
        <v>33.665715905233277</v>
      </c>
      <c r="BG26" s="22">
        <f t="shared" si="7"/>
        <v>282.56053853494797</v>
      </c>
      <c r="BH26" s="62">
        <f t="shared" si="8"/>
        <v>575.89387186828128</v>
      </c>
      <c r="BI26" s="62">
        <f ca="1">AVERAGE(OFFSET($BH$3,0,0,'Données projet'!$E$11+1,1))-AVERAGE(OFFSET($H$3,0,0,'Données projet'!$E$11+1,1))</f>
        <v>150.99976380209381</v>
      </c>
      <c r="BJ26" s="62">
        <f t="shared" si="38"/>
        <v>306.39227726293234</v>
      </c>
      <c r="BK26" s="16">
        <f>IF(ISNA(VLOOKUP(A26,'Données projet'!$A$87:$I$107,3,0)),0,VLOOKUP(A26,'Données projet'!$A$87:$I$107,3,0))</f>
        <v>3</v>
      </c>
      <c r="BL26" s="16">
        <f>IF(ISNA(VLOOKUP(A26,'Données projet'!$A$87:$I$107,4,0)),0,VLOOKUP(A26,'Données projet'!$A$87:$I$107,4,0))</f>
        <v>52</v>
      </c>
      <c r="BM26" s="17">
        <f>IF(ISNA(VLOOKUP(A26,'Données projet'!$A$87:$I$107,5,0)),0%,VLOOKUP(A26,'Données projet'!$A$87:$I$107,5,0)*VLOOKUP('Données projet'!$B$11,Paramètres!$A$1:$I$89,7,0))</f>
        <v>0.22500000000000001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0.5</v>
      </c>
      <c r="BP26" s="23">
        <f>EXP(-LN(2)/35)*BP25+(1-EXP(-LN(2)/35))/(LN(2)/35)*BL26*BM26*VLOOKUP('Données projet'!$B$11,Paramètres!$A$1:$I$89,3,0)*0.475*44/12</f>
        <v>12.514679574103097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21.787120284157577</v>
      </c>
      <c r="BS26" s="24">
        <f t="shared" si="9"/>
        <v>34.301799858260672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12.6</v>
      </c>
      <c r="AI27" s="14">
        <f>IF('Données projet'!$A$62&gt;35,AI26+AH27-AQ26,IF(A27&lt;'Données projet'!$A$62,$AF$205^A27,IF(A27='Données projet'!$A$62,'Données projet'!$B$62,AI26+AH27-AQ26)))</f>
        <v>102.39999999999998</v>
      </c>
      <c r="AJ27" s="14">
        <f>AI27*VLOOKUP('Données projet'!$B$10,Paramètres!$A$1:$I$89,3,0)*VLOOKUP('Données projet'!$B$10,Paramètres!$A$1:$I$89,5,0)</f>
        <v>83.066879999999983</v>
      </c>
      <c r="AK27" s="14">
        <f t="shared" si="35"/>
        <v>22.88540255569357</v>
      </c>
      <c r="AL27" s="22">
        <f t="shared" si="4"/>
        <v>184.5335587844996</v>
      </c>
      <c r="AM27" s="62">
        <f t="shared" si="5"/>
        <v>477.86689211783289</v>
      </c>
      <c r="AN27" s="62">
        <f ca="1">AVERAGE(OFFSET($AM$3,0,0,'Données projet'!$E$10+1,1))-AVERAGE(OFFSET($H$3,0,0,'Données projet'!$E$10+1,1))</f>
        <v>219.96569743439244</v>
      </c>
      <c r="AO27" s="62">
        <f t="shared" si="36"/>
        <v>219.27079214454579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5.8651092714926252</v>
      </c>
      <c r="AX27" s="23">
        <f t="shared" si="6"/>
        <v>5.8651092714926252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14.727272727272727</v>
      </c>
      <c r="BD27" s="13">
        <f>IF('Données projet'!$A$88&gt;35,BD26+BC27-BL26,IF(A27&lt;'Données projet'!$A$88,$BA$205^A27,IF(A27='Données projet'!$A$88,'Données projet'!$B$88,BD26+BC27-BL26)))</f>
        <v>177.72727272727275</v>
      </c>
      <c r="BE27" s="14">
        <f>BD27*VLOOKUP('Données projet'!$B$11,Paramètres!$A$1:$I$89,3,0)*VLOOKUP('Données projet'!$B$11,Paramètres!$A$1:$I$89,5,0)</f>
        <v>106.28090909090911</v>
      </c>
      <c r="BF27" s="14">
        <f t="shared" si="37"/>
        <v>28.45299143279248</v>
      </c>
      <c r="BG27" s="22">
        <f t="shared" si="7"/>
        <v>234.66154341211356</v>
      </c>
      <c r="BH27" s="62">
        <f t="shared" si="8"/>
        <v>527.99487674544685</v>
      </c>
      <c r="BI27" s="62">
        <f ca="1">AVERAGE(OFFSET($BH$3,0,0,'Données projet'!$E$11+1,1))-AVERAGE(OFFSET($H$3,0,0,'Données projet'!$E$11+1,1))</f>
        <v>150.99976380209381</v>
      </c>
      <c r="BJ27" s="62">
        <f t="shared" si="38"/>
        <v>306.39227726293234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12.269274340855759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15.405820495454805</v>
      </c>
      <c r="BS27" s="24">
        <f t="shared" si="9"/>
        <v>27.675094836310564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115</v>
      </c>
      <c r="AG28" s="13">
        <f>VLOOKUP(A28,'Données projet'!$A$61:$I$81,9,0)</f>
        <v>12.6</v>
      </c>
      <c r="AH28" s="13">
        <f t="array" ref="AH28">INDEX(AG:AG,MIN(IF(ISNUMBER(AG28:AG224),ROW(AG28:AG224),"")))</f>
        <v>12.6</v>
      </c>
      <c r="AI28" s="14">
        <f>IF('Données projet'!$A$62&gt;35,AI27+AH28-AQ27,IF(A28&lt;'Données projet'!$A$62,$AF$205^A28,IF(A28='Données projet'!$A$62,'Données projet'!$B$62,AI27+AH28-AQ27)))</f>
        <v>114.99999999999997</v>
      </c>
      <c r="AJ28" s="14">
        <f>AI28*VLOOKUP('Données projet'!$B$10,Paramètres!$A$1:$I$89,3,0)*VLOOKUP('Données projet'!$B$10,Paramètres!$A$1:$I$89,5,0)</f>
        <v>93.287999999999982</v>
      </c>
      <c r="AK28" s="14">
        <f t="shared" si="35"/>
        <v>25.356547829040977</v>
      </c>
      <c r="AL28" s="22">
        <f t="shared" si="4"/>
        <v>206.63925413557965</v>
      </c>
      <c r="AM28" s="62">
        <f t="shared" si="5"/>
        <v>499.97258746891293</v>
      </c>
      <c r="AN28" s="62">
        <f ca="1">AVERAGE(OFFSET($AM$3,0,0,'Données projet'!$E$10+1,1))-AVERAGE(OFFSET($H$3,0,0,'Données projet'!$E$10+1,1))</f>
        <v>219.96569743439244</v>
      </c>
      <c r="AO28" s="62">
        <f t="shared" si="36"/>
        <v>219.27079214454579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0.43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10.75444941532772</v>
      </c>
      <c r="AW28" s="23">
        <f>EXP(-LN(2)/2)*AW27+(1-EXP(-LN(2)/2))/(LN(2)/2)*AQ28*AT28*VLOOKUP('Données projet'!$B$10,Paramètres!$A$1:$I$89,3,0)*0.475*44/12</f>
        <v>4.1472585382725269</v>
      </c>
      <c r="AX28" s="23">
        <f t="shared" si="6"/>
        <v>14.901707953600248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14.727272727272727</v>
      </c>
      <c r="BD28" s="13">
        <f>IF('Données projet'!$A$88&gt;35,BD27+BC28-BL27,IF(A28&lt;'Données projet'!$A$88,$BA$205^A28,IF(A28='Données projet'!$A$88,'Données projet'!$B$88,BD27+BC28-BL27)))</f>
        <v>192.45454545454547</v>
      </c>
      <c r="BE28" s="14">
        <f>BD28*VLOOKUP('Données projet'!$B$11,Paramètres!$A$1:$I$89,3,0)*VLOOKUP('Données projet'!$B$11,Paramètres!$A$1:$I$89,5,0)</f>
        <v>115.08781818181821</v>
      </c>
      <c r="BF28" s="14">
        <f t="shared" si="37"/>
        <v>30.526541558002926</v>
      </c>
      <c r="BG28" s="22">
        <f t="shared" si="7"/>
        <v>253.61167654685516</v>
      </c>
      <c r="BH28" s="62">
        <f t="shared" si="8"/>
        <v>546.94500988018854</v>
      </c>
      <c r="BI28" s="62">
        <f ca="1">AVERAGE(OFFSET($BH$3,0,0,'Données projet'!$E$11+1,1))-AVERAGE(OFFSET($H$3,0,0,'Données projet'!$E$11+1,1))</f>
        <v>150.99976380209381</v>
      </c>
      <c r="BJ28" s="62">
        <f t="shared" si="38"/>
        <v>306.39227726293234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12.02868135454999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10.89356014207879</v>
      </c>
      <c r="BS28" s="24">
        <f t="shared" si="9"/>
        <v>22.922241496628779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11.8</v>
      </c>
      <c r="AI29" s="14">
        <f>IF('Données projet'!$A$62&gt;35,AI28+AH29-AQ28,IF(A29&lt;'Données projet'!$A$62,$AF$205^A29,IF(A29='Données projet'!$A$62,'Données projet'!$B$62,AI28+AH29-AQ28)))</f>
        <v>98.799999999999969</v>
      </c>
      <c r="AJ29" s="14">
        <f>AI29*VLOOKUP('Données projet'!$B$10,Paramètres!$A$1:$I$89,3,0)*VLOOKUP('Données projet'!$B$10,Paramètres!$A$1:$I$89,5,0)</f>
        <v>80.14655999999998</v>
      </c>
      <c r="AK29" s="14">
        <f t="shared" si="35"/>
        <v>22.17301499240547</v>
      </c>
      <c r="AL29" s="22">
        <f t="shared" si="4"/>
        <v>178.2065931117728</v>
      </c>
      <c r="AM29" s="62">
        <f t="shared" si="5"/>
        <v>471.53992644510612</v>
      </c>
      <c r="AN29" s="62">
        <f ca="1">AVERAGE(OFFSET($AM$3,0,0,'Données projet'!$E$10+1,1))-AVERAGE(OFFSET($H$3,0,0,'Données projet'!$E$10+1,1))</f>
        <v>219.96569743439244</v>
      </c>
      <c r="AO29" s="62">
        <f t="shared" si="36"/>
        <v>219.27079214454579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10.460368430513668</v>
      </c>
      <c r="AW29" s="23">
        <f>EXP(-LN(2)/2)*AW28+(1-EXP(-LN(2)/2))/(LN(2)/2)*AQ29*AT29*VLOOKUP('Données projet'!$B$10,Paramètres!$A$1:$I$89,3,0)*0.475*44/12</f>
        <v>2.9325546357463126</v>
      </c>
      <c r="AX29" s="23">
        <f t="shared" si="6"/>
        <v>13.39292306625998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14.727272727272727</v>
      </c>
      <c r="BD29" s="13">
        <f>IF('Données projet'!$A$88&gt;35,BD28+BC29-BL28,IF(A29&lt;'Données projet'!$A$88,$BA$205^A29,IF(A29='Données projet'!$A$88,'Données projet'!$B$88,BD28+BC29-BL28)))</f>
        <v>207.18181818181819</v>
      </c>
      <c r="BE29" s="14">
        <f>BD29*VLOOKUP('Données projet'!$B$11,Paramètres!$A$1:$I$89,3,0)*VLOOKUP('Données projet'!$B$11,Paramètres!$A$1:$I$89,5,0)</f>
        <v>123.89472727272728</v>
      </c>
      <c r="BF29" s="14">
        <f t="shared" si="37"/>
        <v>32.581684967306394</v>
      </c>
      <c r="BG29" s="22">
        <f t="shared" si="7"/>
        <v>272.52975131805863</v>
      </c>
      <c r="BH29" s="62">
        <f t="shared" si="8"/>
        <v>565.863084651392</v>
      </c>
      <c r="BI29" s="62">
        <f ca="1">AVERAGE(OFFSET($BH$3,0,0,'Données projet'!$E$11+1,1))-AVERAGE(OFFSET($H$3,0,0,'Données projet'!$E$11+1,1))</f>
        <v>150.99976380209381</v>
      </c>
      <c r="BJ29" s="62">
        <f t="shared" si="38"/>
        <v>306.39227726293234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11.792806249958446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7.7029102477274032</v>
      </c>
      <c r="BS29" s="24">
        <f t="shared" si="9"/>
        <v>19.495716497685848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11.8</v>
      </c>
      <c r="AI30" s="14">
        <f>IF('Données projet'!$A$62&gt;35,AI29+AH30-AQ29,IF(A30&lt;'Données projet'!$A$62,$AF$205^A30,IF(A30='Données projet'!$A$62,'Données projet'!$B$62,AI29+AH30-AQ29)))</f>
        <v>110.59999999999997</v>
      </c>
      <c r="AJ30" s="14">
        <f>AI30*VLOOKUP('Données projet'!$B$10,Paramètres!$A$1:$I$89,3,0)*VLOOKUP('Données projet'!$B$10,Paramètres!$A$1:$I$89,5,0)</f>
        <v>89.718719999999976</v>
      </c>
      <c r="AK30" s="14">
        <f t="shared" si="35"/>
        <v>24.49737467739692</v>
      </c>
      <c r="AL30" s="22">
        <f t="shared" si="4"/>
        <v>198.92636489646625</v>
      </c>
      <c r="AM30" s="62">
        <f t="shared" si="5"/>
        <v>492.2596982297996</v>
      </c>
      <c r="AN30" s="62">
        <f ca="1">AVERAGE(OFFSET($AM$3,0,0,'Données projet'!$E$10+1,1))-AVERAGE(OFFSET($H$3,0,0,'Données projet'!$E$10+1,1))</f>
        <v>219.96569743439244</v>
      </c>
      <c r="AO30" s="62">
        <f t="shared" si="36"/>
        <v>219.27079214454579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10.174329105694405</v>
      </c>
      <c r="AW30" s="23">
        <f>EXP(-LN(2)/2)*AW29+(1-EXP(-LN(2)/2))/(LN(2)/2)*AQ30*AT30*VLOOKUP('Données projet'!$B$10,Paramètres!$A$1:$I$89,3,0)*0.475*44/12</f>
        <v>2.0736292691362634</v>
      </c>
      <c r="AX30" s="23">
        <f t="shared" si="6"/>
        <v>12.247958374830668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14.727272727272727</v>
      </c>
      <c r="BD30" s="13">
        <f>IF('Données projet'!$A$88&gt;35,BD29+BC30-BL29,IF(A30&lt;'Données projet'!$A$88,$BA$205^A30,IF(A30='Données projet'!$A$88,'Données projet'!$B$88,BD29+BC30-BL29)))</f>
        <v>221.90909090909091</v>
      </c>
      <c r="BE30" s="14">
        <f>BD30*VLOOKUP('Données projet'!$B$11,Paramètres!$A$1:$I$89,3,0)*VLOOKUP('Données projet'!$B$11,Paramètres!$A$1:$I$89,5,0)</f>
        <v>132.70163636363637</v>
      </c>
      <c r="BF30" s="14">
        <f t="shared" si="37"/>
        <v>34.619878895597843</v>
      </c>
      <c r="BG30" s="22">
        <f t="shared" si="7"/>
        <v>291.41830574316629</v>
      </c>
      <c r="BH30" s="62">
        <f t="shared" si="8"/>
        <v>584.7516390764996</v>
      </c>
      <c r="BI30" s="62">
        <f ca="1">AVERAGE(OFFSET($BH$3,0,0,'Données projet'!$E$11+1,1))-AVERAGE(OFFSET($H$3,0,0,'Données projet'!$E$11+1,1))</f>
        <v>150.99976380209381</v>
      </c>
      <c r="BJ30" s="62">
        <f t="shared" si="38"/>
        <v>306.39227726293234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11.561556512298333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5.4467800710393961</v>
      </c>
      <c r="BS30" s="24">
        <f t="shared" si="9"/>
        <v>17.00833658333773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11.8</v>
      </c>
      <c r="AI31" s="14">
        <f>IF('Données projet'!$A$62&gt;35,AI30+AH31-AQ30,IF(A31&lt;'Données projet'!$A$62,$AF$205^A31,IF(A31='Données projet'!$A$62,'Données projet'!$B$62,AI30+AH31-AQ30)))</f>
        <v>122.39999999999996</v>
      </c>
      <c r="AJ31" s="14">
        <f>AI31*VLOOKUP('Données projet'!$B$10,Paramètres!$A$1:$I$89,3,0)*VLOOKUP('Données projet'!$B$10,Paramètres!$A$1:$I$89,5,0)</f>
        <v>99.290879999999973</v>
      </c>
      <c r="AK31" s="14">
        <f t="shared" si="35"/>
        <v>26.792989580133234</v>
      </c>
      <c r="AL31" s="22">
        <f t="shared" si="4"/>
        <v>219.5960728520653</v>
      </c>
      <c r="AM31" s="62">
        <f t="shared" si="5"/>
        <v>512.92940618539865</v>
      </c>
      <c r="AN31" s="62">
        <f ca="1">AVERAGE(OFFSET($AM$3,0,0,'Données projet'!$E$10+1,1))-AVERAGE(OFFSET($H$3,0,0,'Données projet'!$E$10+1,1))</f>
        <v>219.96569743439244</v>
      </c>
      <c r="AO31" s="62">
        <f t="shared" si="36"/>
        <v>219.27079214454579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9.8961115412544771</v>
      </c>
      <c r="AW31" s="23">
        <f>EXP(-LN(2)/2)*AW30+(1-EXP(-LN(2)/2))/(LN(2)/2)*AQ31*AT31*VLOOKUP('Données projet'!$B$10,Paramètres!$A$1:$I$89,3,0)*0.475*44/12</f>
        <v>1.4662773178731563</v>
      </c>
      <c r="AX31" s="23">
        <f t="shared" si="6"/>
        <v>11.362388859127634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14.727272727272727</v>
      </c>
      <c r="BD31" s="13">
        <f>IF('Données projet'!$A$88&gt;35,BD30+BC31-BL30,IF(A31&lt;'Données projet'!$A$88,$BA$205^A31,IF(A31='Données projet'!$A$88,'Données projet'!$B$88,BD30+BC31-BL30)))</f>
        <v>236.63636363636363</v>
      </c>
      <c r="BE31" s="14">
        <f>BD31*VLOOKUP('Données projet'!$B$11,Paramètres!$A$1:$I$89,3,0)*VLOOKUP('Données projet'!$B$11,Paramètres!$A$1:$I$89,5,0)</f>
        <v>141.50854545454547</v>
      </c>
      <c r="BF31" s="14">
        <f t="shared" si="37"/>
        <v>36.642376213467628</v>
      </c>
      <c r="BG31" s="22">
        <f t="shared" si="7"/>
        <v>310.27952190512281</v>
      </c>
      <c r="BH31" s="62">
        <f t="shared" si="8"/>
        <v>603.61285523845618</v>
      </c>
      <c r="BI31" s="62">
        <f ca="1">AVERAGE(OFFSET($BH$3,0,0,'Données projet'!$E$11+1,1))-AVERAGE(OFFSET($H$3,0,0,'Données projet'!$E$11+1,1))</f>
        <v>150.99976380209381</v>
      </c>
      <c r="BJ31" s="62">
        <f t="shared" si="38"/>
        <v>306.39227726293234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11.334841440945322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3.8514551238637025</v>
      </c>
      <c r="BS31" s="24">
        <f t="shared" si="9"/>
        <v>15.186296564809025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11.8</v>
      </c>
      <c r="AI32" s="14">
        <f>IF('Données projet'!$A$62&gt;35,AI31+AH32-AQ31,IF(A32&lt;'Données projet'!$A$62,$AF$205^A32,IF(A32='Données projet'!$A$62,'Données projet'!$B$62,AI31+AH32-AQ31)))</f>
        <v>134.19999999999996</v>
      </c>
      <c r="AJ32" s="14">
        <f>AI32*VLOOKUP('Données projet'!$B$10,Paramètres!$A$1:$I$89,3,0)*VLOOKUP('Données projet'!$B$10,Paramètres!$A$1:$I$89,5,0)</f>
        <v>108.86303999999997</v>
      </c>
      <c r="AK32" s="14">
        <f t="shared" si="35"/>
        <v>29.062946162784755</v>
      </c>
      <c r="AL32" s="22">
        <f t="shared" si="4"/>
        <v>240.22109256685007</v>
      </c>
      <c r="AM32" s="62">
        <f t="shared" si="5"/>
        <v>533.55442590018333</v>
      </c>
      <c r="AN32" s="62">
        <f ca="1">AVERAGE(OFFSET($AM$3,0,0,'Données projet'!$E$10+1,1))-AVERAGE(OFFSET($H$3,0,0,'Données projet'!$E$10+1,1))</f>
        <v>219.96569743439244</v>
      </c>
      <c r="AO32" s="62">
        <f t="shared" si="36"/>
        <v>219.27079214454579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9.6255018507449854</v>
      </c>
      <c r="AW32" s="23">
        <f>EXP(-LN(2)/2)*AW31+(1-EXP(-LN(2)/2))/(LN(2)/2)*AQ32*AT32*VLOOKUP('Données projet'!$B$10,Paramètres!$A$1:$I$89,3,0)*0.475*44/12</f>
        <v>1.0368146345681317</v>
      </c>
      <c r="AX32" s="23">
        <f t="shared" si="6"/>
        <v>10.662316485313116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14.727272727272727</v>
      </c>
      <c r="BD32" s="13">
        <f>IF('Données projet'!$A$88&gt;35,BD31+BC32-BL31,IF(A32&lt;'Données projet'!$A$88,$BA$205^A32,IF(A32='Données projet'!$A$88,'Données projet'!$B$88,BD31+BC32-BL31)))</f>
        <v>251.36363636363635</v>
      </c>
      <c r="BE32" s="14">
        <f>BD32*VLOOKUP('Données projet'!$B$11,Paramètres!$A$1:$I$89,3,0)*VLOOKUP('Données projet'!$B$11,Paramètres!$A$1:$I$89,5,0)</f>
        <v>150.31545454545454</v>
      </c>
      <c r="BF32" s="14">
        <f t="shared" si="37"/>
        <v>38.650265030760963</v>
      </c>
      <c r="BG32" s="22">
        <f t="shared" si="7"/>
        <v>329.11529492857534</v>
      </c>
      <c r="BH32" s="62">
        <f t="shared" si="8"/>
        <v>622.44862826190865</v>
      </c>
      <c r="BI32" s="62">
        <f ca="1">AVERAGE(OFFSET($BH$3,0,0,'Données projet'!$E$11+1,1))-AVERAGE(OFFSET($H$3,0,0,'Données projet'!$E$11+1,1))</f>
        <v>150.99976380209381</v>
      </c>
      <c r="BJ32" s="62">
        <f t="shared" si="38"/>
        <v>306.39227726293234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11.112572113859004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2.7233900355196985</v>
      </c>
      <c r="BS32" s="24">
        <f t="shared" si="9"/>
        <v>13.835962149378702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146</v>
      </c>
      <c r="AG33" s="13">
        <f>VLOOKUP(A33,'Données projet'!$A$61:$I$81,9,0)</f>
        <v>11.8</v>
      </c>
      <c r="AH33" s="13">
        <f t="array" ref="AH33">INDEX(AG:AG,MIN(IF(ISNUMBER(AG33:AG229),ROW(AG33:AG229),"")))</f>
        <v>11.8</v>
      </c>
      <c r="AI33" s="14">
        <f>IF('Données projet'!$A$62&gt;35,AI32+AH33-AQ32,IF(A33&lt;'Données projet'!$A$62,$AF$205^A33,IF(A33='Données projet'!$A$62,'Données projet'!$B$62,AI32+AH33-AQ32)))</f>
        <v>145.99999999999997</v>
      </c>
      <c r="AJ33" s="14">
        <f>AI33*VLOOKUP('Données projet'!$B$10,Paramètres!$A$1:$I$89,3,0)*VLOOKUP('Données projet'!$B$10,Paramètres!$A$1:$I$89,5,0)</f>
        <v>118.43519999999998</v>
      </c>
      <c r="AK33" s="14">
        <f t="shared" si="35"/>
        <v>31.309757056296963</v>
      </c>
      <c r="AL33" s="22">
        <f t="shared" si="4"/>
        <v>260.80580020638388</v>
      </c>
      <c r="AM33" s="62">
        <f t="shared" si="5"/>
        <v>554.13913353971725</v>
      </c>
      <c r="AN33" s="62">
        <f ca="1">AVERAGE(OFFSET($AM$3,0,0,'Données projet'!$E$10+1,1))-AVERAGE(OFFSET($H$3,0,0,'Données projet'!$E$10+1,1))</f>
        <v>219.96569743439244</v>
      </c>
      <c r="AO33" s="62">
        <f t="shared" si="36"/>
        <v>219.27079214454579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0.43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20.116741411780943</v>
      </c>
      <c r="AW33" s="23">
        <f>EXP(-LN(2)/2)*AW32+(1-EXP(-LN(2)/2))/(LN(2)/2)*AQ33*AT33*VLOOKUP('Données projet'!$B$10,Paramètres!$A$1:$I$89,3,0)*0.475*44/12</f>
        <v>0.73313865893657815</v>
      </c>
      <c r="AX33" s="23">
        <f t="shared" si="6"/>
        <v>20.849880070717521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14.727272727272727</v>
      </c>
      <c r="BD33" s="13">
        <f>IF('Données projet'!$A$88&gt;35,BD32+BC33-BL32,IF(A33&lt;'Données projet'!$A$88,$BA$205^A33,IF(A33='Données projet'!$A$88,'Données projet'!$B$88,BD32+BC33-BL32)))</f>
        <v>266.09090909090907</v>
      </c>
      <c r="BE33" s="14">
        <f>BD33*VLOOKUP('Données projet'!$B$11,Paramètres!$A$1:$I$89,3,0)*VLOOKUP('Données projet'!$B$11,Paramètres!$A$1:$I$89,5,0)</f>
        <v>159.12236363636362</v>
      </c>
      <c r="BF33" s="14">
        <f t="shared" si="37"/>
        <v>40.644498751064432</v>
      </c>
      <c r="BG33" s="22">
        <f t="shared" si="7"/>
        <v>347.92728532477048</v>
      </c>
      <c r="BH33" s="62">
        <f t="shared" si="8"/>
        <v>641.26061865810379</v>
      </c>
      <c r="BI33" s="62">
        <f ca="1">AVERAGE(OFFSET($BH$3,0,0,'Données projet'!$E$11+1,1))-AVERAGE(OFFSET($H$3,0,0,'Données projet'!$E$11+1,1))</f>
        <v>150.99976380209381</v>
      </c>
      <c r="BJ33" s="62">
        <f t="shared" si="38"/>
        <v>306.39227726293234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10.894661352705947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1.9257275619318515</v>
      </c>
      <c r="BS33" s="24">
        <f t="shared" si="9"/>
        <v>12.8203889146378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128.79999999999998</v>
      </c>
      <c r="AJ34" s="14">
        <f>AI34*VLOOKUP('Données projet'!$B$10,Paramètres!$A$1:$I$89,3,0)*VLOOKUP('Données projet'!$B$10,Paramètres!$A$1:$I$89,5,0)</f>
        <v>104.48256000000001</v>
      </c>
      <c r="AK34" s="14">
        <f t="shared" si="35"/>
        <v>28.02716504477474</v>
      </c>
      <c r="AL34" s="22">
        <f t="shared" si="4"/>
        <v>230.78777111964931</v>
      </c>
      <c r="AM34" s="62">
        <f t="shared" si="5"/>
        <v>524.12110445298265</v>
      </c>
      <c r="AN34" s="62">
        <f ca="1">AVERAGE(OFFSET($AM$3,0,0,'Données projet'!$E$10+1,1))-AVERAGE(OFFSET($H$3,0,0,'Données projet'!$E$10+1,1))</f>
        <v>219.96569743439244</v>
      </c>
      <c r="AO34" s="62">
        <f t="shared" si="36"/>
        <v>219.27079214454579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19.566648059982338</v>
      </c>
      <c r="AW34" s="23">
        <f>EXP(-LN(2)/2)*AW33+(1-EXP(-LN(2)/2))/(LN(2)/2)*AQ34*AT34*VLOOKUP('Données projet'!$B$10,Paramètres!$A$1:$I$89,3,0)*0.475*44/12</f>
        <v>0.51840731728406586</v>
      </c>
      <c r="AX34" s="23">
        <f t="shared" si="6"/>
        <v>20.085055377266404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14.727272727272727</v>
      </c>
      <c r="BD34" s="13">
        <f>IF('Données projet'!$A$88&gt;35,BD33+BC34-BL33,IF(A34&lt;'Données projet'!$A$88,$BA$205^A34,IF(A34='Données projet'!$A$88,'Données projet'!$B$88,BD33+BC34-BL33)))</f>
        <v>280.81818181818181</v>
      </c>
      <c r="BE34" s="14">
        <f>BD34*VLOOKUP('Données projet'!$B$11,Paramètres!$A$1:$I$89,3,0)*VLOOKUP('Données projet'!$B$11,Paramètres!$A$1:$I$89,5,0)</f>
        <v>167.92927272727275</v>
      </c>
      <c r="BF34" s="14">
        <f t="shared" si="37"/>
        <v>42.625919281834626</v>
      </c>
      <c r="BG34" s="22">
        <f t="shared" si="7"/>
        <v>366.71695941586199</v>
      </c>
      <c r="BH34" s="62">
        <f t="shared" si="8"/>
        <v>660.05029274919525</v>
      </c>
      <c r="BI34" s="62">
        <f ca="1">AVERAGE(OFFSET($BH$3,0,0,'Données projet'!$E$11+1,1))-AVERAGE(OFFSET($H$3,0,0,'Données projet'!$E$11+1,1))</f>
        <v>150.99976380209381</v>
      </c>
      <c r="BJ34" s="62">
        <f t="shared" si="38"/>
        <v>306.39227726293234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10.681023688666661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1.3616950177598495</v>
      </c>
      <c r="BS34" s="24">
        <f t="shared" si="9"/>
        <v>12.042718706426511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139.6</v>
      </c>
      <c r="AJ35" s="14">
        <f>AI35*VLOOKUP('Données projet'!$B$10,Paramètres!$A$1:$I$89,3,0)*VLOOKUP('Données projet'!$B$10,Paramètres!$A$1:$I$89,5,0)</f>
        <v>113.24352</v>
      </c>
      <c r="AK35" s="14">
        <f t="shared" si="35"/>
        <v>30.093885898919435</v>
      </c>
      <c r="AL35" s="22">
        <f t="shared" si="4"/>
        <v>249.64598194061804</v>
      </c>
      <c r="AM35" s="62">
        <f t="shared" si="5"/>
        <v>542.97931527395133</v>
      </c>
      <c r="AN35" s="62">
        <f ca="1">AVERAGE(OFFSET($AM$3,0,0,'Données projet'!$E$10+1,1))-AVERAGE(OFFSET($H$3,0,0,'Données projet'!$E$10+1,1))</f>
        <v>219.96569743439244</v>
      </c>
      <c r="AO35" s="62">
        <f t="shared" si="36"/>
        <v>219.27079214454579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19.03159703981682</v>
      </c>
      <c r="AW35" s="23">
        <f>EXP(-LN(2)/2)*AW34+(1-EXP(-LN(2)/2))/(LN(2)/2)*AQ35*AT35*VLOOKUP('Données projet'!$B$10,Paramètres!$A$1:$I$89,3,0)*0.475*44/12</f>
        <v>0.36656932946828907</v>
      </c>
      <c r="AX35" s="23">
        <f t="shared" si="6"/>
        <v>19.398166369285107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14.727272727272727</v>
      </c>
      <c r="BD35" s="13">
        <f>IF('Données projet'!$A$88&gt;35,BD34+BC35-BL34,IF(A35&lt;'Données projet'!$A$88,$BA$205^A35,IF(A35='Données projet'!$A$88,'Données projet'!$B$88,BD34+BC35-BL34)))</f>
        <v>295.54545454545456</v>
      </c>
      <c r="BE35" s="14">
        <f>BD35*VLOOKUP('Données projet'!$B$11,Paramètres!$A$1:$I$89,3,0)*VLOOKUP('Données projet'!$B$11,Paramètres!$A$1:$I$89,5,0)</f>
        <v>176.73618181818185</v>
      </c>
      <c r="BF35" s="14">
        <f t="shared" si="37"/>
        <v>44.595275236724611</v>
      </c>
      <c r="BG35" s="22">
        <f t="shared" si="7"/>
        <v>385.4856210372954</v>
      </c>
      <c r="BH35" s="62">
        <f t="shared" si="8"/>
        <v>678.81895437062872</v>
      </c>
      <c r="BI35" s="62">
        <f ca="1">AVERAGE(OFFSET($BH$3,0,0,'Données projet'!$E$11+1,1))-AVERAGE(OFFSET($H$3,0,0,'Données projet'!$E$11+1,1))</f>
        <v>150.99976380209381</v>
      </c>
      <c r="BJ35" s="62">
        <f t="shared" si="38"/>
        <v>306.39227726293234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10.471575328913076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0.96286378096592584</v>
      </c>
      <c r="BS35" s="24">
        <f t="shared" si="9"/>
        <v>11.434439109879001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150.4</v>
      </c>
      <c r="AJ36" s="14">
        <f>AI36*VLOOKUP('Données projet'!$B$10,Paramètres!$A$1:$I$89,3,0)*VLOOKUP('Données projet'!$B$10,Paramètres!$A$1:$I$89,5,0)</f>
        <v>122.00448000000003</v>
      </c>
      <c r="AK36" s="14">
        <f t="shared" si="35"/>
        <v>32.142059634860118</v>
      </c>
      <c r="AL36" s="22">
        <f t="shared" si="4"/>
        <v>268.47188986404808</v>
      </c>
      <c r="AM36" s="62">
        <f t="shared" si="5"/>
        <v>561.80522319738134</v>
      </c>
      <c r="AN36" s="62">
        <f ca="1">AVERAGE(OFFSET($AM$3,0,0,'Données projet'!$E$10+1,1))-AVERAGE(OFFSET($H$3,0,0,'Données projet'!$E$10+1,1))</f>
        <v>219.96569743439244</v>
      </c>
      <c r="AO36" s="62">
        <f t="shared" si="36"/>
        <v>219.27079214454579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18.511177017934838</v>
      </c>
      <c r="AW36" s="23">
        <f>EXP(-LN(2)/2)*AW35+(1-EXP(-LN(2)/2))/(LN(2)/2)*AQ36*AT36*VLOOKUP('Données projet'!$B$10,Paramètres!$A$1:$I$89,3,0)*0.475*44/12</f>
        <v>0.25920365864203293</v>
      </c>
      <c r="AX36" s="23">
        <f t="shared" si="6"/>
        <v>18.77038067657687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14.727272727272727</v>
      </c>
      <c r="BD36" s="13">
        <f>IF('Données projet'!$A$88&gt;35,BD35+BC36-BL35,IF(A36&lt;'Données projet'!$A$88,$BA$205^A36,IF(A36='Données projet'!$A$88,'Données projet'!$B$88,BD35+BC36-BL35)))</f>
        <v>310.27272727272731</v>
      </c>
      <c r="BE36" s="14">
        <f>BD36*VLOOKUP('Données projet'!$B$11,Paramètres!$A$1:$I$89,3,0)*VLOOKUP('Données projet'!$B$11,Paramètres!$A$1:$I$89,5,0)</f>
        <v>185.54309090909095</v>
      </c>
      <c r="BF36" s="14">
        <f t="shared" si="37"/>
        <v>46.553236406680583</v>
      </c>
      <c r="BG36" s="22">
        <f t="shared" si="7"/>
        <v>404.23443674163536</v>
      </c>
      <c r="BH36" s="62">
        <f t="shared" si="8"/>
        <v>697.56777007496862</v>
      </c>
      <c r="BI36" s="62">
        <f ca="1">AVERAGE(OFFSET($BH$3,0,0,'Données projet'!$E$11+1,1))-AVERAGE(OFFSET($H$3,0,0,'Données projet'!$E$11+1,1))</f>
        <v>150.99976380209381</v>
      </c>
      <c r="BJ36" s="62">
        <f t="shared" si="38"/>
        <v>306.39227726293234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10.266234123743374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0.68084750887992485</v>
      </c>
      <c r="BS36" s="24">
        <f t="shared" si="9"/>
        <v>10.947081632623298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161.20000000000002</v>
      </c>
      <c r="AJ37" s="14">
        <f>AI37*VLOOKUP('Données projet'!$B$10,Paramètres!$A$1:$I$89,3,0)*VLOOKUP('Données projet'!$B$10,Paramètres!$A$1:$I$89,5,0)</f>
        <v>130.76544000000001</v>
      </c>
      <c r="AK37" s="14">
        <f t="shared" si="35"/>
        <v>34.173169564532692</v>
      </c>
      <c r="AL37" s="22">
        <f t="shared" si="4"/>
        <v>287.26807832489447</v>
      </c>
      <c r="AM37" s="62">
        <f t="shared" si="5"/>
        <v>580.60141165822779</v>
      </c>
      <c r="AN37" s="62">
        <f ca="1">AVERAGE(OFFSET($AM$3,0,0,'Données projet'!$E$10+1,1))-AVERAGE(OFFSET($H$3,0,0,'Données projet'!$E$10+1,1))</f>
        <v>219.96569743439244</v>
      </c>
      <c r="AO37" s="62">
        <f t="shared" si="36"/>
        <v>219.27079214454579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18.004987908918917</v>
      </c>
      <c r="AW37" s="23">
        <f>EXP(-LN(2)/2)*AW36+(1-EXP(-LN(2)/2))/(LN(2)/2)*AQ37*AT37*VLOOKUP('Données projet'!$B$10,Paramètres!$A$1:$I$89,3,0)*0.475*44/12</f>
        <v>0.18328466473414454</v>
      </c>
      <c r="AX37" s="23">
        <f t="shared" si="6"/>
        <v>18.188272573653062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>
        <f>VLOOKUP(A37,'Données projet'!$A$87:$I$107,2,0)</f>
        <v>325</v>
      </c>
      <c r="BB37" s="13">
        <f>VLOOKUP(A37,'Données projet'!$A$87:$I$107,9,0)</f>
        <v>14.727272727272727</v>
      </c>
      <c r="BC37" s="13">
        <f t="array" ref="BC37">INDEX(BB:BB,MIN(IF(ISNUMBER(BB37:BB233),ROW(BB37:BB233),"")))</f>
        <v>14.727272727272727</v>
      </c>
      <c r="BD37" s="13">
        <f>IF('Données projet'!$A$88&gt;35,BD36+BC37-BL36,IF(A37&lt;'Données projet'!$A$88,$BA$205^A37,IF(A37='Données projet'!$A$88,'Données projet'!$B$88,BD36+BC37-BL36)))</f>
        <v>325.00000000000006</v>
      </c>
      <c r="BE37" s="14">
        <f>BD37*VLOOKUP('Données projet'!$B$11,Paramètres!$A$1:$I$89,3,0)*VLOOKUP('Données projet'!$B$11,Paramètres!$A$1:$I$89,5,0)</f>
        <v>194.35000000000005</v>
      </c>
      <c r="BF37" s="14">
        <f t="shared" si="37"/>
        <v>48.500405405690472</v>
      </c>
      <c r="BG37" s="22">
        <f t="shared" si="7"/>
        <v>422.96445608157768</v>
      </c>
      <c r="BH37" s="62">
        <f t="shared" si="8"/>
        <v>716.29778941491099</v>
      </c>
      <c r="BI37" s="62">
        <f ca="1">AVERAGE(OFFSET($BH$3,0,0,'Données projet'!$E$11+1,1))-AVERAGE(OFFSET($H$3,0,0,'Données projet'!$E$11+1,1))</f>
        <v>150.99976380209381</v>
      </c>
      <c r="BJ37" s="62">
        <f t="shared" si="38"/>
        <v>306.39227726293234</v>
      </c>
      <c r="BK37" s="16">
        <f>IF(ISNA(VLOOKUP(A37,'Données projet'!$A$87:$I$107,3,0)),0,VLOOKUP(A37,'Données projet'!$A$87:$I$107,3,0))</f>
        <v>4</v>
      </c>
      <c r="BL37" s="16">
        <f>IF(ISNA(VLOOKUP(A37,'Données projet'!$A$87:$I$107,4,0)),0,VLOOKUP(A37,'Données projet'!$A$87:$I$107,4,0))</f>
        <v>325</v>
      </c>
      <c r="BM37" s="17">
        <f>IF(ISNA(VLOOKUP(A37,'Données projet'!$A$87:$I$107,5,0)),0%,VLOOKUP(A37,'Données projet'!$A$87:$I$107,5,0)*VLOOKUP('Données projet'!$B$11,Paramètres!$A$1:$I$89,7,0))</f>
        <v>0.315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0.3</v>
      </c>
      <c r="BP37" s="23">
        <f>EXP(-LN(2)/35)*BP36+(1-EXP(-LN(2)/35))/(LN(2)/35)*BL37*BM37*VLOOKUP('Données projet'!$B$11,Paramètres!$A$1:$I$89,3,0)*0.475*44/12</f>
        <v>91.277527137483801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66.496235997763563</v>
      </c>
      <c r="BS37" s="24">
        <f t="shared" si="9"/>
        <v>157.77376313524735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172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172.00000000000003</v>
      </c>
      <c r="AJ38" s="14">
        <f>AI38*VLOOKUP('Données projet'!$B$10,Paramètres!$A$1:$I$89,3,0)*VLOOKUP('Données projet'!$B$10,Paramètres!$A$1:$I$89,5,0)</f>
        <v>139.52640000000002</v>
      </c>
      <c r="AK38" s="14">
        <f t="shared" si="35"/>
        <v>36.188488997813884</v>
      </c>
      <c r="AL38" s="22">
        <f t="shared" si="4"/>
        <v>306.03676500452588</v>
      </c>
      <c r="AM38" s="62">
        <f t="shared" si="5"/>
        <v>599.37009833785919</v>
      </c>
      <c r="AN38" s="62">
        <f ca="1">AVERAGE(OFFSET($AM$3,0,0,'Données projet'!$E$10+1,1))-AVERAGE(OFFSET($H$3,0,0,'Données projet'!$E$10+1,1))</f>
        <v>219.96569743439244</v>
      </c>
      <c r="AO38" s="62">
        <f t="shared" si="36"/>
        <v>219.27079214454579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17.512640567708367</v>
      </c>
      <c r="AW38" s="23">
        <f>EXP(-LN(2)/2)*AW37+(1-EXP(-LN(2)/2))/(LN(2)/2)*AQ38*AT38*VLOOKUP('Données projet'!$B$10,Paramètres!$A$1:$I$89,3,0)*0.475*44/12</f>
        <v>0.12960182932101647</v>
      </c>
      <c r="AX38" s="23">
        <f t="shared" si="6"/>
        <v>17.642242397029385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5.6843418860808015E-14</v>
      </c>
      <c r="BE38" s="14">
        <f>BD38*VLOOKUP('Données projet'!$B$11,Paramètres!$A$1:$I$89,3,0)*VLOOKUP('Données projet'!$B$11,Paramètres!$A$1:$I$89,5,0)</f>
        <v>3.3992364478763198E-14</v>
      </c>
      <c r="BF38" s="14">
        <f t="shared" si="37"/>
        <v>5.790027782444094E-13</v>
      </c>
      <c r="BG38" s="22">
        <f t="shared" si="7"/>
        <v>1.0676332069095257E-12</v>
      </c>
      <c r="BH38" s="62">
        <f t="shared" si="8"/>
        <v>293.33333333333439</v>
      </c>
      <c r="BI38" s="62">
        <f ca="1">AVERAGE(OFFSET($BH$3,0,0,'Données projet'!$E$11+1,1))-AVERAGE(OFFSET($H$3,0,0,'Données projet'!$E$11+1,1))</f>
        <v>150.99976380209381</v>
      </c>
      <c r="BJ38" s="62">
        <f t="shared" si="38"/>
        <v>306.39227726293234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89.487630504111962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47.019939397399625</v>
      </c>
      <c r="BS38" s="24">
        <f t="shared" si="9"/>
        <v>136.5075699015116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9.6</v>
      </c>
      <c r="AI39" s="14">
        <f>IF('Données projet'!$A$62&gt;35,AI38+AH39-AQ38,IF(A39&lt;'Données projet'!$A$62,$AF$205^A39,IF(A39='Données projet'!$A$62,'Données projet'!$B$62,AI38+AH39-AQ38)))</f>
        <v>153.60000000000002</v>
      </c>
      <c r="AJ39" s="14">
        <f>AI39*VLOOKUP('Données projet'!$B$10,Paramètres!$A$1:$I$89,3,0)*VLOOKUP('Données projet'!$B$10,Paramètres!$A$1:$I$89,5,0)</f>
        <v>124.60032000000002</v>
      </c>
      <c r="AK39" s="14">
        <f t="shared" si="35"/>
        <v>32.745587947600931</v>
      </c>
      <c r="AL39" s="22">
        <f t="shared" si="4"/>
        <v>274.04412300873832</v>
      </c>
      <c r="AM39" s="62">
        <f t="shared" si="5"/>
        <v>567.37745634207158</v>
      </c>
      <c r="AN39" s="62">
        <f ca="1">AVERAGE(OFFSET($AM$3,0,0,'Données projet'!$E$10+1,1))-AVERAGE(OFFSET($H$3,0,0,'Données projet'!$E$10+1,1))</f>
        <v>219.96569743439244</v>
      </c>
      <c r="AO39" s="62">
        <f t="shared" si="36"/>
        <v>219.27079214454579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17.033756490434641</v>
      </c>
      <c r="AW39" s="23">
        <f>EXP(-LN(2)/2)*AW38+(1-EXP(-LN(2)/2))/(LN(2)/2)*AQ39*AT39*VLOOKUP('Données projet'!$B$10,Paramètres!$A$1:$I$89,3,0)*0.475*44/12</f>
        <v>9.1642332367072268E-2</v>
      </c>
      <c r="AX39" s="23">
        <f t="shared" si="6"/>
        <v>17.125398822801714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5.6843418860808015E-14</v>
      </c>
      <c r="BE39" s="14">
        <f>BD39*VLOOKUP('Données projet'!$B$11,Paramètres!$A$1:$I$89,3,0)*VLOOKUP('Données projet'!$B$11,Paramètres!$A$1:$I$89,5,0)</f>
        <v>3.3992364478763198E-14</v>
      </c>
      <c r="BF39" s="14">
        <f t="shared" si="37"/>
        <v>5.790027782444094E-13</v>
      </c>
      <c r="BG39" s="22">
        <f t="shared" si="7"/>
        <v>1.0676332069095257E-12</v>
      </c>
      <c r="BH39" s="62">
        <f t="shared" si="8"/>
        <v>293.33333333333439</v>
      </c>
      <c r="BI39" s="62">
        <f ca="1">AVERAGE(OFFSET($BH$3,0,0,'Données projet'!$E$11+1,1))-AVERAGE(OFFSET($H$3,0,0,'Données projet'!$E$11+1,1))</f>
        <v>150.99976380209381</v>
      </c>
      <c r="BJ39" s="62">
        <f t="shared" si="38"/>
        <v>306.39227726293234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87.732832651991401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33.248117998881781</v>
      </c>
      <c r="BS39" s="24">
        <f t="shared" si="9"/>
        <v>120.98095065087318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9.6</v>
      </c>
      <c r="AI40" s="14">
        <f>IF('Données projet'!$A$62&gt;35,AI39+AH40-AQ39,IF(A40&lt;'Données projet'!$A$62,$AF$205^A40,IF(A40='Données projet'!$A$62,'Données projet'!$B$62,AI39+AH40-AQ39)))</f>
        <v>163.20000000000002</v>
      </c>
      <c r="AJ40" s="14">
        <f>AI40*VLOOKUP('Données projet'!$B$10,Paramètres!$A$1:$I$89,3,0)*VLOOKUP('Données projet'!$B$10,Paramètres!$A$1:$I$89,5,0)</f>
        <v>132.38784000000004</v>
      </c>
      <c r="AK40" s="14">
        <f t="shared" si="35"/>
        <v>34.547533199821324</v>
      </c>
      <c r="AL40" s="22">
        <f t="shared" si="4"/>
        <v>290.74577498968887</v>
      </c>
      <c r="AM40" s="62">
        <f t="shared" si="5"/>
        <v>584.07910832302218</v>
      </c>
      <c r="AN40" s="62">
        <f ca="1">AVERAGE(OFFSET($AM$3,0,0,'Données projet'!$E$10+1,1))-AVERAGE(OFFSET($H$3,0,0,'Données projet'!$E$10+1,1))</f>
        <v>219.96569743439244</v>
      </c>
      <c r="AO40" s="62">
        <f t="shared" si="36"/>
        <v>219.27079214454579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16.567967523437382</v>
      </c>
      <c r="AW40" s="23">
        <f>EXP(-LN(2)/2)*AW39+(1-EXP(-LN(2)/2))/(LN(2)/2)*AQ40*AT40*VLOOKUP('Données projet'!$B$10,Paramètres!$A$1:$I$89,3,0)*0.475*44/12</f>
        <v>6.4800914660508233E-2</v>
      </c>
      <c r="AX40" s="23">
        <f t="shared" si="6"/>
        <v>16.632768438097891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5.6843418860808015E-14</v>
      </c>
      <c r="BE40" s="14">
        <f>BD40*VLOOKUP('Données projet'!$B$11,Paramètres!$A$1:$I$89,3,0)*VLOOKUP('Données projet'!$B$11,Paramètres!$A$1:$I$89,5,0)</f>
        <v>3.3992364478763198E-14</v>
      </c>
      <c r="BF40" s="14">
        <f t="shared" si="37"/>
        <v>5.790027782444094E-13</v>
      </c>
      <c r="BG40" s="22">
        <f t="shared" si="7"/>
        <v>1.0676332069095257E-12</v>
      </c>
      <c r="BH40" s="62">
        <f t="shared" si="8"/>
        <v>293.33333333333439</v>
      </c>
      <c r="BI40" s="62">
        <f ca="1">AVERAGE(OFFSET($BH$3,0,0,'Données projet'!$E$11+1,1))-AVERAGE(OFFSET($H$3,0,0,'Données projet'!$E$11+1,1))</f>
        <v>150.99976380209381</v>
      </c>
      <c r="BJ40" s="62">
        <f t="shared" si="38"/>
        <v>306.39227726293234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86.012445315429929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23.509969698699813</v>
      </c>
      <c r="BS40" s="24">
        <f t="shared" si="9"/>
        <v>109.52241501412973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9.6</v>
      </c>
      <c r="AI41" s="14">
        <f>IF('Données projet'!$A$62&gt;35,AI40+AH41-AQ40,IF(A41&lt;'Données projet'!$A$62,$AF$205^A41,IF(A41='Données projet'!$A$62,'Données projet'!$B$62,AI40+AH41-AQ40)))</f>
        <v>172.8</v>
      </c>
      <c r="AJ41" s="14">
        <f>AI41*VLOOKUP('Données projet'!$B$10,Paramètres!$A$1:$I$89,3,0)*VLOOKUP('Données projet'!$B$10,Paramètres!$A$1:$I$89,5,0)</f>
        <v>140.17536000000001</v>
      </c>
      <c r="AK41" s="14">
        <f t="shared" si="35"/>
        <v>36.337175081323657</v>
      </c>
      <c r="AL41" s="22">
        <f t="shared" si="4"/>
        <v>307.42599859997205</v>
      </c>
      <c r="AM41" s="62">
        <f t="shared" si="5"/>
        <v>600.75933193330536</v>
      </c>
      <c r="AN41" s="62">
        <f ca="1">AVERAGE(OFFSET($AM$3,0,0,'Données projet'!$E$10+1,1))-AVERAGE(OFFSET($H$3,0,0,'Données projet'!$E$10+1,1))</f>
        <v>219.96569743439244</v>
      </c>
      <c r="AO41" s="62">
        <f t="shared" si="36"/>
        <v>219.27079214454579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16.11491558023744</v>
      </c>
      <c r="AW41" s="23">
        <f>EXP(-LN(2)/2)*AW40+(1-EXP(-LN(2)/2))/(LN(2)/2)*AQ41*AT41*VLOOKUP('Données projet'!$B$10,Paramètres!$A$1:$I$89,3,0)*0.475*44/12</f>
        <v>4.5821166183536134E-2</v>
      </c>
      <c r="AX41" s="23">
        <f t="shared" si="6"/>
        <v>16.160736746420977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5.6843418860808015E-14</v>
      </c>
      <c r="BE41" s="14">
        <f>BD41*VLOOKUP('Données projet'!$B$11,Paramètres!$A$1:$I$89,3,0)*VLOOKUP('Données projet'!$B$11,Paramètres!$A$1:$I$89,5,0)</f>
        <v>3.3992364478763198E-14</v>
      </c>
      <c r="BF41" s="14">
        <f t="shared" si="37"/>
        <v>5.790027782444094E-13</v>
      </c>
      <c r="BG41" s="22">
        <f t="shared" si="7"/>
        <v>1.0676332069095257E-12</v>
      </c>
      <c r="BH41" s="62">
        <f t="shared" si="8"/>
        <v>293.33333333333439</v>
      </c>
      <c r="BI41" s="62">
        <f ca="1">AVERAGE(OFFSET($BH$3,0,0,'Données projet'!$E$11+1,1))-AVERAGE(OFFSET($H$3,0,0,'Données projet'!$E$11+1,1))</f>
        <v>150.99976380209381</v>
      </c>
      <c r="BJ41" s="62">
        <f t="shared" si="38"/>
        <v>306.39227726293234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84.325793725205756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16.624058999440891</v>
      </c>
      <c r="BS41" s="24">
        <f t="shared" si="9"/>
        <v>100.94985272464665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9.6</v>
      </c>
      <c r="AI42" s="14">
        <f>IF('Données projet'!$A$62&gt;35,AI41+AH42-AQ41,IF(A42&lt;'Données projet'!$A$62,$AF$205^A42,IF(A42='Données projet'!$A$62,'Données projet'!$B$62,AI41+AH42-AQ41)))</f>
        <v>182.4</v>
      </c>
      <c r="AJ42" s="14">
        <f>AI42*VLOOKUP('Données projet'!$B$10,Paramètres!$A$1:$I$89,3,0)*VLOOKUP('Données projet'!$B$10,Paramètres!$A$1:$I$89,5,0)</f>
        <v>147.96288000000001</v>
      </c>
      <c r="AK42" s="14">
        <f t="shared" si="35"/>
        <v>38.115275017059226</v>
      </c>
      <c r="AL42" s="22">
        <f t="shared" si="4"/>
        <v>324.0861199880448</v>
      </c>
      <c r="AM42" s="62">
        <f t="shared" si="5"/>
        <v>617.41945332137811</v>
      </c>
      <c r="AN42" s="62">
        <f ca="1">AVERAGE(OFFSET($AM$3,0,0,'Données projet'!$E$10+1,1))-AVERAGE(OFFSET($H$3,0,0,'Données projet'!$E$10+1,1))</f>
        <v>219.96569743439244</v>
      </c>
      <c r="AO42" s="62">
        <f t="shared" si="36"/>
        <v>219.27079214454579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15.674252366249268</v>
      </c>
      <c r="AW42" s="23">
        <f>EXP(-LN(2)/2)*AW41+(1-EXP(-LN(2)/2))/(LN(2)/2)*AQ42*AT42*VLOOKUP('Données projet'!$B$10,Paramètres!$A$1:$I$89,3,0)*0.475*44/12</f>
        <v>3.2400457330254116E-2</v>
      </c>
      <c r="AX42" s="23">
        <f t="shared" si="6"/>
        <v>15.706652823579523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5.6843418860808015E-14</v>
      </c>
      <c r="BE42" s="14">
        <f>BD42*VLOOKUP('Données projet'!$B$11,Paramètres!$A$1:$I$89,3,0)*VLOOKUP('Données projet'!$B$11,Paramètres!$A$1:$I$89,5,0)</f>
        <v>3.3992364478763198E-14</v>
      </c>
      <c r="BF42" s="14">
        <f t="shared" si="37"/>
        <v>5.790027782444094E-13</v>
      </c>
      <c r="BG42" s="22">
        <f t="shared" si="7"/>
        <v>1.0676332069095257E-12</v>
      </c>
      <c r="BH42" s="62">
        <f t="shared" si="8"/>
        <v>293.33333333333439</v>
      </c>
      <c r="BI42" s="62">
        <f ca="1">AVERAGE(OFFSET($BH$3,0,0,'Données projet'!$E$11+1,1))-AVERAGE(OFFSET($H$3,0,0,'Données projet'!$E$11+1,1))</f>
        <v>150.99976380209381</v>
      </c>
      <c r="BJ42" s="62">
        <f t="shared" si="38"/>
        <v>306.39227726293234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82.672216343909994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11.754984849349906</v>
      </c>
      <c r="BS42" s="24">
        <f t="shared" si="9"/>
        <v>94.427201193259904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192</v>
      </c>
      <c r="AG43" s="13">
        <f>VLOOKUP(A43,'Données projet'!$A$61:$I$81,9,0)</f>
        <v>9.6</v>
      </c>
      <c r="AH43" s="13">
        <f t="array" ref="AH43">INDEX(AG:AG,MIN(IF(ISNUMBER(AG43:AG239),ROW(AG43:AG239),"")))</f>
        <v>9.6</v>
      </c>
      <c r="AI43" s="14">
        <f>IF('Données projet'!$A$62&gt;35,AI42+AH43-AQ42,IF(A43&lt;'Données projet'!$A$62,$AF$205^A43,IF(A43='Données projet'!$A$62,'Données projet'!$B$62,AI42+AH43-AQ42)))</f>
        <v>192</v>
      </c>
      <c r="AJ43" s="14">
        <f>AI43*VLOOKUP('Données projet'!$B$10,Paramètres!$A$1:$I$89,3,0)*VLOOKUP('Données projet'!$B$10,Paramètres!$A$1:$I$89,5,0)</f>
        <v>155.75040000000001</v>
      </c>
      <c r="AK43" s="14">
        <f t="shared" si="35"/>
        <v>39.882509755133754</v>
      </c>
      <c r="AL43" s="22">
        <f t="shared" si="4"/>
        <v>340.72731782352463</v>
      </c>
      <c r="AM43" s="62">
        <f t="shared" si="5"/>
        <v>634.06065115685794</v>
      </c>
      <c r="AN43" s="62">
        <f ca="1">AVERAGE(OFFSET($AM$3,0,0,'Données projet'!$E$10+1,1))-AVERAGE(OFFSET($H$3,0,0,'Données projet'!$E$10+1,1))</f>
        <v>219.96569743439244</v>
      </c>
      <c r="AO43" s="62">
        <f t="shared" si="36"/>
        <v>219.27079214454579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15.245639111021074</v>
      </c>
      <c r="AW43" s="23">
        <f>EXP(-LN(2)/2)*AW42+(1-EXP(-LN(2)/2))/(LN(2)/2)*AQ43*AT43*VLOOKUP('Données projet'!$B$10,Paramètres!$A$1:$I$89,3,0)*0.475*44/12</f>
        <v>2.2910583091768067E-2</v>
      </c>
      <c r="AX43" s="23">
        <f t="shared" si="6"/>
        <v>15.268549694112842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5.6843418860808015E-14</v>
      </c>
      <c r="BE43" s="14">
        <f>BD43*VLOOKUP('Données projet'!$B$11,Paramètres!$A$1:$I$89,3,0)*VLOOKUP('Données projet'!$B$11,Paramètres!$A$1:$I$89,5,0)</f>
        <v>3.3992364478763198E-14</v>
      </c>
      <c r="BF43" s="14">
        <f t="shared" si="37"/>
        <v>5.790027782444094E-13</v>
      </c>
      <c r="BG43" s="22">
        <f t="shared" si="7"/>
        <v>1.0676332069095257E-12</v>
      </c>
      <c r="BH43" s="62">
        <f t="shared" si="8"/>
        <v>293.33333333333439</v>
      </c>
      <c r="BI43" s="62">
        <f ca="1">AVERAGE(OFFSET($BH$3,0,0,'Données projet'!$E$11+1,1))-AVERAGE(OFFSET($H$3,0,0,'Données projet'!$E$11+1,1))</f>
        <v>150.99976380209381</v>
      </c>
      <c r="BJ43" s="62">
        <f t="shared" si="38"/>
        <v>306.39227726293234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81.051064606478832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8.3120294997204454</v>
      </c>
      <c r="BS43" s="24">
        <f t="shared" si="9"/>
        <v>89.36309410619927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8.1999999999999993</v>
      </c>
      <c r="AI44" s="14">
        <f>IF('Données projet'!$A$62&gt;35,AI43+AH44-AQ43,IF(A44&lt;'Données projet'!$A$62,$AF$205^A44,IF(A44='Données projet'!$A$62,'Données projet'!$B$62,AI43+AH44-AQ43)))</f>
        <v>172.2</v>
      </c>
      <c r="AJ44" s="14">
        <f>AI44*VLOOKUP('Données projet'!$B$10,Paramètres!$A$1:$I$89,3,0)*VLOOKUP('Données projet'!$B$10,Paramètres!$A$1:$I$89,5,0)</f>
        <v>139.68863999999999</v>
      </c>
      <c r="AK44" s="14">
        <f t="shared" si="35"/>
        <v>36.22566805112433</v>
      </c>
      <c r="AL44" s="22">
        <f t="shared" si="4"/>
        <v>306.38408652237484</v>
      </c>
      <c r="AM44" s="62">
        <f t="shared" si="5"/>
        <v>599.71741985570816</v>
      </c>
      <c r="AN44" s="62">
        <f ca="1">AVERAGE(OFFSET($AM$3,0,0,'Données projet'!$E$10+1,1))-AVERAGE(OFFSET($H$3,0,0,'Données projet'!$E$10+1,1))</f>
        <v>219.96569743439244</v>
      </c>
      <c r="AO44" s="62">
        <f t="shared" si="36"/>
        <v>219.27079214454579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14.828746307796886</v>
      </c>
      <c r="AW44" s="23">
        <f>EXP(-LN(2)/2)*AW43+(1-EXP(-LN(2)/2))/(LN(2)/2)*AQ44*AT44*VLOOKUP('Données projet'!$B$10,Paramètres!$A$1:$I$89,3,0)*0.475*44/12</f>
        <v>1.6200228665127058E-2</v>
      </c>
      <c r="AX44" s="23">
        <f t="shared" si="6"/>
        <v>14.844946536462013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5.6843418860808015E-14</v>
      </c>
      <c r="BE44" s="14">
        <f>BD44*VLOOKUP('Données projet'!$B$11,Paramètres!$A$1:$I$89,3,0)*VLOOKUP('Données projet'!$B$11,Paramètres!$A$1:$I$89,5,0)</f>
        <v>3.3992364478763198E-14</v>
      </c>
      <c r="BF44" s="14">
        <f t="shared" si="37"/>
        <v>5.790027782444094E-13</v>
      </c>
      <c r="BG44" s="22">
        <f t="shared" si="7"/>
        <v>1.0676332069095257E-12</v>
      </c>
      <c r="BH44" s="62">
        <f t="shared" si="8"/>
        <v>293.33333333333439</v>
      </c>
      <c r="BI44" s="62">
        <f ca="1">AVERAGE(OFFSET($BH$3,0,0,'Données projet'!$E$11+1,1))-AVERAGE(OFFSET($H$3,0,0,'Données projet'!$E$11+1,1))</f>
        <v>150.99976380209381</v>
      </c>
      <c r="BJ44" s="62">
        <f t="shared" si="38"/>
        <v>306.39227726293234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79.46170266581376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5.8774924246749531</v>
      </c>
      <c r="BS44" s="24">
        <f t="shared" si="9"/>
        <v>85.339195090488715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8.1999999999999993</v>
      </c>
      <c r="AI45" s="14">
        <f>IF('Données projet'!$A$62&gt;35,AI44+AH45-AQ44,IF(A45&lt;'Données projet'!$A$62,$AF$205^A45,IF(A45='Données projet'!$A$62,'Données projet'!$B$62,AI44+AH45-AQ44)))</f>
        <v>180.39999999999998</v>
      </c>
      <c r="AJ45" s="14">
        <f>AI45*VLOOKUP('Données projet'!$B$10,Paramètres!$A$1:$I$89,3,0)*VLOOKUP('Données projet'!$B$10,Paramètres!$A$1:$I$89,5,0)</f>
        <v>146.34047999999999</v>
      </c>
      <c r="AK45" s="14">
        <f t="shared" si="35"/>
        <v>37.745754868861937</v>
      </c>
      <c r="AL45" s="22">
        <f t="shared" si="4"/>
        <v>320.6168590632679</v>
      </c>
      <c r="AM45" s="62">
        <f t="shared" si="5"/>
        <v>613.95019239660121</v>
      </c>
      <c r="AN45" s="62">
        <f ca="1">AVERAGE(OFFSET($AM$3,0,0,'Données projet'!$E$10+1,1))-AVERAGE(OFFSET($H$3,0,0,'Données projet'!$E$10+1,1))</f>
        <v>219.96569743439244</v>
      </c>
      <c r="AO45" s="62">
        <f t="shared" si="36"/>
        <v>219.27079214454579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14.423253460200304</v>
      </c>
      <c r="AW45" s="23">
        <f>EXP(-LN(2)/2)*AW44+(1-EXP(-LN(2)/2))/(LN(2)/2)*AQ45*AT45*VLOOKUP('Données projet'!$B$10,Paramètres!$A$1:$I$89,3,0)*0.475*44/12</f>
        <v>1.1455291545884034E-2</v>
      </c>
      <c r="AX45" s="23">
        <f t="shared" si="6"/>
        <v>14.434708751746188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5.6843418860808015E-14</v>
      </c>
      <c r="BE45" s="14">
        <f>BD45*VLOOKUP('Données projet'!$B$11,Paramètres!$A$1:$I$89,3,0)*VLOOKUP('Données projet'!$B$11,Paramètres!$A$1:$I$89,5,0)</f>
        <v>3.3992364478763198E-14</v>
      </c>
      <c r="BF45" s="14">
        <f t="shared" si="37"/>
        <v>5.790027782444094E-13</v>
      </c>
      <c r="BG45" s="22">
        <f t="shared" si="7"/>
        <v>1.0676332069095257E-12</v>
      </c>
      <c r="BH45" s="62">
        <f t="shared" si="8"/>
        <v>293.33333333333439</v>
      </c>
      <c r="BI45" s="62">
        <f ca="1">AVERAGE(OFFSET($BH$3,0,0,'Données projet'!$E$11+1,1))-AVERAGE(OFFSET($H$3,0,0,'Données projet'!$E$11+1,1))</f>
        <v>150.99976380209381</v>
      </c>
      <c r="BJ45" s="62">
        <f t="shared" si="38"/>
        <v>306.39227726293234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77.903507143390073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4.1560147498602227</v>
      </c>
      <c r="BS45" s="24">
        <f t="shared" si="9"/>
        <v>82.059521893250292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8.1999999999999993</v>
      </c>
      <c r="AI46" s="14">
        <f>IF('Données projet'!$A$62&gt;35,AI45+AH46-AQ45,IF(A46&lt;'Données projet'!$A$62,$AF$205^A46,IF(A46='Données projet'!$A$62,'Données projet'!$B$62,AI45+AH46-AQ45)))</f>
        <v>188.59999999999997</v>
      </c>
      <c r="AJ46" s="14">
        <f>AI46*VLOOKUP('Données projet'!$B$10,Paramètres!$A$1:$I$89,3,0)*VLOOKUP('Données projet'!$B$10,Paramètres!$A$1:$I$89,5,0)</f>
        <v>152.99231999999998</v>
      </c>
      <c r="AK46" s="14">
        <f t="shared" si="35"/>
        <v>39.257817366656973</v>
      </c>
      <c r="AL46" s="22">
        <f t="shared" si="4"/>
        <v>334.83565591359422</v>
      </c>
      <c r="AM46" s="62">
        <f t="shared" si="5"/>
        <v>628.16898924692759</v>
      </c>
      <c r="AN46" s="62">
        <f ca="1">AVERAGE(OFFSET($AM$3,0,0,'Données projet'!$E$10+1,1))-AVERAGE(OFFSET($H$3,0,0,'Données projet'!$E$10+1,1))</f>
        <v>219.96569743439244</v>
      </c>
      <c r="AO46" s="62">
        <f t="shared" si="36"/>
        <v>219.27079214454579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14.028848835845192</v>
      </c>
      <c r="AW46" s="23">
        <f>EXP(-LN(2)/2)*AW45+(1-EXP(-LN(2)/2))/(LN(2)/2)*AQ46*AT46*VLOOKUP('Données projet'!$B$10,Paramètres!$A$1:$I$89,3,0)*0.475*44/12</f>
        <v>8.1001143325635291E-3</v>
      </c>
      <c r="AX46" s="23">
        <f t="shared" si="6"/>
        <v>14.036948950177756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5.6843418860808015E-14</v>
      </c>
      <c r="BE46" s="14">
        <f>BD46*VLOOKUP('Données projet'!$B$11,Paramètres!$A$1:$I$89,3,0)*VLOOKUP('Données projet'!$B$11,Paramètres!$A$1:$I$89,5,0)</f>
        <v>3.3992364478763198E-14</v>
      </c>
      <c r="BF46" s="14">
        <f t="shared" si="37"/>
        <v>5.790027782444094E-13</v>
      </c>
      <c r="BG46" s="22">
        <f t="shared" si="7"/>
        <v>1.0676332069095257E-12</v>
      </c>
      <c r="BH46" s="62">
        <f t="shared" si="8"/>
        <v>293.33333333333439</v>
      </c>
      <c r="BI46" s="62">
        <f ca="1">AVERAGE(OFFSET($BH$3,0,0,'Données projet'!$E$11+1,1))-AVERAGE(OFFSET($H$3,0,0,'Données projet'!$E$11+1,1))</f>
        <v>150.99976380209381</v>
      </c>
      <c r="BJ46" s="62">
        <f t="shared" si="38"/>
        <v>306.39227726293234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76.375866884755695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2.9387462123374766</v>
      </c>
      <c r="BS46" s="24">
        <f t="shared" si="9"/>
        <v>79.314613097093172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8.1999999999999993</v>
      </c>
      <c r="AI47" s="14">
        <f>IF('Données projet'!$A$62&gt;35,AI46+AH47-AQ46,IF(A47&lt;'Données projet'!$A$62,$AF$205^A47,IF(A47='Données projet'!$A$62,'Données projet'!$B$62,AI46+AH47-AQ46)))</f>
        <v>196.79999999999995</v>
      </c>
      <c r="AJ47" s="14">
        <f>AI47*VLOOKUP('Données projet'!$B$10,Paramètres!$A$1:$I$89,3,0)*VLOOKUP('Données projet'!$B$10,Paramètres!$A$1:$I$89,5,0)</f>
        <v>159.64415999999997</v>
      </c>
      <c r="AK47" s="14">
        <f t="shared" si="35"/>
        <v>40.762244304130796</v>
      </c>
      <c r="AL47" s="22">
        <f t="shared" si="4"/>
        <v>349.04115416302778</v>
      </c>
      <c r="AM47" s="62">
        <f t="shared" si="5"/>
        <v>642.3744874963611</v>
      </c>
      <c r="AN47" s="62">
        <f ca="1">AVERAGE(OFFSET($AM$3,0,0,'Données projet'!$E$10+1,1))-AVERAGE(OFFSET($H$3,0,0,'Données projet'!$E$10+1,1))</f>
        <v>219.96569743439244</v>
      </c>
      <c r="AO47" s="62">
        <f t="shared" si="36"/>
        <v>219.27079214454579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13.645229226683908</v>
      </c>
      <c r="AW47" s="23">
        <f>EXP(-LN(2)/2)*AW46+(1-EXP(-LN(2)/2))/(LN(2)/2)*AQ47*AT47*VLOOKUP('Données projet'!$B$10,Paramètres!$A$1:$I$89,3,0)*0.475*44/12</f>
        <v>5.7276457729420168E-3</v>
      </c>
      <c r="AX47" s="23">
        <f t="shared" si="6"/>
        <v>13.650956872456849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5.6843418860808015E-14</v>
      </c>
      <c r="BE47" s="14">
        <f>BD47*VLOOKUP('Données projet'!$B$11,Paramètres!$A$1:$I$89,3,0)*VLOOKUP('Données projet'!$B$11,Paramètres!$A$1:$I$89,5,0)</f>
        <v>3.3992364478763198E-14</v>
      </c>
      <c r="BF47" s="14">
        <f t="shared" si="37"/>
        <v>5.790027782444094E-13</v>
      </c>
      <c r="BG47" s="22">
        <f t="shared" si="7"/>
        <v>1.0676332069095257E-12</v>
      </c>
      <c r="BH47" s="62">
        <f t="shared" si="8"/>
        <v>293.33333333333439</v>
      </c>
      <c r="BI47" s="62">
        <f ca="1">AVERAGE(OFFSET($BH$3,0,0,'Données projet'!$E$11+1,1))-AVERAGE(OFFSET($H$3,0,0,'Données projet'!$E$11+1,1))</f>
        <v>150.99976380209381</v>
      </c>
      <c r="BJ47" s="62">
        <f t="shared" si="38"/>
        <v>306.39227726293234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74.878182719824579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2.0780073749301113</v>
      </c>
      <c r="BS47" s="24">
        <f t="shared" si="9"/>
        <v>76.956190094754689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205</v>
      </c>
      <c r="AG48" s="13">
        <f>VLOOKUP(A48,'Données projet'!$A$61:$I$81,9,0)</f>
        <v>8.1999999999999993</v>
      </c>
      <c r="AH48" s="13">
        <f t="array" ref="AH48">INDEX(AG:AG,MIN(IF(ISNUMBER(AG48:AG244),ROW(AG48:AG244),"")))</f>
        <v>8.1999999999999993</v>
      </c>
      <c r="AI48" s="14">
        <f>IF('Données projet'!$A$62&gt;35,AI47+AH48-AQ47,IF(A48&lt;'Données projet'!$A$62,$AF$205^A48,IF(A48='Données projet'!$A$62,'Données projet'!$B$62,AI47+AH48-AQ47)))</f>
        <v>204.99999999999994</v>
      </c>
      <c r="AJ48" s="14">
        <f>AI48*VLOOKUP('Données projet'!$B$10,Paramètres!$A$1:$I$89,3,0)*VLOOKUP('Données projet'!$B$10,Paramètres!$A$1:$I$89,5,0)</f>
        <v>166.29599999999996</v>
      </c>
      <c r="AK48" s="14">
        <f t="shared" si="35"/>
        <v>42.259390211399776</v>
      </c>
      <c r="AL48" s="22">
        <f t="shared" si="4"/>
        <v>363.23397128485459</v>
      </c>
      <c r="AM48" s="62">
        <f t="shared" si="5"/>
        <v>656.5673046181879</v>
      </c>
      <c r="AN48" s="62">
        <f ca="1">AVERAGE(OFFSET($AM$3,0,0,'Données projet'!$E$10+1,1))-AVERAGE(OFFSET($H$3,0,0,'Données projet'!$E$10+1,1))</f>
        <v>219.96569743439244</v>
      </c>
      <c r="AO48" s="62">
        <f t="shared" si="36"/>
        <v>219.27079214454579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22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13.272099715908817</v>
      </c>
      <c r="AW48" s="23">
        <f>EXP(-LN(2)/2)*AW47+(1-EXP(-LN(2)/2))/(LN(2)/2)*AQ48*AT48*VLOOKUP('Données projet'!$B$10,Paramètres!$A$1:$I$89,3,0)*0.475*44/12</f>
        <v>4.0500571662817645E-3</v>
      </c>
      <c r="AX48" s="23">
        <f t="shared" si="6"/>
        <v>13.276149773075099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5.6843418860808015E-14</v>
      </c>
      <c r="BE48" s="14">
        <f>BD48*VLOOKUP('Données projet'!$B$11,Paramètres!$A$1:$I$89,3,0)*VLOOKUP('Données projet'!$B$11,Paramètres!$A$1:$I$89,5,0)</f>
        <v>3.3992364478763198E-14</v>
      </c>
      <c r="BF48" s="14">
        <f t="shared" si="37"/>
        <v>5.790027782444094E-13</v>
      </c>
      <c r="BG48" s="22">
        <f t="shared" si="7"/>
        <v>1.0676332069095257E-12</v>
      </c>
      <c r="BH48" s="62">
        <f t="shared" si="8"/>
        <v>293.33333333333439</v>
      </c>
      <c r="BI48" s="62">
        <f ca="1">AVERAGE(OFFSET($BH$3,0,0,'Données projet'!$E$11+1,1))-AVERAGE(OFFSET($H$3,0,0,'Données projet'!$E$11+1,1))</f>
        <v>150.99976380209381</v>
      </c>
      <c r="BJ48" s="62">
        <f t="shared" si="38"/>
        <v>306.39227726293234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73.40986722787062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1.4693731061687383</v>
      </c>
      <c r="BS48" s="24">
        <f t="shared" si="9"/>
        <v>74.879240334039352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7.2</v>
      </c>
      <c r="AI49" s="14">
        <f>IF('Données projet'!$A$62&gt;35,AI48+AH49-AQ48,IF(A49&lt;'Données projet'!$A$62,$AF$205^A49,IF(A49='Données projet'!$A$62,'Données projet'!$B$62,AI48+AH49-AQ48)))</f>
        <v>190.19999999999993</v>
      </c>
      <c r="AJ49" s="14">
        <f>AI49*VLOOKUP('Données projet'!$B$10,Paramètres!$A$1:$I$89,3,0)*VLOOKUP('Données projet'!$B$10,Paramètres!$A$1:$I$89,5,0)</f>
        <v>154.29023999999995</v>
      </c>
      <c r="AK49" s="14">
        <f t="shared" si="35"/>
        <v>39.551952121114581</v>
      </c>
      <c r="AL49" s="22">
        <f t="shared" si="4"/>
        <v>337.6084846109411</v>
      </c>
      <c r="AM49" s="62">
        <f t="shared" si="5"/>
        <v>630.94181794427436</v>
      </c>
      <c r="AN49" s="62">
        <f ca="1">AVERAGE(OFFSET($AM$3,0,0,'Données projet'!$E$10+1,1))-AVERAGE(OFFSET($H$3,0,0,'Données projet'!$E$10+1,1))</f>
        <v>219.96569743439244</v>
      </c>
      <c r="AO49" s="62">
        <f t="shared" si="36"/>
        <v>219.27079214454579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12.9091734512279</v>
      </c>
      <c r="AW49" s="23">
        <f>EXP(-LN(2)/2)*AW48+(1-EXP(-LN(2)/2))/(LN(2)/2)*AQ49*AT49*VLOOKUP('Données projet'!$B$10,Paramètres!$A$1:$I$89,3,0)*0.475*44/12</f>
        <v>2.8638228864710084E-3</v>
      </c>
      <c r="AX49" s="23">
        <f t="shared" si="6"/>
        <v>12.912037274114372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5.6843418860808015E-14</v>
      </c>
      <c r="BE49" s="14">
        <f>BD49*VLOOKUP('Données projet'!$B$11,Paramètres!$A$1:$I$89,3,0)*VLOOKUP('Données projet'!$B$11,Paramètres!$A$1:$I$89,5,0)</f>
        <v>3.3992364478763198E-14</v>
      </c>
      <c r="BF49" s="14">
        <f t="shared" si="37"/>
        <v>5.790027782444094E-13</v>
      </c>
      <c r="BG49" s="22">
        <f t="shared" si="7"/>
        <v>1.0676332069095257E-12</v>
      </c>
      <c r="BH49" s="62">
        <f t="shared" si="8"/>
        <v>293.33333333333439</v>
      </c>
      <c r="BI49" s="62">
        <f ca="1">AVERAGE(OFFSET($BH$3,0,0,'Données projet'!$E$11+1,1))-AVERAGE(OFFSET($H$3,0,0,'Données projet'!$E$11+1,1))</f>
        <v>150.99976380209381</v>
      </c>
      <c r="BJ49" s="62">
        <f t="shared" si="38"/>
        <v>306.39227726293234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71.970344507129866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1.0390036874650557</v>
      </c>
      <c r="BS49" s="24">
        <f t="shared" si="9"/>
        <v>73.009348194594921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7.2</v>
      </c>
      <c r="AI50" s="14">
        <f>IF('Données projet'!$A$62&gt;35,AI49+AH50-AQ49,IF(A50&lt;'Données projet'!$A$62,$AF$205^A50,IF(A50='Données projet'!$A$62,'Données projet'!$B$62,AI49+AH50-AQ49)))</f>
        <v>197.39999999999992</v>
      </c>
      <c r="AJ50" s="14">
        <f>AI50*VLOOKUP('Données projet'!$B$10,Paramètres!$A$1:$I$89,3,0)*VLOOKUP('Données projet'!$B$10,Paramètres!$A$1:$I$89,5,0)</f>
        <v>160.13087999999996</v>
      </c>
      <c r="AK50" s="14">
        <f t="shared" si="35"/>
        <v>40.872034351060186</v>
      </c>
      <c r="AL50" s="22">
        <f t="shared" si="4"/>
        <v>350.08007582809643</v>
      </c>
      <c r="AM50" s="62">
        <f t="shared" si="5"/>
        <v>643.41340916142974</v>
      </c>
      <c r="AN50" s="62">
        <f ca="1">AVERAGE(OFFSET($AM$3,0,0,'Données projet'!$E$10+1,1))-AVERAGE(OFFSET($H$3,0,0,'Données projet'!$E$10+1,1))</f>
        <v>219.96569743439244</v>
      </c>
      <c r="AO50" s="62">
        <f t="shared" si="36"/>
        <v>219.27079214454579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12.556171424340146</v>
      </c>
      <c r="AW50" s="23">
        <f>EXP(-LN(2)/2)*AW49+(1-EXP(-LN(2)/2))/(LN(2)/2)*AQ50*AT50*VLOOKUP('Données projet'!$B$10,Paramètres!$A$1:$I$89,3,0)*0.475*44/12</f>
        <v>2.0250285831408823E-3</v>
      </c>
      <c r="AX50" s="23">
        <f t="shared" si="6"/>
        <v>12.558196452923287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5.6843418860808015E-14</v>
      </c>
      <c r="BE50" s="14">
        <f>BD50*VLOOKUP('Données projet'!$B$11,Paramètres!$A$1:$I$89,3,0)*VLOOKUP('Données projet'!$B$11,Paramètres!$A$1:$I$89,5,0)</f>
        <v>3.3992364478763198E-14</v>
      </c>
      <c r="BF50" s="14">
        <f t="shared" si="37"/>
        <v>5.790027782444094E-13</v>
      </c>
      <c r="BG50" s="22">
        <f t="shared" si="7"/>
        <v>1.0676332069095257E-12</v>
      </c>
      <c r="BH50" s="62">
        <f t="shared" si="8"/>
        <v>293.33333333333439</v>
      </c>
      <c r="BI50" s="62">
        <f ca="1">AVERAGE(OFFSET($BH$3,0,0,'Données projet'!$E$11+1,1))-AVERAGE(OFFSET($H$3,0,0,'Données projet'!$E$11+1,1))</f>
        <v>150.99976380209381</v>
      </c>
      <c r="BJ50" s="62">
        <f t="shared" si="38"/>
        <v>306.39227726293234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70.559049948920674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0.73468655308436914</v>
      </c>
      <c r="BS50" s="24">
        <f t="shared" si="9"/>
        <v>71.293736502005046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7.2</v>
      </c>
      <c r="AI51" s="14">
        <f>IF('Données projet'!$A$62&gt;35,AI50+AH51-AQ50,IF(A51&lt;'Données projet'!$A$62,$AF$205^A51,IF(A51='Données projet'!$A$62,'Données projet'!$B$62,AI50+AH51-AQ50)))</f>
        <v>204.59999999999991</v>
      </c>
      <c r="AJ51" s="14">
        <f>AI51*VLOOKUP('Données projet'!$B$10,Paramètres!$A$1:$I$89,3,0)*VLOOKUP('Données projet'!$B$10,Paramètres!$A$1:$I$89,5,0)</f>
        <v>165.97151999999994</v>
      </c>
      <c r="AK51" s="14">
        <f t="shared" si="35"/>
        <v>42.186522619819392</v>
      </c>
      <c r="AL51" s="22">
        <f t="shared" si="4"/>
        <v>362.54192422951866</v>
      </c>
      <c r="AM51" s="62">
        <f t="shared" si="5"/>
        <v>655.87525756285197</v>
      </c>
      <c r="AN51" s="62">
        <f ca="1">AVERAGE(OFFSET($AM$3,0,0,'Données projet'!$E$10+1,1))-AVERAGE(OFFSET($H$3,0,0,'Données projet'!$E$10+1,1))</f>
        <v>219.96569743439244</v>
      </c>
      <c r="AO51" s="62">
        <f t="shared" si="36"/>
        <v>219.27079214454579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12.212822256441207</v>
      </c>
      <c r="AW51" s="23">
        <f>EXP(-LN(2)/2)*AW50+(1-EXP(-LN(2)/2))/(LN(2)/2)*AQ51*AT51*VLOOKUP('Données projet'!$B$10,Paramètres!$A$1:$I$89,3,0)*0.475*44/12</f>
        <v>1.4319114432355042E-3</v>
      </c>
      <c r="AX51" s="23">
        <f t="shared" si="6"/>
        <v>12.214254167884443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5.6843418860808015E-14</v>
      </c>
      <c r="BE51" s="14">
        <f>BD51*VLOOKUP('Données projet'!$B$11,Paramètres!$A$1:$I$89,3,0)*VLOOKUP('Données projet'!$B$11,Paramètres!$A$1:$I$89,5,0)</f>
        <v>3.3992364478763198E-14</v>
      </c>
      <c r="BF51" s="14">
        <f t="shared" si="37"/>
        <v>5.790027782444094E-13</v>
      </c>
      <c r="BG51" s="22">
        <f t="shared" si="7"/>
        <v>1.0676332069095257E-12</v>
      </c>
      <c r="BH51" s="62">
        <f t="shared" si="8"/>
        <v>293.33333333333439</v>
      </c>
      <c r="BI51" s="62">
        <f ca="1">AVERAGE(OFFSET($BH$3,0,0,'Données projet'!$E$11+1,1))-AVERAGE(OFFSET($H$3,0,0,'Données projet'!$E$11+1,1))</f>
        <v>150.99976380209381</v>
      </c>
      <c r="BJ51" s="62">
        <f t="shared" si="38"/>
        <v>306.39227726293234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69.175430016193275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0.51950184373252783</v>
      </c>
      <c r="BS51" s="24">
        <f t="shared" si="9"/>
        <v>69.694931859925802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7.2</v>
      </c>
      <c r="AI52" s="14">
        <f>IF('Données projet'!$A$62&gt;35,AI51+AH52-AQ51,IF(A52&lt;'Données projet'!$A$62,$AF$205^A52,IF(A52='Données projet'!$A$62,'Données projet'!$B$62,AI51+AH52-AQ51)))</f>
        <v>211.7999999999999</v>
      </c>
      <c r="AJ52" s="14">
        <f>AI52*VLOOKUP('Données projet'!$B$10,Paramètres!$A$1:$I$89,3,0)*VLOOKUP('Données projet'!$B$10,Paramètres!$A$1:$I$89,5,0)</f>
        <v>171.81215999999992</v>
      </c>
      <c r="AK52" s="14">
        <f t="shared" si="35"/>
        <v>43.49563633881931</v>
      </c>
      <c r="AL52" s="22">
        <f t="shared" si="4"/>
        <v>374.99441195677679</v>
      </c>
      <c r="AM52" s="62">
        <f t="shared" si="5"/>
        <v>668.3277452901101</v>
      </c>
      <c r="AN52" s="62">
        <f ca="1">AVERAGE(OFFSET($AM$3,0,0,'Données projet'!$E$10+1,1))-AVERAGE(OFFSET($H$3,0,0,'Données projet'!$E$10+1,1))</f>
        <v>219.96569743439244</v>
      </c>
      <c r="AO52" s="62">
        <f t="shared" si="36"/>
        <v>219.27079214454579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11.878861989594412</v>
      </c>
      <c r="AW52" s="23">
        <f>EXP(-LN(2)/2)*AW51+(1-EXP(-LN(2)/2))/(LN(2)/2)*AQ52*AT52*VLOOKUP('Données projet'!$B$10,Paramètres!$A$1:$I$89,3,0)*0.475*44/12</f>
        <v>1.0125142915704411E-3</v>
      </c>
      <c r="AX52" s="23">
        <f t="shared" si="6"/>
        <v>11.879874503885983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5.6843418860808015E-14</v>
      </c>
      <c r="BE52" s="14">
        <f>BD52*VLOOKUP('Données projet'!$B$11,Paramètres!$A$1:$I$89,3,0)*VLOOKUP('Données projet'!$B$11,Paramètres!$A$1:$I$89,5,0)</f>
        <v>3.3992364478763198E-14</v>
      </c>
      <c r="BF52" s="14">
        <f t="shared" si="37"/>
        <v>5.790027782444094E-13</v>
      </c>
      <c r="BG52" s="22">
        <f t="shared" si="7"/>
        <v>1.0676332069095257E-12</v>
      </c>
      <c r="BH52" s="62">
        <f t="shared" si="8"/>
        <v>293.33333333333439</v>
      </c>
      <c r="BI52" s="62">
        <f ca="1">AVERAGE(OFFSET($BH$3,0,0,'Données projet'!$E$11+1,1))-AVERAGE(OFFSET($H$3,0,0,'Données projet'!$E$11+1,1))</f>
        <v>150.99976380209381</v>
      </c>
      <c r="BJ52" s="62">
        <f t="shared" si="38"/>
        <v>306.39227726293234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67.818942026421837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0.36734327654218457</v>
      </c>
      <c r="BS52" s="24">
        <f t="shared" si="9"/>
        <v>68.186285302964023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219</v>
      </c>
      <c r="AG53" s="13">
        <f>VLOOKUP(A53,'Données projet'!$A$61:$I$81,9,0)</f>
        <v>7.2</v>
      </c>
      <c r="AH53" s="13">
        <f t="array" ref="AH53">INDEX(AG:AG,MIN(IF(ISNUMBER(AG53:AG249),ROW(AG53:AG249),"")))</f>
        <v>7.2</v>
      </c>
      <c r="AI53" s="14">
        <f>IF('Données projet'!$A$62&gt;35,AI52+AH53-AQ52,IF(A53&lt;'Données projet'!$A$62,$AF$205^A53,IF(A53='Données projet'!$A$62,'Données projet'!$B$62,AI52+AH53-AQ52)))</f>
        <v>218.99999999999989</v>
      </c>
      <c r="AJ53" s="14">
        <f>AI53*VLOOKUP('Données projet'!$B$10,Paramètres!$A$1:$I$89,3,0)*VLOOKUP('Données projet'!$B$10,Paramètres!$A$1:$I$89,5,0)</f>
        <v>177.6527999999999</v>
      </c>
      <c r="AK53" s="14">
        <f t="shared" si="35"/>
        <v>44.799579155749704</v>
      </c>
      <c r="AL53" s="22">
        <f t="shared" si="4"/>
        <v>387.43789369626387</v>
      </c>
      <c r="AM53" s="62">
        <f t="shared" si="5"/>
        <v>680.77122702959718</v>
      </c>
      <c r="AN53" s="62">
        <f ca="1">AVERAGE(OFFSET($AM$3,0,0,'Données projet'!$E$10+1,1))-AVERAGE(OFFSET($H$3,0,0,'Données projet'!$E$10+1,1))</f>
        <v>219.96569743439244</v>
      </c>
      <c r="AO53" s="62">
        <f t="shared" si="36"/>
        <v>219.27079214454579</v>
      </c>
      <c r="AP53" s="16">
        <f>IF(ISNA(VLOOKUP(A53,'Données projet'!$A$61:$I$81,3,0)),0,VLOOKUP(A53,'Données projet'!$A$61:$I$81,3,0))</f>
        <v>8</v>
      </c>
      <c r="AQ53" s="16">
        <f>IF(ISNA(VLOOKUP(A53,'Données projet'!$A$61:$I$81,4,0)),0,VLOOKUP(A53,'Données projet'!$A$61:$I$81,4,0))</f>
        <v>17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11.554033883806751</v>
      </c>
      <c r="AW53" s="23">
        <f>EXP(-LN(2)/2)*AW52+(1-EXP(-LN(2)/2))/(LN(2)/2)*AQ53*AT53*VLOOKUP('Données projet'!$B$10,Paramètres!$A$1:$I$89,3,0)*0.475*44/12</f>
        <v>7.159557216177521E-4</v>
      </c>
      <c r="AX53" s="23">
        <f t="shared" si="6"/>
        <v>11.554749839528368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5.6843418860808015E-14</v>
      </c>
      <c r="BE53" s="14">
        <f>BD53*VLOOKUP('Données projet'!$B$11,Paramètres!$A$1:$I$89,3,0)*VLOOKUP('Données projet'!$B$11,Paramètres!$A$1:$I$89,5,0)</f>
        <v>3.3992364478763198E-14</v>
      </c>
      <c r="BF53" s="14">
        <f t="shared" si="37"/>
        <v>5.790027782444094E-13</v>
      </c>
      <c r="BG53" s="22">
        <f t="shared" si="7"/>
        <v>1.0676332069095257E-12</v>
      </c>
      <c r="BH53" s="62">
        <f t="shared" si="8"/>
        <v>293.33333333333439</v>
      </c>
      <c r="BI53" s="62">
        <f ca="1">AVERAGE(OFFSET($BH$3,0,0,'Données projet'!$E$11+1,1))-AVERAGE(OFFSET($H$3,0,0,'Données projet'!$E$11+1,1))</f>
        <v>150.99976380209381</v>
      </c>
      <c r="BJ53" s="62">
        <f t="shared" si="38"/>
        <v>306.39227726293234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66.489053938753841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0.25975092186626392</v>
      </c>
      <c r="BS53" s="24">
        <f t="shared" si="9"/>
        <v>66.748804860620112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6</v>
      </c>
      <c r="AI54" s="14">
        <f>IF('Données projet'!$A$62&gt;35,AI53+AH54-AQ53,IF(A54&lt;'Données projet'!$A$62,$AF$205^A54,IF(A54='Données projet'!$A$62,'Données projet'!$B$62,AI53+AH54-AQ53)))</f>
        <v>207.99999999999989</v>
      </c>
      <c r="AJ54" s="14">
        <f>AI54*VLOOKUP('Données projet'!$B$10,Paramètres!$A$1:$I$89,3,0)*VLOOKUP('Données projet'!$B$10,Paramètres!$A$1:$I$89,5,0)</f>
        <v>168.72959999999992</v>
      </c>
      <c r="AK54" s="14">
        <f t="shared" si="35"/>
        <v>42.805372152385068</v>
      </c>
      <c r="AL54" s="22">
        <f t="shared" si="4"/>
        <v>368.42340983207049</v>
      </c>
      <c r="AM54" s="62">
        <f t="shared" si="5"/>
        <v>661.7567431654038</v>
      </c>
      <c r="AN54" s="62">
        <f ca="1">AVERAGE(OFFSET($AM$3,0,0,'Données projet'!$E$10+1,1))-AVERAGE(OFFSET($H$3,0,0,'Données projet'!$E$10+1,1))</f>
        <v>219.96569743439244</v>
      </c>
      <c r="AO54" s="62">
        <f t="shared" si="36"/>
        <v>219.27079214454579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11.23808821965382</v>
      </c>
      <c r="AW54" s="23">
        <f>EXP(-LN(2)/2)*AW53+(1-EXP(-LN(2)/2))/(LN(2)/2)*AQ54*AT54*VLOOKUP('Données projet'!$B$10,Paramètres!$A$1:$I$89,3,0)*0.475*44/12</f>
        <v>5.0625714578522057E-4</v>
      </c>
      <c r="AX54" s="23">
        <f t="shared" si="6"/>
        <v>11.238594476799605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5.6843418860808015E-14</v>
      </c>
      <c r="BE54" s="14">
        <f>BD54*VLOOKUP('Données projet'!$B$11,Paramètres!$A$1:$I$89,3,0)*VLOOKUP('Données projet'!$B$11,Paramètres!$A$1:$I$89,5,0)</f>
        <v>3.3992364478763198E-14</v>
      </c>
      <c r="BF54" s="14">
        <f t="shared" si="37"/>
        <v>5.790027782444094E-13</v>
      </c>
      <c r="BG54" s="22">
        <f t="shared" si="7"/>
        <v>1.0676332069095257E-12</v>
      </c>
      <c r="BH54" s="62">
        <f t="shared" si="8"/>
        <v>293.33333333333439</v>
      </c>
      <c r="BI54" s="62">
        <f ca="1">AVERAGE(OFFSET($BH$3,0,0,'Données projet'!$E$11+1,1))-AVERAGE(OFFSET($H$3,0,0,'Données projet'!$E$11+1,1))</f>
        <v>150.99976380209381</v>
      </c>
      <c r="BJ54" s="62">
        <f t="shared" si="38"/>
        <v>306.39227726293234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65.185244145333371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0.18367163827109229</v>
      </c>
      <c r="BS54" s="24">
        <f t="shared" si="9"/>
        <v>65.368915783604464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6</v>
      </c>
      <c r="AI55" s="14">
        <f>IF('Données projet'!$A$62&gt;35,AI54+AH55-AQ54,IF(A55&lt;'Données projet'!$A$62,$AF$205^A55,IF(A55='Données projet'!$A$62,'Données projet'!$B$62,AI54+AH55-AQ54)))</f>
        <v>213.99999999999989</v>
      </c>
      <c r="AJ55" s="14">
        <f>AI55*VLOOKUP('Données projet'!$B$10,Paramètres!$A$1:$I$89,3,0)*VLOOKUP('Données projet'!$B$10,Paramètres!$A$1:$I$89,5,0)</f>
        <v>173.59679999999992</v>
      </c>
      <c r="AK55" s="14">
        <f t="shared" si="35"/>
        <v>43.894602908365897</v>
      </c>
      <c r="AL55" s="22">
        <f t="shared" si="4"/>
        <v>378.79752673207048</v>
      </c>
      <c r="AM55" s="62">
        <f t="shared" si="5"/>
        <v>672.13086006540379</v>
      </c>
      <c r="AN55" s="62">
        <f ca="1">AVERAGE(OFFSET($AM$3,0,0,'Données projet'!$E$10+1,1))-AVERAGE(OFFSET($H$3,0,0,'Données projet'!$E$10+1,1))</f>
        <v>219.96569743439244</v>
      </c>
      <c r="AO55" s="62">
        <f t="shared" si="36"/>
        <v>219.27079214454579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10.930782106302011</v>
      </c>
      <c r="AW55" s="23">
        <f>EXP(-LN(2)/2)*AW54+(1-EXP(-LN(2)/2))/(LN(2)/2)*AQ55*AT55*VLOOKUP('Données projet'!$B$10,Paramètres!$A$1:$I$89,3,0)*0.475*44/12</f>
        <v>3.5797786080887605E-4</v>
      </c>
      <c r="AX55" s="23">
        <f t="shared" si="6"/>
        <v>10.93114008416282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5.6843418860808015E-14</v>
      </c>
      <c r="BE55" s="14">
        <f>BD55*VLOOKUP('Données projet'!$B$11,Paramètres!$A$1:$I$89,3,0)*VLOOKUP('Données projet'!$B$11,Paramètres!$A$1:$I$89,5,0)</f>
        <v>3.3992364478763198E-14</v>
      </c>
      <c r="BF55" s="14">
        <f t="shared" si="37"/>
        <v>5.790027782444094E-13</v>
      </c>
      <c r="BG55" s="22">
        <f t="shared" si="7"/>
        <v>1.0676332069095257E-12</v>
      </c>
      <c r="BH55" s="62">
        <f t="shared" si="8"/>
        <v>293.33333333333439</v>
      </c>
      <c r="BI55" s="62">
        <f ca="1">AVERAGE(OFFSET($BH$3,0,0,'Données projet'!$E$11+1,1))-AVERAGE(OFFSET($H$3,0,0,'Données projet'!$E$11+1,1))</f>
        <v>150.99976380209381</v>
      </c>
      <c r="BJ55" s="62">
        <f t="shared" si="38"/>
        <v>306.39227726293234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63.907001266716428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0.12987546093313196</v>
      </c>
      <c r="BS55" s="24">
        <f t="shared" si="9"/>
        <v>64.036876727649556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6</v>
      </c>
      <c r="AI56" s="14">
        <f>IF('Données projet'!$A$62&gt;35,AI55+AH56-AQ55,IF(A56&lt;'Données projet'!$A$62,$AF$205^A56,IF(A56='Données projet'!$A$62,'Données projet'!$B$62,AI55+AH56-AQ55)))</f>
        <v>219.99999999999989</v>
      </c>
      <c r="AJ56" s="14">
        <f>AI56*VLOOKUP('Données projet'!$B$10,Paramètres!$A$1:$I$89,3,0)*VLOOKUP('Données projet'!$B$10,Paramètres!$A$1:$I$89,5,0)</f>
        <v>178.46399999999991</v>
      </c>
      <c r="AK56" s="14">
        <f t="shared" si="35"/>
        <v>44.980284206661821</v>
      </c>
      <c r="AL56" s="22">
        <f t="shared" si="4"/>
        <v>389.16546165993583</v>
      </c>
      <c r="AM56" s="62">
        <f t="shared" si="5"/>
        <v>682.49879499326914</v>
      </c>
      <c r="AN56" s="62">
        <f ca="1">AVERAGE(OFFSET($AM$3,0,0,'Données projet'!$E$10+1,1))-AVERAGE(OFFSET($H$3,0,0,'Données projet'!$E$10+1,1))</f>
        <v>219.96569743439244</v>
      </c>
      <c r="AO56" s="62">
        <f t="shared" si="36"/>
        <v>219.27079214454579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10.631879294780335</v>
      </c>
      <c r="AW56" s="23">
        <f>EXP(-LN(2)/2)*AW55+(1-EXP(-LN(2)/2))/(LN(2)/2)*AQ56*AT56*VLOOKUP('Données projet'!$B$10,Paramètres!$A$1:$I$89,3,0)*0.475*44/12</f>
        <v>2.5312857289261028E-4</v>
      </c>
      <c r="AX56" s="23">
        <f t="shared" si="6"/>
        <v>10.632132423353227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5.6843418860808015E-14</v>
      </c>
      <c r="BE56" s="14">
        <f>BD56*VLOOKUP('Données projet'!$B$11,Paramètres!$A$1:$I$89,3,0)*VLOOKUP('Données projet'!$B$11,Paramètres!$A$1:$I$89,5,0)</f>
        <v>3.3992364478763198E-14</v>
      </c>
      <c r="BF56" s="14">
        <f t="shared" si="37"/>
        <v>5.790027782444094E-13</v>
      </c>
      <c r="BG56" s="22">
        <f t="shared" si="7"/>
        <v>1.0676332069095257E-12</v>
      </c>
      <c r="BH56" s="62">
        <f t="shared" si="8"/>
        <v>293.33333333333439</v>
      </c>
      <c r="BI56" s="62">
        <f ca="1">AVERAGE(OFFSET($BH$3,0,0,'Données projet'!$E$11+1,1))-AVERAGE(OFFSET($H$3,0,0,'Données projet'!$E$11+1,1))</f>
        <v>150.99976380209381</v>
      </c>
      <c r="BJ56" s="62">
        <f t="shared" si="38"/>
        <v>306.39227726293234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62.653823951297994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9.1835819135546143E-2</v>
      </c>
      <c r="BS56" s="24">
        <f t="shared" si="9"/>
        <v>62.745659770433541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6</v>
      </c>
      <c r="AI57" s="14">
        <f>IF('Données projet'!$A$62&gt;35,AI56+AH57-AQ56,IF(A57&lt;'Données projet'!$A$62,$AF$205^A57,IF(A57='Données projet'!$A$62,'Données projet'!$B$62,AI56+AH57-AQ56)))</f>
        <v>225.99999999999989</v>
      </c>
      <c r="AJ57" s="14">
        <f>AI57*VLOOKUP('Données projet'!$B$10,Paramètres!$A$1:$I$89,3,0)*VLOOKUP('Données projet'!$B$10,Paramètres!$A$1:$I$89,5,0)</f>
        <v>183.33119999999991</v>
      </c>
      <c r="AK57" s="14">
        <f t="shared" si="35"/>
        <v>46.062523974317784</v>
      </c>
      <c r="AL57" s="22">
        <f t="shared" si="4"/>
        <v>399.52740258860331</v>
      </c>
      <c r="AM57" s="62">
        <f t="shared" si="5"/>
        <v>692.86073592193657</v>
      </c>
      <c r="AN57" s="62">
        <f ca="1">AVERAGE(OFFSET($AM$3,0,0,'Données projet'!$E$10+1,1))-AVERAGE(OFFSET($H$3,0,0,'Données projet'!$E$10+1,1))</f>
        <v>219.96569743439244</v>
      </c>
      <c r="AO57" s="62">
        <f t="shared" si="36"/>
        <v>219.27079214454579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10.341149996358334</v>
      </c>
      <c r="AW57" s="23">
        <f>EXP(-LN(2)/2)*AW56+(1-EXP(-LN(2)/2))/(LN(2)/2)*AQ57*AT57*VLOOKUP('Données projet'!$B$10,Paramètres!$A$1:$I$89,3,0)*0.475*44/12</f>
        <v>1.7898893040443802E-4</v>
      </c>
      <c r="AX57" s="23">
        <f t="shared" si="6"/>
        <v>10.341328985288738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5.6843418860808015E-14</v>
      </c>
      <c r="BE57" s="14">
        <f>BD57*VLOOKUP('Données projet'!$B$11,Paramètres!$A$1:$I$89,3,0)*VLOOKUP('Données projet'!$B$11,Paramètres!$A$1:$I$89,5,0)</f>
        <v>3.3992364478763198E-14</v>
      </c>
      <c r="BF57" s="14">
        <f t="shared" si="37"/>
        <v>5.790027782444094E-13</v>
      </c>
      <c r="BG57" s="22">
        <f t="shared" si="7"/>
        <v>1.0676332069095257E-12</v>
      </c>
      <c r="BH57" s="62">
        <f t="shared" si="8"/>
        <v>293.33333333333439</v>
      </c>
      <c r="BI57" s="62">
        <f ca="1">AVERAGE(OFFSET($BH$3,0,0,'Données projet'!$E$11+1,1))-AVERAGE(OFFSET($H$3,0,0,'Données projet'!$E$11+1,1))</f>
        <v>150.99976380209381</v>
      </c>
      <c r="BJ57" s="62">
        <f t="shared" si="38"/>
        <v>306.39227726293234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61.425220678672225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6.4937730466565979E-2</v>
      </c>
      <c r="BS57" s="24">
        <f t="shared" si="9"/>
        <v>61.490158409138793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232</v>
      </c>
      <c r="AG58" s="13">
        <f>VLOOKUP(A58,'Données projet'!$A$61:$I$81,9,0)</f>
        <v>6</v>
      </c>
      <c r="AH58" s="13">
        <f t="array" ref="AH58">INDEX(AG:AG,MIN(IF(ISNUMBER(AG58:AG254),ROW(AG58:AG254),"")))</f>
        <v>6</v>
      </c>
      <c r="AI58" s="14">
        <f>IF('Données projet'!$A$62&gt;35,AI57+AH58-AQ57,IF(A58&lt;'Données projet'!$A$62,$AF$205^A58,IF(A58='Données projet'!$A$62,'Données projet'!$B$62,AI57+AH58-AQ57)))</f>
        <v>231.99999999999989</v>
      </c>
      <c r="AJ58" s="14">
        <f>AI58*VLOOKUP('Données projet'!$B$10,Paramètres!$A$1:$I$89,3,0)*VLOOKUP('Données projet'!$B$10,Paramètres!$A$1:$I$89,5,0)</f>
        <v>188.19839999999991</v>
      </c>
      <c r="AK58" s="14">
        <f t="shared" si="35"/>
        <v>47.141424081428013</v>
      </c>
      <c r="AL58" s="22">
        <f t="shared" si="4"/>
        <v>409.88352694182026</v>
      </c>
      <c r="AM58" s="62">
        <f t="shared" si="5"/>
        <v>703.21686027515352</v>
      </c>
      <c r="AN58" s="62">
        <f ca="1">AVERAGE(OFFSET($AM$3,0,0,'Données projet'!$E$10+1,1))-AVERAGE(OFFSET($H$3,0,0,'Données projet'!$E$10+1,1))</f>
        <v>219.96569743439244</v>
      </c>
      <c r="AO58" s="62">
        <f t="shared" si="36"/>
        <v>219.27079214454579</v>
      </c>
      <c r="AP58" s="16">
        <f>IF(ISNA(VLOOKUP(A58,'Données projet'!$A$61:$I$81,3,0)),0,VLOOKUP(A58,'Données projet'!$A$61:$I$81,3,0))</f>
        <v>9</v>
      </c>
      <c r="AQ58" s="16">
        <f>IF(ISNA(VLOOKUP(A58,'Données projet'!$A$61:$I$81,4,0)),0,VLOOKUP(A58,'Données projet'!$A$61:$I$81,4,0))</f>
        <v>13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10.058370705890471</v>
      </c>
      <c r="AW58" s="23">
        <f>EXP(-LN(2)/2)*AW57+(1-EXP(-LN(2)/2))/(LN(2)/2)*AQ58*AT58*VLOOKUP('Données projet'!$B$10,Paramètres!$A$1:$I$89,3,0)*0.475*44/12</f>
        <v>1.2656428644630514E-4</v>
      </c>
      <c r="AX58" s="23">
        <f t="shared" si="6"/>
        <v>10.058497270176918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5.6843418860808015E-14</v>
      </c>
      <c r="BE58" s="14">
        <f>BD58*VLOOKUP('Données projet'!$B$11,Paramètres!$A$1:$I$89,3,0)*VLOOKUP('Données projet'!$B$11,Paramètres!$A$1:$I$89,5,0)</f>
        <v>3.3992364478763198E-14</v>
      </c>
      <c r="BF58" s="14">
        <f t="shared" si="37"/>
        <v>5.790027782444094E-13</v>
      </c>
      <c r="BG58" s="22">
        <f t="shared" si="7"/>
        <v>1.0676332069095257E-12</v>
      </c>
      <c r="BH58" s="62">
        <f t="shared" si="8"/>
        <v>293.33333333333439</v>
      </c>
      <c r="BI58" s="62">
        <f ca="1">AVERAGE(OFFSET($BH$3,0,0,'Données projet'!$E$11+1,1))-AVERAGE(OFFSET($H$3,0,0,'Données projet'!$E$11+1,1))</f>
        <v>150.99976380209381</v>
      </c>
      <c r="BJ58" s="62">
        <f t="shared" si="38"/>
        <v>306.39227726293234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60.220709566848647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4.5917909567773071E-2</v>
      </c>
      <c r="BS58" s="24">
        <f t="shared" si="9"/>
        <v>60.266627476416417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5.2</v>
      </c>
      <c r="AI59" s="14">
        <f>IF('Données projet'!$A$62&gt;35,AI58+AH59-AQ58,IF(A59&lt;'Données projet'!$A$62,$AF$205^A59,IF(A59='Données projet'!$A$62,'Données projet'!$B$62,AI58+AH59-AQ58)))</f>
        <v>224.19999999999987</v>
      </c>
      <c r="AJ59" s="14">
        <f>AI59*VLOOKUP('Données projet'!$B$10,Paramètres!$A$1:$I$89,3,0)*VLOOKUP('Données projet'!$B$10,Paramètres!$A$1:$I$89,5,0)</f>
        <v>181.87103999999991</v>
      </c>
      <c r="AK59" s="14">
        <f t="shared" si="35"/>
        <v>45.738207231648985</v>
      </c>
      <c r="AL59" s="22">
        <f t="shared" si="4"/>
        <v>396.41943892845512</v>
      </c>
      <c r="AM59" s="62">
        <f t="shared" si="5"/>
        <v>689.75277226178844</v>
      </c>
      <c r="AN59" s="62">
        <f ca="1">AVERAGE(OFFSET($AM$3,0,0,'Données projet'!$E$10+1,1))-AVERAGE(OFFSET($H$3,0,0,'Données projet'!$E$10+1,1))</f>
        <v>219.96569743439244</v>
      </c>
      <c r="AO59" s="62">
        <f t="shared" si="36"/>
        <v>219.27079214454579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9.783324029991169</v>
      </c>
      <c r="AW59" s="23">
        <f>EXP(-LN(2)/2)*AW58+(1-EXP(-LN(2)/2))/(LN(2)/2)*AQ59*AT59*VLOOKUP('Données projet'!$B$10,Paramètres!$A$1:$I$89,3,0)*0.475*44/12</f>
        <v>8.9494465202219012E-5</v>
      </c>
      <c r="AX59" s="23">
        <f t="shared" si="6"/>
        <v>9.7834135244563711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5.6843418860808015E-14</v>
      </c>
      <c r="BE59" s="14">
        <f>BD59*VLOOKUP('Données projet'!$B$11,Paramètres!$A$1:$I$89,3,0)*VLOOKUP('Données projet'!$B$11,Paramètres!$A$1:$I$89,5,0)</f>
        <v>3.3992364478763198E-14</v>
      </c>
      <c r="BF59" s="14">
        <f t="shared" si="37"/>
        <v>5.790027782444094E-13</v>
      </c>
      <c r="BG59" s="22">
        <f t="shared" si="7"/>
        <v>1.0676332069095257E-12</v>
      </c>
      <c r="BH59" s="62">
        <f t="shared" si="8"/>
        <v>293.33333333333439</v>
      </c>
      <c r="BI59" s="62">
        <f ca="1">AVERAGE(OFFSET($BH$3,0,0,'Données projet'!$E$11+1,1))-AVERAGE(OFFSET($H$3,0,0,'Données projet'!$E$11+1,1))</f>
        <v>150.99976380209381</v>
      </c>
      <c r="BJ59" s="62">
        <f t="shared" si="38"/>
        <v>306.39227726293234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59.039818183248698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3.246886523328299E-2</v>
      </c>
      <c r="BS59" s="24">
        <f t="shared" si="9"/>
        <v>59.072287048481982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5.2</v>
      </c>
      <c r="AI60" s="14">
        <f>IF('Données projet'!$A$62&gt;35,AI59+AH60-AQ59,IF(A60&lt;'Données projet'!$A$62,$AF$205^A60,IF(A60='Données projet'!$A$62,'Données projet'!$B$62,AI59+AH60-AQ59)))</f>
        <v>229.39999999999986</v>
      </c>
      <c r="AJ60" s="14">
        <f>AI60*VLOOKUP('Données projet'!$B$10,Paramètres!$A$1:$I$89,3,0)*VLOOKUP('Données projet'!$B$10,Paramètres!$A$1:$I$89,5,0)</f>
        <v>186.08927999999992</v>
      </c>
      <c r="AK60" s="14">
        <f t="shared" si="35"/>
        <v>46.674304440658766</v>
      </c>
      <c r="AL60" s="22">
        <f t="shared" si="4"/>
        <v>405.39657623414723</v>
      </c>
      <c r="AM60" s="62">
        <f t="shared" si="5"/>
        <v>698.72990956748049</v>
      </c>
      <c r="AN60" s="62">
        <f ca="1">AVERAGE(OFFSET($AM$3,0,0,'Données projet'!$E$10+1,1))-AVERAGE(OFFSET($H$3,0,0,'Données projet'!$E$10+1,1))</f>
        <v>219.96569743439244</v>
      </c>
      <c r="AO60" s="62">
        <f t="shared" si="36"/>
        <v>219.27079214454579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9.5157985199084099</v>
      </c>
      <c r="AW60" s="23">
        <f>EXP(-LN(2)/2)*AW59+(1-EXP(-LN(2)/2))/(LN(2)/2)*AQ60*AT60*VLOOKUP('Données projet'!$B$10,Paramètres!$A$1:$I$89,3,0)*0.475*44/12</f>
        <v>6.3282143223152571E-5</v>
      </c>
      <c r="AX60" s="23">
        <f t="shared" si="6"/>
        <v>9.5158618020516332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5.6843418860808015E-14</v>
      </c>
      <c r="BE60" s="14">
        <f>BD60*VLOOKUP('Données projet'!$B$11,Paramètres!$A$1:$I$89,3,0)*VLOOKUP('Données projet'!$B$11,Paramètres!$A$1:$I$89,5,0)</f>
        <v>3.3992364478763198E-14</v>
      </c>
      <c r="BF60" s="14">
        <f t="shared" si="37"/>
        <v>5.790027782444094E-13</v>
      </c>
      <c r="BG60" s="22">
        <f t="shared" si="7"/>
        <v>1.0676332069095257E-12</v>
      </c>
      <c r="BH60" s="62">
        <f t="shared" si="8"/>
        <v>293.33333333333439</v>
      </c>
      <c r="BI60" s="62">
        <f ca="1">AVERAGE(OFFSET($BH$3,0,0,'Données projet'!$E$11+1,1))-AVERAGE(OFFSET($H$3,0,0,'Données projet'!$E$11+1,1))</f>
        <v>150.99976380209381</v>
      </c>
      <c r="BJ60" s="62">
        <f t="shared" si="38"/>
        <v>306.39227726293234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57.882083359408519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2.2958954783886536E-2</v>
      </c>
      <c r="BS60" s="24">
        <f t="shared" si="9"/>
        <v>57.905042314192407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5.2</v>
      </c>
      <c r="AI61" s="14">
        <f>IF('Données projet'!$A$62&gt;35,AI60+AH61-AQ60,IF(A61&lt;'Données projet'!$A$62,$AF$205^A61,IF(A61='Données projet'!$A$62,'Données projet'!$B$62,AI60+AH61-AQ60)))</f>
        <v>234.59999999999985</v>
      </c>
      <c r="AJ61" s="14">
        <f>AI61*VLOOKUP('Données projet'!$B$10,Paramètres!$A$1:$I$89,3,0)*VLOOKUP('Données projet'!$B$10,Paramètres!$A$1:$I$89,5,0)</f>
        <v>190.3075199999999</v>
      </c>
      <c r="AK61" s="14">
        <f t="shared" si="35"/>
        <v>47.607934756469184</v>
      </c>
      <c r="AL61" s="22">
        <f t="shared" si="4"/>
        <v>414.36941703418364</v>
      </c>
      <c r="AM61" s="62">
        <f t="shared" si="5"/>
        <v>707.70275036751696</v>
      </c>
      <c r="AN61" s="62">
        <f ca="1">AVERAGE(OFFSET($AM$3,0,0,'Données projet'!$E$10+1,1))-AVERAGE(OFFSET($H$3,0,0,'Données projet'!$E$10+1,1))</f>
        <v>219.96569743439244</v>
      </c>
      <c r="AO61" s="62">
        <f t="shared" si="36"/>
        <v>219.27079214454579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9.2555885089674188</v>
      </c>
      <c r="AW61" s="23">
        <f>EXP(-LN(2)/2)*AW60+(1-EXP(-LN(2)/2))/(LN(2)/2)*AQ61*AT61*VLOOKUP('Données projet'!$B$10,Paramètres!$A$1:$I$89,3,0)*0.475*44/12</f>
        <v>4.4747232601109506E-5</v>
      </c>
      <c r="AX61" s="23">
        <f t="shared" si="6"/>
        <v>9.2556332562000208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5.6843418860808015E-14</v>
      </c>
      <c r="BE61" s="14">
        <f>BD61*VLOOKUP('Données projet'!$B$11,Paramètres!$A$1:$I$89,3,0)*VLOOKUP('Données projet'!$B$11,Paramètres!$A$1:$I$89,5,0)</f>
        <v>3.3992364478763198E-14</v>
      </c>
      <c r="BF61" s="14">
        <f t="shared" si="37"/>
        <v>5.790027782444094E-13</v>
      </c>
      <c r="BG61" s="22">
        <f t="shared" si="7"/>
        <v>1.0676332069095257E-12</v>
      </c>
      <c r="BH61" s="62">
        <f t="shared" si="8"/>
        <v>293.33333333333439</v>
      </c>
      <c r="BI61" s="62">
        <f ca="1">AVERAGE(OFFSET($BH$3,0,0,'Données projet'!$E$11+1,1))-AVERAGE(OFFSET($H$3,0,0,'Données projet'!$E$11+1,1))</f>
        <v>150.99976380209381</v>
      </c>
      <c r="BJ61" s="62">
        <f t="shared" si="38"/>
        <v>306.39227726293234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56.747051009315328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1.6234432616641495E-2</v>
      </c>
      <c r="BS61" s="24">
        <f t="shared" si="9"/>
        <v>56.76328544193197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5.2</v>
      </c>
      <c r="AI62" s="14">
        <f>IF('Données projet'!$A$62&gt;35,AI61+AH62-AQ61,IF(A62&lt;'Données projet'!$A$62,$AF$205^A62,IF(A62='Données projet'!$A$62,'Données projet'!$B$62,AI61+AH62-AQ61)))</f>
        <v>239.79999999999984</v>
      </c>
      <c r="AJ62" s="14">
        <f>AI62*VLOOKUP('Données projet'!$B$10,Paramètres!$A$1:$I$89,3,0)*VLOOKUP('Données projet'!$B$10,Paramètres!$A$1:$I$89,5,0)</f>
        <v>194.52575999999991</v>
      </c>
      <c r="AK62" s="14">
        <f t="shared" si="35"/>
        <v>48.539159154841606</v>
      </c>
      <c r="AL62" s="22">
        <f t="shared" si="4"/>
        <v>423.33806752801564</v>
      </c>
      <c r="AM62" s="62">
        <f t="shared" si="5"/>
        <v>716.67140086134896</v>
      </c>
      <c r="AN62" s="62">
        <f ca="1">AVERAGE(OFFSET($AM$3,0,0,'Données projet'!$E$10+1,1))-AVERAGE(OFFSET($H$3,0,0,'Données projet'!$E$10+1,1))</f>
        <v>219.96569743439244</v>
      </c>
      <c r="AO62" s="62">
        <f t="shared" si="36"/>
        <v>219.27079214454579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9.0024939544594584</v>
      </c>
      <c r="AW62" s="23">
        <f>EXP(-LN(2)/2)*AW61+(1-EXP(-LN(2)/2))/(LN(2)/2)*AQ62*AT62*VLOOKUP('Données projet'!$B$10,Paramètres!$A$1:$I$89,3,0)*0.475*44/12</f>
        <v>3.1641071611576285E-5</v>
      </c>
      <c r="AX62" s="23">
        <f t="shared" si="6"/>
        <v>9.0025255955310701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5.6843418860808015E-14</v>
      </c>
      <c r="BE62" s="14">
        <f>BD62*VLOOKUP('Données projet'!$B$11,Paramètres!$A$1:$I$89,3,0)*VLOOKUP('Données projet'!$B$11,Paramètres!$A$1:$I$89,5,0)</f>
        <v>3.3992364478763198E-14</v>
      </c>
      <c r="BF62" s="14">
        <f t="shared" si="37"/>
        <v>5.790027782444094E-13</v>
      </c>
      <c r="BG62" s="22">
        <f t="shared" si="7"/>
        <v>1.0676332069095257E-12</v>
      </c>
      <c r="BH62" s="62">
        <f t="shared" si="8"/>
        <v>293.33333333333439</v>
      </c>
      <c r="BI62" s="62">
        <f ca="1">AVERAGE(OFFSET($BH$3,0,0,'Données projet'!$E$11+1,1))-AVERAGE(OFFSET($H$3,0,0,'Données projet'!$E$11+1,1))</f>
        <v>150.99976380209381</v>
      </c>
      <c r="BJ62" s="62">
        <f t="shared" si="38"/>
        <v>306.39227726293234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55.634275951306094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1.1479477391943268E-2</v>
      </c>
      <c r="BS62" s="24">
        <f t="shared" si="9"/>
        <v>55.645755428698038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245</v>
      </c>
      <c r="AG63" s="13">
        <f>VLOOKUP(A63,'Données projet'!$A$61:$I$81,9,0)</f>
        <v>5.2</v>
      </c>
      <c r="AH63" s="13">
        <f t="array" ref="AH63">INDEX(AG:AG,MIN(IF(ISNUMBER(AG63:AG259),ROW(AG63:AG259),"")))</f>
        <v>5.2</v>
      </c>
      <c r="AI63" s="14">
        <f>IF('Données projet'!$A$62&gt;35,AI62+AH63-AQ62,IF(A63&lt;'Données projet'!$A$62,$AF$205^A63,IF(A63='Données projet'!$A$62,'Données projet'!$B$62,AI62+AH63-AQ62)))</f>
        <v>244.99999999999983</v>
      </c>
      <c r="AJ63" s="14">
        <f>AI63*VLOOKUP('Données projet'!$B$10,Paramètres!$A$1:$I$89,3,0)*VLOOKUP('Données projet'!$B$10,Paramètres!$A$1:$I$89,5,0)</f>
        <v>198.74399999999989</v>
      </c>
      <c r="AK63" s="14">
        <f t="shared" si="35"/>
        <v>49.468035816012154</v>
      </c>
      <c r="AL63" s="22">
        <f t="shared" si="4"/>
        <v>432.30262904622094</v>
      </c>
      <c r="AM63" s="62">
        <f t="shared" si="5"/>
        <v>725.63596237955426</v>
      </c>
      <c r="AN63" s="62">
        <f ca="1">AVERAGE(OFFSET($AM$3,0,0,'Données projet'!$E$10+1,1))-AVERAGE(OFFSET($H$3,0,0,'Données projet'!$E$10+1,1))</f>
        <v>219.96569743439244</v>
      </c>
      <c r="AO63" s="62">
        <f t="shared" si="36"/>
        <v>219.27079214454579</v>
      </c>
      <c r="AP63" s="16">
        <f>IF(ISNA(VLOOKUP(A63,'Données projet'!$A$61:$I$81,3,0)),0,VLOOKUP(A63,'Données projet'!$A$61:$I$81,3,0))</f>
        <v>10</v>
      </c>
      <c r="AQ63" s="16">
        <f>IF(ISNA(VLOOKUP(A63,'Données projet'!$A$61:$I$81,4,0)),0,VLOOKUP(A63,'Données projet'!$A$61:$I$81,4,0))</f>
        <v>12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8.7563202838541834</v>
      </c>
      <c r="AW63" s="23">
        <f>EXP(-LN(2)/2)*AW62+(1-EXP(-LN(2)/2))/(LN(2)/2)*AQ63*AT63*VLOOKUP('Données projet'!$B$10,Paramètres!$A$1:$I$89,3,0)*0.475*44/12</f>
        <v>2.2373616300554753E-5</v>
      </c>
      <c r="AX63" s="23">
        <f t="shared" si="6"/>
        <v>8.7563426574704835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5.6843418860808015E-14</v>
      </c>
      <c r="BE63" s="14">
        <f>BD63*VLOOKUP('Données projet'!$B$11,Paramètres!$A$1:$I$89,3,0)*VLOOKUP('Données projet'!$B$11,Paramètres!$A$1:$I$89,5,0)</f>
        <v>3.3992364478763198E-14</v>
      </c>
      <c r="BF63" s="14">
        <f t="shared" si="37"/>
        <v>5.790027782444094E-13</v>
      </c>
      <c r="BG63" s="22">
        <f t="shared" si="7"/>
        <v>1.0676332069095257E-12</v>
      </c>
      <c r="BH63" s="62">
        <f t="shared" si="8"/>
        <v>293.33333333333439</v>
      </c>
      <c r="BI63" s="62">
        <f ca="1">AVERAGE(OFFSET($BH$3,0,0,'Données projet'!$E$11+1,1))-AVERAGE(OFFSET($H$3,0,0,'Données projet'!$E$11+1,1))</f>
        <v>150.99976380209381</v>
      </c>
      <c r="BJ63" s="62">
        <f t="shared" si="38"/>
        <v>306.39227726293234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54.543321733458654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8.1172163083207474E-3</v>
      </c>
      <c r="BS63" s="24">
        <f t="shared" si="9"/>
        <v>54.551438949766975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4.4000000000000004</v>
      </c>
      <c r="AI64" s="14">
        <f>IF('Données projet'!$A$62&gt;35,AI63+AH64-AQ63,IF(A64&lt;'Données projet'!$A$62,$AF$205^A64,IF(A64='Données projet'!$A$62,'Données projet'!$B$62,AI63+AH64-AQ63)))</f>
        <v>237.39999999999984</v>
      </c>
      <c r="AJ64" s="14">
        <f>AI64*VLOOKUP('Données projet'!$B$10,Paramètres!$A$1:$I$89,3,0)*VLOOKUP('Données projet'!$B$10,Paramètres!$A$1:$I$89,5,0)</f>
        <v>192.57887999999988</v>
      </c>
      <c r="AK64" s="14">
        <f t="shared" si="35"/>
        <v>48.109658468565421</v>
      </c>
      <c r="AL64" s="22">
        <f t="shared" si="4"/>
        <v>419.19920449941787</v>
      </c>
      <c r="AM64" s="62">
        <f t="shared" si="5"/>
        <v>712.53253783275113</v>
      </c>
      <c r="AN64" s="62">
        <f ca="1">AVERAGE(OFFSET($AM$3,0,0,'Données projet'!$E$10+1,1))-AVERAGE(OFFSET($H$3,0,0,'Données projet'!$E$10+1,1))</f>
        <v>219.96569743439244</v>
      </c>
      <c r="AO64" s="62">
        <f t="shared" si="36"/>
        <v>219.27079214454579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8.5168782452173204</v>
      </c>
      <c r="AW64" s="23">
        <f>EXP(-LN(2)/2)*AW63+(1-EXP(-LN(2)/2))/(LN(2)/2)*AQ64*AT64*VLOOKUP('Données projet'!$B$10,Paramètres!$A$1:$I$89,3,0)*0.475*44/12</f>
        <v>1.5820535805788143E-5</v>
      </c>
      <c r="AX64" s="23">
        <f t="shared" si="6"/>
        <v>8.5168940657531262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5.6843418860808015E-14</v>
      </c>
      <c r="BE64" s="14">
        <f>BD64*VLOOKUP('Données projet'!$B$11,Paramètres!$A$1:$I$89,3,0)*VLOOKUP('Données projet'!$B$11,Paramètres!$A$1:$I$89,5,0)</f>
        <v>3.3992364478763198E-14</v>
      </c>
      <c r="BF64" s="14">
        <f t="shared" si="37"/>
        <v>5.790027782444094E-13</v>
      </c>
      <c r="BG64" s="22">
        <f t="shared" si="7"/>
        <v>1.0676332069095257E-12</v>
      </c>
      <c r="BH64" s="62">
        <f t="shared" si="8"/>
        <v>293.33333333333439</v>
      </c>
      <c r="BI64" s="62">
        <f ca="1">AVERAGE(OFFSET($BH$3,0,0,'Données projet'!$E$11+1,1))-AVERAGE(OFFSET($H$3,0,0,'Données projet'!$E$11+1,1))</f>
        <v>150.99976380209381</v>
      </c>
      <c r="BJ64" s="62">
        <f t="shared" si="38"/>
        <v>306.39227726293234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53.47376046240683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5.7397386959716339E-3</v>
      </c>
      <c r="BS64" s="24">
        <f t="shared" si="9"/>
        <v>53.479500201102802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4.4000000000000004</v>
      </c>
      <c r="AI65" s="14">
        <f>IF('Données projet'!$A$62&gt;35,AI64+AH65-AQ64,IF(A65&lt;'Données projet'!$A$62,$AF$205^A65,IF(A65='Données projet'!$A$62,'Données projet'!$B$62,AI64+AH65-AQ64)))</f>
        <v>241.79999999999984</v>
      </c>
      <c r="AJ65" s="14">
        <f>AI65*VLOOKUP('Données projet'!$B$10,Paramètres!$A$1:$I$89,3,0)*VLOOKUP('Données projet'!$B$10,Paramètres!$A$1:$I$89,5,0)</f>
        <v>196.14815999999988</v>
      </c>
      <c r="AK65" s="14">
        <f t="shared" si="35"/>
        <v>48.896694156917398</v>
      </c>
      <c r="AL65" s="22">
        <f t="shared" si="4"/>
        <v>426.78645432329751</v>
      </c>
      <c r="AM65" s="62">
        <f t="shared" si="5"/>
        <v>720.11978765663082</v>
      </c>
      <c r="AN65" s="62">
        <f ca="1">AVERAGE(OFFSET($AM$3,0,0,'Données projet'!$E$10+1,1))-AVERAGE(OFFSET($H$3,0,0,'Données projet'!$E$10+1,1))</f>
        <v>219.96569743439244</v>
      </c>
      <c r="AO65" s="62">
        <f t="shared" si="36"/>
        <v>219.27079214454579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8.2839837617186909</v>
      </c>
      <c r="AW65" s="23">
        <f>EXP(-LN(2)/2)*AW64+(1-EXP(-LN(2)/2))/(LN(2)/2)*AQ65*AT65*VLOOKUP('Données projet'!$B$10,Paramètres!$A$1:$I$89,3,0)*0.475*44/12</f>
        <v>1.1186808150277377E-5</v>
      </c>
      <c r="AX65" s="23">
        <f t="shared" si="6"/>
        <v>8.2839949485268409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5.6843418860808015E-14</v>
      </c>
      <c r="BE65" s="14">
        <f>BD65*VLOOKUP('Données projet'!$B$11,Paramètres!$A$1:$I$89,3,0)*VLOOKUP('Données projet'!$B$11,Paramètres!$A$1:$I$89,5,0)</f>
        <v>3.3992364478763198E-14</v>
      </c>
      <c r="BF65" s="14">
        <f t="shared" si="37"/>
        <v>5.790027782444094E-13</v>
      </c>
      <c r="BG65" s="22">
        <f t="shared" si="7"/>
        <v>1.0676332069095257E-12</v>
      </c>
      <c r="BH65" s="62">
        <f t="shared" si="8"/>
        <v>293.33333333333439</v>
      </c>
      <c r="BI65" s="62">
        <f ca="1">AVERAGE(OFFSET($BH$3,0,0,'Données projet'!$E$11+1,1))-AVERAGE(OFFSET($H$3,0,0,'Données projet'!$E$11+1,1))</f>
        <v>150.99976380209381</v>
      </c>
      <c r="BJ65" s="62">
        <f t="shared" si="38"/>
        <v>306.39227726293234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52.425172635512375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4.0586081541603737E-3</v>
      </c>
      <c r="BS65" s="24">
        <f t="shared" si="9"/>
        <v>52.429231243666536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4.4000000000000004</v>
      </c>
      <c r="AI66" s="14">
        <f>IF('Données projet'!$A$62&gt;35,AI65+AH66-AQ65,IF(A66&lt;'Données projet'!$A$62,$AF$205^A66,IF(A66='Données projet'!$A$62,'Données projet'!$B$62,AI65+AH66-AQ65)))</f>
        <v>246.19999999999985</v>
      </c>
      <c r="AJ66" s="14">
        <f>AI66*VLOOKUP('Données projet'!$B$10,Paramètres!$A$1:$I$89,3,0)*VLOOKUP('Données projet'!$B$10,Paramètres!$A$1:$I$89,5,0)</f>
        <v>199.71743999999987</v>
      </c>
      <c r="AK66" s="14">
        <f t="shared" si="35"/>
        <v>49.682064480920403</v>
      </c>
      <c r="AL66" s="22">
        <f t="shared" si="4"/>
        <v>434.37080363760282</v>
      </c>
      <c r="AM66" s="62">
        <f t="shared" si="5"/>
        <v>727.70413697093613</v>
      </c>
      <c r="AN66" s="62">
        <f ca="1">AVERAGE(OFFSET($AM$3,0,0,'Données projet'!$E$10+1,1))-AVERAGE(OFFSET($H$3,0,0,'Données projet'!$E$10+1,1))</f>
        <v>219.96569743439244</v>
      </c>
      <c r="AO66" s="62">
        <f t="shared" si="36"/>
        <v>219.27079214454579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8.0574577901187201</v>
      </c>
      <c r="AW66" s="23">
        <f>EXP(-LN(2)/2)*AW65+(1-EXP(-LN(2)/2))/(LN(2)/2)*AQ66*AT66*VLOOKUP('Données projet'!$B$10,Paramètres!$A$1:$I$89,3,0)*0.475*44/12</f>
        <v>7.9102679028940714E-6</v>
      </c>
      <c r="AX66" s="23">
        <f t="shared" si="6"/>
        <v>8.0574657003866221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5.6843418860808015E-14</v>
      </c>
      <c r="BE66" s="14">
        <f>BD66*VLOOKUP('Données projet'!$B$11,Paramètres!$A$1:$I$89,3,0)*VLOOKUP('Données projet'!$B$11,Paramètres!$A$1:$I$89,5,0)</f>
        <v>3.3992364478763198E-14</v>
      </c>
      <c r="BF66" s="14">
        <f t="shared" si="37"/>
        <v>5.790027782444094E-13</v>
      </c>
      <c r="BG66" s="22">
        <f t="shared" si="7"/>
        <v>1.0676332069095257E-12</v>
      </c>
      <c r="BH66" s="62">
        <f t="shared" si="8"/>
        <v>293.33333333333439</v>
      </c>
      <c r="BI66" s="62">
        <f ca="1">AVERAGE(OFFSET($BH$3,0,0,'Données projet'!$E$11+1,1))-AVERAGE(OFFSET($H$3,0,0,'Données projet'!$E$11+1,1))</f>
        <v>150.99976380209381</v>
      </c>
      <c r="BJ66" s="62">
        <f t="shared" si="38"/>
        <v>306.39227726293234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51.397146976327896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2.869869347985817E-3</v>
      </c>
      <c r="BS66" s="24">
        <f t="shared" si="9"/>
        <v>51.400016845675879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4.4000000000000004</v>
      </c>
      <c r="AI67" s="14">
        <f>IF('Données projet'!$A$62&gt;35,AI66+AH67-AQ66,IF(A67&lt;'Données projet'!$A$62,$AF$205^A67,IF(A67='Données projet'!$A$62,'Données projet'!$B$62,AI66+AH67-AQ66)))</f>
        <v>250.59999999999985</v>
      </c>
      <c r="AJ67" s="14">
        <f>AI67*VLOOKUP('Données projet'!$B$10,Paramètres!$A$1:$I$89,3,0)*VLOOKUP('Données projet'!$B$10,Paramètres!$A$1:$I$89,5,0)</f>
        <v>203.28671999999989</v>
      </c>
      <c r="AK67" s="14">
        <f t="shared" si="35"/>
        <v>50.465802636798685</v>
      </c>
      <c r="AL67" s="22">
        <f t="shared" si="4"/>
        <v>441.95231025909084</v>
      </c>
      <c r="AM67" s="62">
        <f t="shared" si="5"/>
        <v>735.28564359242409</v>
      </c>
      <c r="AN67" s="62">
        <f ca="1">AVERAGE(OFFSET($AM$3,0,0,'Données projet'!$E$10+1,1))-AVERAGE(OFFSET($H$3,0,0,'Données projet'!$E$10+1,1))</f>
        <v>219.96569743439244</v>
      </c>
      <c r="AO67" s="62">
        <f t="shared" si="36"/>
        <v>219.27079214454579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7.8371261831246342</v>
      </c>
      <c r="AW67" s="23">
        <f>EXP(-LN(2)/2)*AW66+(1-EXP(-LN(2)/2))/(LN(2)/2)*AQ67*AT67*VLOOKUP('Données projet'!$B$10,Paramètres!$A$1:$I$89,3,0)*0.475*44/12</f>
        <v>5.5934040751386883E-6</v>
      </c>
      <c r="AX67" s="23">
        <f t="shared" si="6"/>
        <v>7.8371317765287092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5.6843418860808015E-14</v>
      </c>
      <c r="BE67" s="14">
        <f>BD67*VLOOKUP('Données projet'!$B$11,Paramètres!$A$1:$I$89,3,0)*VLOOKUP('Données projet'!$B$11,Paramètres!$A$1:$I$89,5,0)</f>
        <v>3.3992364478763198E-14</v>
      </c>
      <c r="BF67" s="14">
        <f t="shared" si="37"/>
        <v>5.790027782444094E-13</v>
      </c>
      <c r="BG67" s="22">
        <f t="shared" si="7"/>
        <v>1.0676332069095257E-12</v>
      </c>
      <c r="BH67" s="62">
        <f t="shared" si="8"/>
        <v>293.33333333333439</v>
      </c>
      <c r="BI67" s="62">
        <f ca="1">AVERAGE(OFFSET($BH$3,0,0,'Données projet'!$E$11+1,1))-AVERAGE(OFFSET($H$3,0,0,'Données projet'!$E$11+1,1))</f>
        <v>150.99976380209381</v>
      </c>
      <c r="BJ67" s="62">
        <f t="shared" si="38"/>
        <v>306.39227726293234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50.389280273286289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2.0293040770801869E-3</v>
      </c>
      <c r="BS67" s="24">
        <f t="shared" si="9"/>
        <v>50.391309577363366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255</v>
      </c>
      <c r="AG68" s="13">
        <f>VLOOKUP(A68,'Données projet'!$A$61:$I$81,9,0)</f>
        <v>4.4000000000000004</v>
      </c>
      <c r="AH68" s="13">
        <f t="array" ref="AH68">INDEX(AG:AG,MIN(IF(ISNUMBER(AG68:AG264),ROW(AG68:AG264),"")))</f>
        <v>4.4000000000000004</v>
      </c>
      <c r="AI68" s="14">
        <f>IF('Données projet'!$A$62&gt;35,AI67+AH68-AQ67,IF(A68&lt;'Données projet'!$A$62,$AF$205^A68,IF(A68='Données projet'!$A$62,'Données projet'!$B$62,AI67+AH68-AQ67)))</f>
        <v>254.99999999999986</v>
      </c>
      <c r="AJ68" s="14">
        <f>AI68*VLOOKUP('Données projet'!$B$10,Paramètres!$A$1:$I$89,3,0)*VLOOKUP('Données projet'!$B$10,Paramètres!$A$1:$I$89,5,0)</f>
        <v>206.85599999999991</v>
      </c>
      <c r="AK68" s="14">
        <f t="shared" si="35"/>
        <v>51.247940588293027</v>
      </c>
      <c r="AL68" s="22">
        <f t="shared" ref="AL68:AL131" si="58">(AJ68+AK68)*0.475*44/12</f>
        <v>449.53102985794345</v>
      </c>
      <c r="AM68" s="62">
        <f t="shared" ref="AM68:AM131" si="59">AL68+(AD68+AE68)*44/12</f>
        <v>742.86436319127677</v>
      </c>
      <c r="AN68" s="62">
        <f ca="1">AVERAGE(OFFSET($AM$3,0,0,'Données projet'!$E$10+1,1))-AVERAGE(OFFSET($H$3,0,0,'Données projet'!$E$10+1,1))</f>
        <v>219.96569743439244</v>
      </c>
      <c r="AO68" s="62">
        <f t="shared" si="36"/>
        <v>219.27079214454579</v>
      </c>
      <c r="AP68" s="16">
        <f>IF(ISNA(VLOOKUP(A68,'Données projet'!$A$61:$I$81,3,0)),0,VLOOKUP(A68,'Données projet'!$A$61:$I$81,3,0))</f>
        <v>11</v>
      </c>
      <c r="AQ68" s="16">
        <f>IF(ISNA(VLOOKUP(A68,'Données projet'!$A$61:$I$81,4,0)),0,VLOOKUP(A68,'Données projet'!$A$61:$I$81,4,0))</f>
        <v>11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7.6228195555105369</v>
      </c>
      <c r="AW68" s="23">
        <f>EXP(-LN(2)/2)*AW67+(1-EXP(-LN(2)/2))/(LN(2)/2)*AQ68*AT68*VLOOKUP('Données projet'!$B$10,Paramètres!$A$1:$I$89,3,0)*0.475*44/12</f>
        <v>3.9551339514470357E-6</v>
      </c>
      <c r="AX68" s="23">
        <f t="shared" ref="AX68:AX131" si="60">SUM(AU68:AW68)</f>
        <v>7.6228235106444879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5.6843418860808015E-14</v>
      </c>
      <c r="BE68" s="14">
        <f>BD68*VLOOKUP('Données projet'!$B$11,Paramètres!$A$1:$I$89,3,0)*VLOOKUP('Données projet'!$B$11,Paramètres!$A$1:$I$89,5,0)</f>
        <v>3.3992364478763198E-14</v>
      </c>
      <c r="BF68" s="14">
        <f t="shared" si="37"/>
        <v>5.790027782444094E-13</v>
      </c>
      <c r="BG68" s="22">
        <f t="shared" ref="BG68:BG131" si="61">(BE68+BF68)*0.475*44/12</f>
        <v>1.0676332069095257E-12</v>
      </c>
      <c r="BH68" s="62">
        <f t="shared" ref="BH68:BH131" si="62">BG68+(AY68+AZ68)*44/12</f>
        <v>293.33333333333439</v>
      </c>
      <c r="BI68" s="62">
        <f ca="1">AVERAGE(OFFSET($BH$3,0,0,'Données projet'!$E$11+1,1))-AVERAGE(OFFSET($H$3,0,0,'Données projet'!$E$11+1,1))</f>
        <v>150.99976380209381</v>
      </c>
      <c r="BJ68" s="62">
        <f t="shared" si="38"/>
        <v>306.39227726293234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49.40117722155334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1.4349346739929085E-3</v>
      </c>
      <c r="BS68" s="24">
        <f t="shared" ref="BS68:BS131" si="63">SUM(BP68:BR68)</f>
        <v>49.402612156227335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3.8</v>
      </c>
      <c r="AI69" s="14">
        <f>IF('Données projet'!$A$62&gt;35,AI68+AH69-AQ68,IF(A69&lt;'Données projet'!$A$62,$AF$205^A69,IF(A69='Données projet'!$A$62,'Données projet'!$B$62,AI68+AH69-AQ68)))</f>
        <v>247.79999999999984</v>
      </c>
      <c r="AJ69" s="14">
        <f>AI69*VLOOKUP('Données projet'!$B$10,Paramètres!$A$1:$I$89,3,0)*VLOOKUP('Données projet'!$B$10,Paramètres!$A$1:$I$89,5,0)</f>
        <v>201.01535999999987</v>
      </c>
      <c r="AK69" s="14">
        <f t="shared" ref="AK69:AK132" si="89">EXP(-1.0587+0.8836*LN(AJ69)+0.284)</f>
        <v>49.96724731300592</v>
      </c>
      <c r="AL69" s="22">
        <f t="shared" si="58"/>
        <v>437.12804107015171</v>
      </c>
      <c r="AM69" s="62">
        <f t="shared" si="59"/>
        <v>730.46137440348502</v>
      </c>
      <c r="AN69" s="62">
        <f ca="1">AVERAGE(OFFSET($AM$3,0,0,'Données projet'!$E$10+1,1))-AVERAGE(OFFSET($H$3,0,0,'Données projet'!$E$10+1,1))</f>
        <v>219.96569743439244</v>
      </c>
      <c r="AO69" s="62">
        <f t="shared" ref="AO69:AO132" si="90">$AO$3</f>
        <v>219.27079214454579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7.4143731538984428</v>
      </c>
      <c r="AW69" s="23">
        <f>EXP(-LN(2)/2)*AW68+(1-EXP(-LN(2)/2))/(LN(2)/2)*AQ69*AT69*VLOOKUP('Données projet'!$B$10,Paramètres!$A$1:$I$89,3,0)*0.475*44/12</f>
        <v>2.7967020375693441E-6</v>
      </c>
      <c r="AX69" s="23">
        <f t="shared" si="60"/>
        <v>7.4143759506004807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5.6843418860808015E-14</v>
      </c>
      <c r="BE69" s="14">
        <f>BD69*VLOOKUP('Données projet'!$B$11,Paramètres!$A$1:$I$89,3,0)*VLOOKUP('Données projet'!$B$11,Paramètres!$A$1:$I$89,5,0)</f>
        <v>3.3992364478763198E-14</v>
      </c>
      <c r="BF69" s="14">
        <f t="shared" ref="BF69:BF132" si="91">EXP(-1.0587+0.8836*LN(BE69)+0.284)</f>
        <v>5.790027782444094E-13</v>
      </c>
      <c r="BG69" s="22">
        <f t="shared" si="61"/>
        <v>1.0676332069095257E-12</v>
      </c>
      <c r="BH69" s="62">
        <f t="shared" si="62"/>
        <v>293.33333333333439</v>
      </c>
      <c r="BI69" s="62">
        <f ca="1">AVERAGE(OFFSET($BH$3,0,0,'Données projet'!$E$11+1,1))-AVERAGE(OFFSET($H$3,0,0,'Données projet'!$E$11+1,1))</f>
        <v>150.99976380209381</v>
      </c>
      <c r="BJ69" s="62">
        <f t="shared" ref="BJ69:BJ132" si="92">$BJ$3</f>
        <v>306.39227726293234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48.432450267981523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1.0146520385400934E-3</v>
      </c>
      <c r="BS69" s="24">
        <f t="shared" si="63"/>
        <v>48.433464920020064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3.8</v>
      </c>
      <c r="AI70" s="14">
        <f>IF('Données projet'!$A$62&gt;35,AI69+AH70-AQ69,IF(A70&lt;'Données projet'!$A$62,$AF$205^A70,IF(A70='Données projet'!$A$62,'Données projet'!$B$62,AI69+AH70-AQ69)))</f>
        <v>251.59999999999985</v>
      </c>
      <c r="AJ70" s="14">
        <f>AI70*VLOOKUP('Données projet'!$B$10,Paramètres!$A$1:$I$89,3,0)*VLOOKUP('Données projet'!$B$10,Paramètres!$A$1:$I$89,5,0)</f>
        <v>204.0979199999999</v>
      </c>
      <c r="AK70" s="14">
        <f t="shared" si="89"/>
        <v>50.643700651523019</v>
      </c>
      <c r="AL70" s="22">
        <f t="shared" si="58"/>
        <v>443.67498930140238</v>
      </c>
      <c r="AM70" s="62">
        <f t="shared" si="59"/>
        <v>737.00832263473569</v>
      </c>
      <c r="AN70" s="62">
        <f ca="1">AVERAGE(OFFSET($AM$3,0,0,'Données projet'!$E$10+1,1))-AVERAGE(OFFSET($H$3,0,0,'Données projet'!$E$10+1,1))</f>
        <v>219.96569743439244</v>
      </c>
      <c r="AO70" s="62">
        <f t="shared" si="90"/>
        <v>219.27079214454579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7.2116267301001518</v>
      </c>
      <c r="AW70" s="23">
        <f>EXP(-LN(2)/2)*AW69+(1-EXP(-LN(2)/2))/(LN(2)/2)*AQ70*AT70*VLOOKUP('Données projet'!$B$10,Paramètres!$A$1:$I$89,3,0)*0.475*44/12</f>
        <v>1.9775669757235178E-6</v>
      </c>
      <c r="AX70" s="23">
        <f t="shared" si="60"/>
        <v>7.2116287076671277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5.6843418860808015E-14</v>
      </c>
      <c r="BE70" s="14">
        <f>BD70*VLOOKUP('Données projet'!$B$11,Paramètres!$A$1:$I$89,3,0)*VLOOKUP('Données projet'!$B$11,Paramètres!$A$1:$I$89,5,0)</f>
        <v>3.3992364478763198E-14</v>
      </c>
      <c r="BF70" s="14">
        <f t="shared" si="91"/>
        <v>5.790027782444094E-13</v>
      </c>
      <c r="BG70" s="22">
        <f t="shared" si="61"/>
        <v>1.0676332069095257E-12</v>
      </c>
      <c r="BH70" s="62">
        <f t="shared" si="62"/>
        <v>293.33333333333439</v>
      </c>
      <c r="BI70" s="62">
        <f ca="1">AVERAGE(OFFSET($BH$3,0,0,'Données projet'!$E$11+1,1))-AVERAGE(OFFSET($H$3,0,0,'Données projet'!$E$11+1,1))</f>
        <v>150.99976380209381</v>
      </c>
      <c r="BJ70" s="62">
        <f t="shared" si="92"/>
        <v>306.39227726293234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47.482719459104146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7.1746733699645424E-4</v>
      </c>
      <c r="BS70" s="24">
        <f t="shared" si="63"/>
        <v>47.483436926441144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3.8</v>
      </c>
      <c r="AI71" s="14">
        <f>IF('Données projet'!$A$62&gt;35,AI70+AH71-AQ70,IF(A71&lt;'Données projet'!$A$62,$AF$205^A71,IF(A71='Données projet'!$A$62,'Données projet'!$B$62,AI70+AH71-AQ70)))</f>
        <v>255.39999999999986</v>
      </c>
      <c r="AJ71" s="14">
        <f>AI71*VLOOKUP('Données projet'!$B$10,Paramètres!$A$1:$I$89,3,0)*VLOOKUP('Données projet'!$B$10,Paramètres!$A$1:$I$89,5,0)</f>
        <v>207.1804799999999</v>
      </c>
      <c r="AK71" s="14">
        <f t="shared" si="89"/>
        <v>51.318965762681508</v>
      </c>
      <c r="AL71" s="22">
        <f t="shared" si="58"/>
        <v>450.21986803667011</v>
      </c>
      <c r="AM71" s="62">
        <f t="shared" si="59"/>
        <v>743.55320137000342</v>
      </c>
      <c r="AN71" s="62">
        <f ca="1">AVERAGE(OFFSET($AM$3,0,0,'Données projet'!$E$10+1,1))-AVERAGE(OFFSET($H$3,0,0,'Données projet'!$E$10+1,1))</f>
        <v>219.96569743439244</v>
      </c>
      <c r="AO71" s="62">
        <f t="shared" si="90"/>
        <v>219.27079214454579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7.0144244179225961</v>
      </c>
      <c r="AW71" s="23">
        <f>EXP(-LN(2)/2)*AW70+(1-EXP(-LN(2)/2))/(LN(2)/2)*AQ71*AT71*VLOOKUP('Données projet'!$B$10,Paramètres!$A$1:$I$89,3,0)*0.475*44/12</f>
        <v>1.3983510187846721E-6</v>
      </c>
      <c r="AX71" s="23">
        <f t="shared" si="60"/>
        <v>7.0144258162736151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5.6843418860808015E-14</v>
      </c>
      <c r="BE71" s="14">
        <f>BD71*VLOOKUP('Données projet'!$B$11,Paramètres!$A$1:$I$89,3,0)*VLOOKUP('Données projet'!$B$11,Paramètres!$A$1:$I$89,5,0)</f>
        <v>3.3992364478763198E-14</v>
      </c>
      <c r="BF71" s="14">
        <f t="shared" si="91"/>
        <v>5.790027782444094E-13</v>
      </c>
      <c r="BG71" s="22">
        <f t="shared" si="61"/>
        <v>1.0676332069095257E-12</v>
      </c>
      <c r="BH71" s="62">
        <f t="shared" si="62"/>
        <v>293.33333333333439</v>
      </c>
      <c r="BI71" s="62">
        <f ca="1">AVERAGE(OFFSET($BH$3,0,0,'Données projet'!$E$11+1,1))-AVERAGE(OFFSET($H$3,0,0,'Données projet'!$E$11+1,1))</f>
        <v>150.99976380209381</v>
      </c>
      <c r="BJ71" s="62">
        <f t="shared" si="92"/>
        <v>306.39227726293234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46.551612292110264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5.0732601927004671E-4</v>
      </c>
      <c r="BS71" s="24">
        <f t="shared" si="63"/>
        <v>46.552119618129531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3.8</v>
      </c>
      <c r="AI72" s="14">
        <f>IF('Données projet'!$A$62&gt;35,AI71+AH72-AQ71,IF(A72&lt;'Données projet'!$A$62,$AF$205^A72,IF(A72='Données projet'!$A$62,'Données projet'!$B$62,AI71+AH72-AQ71)))</f>
        <v>259.19999999999987</v>
      </c>
      <c r="AJ72" s="14">
        <f>AI72*VLOOKUP('Données projet'!$B$10,Paramètres!$A$1:$I$89,3,0)*VLOOKUP('Données projet'!$B$10,Paramètres!$A$1:$I$89,5,0)</f>
        <v>210.2630399999999</v>
      </c>
      <c r="AK72" s="14">
        <f t="shared" si="89"/>
        <v>51.993062367907982</v>
      </c>
      <c r="AL72" s="22">
        <f t="shared" si="58"/>
        <v>456.7627116241062</v>
      </c>
      <c r="AM72" s="62">
        <f t="shared" si="59"/>
        <v>750.09604495743952</v>
      </c>
      <c r="AN72" s="62">
        <f ca="1">AVERAGE(OFFSET($AM$3,0,0,'Données projet'!$E$10+1,1))-AVERAGE(OFFSET($H$3,0,0,'Données projet'!$E$10+1,1))</f>
        <v>219.96569743439244</v>
      </c>
      <c r="AO72" s="62">
        <f t="shared" si="90"/>
        <v>219.27079214454579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6.8226146133419538</v>
      </c>
      <c r="AW72" s="23">
        <f>EXP(-LN(2)/2)*AW71+(1-EXP(-LN(2)/2))/(LN(2)/2)*AQ72*AT72*VLOOKUP('Données projet'!$B$10,Paramètres!$A$1:$I$89,3,0)*0.475*44/12</f>
        <v>9.8878348786175892E-7</v>
      </c>
      <c r="AX72" s="23">
        <f t="shared" si="60"/>
        <v>6.8226156021254418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5.6843418860808015E-14</v>
      </c>
      <c r="BE72" s="14">
        <f>BD72*VLOOKUP('Données projet'!$B$11,Paramètres!$A$1:$I$89,3,0)*VLOOKUP('Données projet'!$B$11,Paramètres!$A$1:$I$89,5,0)</f>
        <v>3.3992364478763198E-14</v>
      </c>
      <c r="BF72" s="14">
        <f t="shared" si="91"/>
        <v>5.790027782444094E-13</v>
      </c>
      <c r="BG72" s="22">
        <f t="shared" si="61"/>
        <v>1.0676332069095257E-12</v>
      </c>
      <c r="BH72" s="62">
        <f t="shared" si="62"/>
        <v>293.33333333333439</v>
      </c>
      <c r="BI72" s="62">
        <f ca="1">AVERAGE(OFFSET($BH$3,0,0,'Données projet'!$E$11+1,1))-AVERAGE(OFFSET($H$3,0,0,'Données projet'!$E$11+1,1))</f>
        <v>150.99976380209381</v>
      </c>
      <c r="BJ72" s="62">
        <f t="shared" si="92"/>
        <v>306.39227726293234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45.638763568741837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3.5873366849822712E-4</v>
      </c>
      <c r="BS72" s="24">
        <f t="shared" si="63"/>
        <v>45.639122302410335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3.8</v>
      </c>
      <c r="AH73" s="13">
        <f t="array" ref="AH73">INDEX(AG:AG,MIN(IF(ISNUMBER(AG73:AG269),ROW(AG73:AG269),"")))</f>
        <v>3.8</v>
      </c>
      <c r="AI73" s="14">
        <f>IF('Données projet'!$A$62&gt;35,AI72+AH73-AQ72,IF(A73&lt;'Données projet'!$A$62,$AF$205^A73,IF(A73='Données projet'!$A$62,'Données projet'!$B$62,AI72+AH73-AQ72)))</f>
        <v>262.99999999999989</v>
      </c>
      <c r="AJ73" s="14">
        <f>AI73*VLOOKUP('Données projet'!$B$10,Paramètres!$A$1:$I$89,3,0)*VLOOKUP('Données projet'!$B$10,Paramètres!$A$1:$I$89,5,0)</f>
        <v>213.34559999999991</v>
      </c>
      <c r="AK73" s="14">
        <f t="shared" si="89"/>
        <v>52.666009577179437</v>
      </c>
      <c r="AL73" s="22">
        <f t="shared" si="58"/>
        <v>463.30355334692064</v>
      </c>
      <c r="AM73" s="62">
        <f t="shared" si="59"/>
        <v>756.63688668025395</v>
      </c>
      <c r="AN73" s="62">
        <f ca="1">AVERAGE(OFFSET($AM$3,0,0,'Données projet'!$E$10+1,1))-AVERAGE(OFFSET($H$3,0,0,'Données projet'!$E$10+1,1))</f>
        <v>219.96569743439244</v>
      </c>
      <c r="AO73" s="62">
        <f t="shared" si="90"/>
        <v>219.27079214454579</v>
      </c>
      <c r="AP73" s="16">
        <f>IF(ISNA(VLOOKUP(A73,'Données projet'!$A$61:$I$81,3,0)),0,VLOOKUP(A73,'Données projet'!$A$61:$I$81,3,0))</f>
        <v>12</v>
      </c>
      <c r="AQ73" s="16">
        <f>IF(ISNA(VLOOKUP(A73,'Données projet'!$A$61:$I$81,4,0)),0,VLOOKUP(A73,'Données projet'!$A$61:$I$81,4,0))</f>
        <v>10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6.6360498579544087</v>
      </c>
      <c r="AW73" s="23">
        <f>EXP(-LN(2)/2)*AW72+(1-EXP(-LN(2)/2))/(LN(2)/2)*AQ73*AT73*VLOOKUP('Données projet'!$B$10,Paramètres!$A$1:$I$89,3,0)*0.475*44/12</f>
        <v>6.9917550939233603E-7</v>
      </c>
      <c r="AX73" s="23">
        <f t="shared" si="60"/>
        <v>6.6360505571299182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5.6843418860808015E-14</v>
      </c>
      <c r="BE73" s="14">
        <f>BD73*VLOOKUP('Données projet'!$B$11,Paramètres!$A$1:$I$89,3,0)*VLOOKUP('Données projet'!$B$11,Paramètres!$A$1:$I$89,5,0)</f>
        <v>3.3992364478763198E-14</v>
      </c>
      <c r="BF73" s="14">
        <f t="shared" si="91"/>
        <v>5.790027782444094E-13</v>
      </c>
      <c r="BG73" s="22">
        <f t="shared" si="61"/>
        <v>1.0676332069095257E-12</v>
      </c>
      <c r="BH73" s="62">
        <f t="shared" si="62"/>
        <v>293.33333333333439</v>
      </c>
      <c r="BI73" s="62">
        <f ca="1">AVERAGE(OFFSET($BH$3,0,0,'Données projet'!$E$11+1,1))-AVERAGE(OFFSET($H$3,0,0,'Données projet'!$E$11+1,1))</f>
        <v>150.99976380209381</v>
      </c>
      <c r="BJ73" s="62">
        <f t="shared" si="92"/>
        <v>306.39227726293234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44.743815252055924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2.5366300963502336E-4</v>
      </c>
      <c r="BS73" s="24">
        <f t="shared" si="63"/>
        <v>44.744068915065561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3.4</v>
      </c>
      <c r="AI74" s="14">
        <f>IF('Données projet'!$A$62&gt;35,AI73+AH74-AQ73,IF(A74&lt;'Données projet'!$A$62,$AF$205^A74,IF(A74='Données projet'!$A$62,'Données projet'!$B$62,AI73+AH74-AQ73)))</f>
        <v>256.39999999999986</v>
      </c>
      <c r="AJ74" s="14">
        <f>AI74*VLOOKUP('Données projet'!$B$10,Paramètres!$A$1:$I$89,3,0)*VLOOKUP('Données projet'!$B$10,Paramètres!$A$1:$I$89,5,0)</f>
        <v>207.99167999999992</v>
      </c>
      <c r="AK74" s="14">
        <f t="shared" si="89"/>
        <v>51.496472105486831</v>
      </c>
      <c r="AL74" s="22">
        <f t="shared" si="58"/>
        <v>451.94186491705608</v>
      </c>
      <c r="AM74" s="62">
        <f t="shared" si="59"/>
        <v>745.27519825038939</v>
      </c>
      <c r="AN74" s="62">
        <f ca="1">AVERAGE(OFFSET($AM$3,0,0,'Données projet'!$E$10+1,1))-AVERAGE(OFFSET($H$3,0,0,'Données projet'!$E$10+1,1))</f>
        <v>219.96569743439244</v>
      </c>
      <c r="AO74" s="62">
        <f t="shared" si="90"/>
        <v>219.27079214454579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6.4545867256139502</v>
      </c>
      <c r="AW74" s="23">
        <f>EXP(-LN(2)/2)*AW73+(1-EXP(-LN(2)/2))/(LN(2)/2)*AQ74*AT74*VLOOKUP('Données projet'!$B$10,Paramètres!$A$1:$I$89,3,0)*0.475*44/12</f>
        <v>4.9439174393087946E-7</v>
      </c>
      <c r="AX74" s="23">
        <f t="shared" si="60"/>
        <v>6.4545872200056937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5.6843418860808015E-14</v>
      </c>
      <c r="BE74" s="14">
        <f>BD74*VLOOKUP('Données projet'!$B$11,Paramètres!$A$1:$I$89,3,0)*VLOOKUP('Données projet'!$B$11,Paramètres!$A$1:$I$89,5,0)</f>
        <v>3.3992364478763198E-14</v>
      </c>
      <c r="BF74" s="14">
        <f t="shared" si="91"/>
        <v>5.790027782444094E-13</v>
      </c>
      <c r="BG74" s="22">
        <f t="shared" si="61"/>
        <v>1.0676332069095257E-12</v>
      </c>
      <c r="BH74" s="62">
        <f t="shared" si="62"/>
        <v>293.33333333333439</v>
      </c>
      <c r="BI74" s="62">
        <f ca="1">AVERAGE(OFFSET($BH$3,0,0,'Données projet'!$E$11+1,1))-AVERAGE(OFFSET($H$3,0,0,'Données projet'!$E$11+1,1))</f>
        <v>150.99976380209381</v>
      </c>
      <c r="BJ74" s="62">
        <f t="shared" si="92"/>
        <v>306.39227726293234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43.866416325995644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1.7936683424911356E-4</v>
      </c>
      <c r="BS74" s="24">
        <f t="shared" si="63"/>
        <v>43.86659569282989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3.4</v>
      </c>
      <c r="AI75" s="14">
        <f>IF('Données projet'!$A$62&gt;35,AI74+AH75-AQ74,IF(A75&lt;'Données projet'!$A$62,$AF$205^A75,IF(A75='Données projet'!$A$62,'Données projet'!$B$62,AI74+AH75-AQ74)))</f>
        <v>259.79999999999984</v>
      </c>
      <c r="AJ75" s="14">
        <f>AI75*VLOOKUP('Données projet'!$B$10,Paramètres!$A$1:$I$89,3,0)*VLOOKUP('Données projet'!$B$10,Paramètres!$A$1:$I$89,5,0)</f>
        <v>210.74975999999987</v>
      </c>
      <c r="AK75" s="14">
        <f t="shared" si="89"/>
        <v>52.099393122422597</v>
      </c>
      <c r="AL75" s="22">
        <f t="shared" si="58"/>
        <v>457.79560835488581</v>
      </c>
      <c r="AM75" s="62">
        <f t="shared" si="59"/>
        <v>751.12894168821913</v>
      </c>
      <c r="AN75" s="62">
        <f ca="1">AVERAGE(OFFSET($AM$3,0,0,'Données projet'!$E$10+1,1))-AVERAGE(OFFSET($H$3,0,0,'Données projet'!$E$10+1,1))</f>
        <v>219.96569743439244</v>
      </c>
      <c r="AO75" s="62">
        <f t="shared" si="90"/>
        <v>219.27079214454579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6.2780857121700731</v>
      </c>
      <c r="AW75" s="23">
        <f>EXP(-LN(2)/2)*AW74+(1-EXP(-LN(2)/2))/(LN(2)/2)*AQ75*AT75*VLOOKUP('Données projet'!$B$10,Paramètres!$A$1:$I$89,3,0)*0.475*44/12</f>
        <v>3.4958775469616802E-7</v>
      </c>
      <c r="AX75" s="23">
        <f t="shared" si="60"/>
        <v>6.2780860617578274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5.6843418860808015E-14</v>
      </c>
      <c r="BE75" s="14">
        <f>BD75*VLOOKUP('Données projet'!$B$11,Paramètres!$A$1:$I$89,3,0)*VLOOKUP('Données projet'!$B$11,Paramètres!$A$1:$I$89,5,0)</f>
        <v>3.3992364478763198E-14</v>
      </c>
      <c r="BF75" s="14">
        <f t="shared" si="91"/>
        <v>5.790027782444094E-13</v>
      </c>
      <c r="BG75" s="22">
        <f t="shared" si="61"/>
        <v>1.0676332069095257E-12</v>
      </c>
      <c r="BH75" s="62">
        <f t="shared" si="62"/>
        <v>293.33333333333439</v>
      </c>
      <c r="BI75" s="62">
        <f ca="1">AVERAGE(OFFSET($BH$3,0,0,'Données projet'!$E$11+1,1))-AVERAGE(OFFSET($H$3,0,0,'Données projet'!$E$11+1,1))</f>
        <v>150.99976380209381</v>
      </c>
      <c r="BJ75" s="62">
        <f t="shared" si="92"/>
        <v>306.39227726293234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43.006222657714908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1.2683150481751168E-4</v>
      </c>
      <c r="BS75" s="24">
        <f t="shared" si="63"/>
        <v>43.006349489219723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3.4</v>
      </c>
      <c r="AI76" s="14">
        <f>IF('Données projet'!$A$62&gt;35,AI75+AH76-AQ75,IF(A76&lt;'Données projet'!$A$62,$AF$205^A76,IF(A76='Données projet'!$A$62,'Données projet'!$B$62,AI75+AH76-AQ75)))</f>
        <v>263.19999999999982</v>
      </c>
      <c r="AJ76" s="14">
        <f>AI76*VLOOKUP('Données projet'!$B$10,Paramètres!$A$1:$I$89,3,0)*VLOOKUP('Données projet'!$B$10,Paramètres!$A$1:$I$89,5,0)</f>
        <v>213.50783999999987</v>
      </c>
      <c r="AK76" s="14">
        <f t="shared" si="89"/>
        <v>52.701396365805124</v>
      </c>
      <c r="AL76" s="22">
        <f t="shared" si="58"/>
        <v>463.64775333711032</v>
      </c>
      <c r="AM76" s="62">
        <f t="shared" si="59"/>
        <v>756.98108667044357</v>
      </c>
      <c r="AN76" s="62">
        <f ca="1">AVERAGE(OFFSET($AM$3,0,0,'Données projet'!$E$10+1,1))-AVERAGE(OFFSET($H$3,0,0,'Données projet'!$E$10+1,1))</f>
        <v>219.96569743439244</v>
      </c>
      <c r="AO76" s="62">
        <f t="shared" si="90"/>
        <v>219.27079214454579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6.1064111282206035</v>
      </c>
      <c r="AW76" s="23">
        <f>EXP(-LN(2)/2)*AW75+(1-EXP(-LN(2)/2))/(LN(2)/2)*AQ76*AT76*VLOOKUP('Données projet'!$B$10,Paramètres!$A$1:$I$89,3,0)*0.475*44/12</f>
        <v>2.4719587196543973E-7</v>
      </c>
      <c r="AX76" s="23">
        <f t="shared" si="60"/>
        <v>6.1064113754164753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5.6843418860808015E-14</v>
      </c>
      <c r="BE76" s="14">
        <f>BD76*VLOOKUP('Données projet'!$B$11,Paramètres!$A$1:$I$89,3,0)*VLOOKUP('Données projet'!$B$11,Paramètres!$A$1:$I$89,5,0)</f>
        <v>3.3992364478763198E-14</v>
      </c>
      <c r="BF76" s="14">
        <f t="shared" si="91"/>
        <v>5.790027782444094E-13</v>
      </c>
      <c r="BG76" s="22">
        <f t="shared" si="61"/>
        <v>1.0676332069095257E-12</v>
      </c>
      <c r="BH76" s="62">
        <f t="shared" si="62"/>
        <v>293.33333333333439</v>
      </c>
      <c r="BI76" s="62">
        <f ca="1">AVERAGE(OFFSET($BH$3,0,0,'Données projet'!$E$11+1,1))-AVERAGE(OFFSET($H$3,0,0,'Données projet'!$E$11+1,1))</f>
        <v>150.99976380209381</v>
      </c>
      <c r="BJ76" s="62">
        <f t="shared" si="92"/>
        <v>306.39227726293234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42.162896862602821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8.968341712455678E-5</v>
      </c>
      <c r="BS76" s="24">
        <f t="shared" si="63"/>
        <v>42.162986546019944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3.4</v>
      </c>
      <c r="AI77" s="14">
        <f>IF('Données projet'!$A$62&gt;35,AI76+AH77-AQ76,IF(A77&lt;'Données projet'!$A$62,$AF$205^A77,IF(A77='Données projet'!$A$62,'Données projet'!$B$62,AI76+AH77-AQ76)))</f>
        <v>266.5999999999998</v>
      </c>
      <c r="AJ77" s="14">
        <f>AI77*VLOOKUP('Données projet'!$B$10,Paramètres!$A$1:$I$89,3,0)*VLOOKUP('Données projet'!$B$10,Paramètres!$A$1:$I$89,5,0)</f>
        <v>216.26591999999982</v>
      </c>
      <c r="AK77" s="14">
        <f t="shared" si="89"/>
        <v>53.302495062173776</v>
      </c>
      <c r="AL77" s="22">
        <f t="shared" si="58"/>
        <v>469.49832289995226</v>
      </c>
      <c r="AM77" s="62">
        <f t="shared" si="59"/>
        <v>762.83165623328557</v>
      </c>
      <c r="AN77" s="62">
        <f ca="1">AVERAGE(OFFSET($AM$3,0,0,'Données projet'!$E$10+1,1))-AVERAGE(OFFSET($H$3,0,0,'Données projet'!$E$10+1,1))</f>
        <v>219.96569743439244</v>
      </c>
      <c r="AO77" s="62">
        <f t="shared" si="90"/>
        <v>219.27079214454579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5.9394309947972062</v>
      </c>
      <c r="AW77" s="23">
        <f>EXP(-LN(2)/2)*AW76+(1-EXP(-LN(2)/2))/(LN(2)/2)*AQ77*AT77*VLOOKUP('Données projet'!$B$10,Paramètres!$A$1:$I$89,3,0)*0.475*44/12</f>
        <v>1.7479387734808401E-7</v>
      </c>
      <c r="AX77" s="23">
        <f t="shared" si="60"/>
        <v>5.9394311695910833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5.6843418860808015E-14</v>
      </c>
      <c r="BE77" s="14">
        <f>BD77*VLOOKUP('Données projet'!$B$11,Paramètres!$A$1:$I$89,3,0)*VLOOKUP('Données projet'!$B$11,Paramètres!$A$1:$I$89,5,0)</f>
        <v>3.3992364478763198E-14</v>
      </c>
      <c r="BF77" s="14">
        <f t="shared" si="91"/>
        <v>5.790027782444094E-13</v>
      </c>
      <c r="BG77" s="22">
        <f t="shared" si="61"/>
        <v>1.0676332069095257E-12</v>
      </c>
      <c r="BH77" s="62">
        <f t="shared" si="62"/>
        <v>293.33333333333439</v>
      </c>
      <c r="BI77" s="62">
        <f ca="1">AVERAGE(OFFSET($BH$3,0,0,'Données projet'!$E$11+1,1))-AVERAGE(OFFSET($H$3,0,0,'Données projet'!$E$11+1,1))</f>
        <v>150.99976380209381</v>
      </c>
      <c r="BJ77" s="62">
        <f t="shared" si="92"/>
        <v>306.39227726293234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41.33610817195494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6.3415752408755839E-5</v>
      </c>
      <c r="BS77" s="24">
        <f t="shared" si="63"/>
        <v>41.336171587707348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270</v>
      </c>
      <c r="AG78" s="13">
        <f>VLOOKUP(A78,'Données projet'!$A$61:$I$81,9,0)</f>
        <v>3.4</v>
      </c>
      <c r="AH78" s="13">
        <f t="array" ref="AH78">INDEX(AG:AG,MIN(IF(ISNUMBER(AG78:AG274),ROW(AG78:AG274),"")))</f>
        <v>3.4</v>
      </c>
      <c r="AI78" s="14">
        <f>IF('Données projet'!$A$62&gt;35,AI77+AH78-AQ77,IF(A78&lt;'Données projet'!$A$62,$AF$205^A78,IF(A78='Données projet'!$A$62,'Données projet'!$B$62,AI77+AH78-AQ77)))</f>
        <v>269.99999999999977</v>
      </c>
      <c r="AJ78" s="14">
        <f>AI78*VLOOKUP('Données projet'!$B$10,Paramètres!$A$1:$I$89,3,0)*VLOOKUP('Données projet'!$B$10,Paramètres!$A$1:$I$89,5,0)</f>
        <v>219.02399999999983</v>
      </c>
      <c r="AK78" s="14">
        <f t="shared" si="89"/>
        <v>53.902702081308306</v>
      </c>
      <c r="AL78" s="22">
        <f t="shared" si="58"/>
        <v>475.34733945827821</v>
      </c>
      <c r="AM78" s="62">
        <f t="shared" si="59"/>
        <v>768.68067279161153</v>
      </c>
      <c r="AN78" s="62">
        <f ca="1">AVERAGE(OFFSET($AM$3,0,0,'Données projet'!$E$10+1,1))-AVERAGE(OFFSET($H$3,0,0,'Données projet'!$E$10+1,1))</f>
        <v>219.96569743439244</v>
      </c>
      <c r="AO78" s="62">
        <f t="shared" si="90"/>
        <v>219.27079214454579</v>
      </c>
      <c r="AP78" s="16">
        <f>IF(ISNA(VLOOKUP(A78,'Données projet'!$A$61:$I$81,3,0)),0,VLOOKUP(A78,'Données projet'!$A$61:$I$81,3,0))</f>
        <v>13</v>
      </c>
      <c r="AQ78" s="16">
        <f>IF(ISNA(VLOOKUP(A78,'Données projet'!$A$61:$I$81,4,0)),0,VLOOKUP(A78,'Données projet'!$A$61:$I$81,4,0))</f>
        <v>9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5.7770169419033754</v>
      </c>
      <c r="AW78" s="23">
        <f>EXP(-LN(2)/2)*AW77+(1-EXP(-LN(2)/2))/(LN(2)/2)*AQ78*AT78*VLOOKUP('Données projet'!$B$10,Paramètres!$A$1:$I$89,3,0)*0.475*44/12</f>
        <v>1.2359793598271986E-7</v>
      </c>
      <c r="AX78" s="23">
        <f t="shared" si="60"/>
        <v>5.7770170655013118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5.6843418860808015E-14</v>
      </c>
      <c r="BE78" s="14">
        <f>BD78*VLOOKUP('Données projet'!$B$11,Paramètres!$A$1:$I$89,3,0)*VLOOKUP('Données projet'!$B$11,Paramètres!$A$1:$I$89,5,0)</f>
        <v>3.3992364478763198E-14</v>
      </c>
      <c r="BF78" s="14">
        <f t="shared" si="91"/>
        <v>5.790027782444094E-13</v>
      </c>
      <c r="BG78" s="22">
        <f t="shared" si="61"/>
        <v>1.0676332069095257E-12</v>
      </c>
      <c r="BH78" s="62">
        <f t="shared" si="62"/>
        <v>293.33333333333439</v>
      </c>
      <c r="BI78" s="62">
        <f ca="1">AVERAGE(OFFSET($BH$3,0,0,'Données projet'!$E$11+1,1))-AVERAGE(OFFSET($H$3,0,0,'Données projet'!$E$11+1,1))</f>
        <v>150.99976380209381</v>
      </c>
      <c r="BJ78" s="62">
        <f t="shared" si="92"/>
        <v>306.39227726293234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40.525532303239359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4.484170856227839E-5</v>
      </c>
      <c r="BS78" s="24">
        <f t="shared" si="63"/>
        <v>40.525577144947924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2.8</v>
      </c>
      <c r="AI79" s="14">
        <f>IF('Données projet'!$A$62&gt;35,AI78+AH79-AQ78,IF(A79&lt;'Données projet'!$A$62,$AF$205^A79,IF(A79='Données projet'!$A$62,'Données projet'!$B$62,AI78+AH79-AQ78)))</f>
        <v>263.79999999999978</v>
      </c>
      <c r="AJ79" s="14">
        <f>AI79*VLOOKUP('Données projet'!$B$10,Paramètres!$A$1:$I$89,3,0)*VLOOKUP('Données projet'!$B$10,Paramètres!$A$1:$I$89,5,0)</f>
        <v>213.99455999999986</v>
      </c>
      <c r="AK79" s="14">
        <f t="shared" si="89"/>
        <v>52.807537963382018</v>
      </c>
      <c r="AL79" s="22">
        <f t="shared" si="58"/>
        <v>464.68032061955677</v>
      </c>
      <c r="AM79" s="62">
        <f t="shared" si="59"/>
        <v>758.01365395289008</v>
      </c>
      <c r="AN79" s="62">
        <f ca="1">AVERAGE(OFFSET($AM$3,0,0,'Données projet'!$E$10+1,1))-AVERAGE(OFFSET($H$3,0,0,'Données projet'!$E$10+1,1))</f>
        <v>219.96569743439244</v>
      </c>
      <c r="AO79" s="62">
        <f t="shared" si="90"/>
        <v>219.27079214454579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5.6190441098269099</v>
      </c>
      <c r="AW79" s="23">
        <f>EXP(-LN(2)/2)*AW78+(1-EXP(-LN(2)/2))/(LN(2)/2)*AQ79*AT79*VLOOKUP('Données projet'!$B$10,Paramètres!$A$1:$I$89,3,0)*0.475*44/12</f>
        <v>8.7396938674042004E-8</v>
      </c>
      <c r="AX79" s="23">
        <f t="shared" si="60"/>
        <v>5.6190441972238485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5.6843418860808015E-14</v>
      </c>
      <c r="BE79" s="14">
        <f>BD79*VLOOKUP('Données projet'!$B$11,Paramètres!$A$1:$I$89,3,0)*VLOOKUP('Données projet'!$B$11,Paramètres!$A$1:$I$89,5,0)</f>
        <v>3.3992364478763198E-14</v>
      </c>
      <c r="BF79" s="14">
        <f t="shared" si="91"/>
        <v>5.790027782444094E-13</v>
      </c>
      <c r="BG79" s="22">
        <f t="shared" si="61"/>
        <v>1.0676332069095257E-12</v>
      </c>
      <c r="BH79" s="62">
        <f t="shared" si="62"/>
        <v>293.33333333333439</v>
      </c>
      <c r="BI79" s="62">
        <f ca="1">AVERAGE(OFFSET($BH$3,0,0,'Données projet'!$E$11+1,1))-AVERAGE(OFFSET($H$3,0,0,'Données projet'!$E$11+1,1))</f>
        <v>150.99976380209381</v>
      </c>
      <c r="BJ79" s="62">
        <f t="shared" si="92"/>
        <v>306.39227726293234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39.73085133290683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3.170787620437792E-5</v>
      </c>
      <c r="BS79" s="24">
        <f t="shared" si="63"/>
        <v>39.730883040783034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2.8</v>
      </c>
      <c r="AI80" s="14">
        <f>IF('Données projet'!$A$62&gt;35,AI79+AH80-AQ79,IF(A80&lt;'Données projet'!$A$62,$AF$205^A80,IF(A80='Données projet'!$A$62,'Données projet'!$B$62,AI79+AH80-AQ79)))</f>
        <v>266.5999999999998</v>
      </c>
      <c r="AJ80" s="14">
        <f>AI80*VLOOKUP('Données projet'!$B$10,Paramètres!$A$1:$I$89,3,0)*VLOOKUP('Données projet'!$B$10,Paramètres!$A$1:$I$89,5,0)</f>
        <v>216.26591999999982</v>
      </c>
      <c r="AK80" s="14">
        <f t="shared" si="89"/>
        <v>53.302495062173776</v>
      </c>
      <c r="AL80" s="22">
        <f t="shared" si="58"/>
        <v>469.49832289995226</v>
      </c>
      <c r="AM80" s="62">
        <f t="shared" si="59"/>
        <v>762.83165623328557</v>
      </c>
      <c r="AN80" s="62">
        <f ca="1">AVERAGE(OFFSET($AM$3,0,0,'Données projet'!$E$10+1,1))-AVERAGE(OFFSET($H$3,0,0,'Données projet'!$E$10+1,1))</f>
        <v>219.96569743439244</v>
      </c>
      <c r="AO80" s="62">
        <f t="shared" si="90"/>
        <v>219.27079214454579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5.4653910531510057</v>
      </c>
      <c r="AW80" s="23">
        <f>EXP(-LN(2)/2)*AW79+(1-EXP(-LN(2)/2))/(LN(2)/2)*AQ80*AT80*VLOOKUP('Données projet'!$B$10,Paramètres!$A$1:$I$89,3,0)*0.475*44/12</f>
        <v>6.1798967991359932E-8</v>
      </c>
      <c r="AX80" s="23">
        <f t="shared" si="60"/>
        <v>5.4653911149499734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5.6843418860808015E-14</v>
      </c>
      <c r="BE80" s="14">
        <f>BD80*VLOOKUP('Données projet'!$B$11,Paramètres!$A$1:$I$89,3,0)*VLOOKUP('Données projet'!$B$11,Paramètres!$A$1:$I$89,5,0)</f>
        <v>3.3992364478763198E-14</v>
      </c>
      <c r="BF80" s="14">
        <f t="shared" si="91"/>
        <v>5.790027782444094E-13</v>
      </c>
      <c r="BG80" s="22">
        <f t="shared" si="61"/>
        <v>1.0676332069095257E-12</v>
      </c>
      <c r="BH80" s="62">
        <f t="shared" si="62"/>
        <v>293.33333333333439</v>
      </c>
      <c r="BI80" s="62">
        <f ca="1">AVERAGE(OFFSET($BH$3,0,0,'Données projet'!$E$11+1,1))-AVERAGE(OFFSET($H$3,0,0,'Données projet'!$E$11+1,1))</f>
        <v>150.99976380209381</v>
      </c>
      <c r="BJ80" s="62">
        <f t="shared" si="92"/>
        <v>306.39227726293234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38.951753571694987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2.2420854281139195E-5</v>
      </c>
      <c r="BS80" s="24">
        <f t="shared" si="63"/>
        <v>38.951775992549265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2.8</v>
      </c>
      <c r="AI81" s="14">
        <f>IF('Données projet'!$A$62&gt;35,AI80+AH81-AQ80,IF(A81&lt;'Données projet'!$A$62,$AF$205^A81,IF(A81='Données projet'!$A$62,'Données projet'!$B$62,AI80+AH81-AQ80)))</f>
        <v>269.39999999999981</v>
      </c>
      <c r="AJ81" s="14">
        <f>AI81*VLOOKUP('Données projet'!$B$10,Paramètres!$A$1:$I$89,3,0)*VLOOKUP('Données projet'!$B$10,Paramètres!$A$1:$I$89,5,0)</f>
        <v>218.53727999999987</v>
      </c>
      <c r="AK81" s="14">
        <f t="shared" si="89"/>
        <v>53.796847431080771</v>
      </c>
      <c r="AL81" s="22">
        <f t="shared" si="58"/>
        <v>474.31527194246542</v>
      </c>
      <c r="AM81" s="62">
        <f t="shared" si="59"/>
        <v>767.64860527579867</v>
      </c>
      <c r="AN81" s="62">
        <f ca="1">AVERAGE(OFFSET($AM$3,0,0,'Données projet'!$E$10+1,1))-AVERAGE(OFFSET($H$3,0,0,'Données projet'!$E$10+1,1))</f>
        <v>219.96569743439244</v>
      </c>
      <c r="AO81" s="62">
        <f t="shared" si="90"/>
        <v>219.27079214454579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5.3159396473901674</v>
      </c>
      <c r="AW81" s="23">
        <f>EXP(-LN(2)/2)*AW80+(1-EXP(-LN(2)/2))/(LN(2)/2)*AQ81*AT81*VLOOKUP('Données projet'!$B$10,Paramètres!$A$1:$I$89,3,0)*0.475*44/12</f>
        <v>4.3698469337021002E-8</v>
      </c>
      <c r="AX81" s="23">
        <f t="shared" si="60"/>
        <v>5.3159396910886372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5.6843418860808015E-14</v>
      </c>
      <c r="BE81" s="14">
        <f>BD81*VLOOKUP('Données projet'!$B$11,Paramètres!$A$1:$I$89,3,0)*VLOOKUP('Données projet'!$B$11,Paramètres!$A$1:$I$89,5,0)</f>
        <v>3.3992364478763198E-14</v>
      </c>
      <c r="BF81" s="14">
        <f t="shared" si="91"/>
        <v>5.790027782444094E-13</v>
      </c>
      <c r="BG81" s="22">
        <f t="shared" si="61"/>
        <v>1.0676332069095257E-12</v>
      </c>
      <c r="BH81" s="62">
        <f t="shared" si="62"/>
        <v>293.33333333333439</v>
      </c>
      <c r="BI81" s="62">
        <f ca="1">AVERAGE(OFFSET($BH$3,0,0,'Données projet'!$E$11+1,1))-AVERAGE(OFFSET($H$3,0,0,'Données projet'!$E$11+1,1))</f>
        <v>150.99976380209381</v>
      </c>
      <c r="BJ81" s="62">
        <f t="shared" si="92"/>
        <v>306.39227726293234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38.187933442377798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1.585393810218896E-5</v>
      </c>
      <c r="BS81" s="24">
        <f t="shared" si="63"/>
        <v>38.1879492963159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2.8</v>
      </c>
      <c r="AI82" s="14">
        <f>IF('Données projet'!$A$62&gt;35,AI81+AH82-AQ81,IF(A82&lt;'Données projet'!$A$62,$AF$205^A82,IF(A82='Données projet'!$A$62,'Données projet'!$B$62,AI81+AH82-AQ81)))</f>
        <v>272.19999999999982</v>
      </c>
      <c r="AJ82" s="14">
        <f>AI82*VLOOKUP('Données projet'!$B$10,Paramètres!$A$1:$I$89,3,0)*VLOOKUP('Données projet'!$B$10,Paramètres!$A$1:$I$89,5,0)</f>
        <v>220.80863999999985</v>
      </c>
      <c r="AK82" s="14">
        <f t="shared" si="89"/>
        <v>54.290602082955985</v>
      </c>
      <c r="AL82" s="22">
        <f t="shared" si="58"/>
        <v>479.13117996114801</v>
      </c>
      <c r="AM82" s="62">
        <f t="shared" si="59"/>
        <v>772.46451329448132</v>
      </c>
      <c r="AN82" s="62">
        <f ca="1">AVERAGE(OFFSET($AM$3,0,0,'Données projet'!$E$10+1,1))-AVERAGE(OFFSET($H$3,0,0,'Données projet'!$E$10+1,1))</f>
        <v>219.96569743439244</v>
      </c>
      <c r="AO82" s="62">
        <f t="shared" si="90"/>
        <v>219.27079214454579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5.1705749981791671</v>
      </c>
      <c r="AW82" s="23">
        <f>EXP(-LN(2)/2)*AW81+(1-EXP(-LN(2)/2))/(LN(2)/2)*AQ82*AT82*VLOOKUP('Données projet'!$B$10,Paramètres!$A$1:$I$89,3,0)*0.475*44/12</f>
        <v>3.0899483995679966E-8</v>
      </c>
      <c r="AX82" s="23">
        <f t="shared" si="60"/>
        <v>5.170575029078651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5.6843418860808015E-14</v>
      </c>
      <c r="BE82" s="14">
        <f>BD82*VLOOKUP('Données projet'!$B$11,Paramètres!$A$1:$I$89,3,0)*VLOOKUP('Données projet'!$B$11,Paramètres!$A$1:$I$89,5,0)</f>
        <v>3.3992364478763198E-14</v>
      </c>
      <c r="BF82" s="14">
        <f t="shared" si="91"/>
        <v>5.790027782444094E-13</v>
      </c>
      <c r="BG82" s="22">
        <f t="shared" si="61"/>
        <v>1.0676332069095257E-12</v>
      </c>
      <c r="BH82" s="62">
        <f t="shared" si="62"/>
        <v>293.33333333333439</v>
      </c>
      <c r="BI82" s="62">
        <f ca="1">AVERAGE(OFFSET($BH$3,0,0,'Données projet'!$E$11+1,1))-AVERAGE(OFFSET($H$3,0,0,'Données projet'!$E$11+1,1))</f>
        <v>150.99976380209381</v>
      </c>
      <c r="BJ82" s="62">
        <f t="shared" si="92"/>
        <v>306.39227726293234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37.43909135991224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1.1210427140569598E-5</v>
      </c>
      <c r="BS82" s="24">
        <f t="shared" si="63"/>
        <v>37.439102570339379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275</v>
      </c>
      <c r="AG83" s="13">
        <f>VLOOKUP(A83,'Données projet'!$A$61:$I$81,9,0)</f>
        <v>2.8</v>
      </c>
      <c r="AH83" s="13">
        <f t="array" ref="AH83">INDEX(AG:AG,MIN(IF(ISNUMBER(AG83:AG279),ROW(AG83:AG279),"")))</f>
        <v>2.8</v>
      </c>
      <c r="AI83" s="14">
        <f>IF('Données projet'!$A$62&gt;35,AI82+AH83-AQ82,IF(A83&lt;'Données projet'!$A$62,$AF$205^A83,IF(A83='Données projet'!$A$62,'Données projet'!$B$62,AI82+AH83-AQ82)))</f>
        <v>274.99999999999983</v>
      </c>
      <c r="AJ83" s="14">
        <f>AI83*VLOOKUP('Données projet'!$B$10,Paramètres!$A$1:$I$89,3,0)*VLOOKUP('Données projet'!$B$10,Paramètres!$A$1:$I$89,5,0)</f>
        <v>223.07999999999987</v>
      </c>
      <c r="AK83" s="14">
        <f t="shared" si="89"/>
        <v>54.783765878062617</v>
      </c>
      <c r="AL83" s="22">
        <f t="shared" si="58"/>
        <v>483.94605890429216</v>
      </c>
      <c r="AM83" s="62">
        <f t="shared" si="59"/>
        <v>777.27939223762542</v>
      </c>
      <c r="AN83" s="62">
        <f ca="1">AVERAGE(OFFSET($AM$3,0,0,'Données projet'!$E$10+1,1))-AVERAGE(OFFSET($H$3,0,0,'Données projet'!$E$10+1,1))</f>
        <v>219.96569743439244</v>
      </c>
      <c r="AO83" s="62">
        <f t="shared" si="90"/>
        <v>219.27079214454579</v>
      </c>
      <c r="AP83" s="16">
        <f>IF(ISNA(VLOOKUP(A83,'Données projet'!$A$61:$I$81,3,0)),0,VLOOKUP(A83,'Données projet'!$A$61:$I$81,3,0))</f>
        <v>14</v>
      </c>
      <c r="AQ83" s="16">
        <f>IF(ISNA(VLOOKUP(A83,'Données projet'!$A$61:$I$81,4,0)),0,VLOOKUP(A83,'Données projet'!$A$61:$I$81,4,0))</f>
        <v>8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5.0291853529452357</v>
      </c>
      <c r="AW83" s="23">
        <f>EXP(-LN(2)/2)*AW82+(1-EXP(-LN(2)/2))/(LN(2)/2)*AQ83*AT83*VLOOKUP('Données projet'!$B$10,Paramètres!$A$1:$I$89,3,0)*0.475*44/12</f>
        <v>2.1849234668510501E-8</v>
      </c>
      <c r="AX83" s="23">
        <f t="shared" si="60"/>
        <v>5.0291853747944701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5.6843418860808015E-14</v>
      </c>
      <c r="BE83" s="14">
        <f>BD83*VLOOKUP('Données projet'!$B$11,Paramètres!$A$1:$I$89,3,0)*VLOOKUP('Données projet'!$B$11,Paramètres!$A$1:$I$89,5,0)</f>
        <v>3.3992364478763198E-14</v>
      </c>
      <c r="BF83" s="14">
        <f t="shared" si="91"/>
        <v>5.790027782444094E-13</v>
      </c>
      <c r="BG83" s="22">
        <f t="shared" si="61"/>
        <v>1.0676332069095257E-12</v>
      </c>
      <c r="BH83" s="62">
        <f t="shared" si="62"/>
        <v>293.33333333333439</v>
      </c>
      <c r="BI83" s="62">
        <f ca="1">AVERAGE(OFFSET($BH$3,0,0,'Données projet'!$E$11+1,1))-AVERAGE(OFFSET($H$3,0,0,'Données projet'!$E$11+1,1))</f>
        <v>150.99976380209381</v>
      </c>
      <c r="BJ83" s="62">
        <f t="shared" si="92"/>
        <v>306.39227726293234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36.70493361393526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7.9269690510944799E-6</v>
      </c>
      <c r="BS83" s="24">
        <f t="shared" si="63"/>
        <v>36.704941540904315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266.99999999999983</v>
      </c>
      <c r="AJ84" s="14">
        <f>AI84*VLOOKUP('Données projet'!$B$10,Paramètres!$A$1:$I$89,3,0)*VLOOKUP('Données projet'!$B$10,Paramètres!$A$1:$I$89,5,0)</f>
        <v>216.59039999999987</v>
      </c>
      <c r="AK84" s="14">
        <f t="shared" si="89"/>
        <v>53.373153688190904</v>
      </c>
      <c r="AL84" s="22">
        <f t="shared" si="58"/>
        <v>470.18652267359886</v>
      </c>
      <c r="AM84" s="62">
        <f t="shared" si="59"/>
        <v>763.51985600693217</v>
      </c>
      <c r="AN84" s="62">
        <f ca="1">AVERAGE(OFFSET($AM$3,0,0,'Données projet'!$E$10+1,1))-AVERAGE(OFFSET($H$3,0,0,'Données projet'!$E$10+1,1))</f>
        <v>219.96569743439244</v>
      </c>
      <c r="AO84" s="62">
        <f t="shared" si="90"/>
        <v>219.27079214454579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4.8916620149955845</v>
      </c>
      <c r="AW84" s="23">
        <f>EXP(-LN(2)/2)*AW83+(1-EXP(-LN(2)/2))/(LN(2)/2)*AQ84*AT84*VLOOKUP('Données projet'!$B$10,Paramètres!$A$1:$I$89,3,0)*0.475*44/12</f>
        <v>1.5449741997839983E-8</v>
      </c>
      <c r="AX84" s="23">
        <f t="shared" si="60"/>
        <v>4.8916620304453264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5.6843418860808015E-14</v>
      </c>
      <c r="BE84" s="14">
        <f>BD84*VLOOKUP('Données projet'!$B$11,Paramètres!$A$1:$I$89,3,0)*VLOOKUP('Données projet'!$B$11,Paramètres!$A$1:$I$89,5,0)</f>
        <v>3.3992364478763198E-14</v>
      </c>
      <c r="BF84" s="14">
        <f t="shared" si="91"/>
        <v>5.790027782444094E-13</v>
      </c>
      <c r="BG84" s="22">
        <f t="shared" si="61"/>
        <v>1.0676332069095257E-12</v>
      </c>
      <c r="BH84" s="62">
        <f t="shared" si="62"/>
        <v>293.33333333333439</v>
      </c>
      <c r="BI84" s="62">
        <f ca="1">AVERAGE(OFFSET($BH$3,0,0,'Données projet'!$E$11+1,1))-AVERAGE(OFFSET($H$3,0,0,'Données projet'!$E$11+1,1))</f>
        <v>150.99976380209381</v>
      </c>
      <c r="BJ84" s="62">
        <f t="shared" si="92"/>
        <v>306.39227726293234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35.985172253564883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5.6052135702847988E-6</v>
      </c>
      <c r="BS84" s="24">
        <f t="shared" si="63"/>
        <v>35.985177858778457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266.99999999999983</v>
      </c>
      <c r="AJ85" s="14">
        <f>AI85*VLOOKUP('Données projet'!$B$10,Paramètres!$A$1:$I$89,3,0)*VLOOKUP('Données projet'!$B$10,Paramètres!$A$1:$I$89,5,0)</f>
        <v>216.59039999999987</v>
      </c>
      <c r="AK85" s="14">
        <f t="shared" si="89"/>
        <v>53.373153688190904</v>
      </c>
      <c r="AL85" s="22">
        <f t="shared" si="58"/>
        <v>470.18652267359886</v>
      </c>
      <c r="AM85" s="62">
        <f t="shared" si="59"/>
        <v>763.51985600693217</v>
      </c>
      <c r="AN85" s="62">
        <f ca="1">AVERAGE(OFFSET($AM$3,0,0,'Données projet'!$E$10+1,1))-AVERAGE(OFFSET($H$3,0,0,'Données projet'!$E$10+1,1))</f>
        <v>219.96569743439244</v>
      </c>
      <c r="AO85" s="62">
        <f t="shared" si="90"/>
        <v>219.27079214454579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4.7578992599542049</v>
      </c>
      <c r="AW85" s="23">
        <f>EXP(-LN(2)/2)*AW84+(1-EXP(-LN(2)/2))/(LN(2)/2)*AQ85*AT85*VLOOKUP('Données projet'!$B$10,Paramètres!$A$1:$I$89,3,0)*0.475*44/12</f>
        <v>1.092461733425525E-8</v>
      </c>
      <c r="AX85" s="23">
        <f t="shared" si="60"/>
        <v>4.7578992708788226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5.6843418860808015E-14</v>
      </c>
      <c r="BE85" s="14">
        <f>BD85*VLOOKUP('Données projet'!$B$11,Paramètres!$A$1:$I$89,3,0)*VLOOKUP('Données projet'!$B$11,Paramètres!$A$1:$I$89,5,0)</f>
        <v>3.3992364478763198E-14</v>
      </c>
      <c r="BF85" s="14">
        <f t="shared" si="91"/>
        <v>5.790027782444094E-13</v>
      </c>
      <c r="BG85" s="22">
        <f t="shared" si="61"/>
        <v>1.0676332069095257E-12</v>
      </c>
      <c r="BH85" s="62">
        <f t="shared" si="62"/>
        <v>293.33333333333439</v>
      </c>
      <c r="BI85" s="62">
        <f ca="1">AVERAGE(OFFSET($BH$3,0,0,'Données projet'!$E$11+1,1))-AVERAGE(OFFSET($H$3,0,0,'Données projet'!$E$11+1,1))</f>
        <v>150.99976380209381</v>
      </c>
      <c r="BJ85" s="62">
        <f t="shared" si="92"/>
        <v>306.39227726293234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35.279524974460287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3.96348452554724E-6</v>
      </c>
      <c r="BS85" s="24">
        <f t="shared" si="63"/>
        <v>35.279528937944811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266.99999999999983</v>
      </c>
      <c r="AJ86" s="14">
        <f>AI86*VLOOKUP('Données projet'!$B$10,Paramètres!$A$1:$I$89,3,0)*VLOOKUP('Données projet'!$B$10,Paramètres!$A$1:$I$89,5,0)</f>
        <v>216.59039999999987</v>
      </c>
      <c r="AK86" s="14">
        <f t="shared" si="89"/>
        <v>53.373153688190904</v>
      </c>
      <c r="AL86" s="22">
        <f t="shared" si="58"/>
        <v>470.18652267359886</v>
      </c>
      <c r="AM86" s="62">
        <f t="shared" si="59"/>
        <v>763.51985600693217</v>
      </c>
      <c r="AN86" s="62">
        <f ca="1">AVERAGE(OFFSET($AM$3,0,0,'Données projet'!$E$10+1,1))-AVERAGE(OFFSET($H$3,0,0,'Données projet'!$E$10+1,1))</f>
        <v>219.96569743439244</v>
      </c>
      <c r="AO86" s="62">
        <f t="shared" si="90"/>
        <v>219.27079214454579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4.6277942544837094</v>
      </c>
      <c r="AW86" s="23">
        <f>EXP(-LN(2)/2)*AW85+(1-EXP(-LN(2)/2))/(LN(2)/2)*AQ86*AT86*VLOOKUP('Données projet'!$B$10,Paramètres!$A$1:$I$89,3,0)*0.475*44/12</f>
        <v>7.7248709989199916E-9</v>
      </c>
      <c r="AX86" s="23">
        <f t="shared" si="60"/>
        <v>4.6277942622085808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5.6843418860808015E-14</v>
      </c>
      <c r="BE86" s="14">
        <f>BD86*VLOOKUP('Données projet'!$B$11,Paramètres!$A$1:$I$89,3,0)*VLOOKUP('Données projet'!$B$11,Paramètres!$A$1:$I$89,5,0)</f>
        <v>3.3992364478763198E-14</v>
      </c>
      <c r="BF86" s="14">
        <f t="shared" si="91"/>
        <v>5.790027782444094E-13</v>
      </c>
      <c r="BG86" s="22">
        <f t="shared" si="61"/>
        <v>1.0676332069095257E-12</v>
      </c>
      <c r="BH86" s="62">
        <f t="shared" si="62"/>
        <v>293.33333333333439</v>
      </c>
      <c r="BI86" s="62">
        <f ca="1">AVERAGE(OFFSET($BH$3,0,0,'Données projet'!$E$11+1,1))-AVERAGE(OFFSET($H$3,0,0,'Données projet'!$E$11+1,1))</f>
        <v>150.99976380209381</v>
      </c>
      <c r="BJ86" s="62">
        <f t="shared" si="92"/>
        <v>306.39227726293234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34.587715008096588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2.8026067851423994E-6</v>
      </c>
      <c r="BS86" s="24">
        <f t="shared" si="63"/>
        <v>34.587717810703374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266.99999999999983</v>
      </c>
      <c r="AJ87" s="14">
        <f>AI87*VLOOKUP('Données projet'!$B$10,Paramètres!$A$1:$I$89,3,0)*VLOOKUP('Données projet'!$B$10,Paramètres!$A$1:$I$89,5,0)</f>
        <v>216.59039999999987</v>
      </c>
      <c r="AK87" s="14">
        <f t="shared" si="89"/>
        <v>53.373153688190904</v>
      </c>
      <c r="AL87" s="22">
        <f t="shared" si="58"/>
        <v>470.18652267359886</v>
      </c>
      <c r="AM87" s="62">
        <f t="shared" si="59"/>
        <v>763.51985600693217</v>
      </c>
      <c r="AN87" s="62">
        <f ca="1">AVERAGE(OFFSET($AM$3,0,0,'Données projet'!$E$10+1,1))-AVERAGE(OFFSET($H$3,0,0,'Données projet'!$E$10+1,1))</f>
        <v>219.96569743439244</v>
      </c>
      <c r="AO87" s="62">
        <f t="shared" si="90"/>
        <v>219.27079214454579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4.5012469772297292</v>
      </c>
      <c r="AW87" s="23">
        <f>EXP(-LN(2)/2)*AW86+(1-EXP(-LN(2)/2))/(LN(2)/2)*AQ87*AT87*VLOOKUP('Données projet'!$B$10,Paramètres!$A$1:$I$89,3,0)*0.475*44/12</f>
        <v>5.4623086671276252E-9</v>
      </c>
      <c r="AX87" s="23">
        <f t="shared" si="60"/>
        <v>4.501246982692038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5.6843418860808015E-14</v>
      </c>
      <c r="BE87" s="14">
        <f>BD87*VLOOKUP('Données projet'!$B$11,Paramètres!$A$1:$I$89,3,0)*VLOOKUP('Données projet'!$B$11,Paramètres!$A$1:$I$89,5,0)</f>
        <v>3.3992364478763198E-14</v>
      </c>
      <c r="BF87" s="14">
        <f t="shared" si="91"/>
        <v>5.790027782444094E-13</v>
      </c>
      <c r="BG87" s="22">
        <f t="shared" si="61"/>
        <v>1.0676332069095257E-12</v>
      </c>
      <c r="BH87" s="62">
        <f t="shared" si="62"/>
        <v>293.33333333333439</v>
      </c>
      <c r="BI87" s="62">
        <f ca="1">AVERAGE(OFFSET($BH$3,0,0,'Données projet'!$E$11+1,1))-AVERAGE(OFFSET($H$3,0,0,'Données projet'!$E$11+1,1))</f>
        <v>150.99976380209381</v>
      </c>
      <c r="BJ87" s="62">
        <f t="shared" si="92"/>
        <v>306.39227726293234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33.909471013210869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1.98174226277362E-6</v>
      </c>
      <c r="BS87" s="24">
        <f t="shared" si="63"/>
        <v>33.909472994953134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266.99999999999983</v>
      </c>
      <c r="AJ88" s="14">
        <f>AI88*VLOOKUP('Données projet'!$B$10,Paramètres!$A$1:$I$89,3,0)*VLOOKUP('Données projet'!$B$10,Paramètres!$A$1:$I$89,5,0)</f>
        <v>216.59039999999987</v>
      </c>
      <c r="AK88" s="14">
        <f t="shared" si="89"/>
        <v>53.373153688190904</v>
      </c>
      <c r="AL88" s="22">
        <f t="shared" si="58"/>
        <v>470.18652267359886</v>
      </c>
      <c r="AM88" s="62">
        <f t="shared" si="59"/>
        <v>763.51985600693217</v>
      </c>
      <c r="AN88" s="62">
        <f ca="1">AVERAGE(OFFSET($AM$3,0,0,'Données projet'!$E$10+1,1))-AVERAGE(OFFSET($H$3,0,0,'Données projet'!$E$10+1,1))</f>
        <v>219.96569743439244</v>
      </c>
      <c r="AO88" s="62">
        <f t="shared" si="90"/>
        <v>219.27079214454579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4.3781601419270917</v>
      </c>
      <c r="AW88" s="23">
        <f>EXP(-LN(2)/2)*AW87+(1-EXP(-LN(2)/2))/(LN(2)/2)*AQ88*AT88*VLOOKUP('Données projet'!$B$10,Paramètres!$A$1:$I$89,3,0)*0.475*44/12</f>
        <v>3.8624354994599958E-9</v>
      </c>
      <c r="AX88" s="23">
        <f t="shared" si="60"/>
        <v>4.3781601457895274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5.6843418860808015E-14</v>
      </c>
      <c r="BE88" s="14">
        <f>BD88*VLOOKUP('Données projet'!$B$11,Paramètres!$A$1:$I$89,3,0)*VLOOKUP('Données projet'!$B$11,Paramètres!$A$1:$I$89,5,0)</f>
        <v>3.3992364478763198E-14</v>
      </c>
      <c r="BF88" s="14">
        <f t="shared" si="91"/>
        <v>5.790027782444094E-13</v>
      </c>
      <c r="BG88" s="22">
        <f t="shared" si="61"/>
        <v>1.0676332069095257E-12</v>
      </c>
      <c r="BH88" s="62">
        <f t="shared" si="62"/>
        <v>293.33333333333439</v>
      </c>
      <c r="BI88" s="62">
        <f ca="1">AVERAGE(OFFSET($BH$3,0,0,'Données projet'!$E$11+1,1))-AVERAGE(OFFSET($H$3,0,0,'Données projet'!$E$11+1,1))</f>
        <v>150.99976380209381</v>
      </c>
      <c r="BJ88" s="62">
        <f t="shared" si="92"/>
        <v>306.39227726293234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33.244526969376871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1.4013033925711997E-6</v>
      </c>
      <c r="BS88" s="24">
        <f t="shared" si="63"/>
        <v>33.244528370680264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266.99999999999983</v>
      </c>
      <c r="AJ89" s="14">
        <f>AI89*VLOOKUP('Données projet'!$B$10,Paramètres!$A$1:$I$89,3,0)*VLOOKUP('Données projet'!$B$10,Paramètres!$A$1:$I$89,5,0)</f>
        <v>216.59039999999987</v>
      </c>
      <c r="AK89" s="14">
        <f t="shared" si="89"/>
        <v>53.373153688190904</v>
      </c>
      <c r="AL89" s="22">
        <f t="shared" si="58"/>
        <v>470.18652267359886</v>
      </c>
      <c r="AM89" s="62">
        <f t="shared" si="59"/>
        <v>763.51985600693217</v>
      </c>
      <c r="AN89" s="62">
        <f ca="1">AVERAGE(OFFSET($AM$3,0,0,'Données projet'!$E$10+1,1))-AVERAGE(OFFSET($H$3,0,0,'Données projet'!$E$10+1,1))</f>
        <v>219.96569743439244</v>
      </c>
      <c r="AO89" s="62">
        <f t="shared" si="90"/>
        <v>219.27079214454579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4.2584391226086602</v>
      </c>
      <c r="AW89" s="23">
        <f>EXP(-LN(2)/2)*AW88+(1-EXP(-LN(2)/2))/(LN(2)/2)*AQ89*AT89*VLOOKUP('Données projet'!$B$10,Paramètres!$A$1:$I$89,3,0)*0.475*44/12</f>
        <v>2.7311543335638126E-9</v>
      </c>
      <c r="AX89" s="23">
        <f t="shared" si="60"/>
        <v>4.2584391253398142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5.6843418860808015E-14</v>
      </c>
      <c r="BE89" s="14">
        <f>BD89*VLOOKUP('Données projet'!$B$11,Paramètres!$A$1:$I$89,3,0)*VLOOKUP('Données projet'!$B$11,Paramètres!$A$1:$I$89,5,0)</f>
        <v>3.3992364478763198E-14</v>
      </c>
      <c r="BF89" s="14">
        <f t="shared" si="91"/>
        <v>5.790027782444094E-13</v>
      </c>
      <c r="BG89" s="22">
        <f t="shared" si="61"/>
        <v>1.0676332069095257E-12</v>
      </c>
      <c r="BH89" s="62">
        <f t="shared" si="62"/>
        <v>293.33333333333439</v>
      </c>
      <c r="BI89" s="62">
        <f ca="1">AVERAGE(OFFSET($BH$3,0,0,'Données projet'!$E$11+1,1))-AVERAGE(OFFSET($H$3,0,0,'Données projet'!$E$11+1,1))</f>
        <v>150.99976380209381</v>
      </c>
      <c r="BJ89" s="62">
        <f t="shared" si="92"/>
        <v>306.39227726293234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32.592622072666636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9.9087113138680999E-7</v>
      </c>
      <c r="BS89" s="24">
        <f t="shared" si="63"/>
        <v>32.592623063537765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266.99999999999983</v>
      </c>
      <c r="AJ90" s="14">
        <f>AI90*VLOOKUP('Données projet'!$B$10,Paramètres!$A$1:$I$89,3,0)*VLOOKUP('Données projet'!$B$10,Paramètres!$A$1:$I$89,5,0)</f>
        <v>216.59039999999987</v>
      </c>
      <c r="AK90" s="14">
        <f t="shared" si="89"/>
        <v>53.373153688190904</v>
      </c>
      <c r="AL90" s="22">
        <f t="shared" si="58"/>
        <v>470.18652267359886</v>
      </c>
      <c r="AM90" s="62">
        <f t="shared" si="59"/>
        <v>763.51985600693217</v>
      </c>
      <c r="AN90" s="62">
        <f ca="1">AVERAGE(OFFSET($AM$3,0,0,'Données projet'!$E$10+1,1))-AVERAGE(OFFSET($H$3,0,0,'Données projet'!$E$10+1,1))</f>
        <v>219.96569743439244</v>
      </c>
      <c r="AO90" s="62">
        <f t="shared" si="90"/>
        <v>219.27079214454579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4.1419918808593454</v>
      </c>
      <c r="AW90" s="23">
        <f>EXP(-LN(2)/2)*AW89+(1-EXP(-LN(2)/2))/(LN(2)/2)*AQ90*AT90*VLOOKUP('Données projet'!$B$10,Paramètres!$A$1:$I$89,3,0)*0.475*44/12</f>
        <v>1.9312177497299979E-9</v>
      </c>
      <c r="AX90" s="23">
        <f t="shared" si="60"/>
        <v>4.1419918827905633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5.6843418860808015E-14</v>
      </c>
      <c r="BE90" s="14">
        <f>BD90*VLOOKUP('Données projet'!$B$11,Paramètres!$A$1:$I$89,3,0)*VLOOKUP('Données projet'!$B$11,Paramètres!$A$1:$I$89,5,0)</f>
        <v>3.3992364478763198E-14</v>
      </c>
      <c r="BF90" s="14">
        <f t="shared" si="91"/>
        <v>5.790027782444094E-13</v>
      </c>
      <c r="BG90" s="22">
        <f t="shared" si="61"/>
        <v>1.0676332069095257E-12</v>
      </c>
      <c r="BH90" s="62">
        <f t="shared" si="62"/>
        <v>293.33333333333439</v>
      </c>
      <c r="BI90" s="62">
        <f ca="1">AVERAGE(OFFSET($BH$3,0,0,'Données projet'!$E$11+1,1))-AVERAGE(OFFSET($H$3,0,0,'Données projet'!$E$11+1,1))</f>
        <v>150.99976380209381</v>
      </c>
      <c r="BJ90" s="62">
        <f t="shared" si="92"/>
        <v>306.39227726293234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31.953500633358168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7.0065169628559984E-7</v>
      </c>
      <c r="BS90" s="24">
        <f t="shared" si="63"/>
        <v>31.953501334009864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266.99999999999983</v>
      </c>
      <c r="AJ91" s="14">
        <f>AI91*VLOOKUP('Données projet'!$B$10,Paramètres!$A$1:$I$89,3,0)*VLOOKUP('Données projet'!$B$10,Paramètres!$A$1:$I$89,5,0)</f>
        <v>216.59039999999987</v>
      </c>
      <c r="AK91" s="14">
        <f t="shared" si="89"/>
        <v>53.373153688190904</v>
      </c>
      <c r="AL91" s="22">
        <f t="shared" si="58"/>
        <v>470.18652267359886</v>
      </c>
      <c r="AM91" s="62">
        <f t="shared" si="59"/>
        <v>763.51985600693217</v>
      </c>
      <c r="AN91" s="62">
        <f ca="1">AVERAGE(OFFSET($AM$3,0,0,'Données projet'!$E$10+1,1))-AVERAGE(OFFSET($H$3,0,0,'Données projet'!$E$10+1,1))</f>
        <v>219.96569743439244</v>
      </c>
      <c r="AO91" s="62">
        <f t="shared" si="90"/>
        <v>219.27079214454579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4.02872889505936</v>
      </c>
      <c r="AW91" s="23">
        <f>EXP(-LN(2)/2)*AW90+(1-EXP(-LN(2)/2))/(LN(2)/2)*AQ91*AT91*VLOOKUP('Données projet'!$B$10,Paramètres!$A$1:$I$89,3,0)*0.475*44/12</f>
        <v>1.3655771667819063E-9</v>
      </c>
      <c r="AX91" s="23">
        <f t="shared" si="60"/>
        <v>4.028728896424937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5.6843418860808015E-14</v>
      </c>
      <c r="BE91" s="14">
        <f>BD91*VLOOKUP('Données projet'!$B$11,Paramètres!$A$1:$I$89,3,0)*VLOOKUP('Données projet'!$B$11,Paramètres!$A$1:$I$89,5,0)</f>
        <v>3.3992364478763198E-14</v>
      </c>
      <c r="BF91" s="14">
        <f t="shared" si="91"/>
        <v>5.790027782444094E-13</v>
      </c>
      <c r="BG91" s="22">
        <f t="shared" si="61"/>
        <v>1.0676332069095257E-12</v>
      </c>
      <c r="BH91" s="62">
        <f t="shared" si="62"/>
        <v>293.33333333333439</v>
      </c>
      <c r="BI91" s="62">
        <f ca="1">AVERAGE(OFFSET($BH$3,0,0,'Données projet'!$E$11+1,1))-AVERAGE(OFFSET($H$3,0,0,'Données projet'!$E$11+1,1))</f>
        <v>150.99976380209381</v>
      </c>
      <c r="BJ91" s="62">
        <f t="shared" si="92"/>
        <v>306.39227726293234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31.326911975648951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4.9543556569340499E-7</v>
      </c>
      <c r="BS91" s="24">
        <f t="shared" si="63"/>
        <v>31.326912471084515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266.99999999999983</v>
      </c>
      <c r="AJ92" s="14">
        <f>AI92*VLOOKUP('Données projet'!$B$10,Paramètres!$A$1:$I$89,3,0)*VLOOKUP('Données projet'!$B$10,Paramètres!$A$1:$I$89,5,0)</f>
        <v>216.59039999999987</v>
      </c>
      <c r="AK92" s="14">
        <f t="shared" si="89"/>
        <v>53.373153688190904</v>
      </c>
      <c r="AL92" s="22">
        <f t="shared" si="58"/>
        <v>470.18652267359886</v>
      </c>
      <c r="AM92" s="62">
        <f t="shared" si="59"/>
        <v>763.51985600693217</v>
      </c>
      <c r="AN92" s="62">
        <f ca="1">AVERAGE(OFFSET($AM$3,0,0,'Données projet'!$E$10+1,1))-AVERAGE(OFFSET($H$3,0,0,'Données projet'!$E$10+1,1))</f>
        <v>219.96569743439244</v>
      </c>
      <c r="AO92" s="62">
        <f t="shared" si="90"/>
        <v>219.27079214454579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3.9185630915623171</v>
      </c>
      <c r="AW92" s="23">
        <f>EXP(-LN(2)/2)*AW91+(1-EXP(-LN(2)/2))/(LN(2)/2)*AQ92*AT92*VLOOKUP('Données projet'!$B$10,Paramètres!$A$1:$I$89,3,0)*0.475*44/12</f>
        <v>9.6560887486499895E-10</v>
      </c>
      <c r="AX92" s="23">
        <f t="shared" si="60"/>
        <v>3.918563092527926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5.6843418860808015E-14</v>
      </c>
      <c r="BE92" s="14">
        <f>BD92*VLOOKUP('Données projet'!$B$11,Paramètres!$A$1:$I$89,3,0)*VLOOKUP('Données projet'!$B$11,Paramètres!$A$1:$I$89,5,0)</f>
        <v>3.3992364478763198E-14</v>
      </c>
      <c r="BF92" s="14">
        <f t="shared" si="91"/>
        <v>5.790027782444094E-13</v>
      </c>
      <c r="BG92" s="22">
        <f t="shared" si="61"/>
        <v>1.0676332069095257E-12</v>
      </c>
      <c r="BH92" s="62">
        <f t="shared" si="62"/>
        <v>293.33333333333439</v>
      </c>
      <c r="BI92" s="62">
        <f ca="1">AVERAGE(OFFSET($BH$3,0,0,'Données projet'!$E$11+1,1))-AVERAGE(OFFSET($H$3,0,0,'Données projet'!$E$11+1,1))</f>
        <v>150.99976380209381</v>
      </c>
      <c r="BJ92" s="62">
        <f t="shared" si="92"/>
        <v>306.39227726293234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30.712610339336067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3.5032584814279992E-7</v>
      </c>
      <c r="BS92" s="24">
        <f t="shared" si="63"/>
        <v>30.712610689661915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266.99999999999983</v>
      </c>
      <c r="AJ93" s="14">
        <f>AI93*VLOOKUP('Données projet'!$B$10,Paramètres!$A$1:$I$89,3,0)*VLOOKUP('Données projet'!$B$10,Paramètres!$A$1:$I$89,5,0)</f>
        <v>216.59039999999987</v>
      </c>
      <c r="AK93" s="14">
        <f t="shared" si="89"/>
        <v>53.373153688190904</v>
      </c>
      <c r="AL93" s="22">
        <f t="shared" si="58"/>
        <v>470.18652267359886</v>
      </c>
      <c r="AM93" s="62">
        <f t="shared" si="59"/>
        <v>763.51985600693217</v>
      </c>
      <c r="AN93" s="62">
        <f ca="1">AVERAGE(OFFSET($AM$3,0,0,'Données projet'!$E$10+1,1))-AVERAGE(OFFSET($H$3,0,0,'Données projet'!$E$10+1,1))</f>
        <v>219.96569743439244</v>
      </c>
      <c r="AO93" s="62">
        <f t="shared" si="90"/>
        <v>219.27079214454579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3.8114097777552685</v>
      </c>
      <c r="AW93" s="23">
        <f>EXP(-LN(2)/2)*AW92+(1-EXP(-LN(2)/2))/(LN(2)/2)*AQ93*AT93*VLOOKUP('Données projet'!$B$10,Paramètres!$A$1:$I$89,3,0)*0.475*44/12</f>
        <v>6.8278858339095316E-10</v>
      </c>
      <c r="AX93" s="23">
        <f t="shared" si="60"/>
        <v>3.811409778438057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5.6843418860808015E-14</v>
      </c>
      <c r="BE93" s="14">
        <f>BD93*VLOOKUP('Données projet'!$B$11,Paramètres!$A$1:$I$89,3,0)*VLOOKUP('Données projet'!$B$11,Paramètres!$A$1:$I$89,5,0)</f>
        <v>3.3992364478763198E-14</v>
      </c>
      <c r="BF93" s="14">
        <f t="shared" si="91"/>
        <v>5.790027782444094E-13</v>
      </c>
      <c r="BG93" s="22">
        <f t="shared" si="61"/>
        <v>1.0676332069095257E-12</v>
      </c>
      <c r="BH93" s="62">
        <f t="shared" si="62"/>
        <v>293.33333333333439</v>
      </c>
      <c r="BI93" s="62">
        <f ca="1">AVERAGE(OFFSET($BH$3,0,0,'Données projet'!$E$11+1,1))-AVERAGE(OFFSET($H$3,0,0,'Données projet'!$E$11+1,1))</f>
        <v>150.99976380209381</v>
      </c>
      <c r="BJ93" s="62">
        <f t="shared" si="92"/>
        <v>306.39227726293234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30.110354783424278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2.477177828467025E-7</v>
      </c>
      <c r="BS93" s="24">
        <f t="shared" si="63"/>
        <v>30.11035503114206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266.99999999999983</v>
      </c>
      <c r="AJ94" s="14">
        <f>AI94*VLOOKUP('Données projet'!$B$10,Paramètres!$A$1:$I$89,3,0)*VLOOKUP('Données projet'!$B$10,Paramètres!$A$1:$I$89,5,0)</f>
        <v>216.59039999999987</v>
      </c>
      <c r="AK94" s="14">
        <f t="shared" si="89"/>
        <v>53.373153688190904</v>
      </c>
      <c r="AL94" s="22">
        <f t="shared" si="58"/>
        <v>470.18652267359886</v>
      </c>
      <c r="AM94" s="62">
        <f t="shared" si="59"/>
        <v>763.51985600693217</v>
      </c>
      <c r="AN94" s="62">
        <f ca="1">AVERAGE(OFFSET($AM$3,0,0,'Données projet'!$E$10+1,1))-AVERAGE(OFFSET($H$3,0,0,'Données projet'!$E$10+1,1))</f>
        <v>219.96569743439244</v>
      </c>
      <c r="AO94" s="62">
        <f t="shared" si="90"/>
        <v>219.27079214454579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3.7071865769492214</v>
      </c>
      <c r="AW94" s="23">
        <f>EXP(-LN(2)/2)*AW93+(1-EXP(-LN(2)/2))/(LN(2)/2)*AQ94*AT94*VLOOKUP('Données projet'!$B$10,Paramètres!$A$1:$I$89,3,0)*0.475*44/12</f>
        <v>4.8280443743249947E-10</v>
      </c>
      <c r="AX94" s="23">
        <f t="shared" si="60"/>
        <v>3.7071865774320258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5.6843418860808015E-14</v>
      </c>
      <c r="BE94" s="14">
        <f>BD94*VLOOKUP('Données projet'!$B$11,Paramètres!$A$1:$I$89,3,0)*VLOOKUP('Données projet'!$B$11,Paramètres!$A$1:$I$89,5,0)</f>
        <v>3.3992364478763198E-14</v>
      </c>
      <c r="BF94" s="14">
        <f t="shared" si="91"/>
        <v>5.790027782444094E-13</v>
      </c>
      <c r="BG94" s="22">
        <f t="shared" si="61"/>
        <v>1.0676332069095257E-12</v>
      </c>
      <c r="BH94" s="62">
        <f t="shared" si="62"/>
        <v>293.33333333333439</v>
      </c>
      <c r="BI94" s="62">
        <f ca="1">AVERAGE(OFFSET($BH$3,0,0,'Données projet'!$E$11+1,1))-AVERAGE(OFFSET($H$3,0,0,'Données projet'!$E$11+1,1))</f>
        <v>150.99976380209381</v>
      </c>
      <c r="BJ94" s="62">
        <f t="shared" si="92"/>
        <v>306.39227726293234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29.519909091624303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1.7516292407139996E-7</v>
      </c>
      <c r="BS94" s="24">
        <f t="shared" si="63"/>
        <v>29.519909266787227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266.99999999999983</v>
      </c>
      <c r="AJ95" s="14">
        <f>AI95*VLOOKUP('Données projet'!$B$10,Paramètres!$A$1:$I$89,3,0)*VLOOKUP('Données projet'!$B$10,Paramètres!$A$1:$I$89,5,0)</f>
        <v>216.59039999999987</v>
      </c>
      <c r="AK95" s="14">
        <f t="shared" si="89"/>
        <v>53.373153688190904</v>
      </c>
      <c r="AL95" s="22">
        <f t="shared" si="58"/>
        <v>470.18652267359886</v>
      </c>
      <c r="AM95" s="62">
        <f t="shared" si="59"/>
        <v>763.51985600693217</v>
      </c>
      <c r="AN95" s="62">
        <f ca="1">AVERAGE(OFFSET($AM$3,0,0,'Données projet'!$E$10+1,1))-AVERAGE(OFFSET($H$3,0,0,'Données projet'!$E$10+1,1))</f>
        <v>219.96569743439244</v>
      </c>
      <c r="AO95" s="62">
        <f t="shared" si="90"/>
        <v>219.27079214454579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3.6058133650500759</v>
      </c>
      <c r="AW95" s="23">
        <f>EXP(-LN(2)/2)*AW94+(1-EXP(-LN(2)/2))/(LN(2)/2)*AQ95*AT95*VLOOKUP('Données projet'!$B$10,Paramètres!$A$1:$I$89,3,0)*0.475*44/12</f>
        <v>3.4139429169547658E-10</v>
      </c>
      <c r="AX95" s="23">
        <f t="shared" si="60"/>
        <v>3.6058133653914703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5.6843418860808015E-14</v>
      </c>
      <c r="BE95" s="14">
        <f>BD95*VLOOKUP('Données projet'!$B$11,Paramètres!$A$1:$I$89,3,0)*VLOOKUP('Données projet'!$B$11,Paramètres!$A$1:$I$89,5,0)</f>
        <v>3.3992364478763198E-14</v>
      </c>
      <c r="BF95" s="14">
        <f t="shared" si="91"/>
        <v>5.790027782444094E-13</v>
      </c>
      <c r="BG95" s="22">
        <f t="shared" si="61"/>
        <v>1.0676332069095257E-12</v>
      </c>
      <c r="BH95" s="62">
        <f t="shared" si="62"/>
        <v>293.33333333333439</v>
      </c>
      <c r="BI95" s="62">
        <f ca="1">AVERAGE(OFFSET($BH$3,0,0,'Données projet'!$E$11+1,1))-AVERAGE(OFFSET($H$3,0,0,'Données projet'!$E$11+1,1))</f>
        <v>150.99976380209381</v>
      </c>
      <c r="BJ95" s="62">
        <f t="shared" si="92"/>
        <v>306.39227726293234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28.941041679704213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1.2385889142335125E-7</v>
      </c>
      <c r="BS95" s="24">
        <f t="shared" si="63"/>
        <v>28.941041803563106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266.99999999999983</v>
      </c>
      <c r="AJ96" s="14">
        <f>AI96*VLOOKUP('Données projet'!$B$10,Paramètres!$A$1:$I$89,3,0)*VLOOKUP('Données projet'!$B$10,Paramètres!$A$1:$I$89,5,0)</f>
        <v>216.59039999999987</v>
      </c>
      <c r="AK96" s="14">
        <f t="shared" si="89"/>
        <v>53.373153688190904</v>
      </c>
      <c r="AL96" s="22">
        <f t="shared" si="58"/>
        <v>470.18652267359886</v>
      </c>
      <c r="AM96" s="62">
        <f t="shared" si="59"/>
        <v>763.51985600693217</v>
      </c>
      <c r="AN96" s="62">
        <f ca="1">AVERAGE(OFFSET($AM$3,0,0,'Données projet'!$E$10+1,1))-AVERAGE(OFFSET($H$3,0,0,'Données projet'!$E$10+1,1))</f>
        <v>219.96569743439244</v>
      </c>
      <c r="AO96" s="62">
        <f t="shared" si="90"/>
        <v>219.27079214454579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3.507212208961298</v>
      </c>
      <c r="AW96" s="23">
        <f>EXP(-LN(2)/2)*AW95+(1-EXP(-LN(2)/2))/(LN(2)/2)*AQ96*AT96*VLOOKUP('Données projet'!$B$10,Paramètres!$A$1:$I$89,3,0)*0.475*44/12</f>
        <v>2.4140221871624974E-10</v>
      </c>
      <c r="AX96" s="23">
        <f t="shared" si="60"/>
        <v>3.5072122092027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5.6843418860808015E-14</v>
      </c>
      <c r="BE96" s="14">
        <f>BD96*VLOOKUP('Données projet'!$B$11,Paramètres!$A$1:$I$89,3,0)*VLOOKUP('Données projet'!$B$11,Paramètres!$A$1:$I$89,5,0)</f>
        <v>3.3992364478763198E-14</v>
      </c>
      <c r="BF96" s="14">
        <f t="shared" si="91"/>
        <v>5.790027782444094E-13</v>
      </c>
      <c r="BG96" s="22">
        <f t="shared" si="61"/>
        <v>1.0676332069095257E-12</v>
      </c>
      <c r="BH96" s="62">
        <f t="shared" si="62"/>
        <v>293.33333333333439</v>
      </c>
      <c r="BI96" s="62">
        <f ca="1">AVERAGE(OFFSET($BH$3,0,0,'Données projet'!$E$11+1,1))-AVERAGE(OFFSET($H$3,0,0,'Données projet'!$E$11+1,1))</f>
        <v>150.99976380209381</v>
      </c>
      <c r="BJ96" s="62">
        <f t="shared" si="92"/>
        <v>306.39227726293234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28.373525504657618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8.7581462035699981E-8</v>
      </c>
      <c r="BS96" s="24">
        <f t="shared" si="63"/>
        <v>28.37352559223908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266.99999999999983</v>
      </c>
      <c r="AJ97" s="14">
        <f>AI97*VLOOKUP('Données projet'!$B$10,Paramètres!$A$1:$I$89,3,0)*VLOOKUP('Données projet'!$B$10,Paramètres!$A$1:$I$89,5,0)</f>
        <v>216.59039999999987</v>
      </c>
      <c r="AK97" s="14">
        <f t="shared" si="89"/>
        <v>53.373153688190904</v>
      </c>
      <c r="AL97" s="22">
        <f t="shared" si="58"/>
        <v>470.18652267359886</v>
      </c>
      <c r="AM97" s="62">
        <f t="shared" si="59"/>
        <v>763.51985600693217</v>
      </c>
      <c r="AN97" s="62">
        <f ca="1">AVERAGE(OFFSET($AM$3,0,0,'Données projet'!$E$10+1,1))-AVERAGE(OFFSET($H$3,0,0,'Données projet'!$E$10+1,1))</f>
        <v>219.96569743439244</v>
      </c>
      <c r="AO97" s="62">
        <f t="shared" si="90"/>
        <v>219.27079214454579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3.4113073066709769</v>
      </c>
      <c r="AW97" s="23">
        <f>EXP(-LN(2)/2)*AW96+(1-EXP(-LN(2)/2))/(LN(2)/2)*AQ97*AT97*VLOOKUP('Données projet'!$B$10,Paramètres!$A$1:$I$89,3,0)*0.475*44/12</f>
        <v>1.7069714584773829E-10</v>
      </c>
      <c r="AX97" s="23">
        <f t="shared" si="60"/>
        <v>3.4113073068416742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5.6843418860808015E-14</v>
      </c>
      <c r="BE97" s="14">
        <f>BD97*VLOOKUP('Données projet'!$B$11,Paramètres!$A$1:$I$89,3,0)*VLOOKUP('Données projet'!$B$11,Paramètres!$A$1:$I$89,5,0)</f>
        <v>3.3992364478763198E-14</v>
      </c>
      <c r="BF97" s="14">
        <f t="shared" si="91"/>
        <v>5.790027782444094E-13</v>
      </c>
      <c r="BG97" s="22">
        <f t="shared" si="61"/>
        <v>1.0676332069095257E-12</v>
      </c>
      <c r="BH97" s="62">
        <f t="shared" si="62"/>
        <v>293.33333333333439</v>
      </c>
      <c r="BI97" s="62">
        <f ca="1">AVERAGE(OFFSET($BH$3,0,0,'Données projet'!$E$11+1,1))-AVERAGE(OFFSET($H$3,0,0,'Données projet'!$E$11+1,1))</f>
        <v>150.99976380209381</v>
      </c>
      <c r="BJ97" s="62">
        <f t="shared" si="92"/>
        <v>306.39227726293234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27.817137975653001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6.1929445711675624E-8</v>
      </c>
      <c r="BS97" s="24">
        <f t="shared" si="63"/>
        <v>27.817138037582446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266.99999999999983</v>
      </c>
      <c r="AJ98" s="14">
        <f>AI98*VLOOKUP('Données projet'!$B$10,Paramètres!$A$1:$I$89,3,0)*VLOOKUP('Données projet'!$B$10,Paramètres!$A$1:$I$89,5,0)</f>
        <v>216.59039999999987</v>
      </c>
      <c r="AK98" s="14">
        <f t="shared" si="89"/>
        <v>53.373153688190904</v>
      </c>
      <c r="AL98" s="22">
        <f t="shared" si="58"/>
        <v>470.18652267359886</v>
      </c>
      <c r="AM98" s="62">
        <f t="shared" si="59"/>
        <v>763.51985600693217</v>
      </c>
      <c r="AN98" s="62">
        <f ca="1">AVERAGE(OFFSET($AM$3,0,0,'Données projet'!$E$10+1,1))-AVERAGE(OFFSET($H$3,0,0,'Données projet'!$E$10+1,1))</f>
        <v>219.96569743439244</v>
      </c>
      <c r="AO98" s="62">
        <f t="shared" si="90"/>
        <v>219.27079214454579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3.3180249289772044</v>
      </c>
      <c r="AW98" s="23">
        <f>EXP(-LN(2)/2)*AW97+(1-EXP(-LN(2)/2))/(LN(2)/2)*AQ98*AT98*VLOOKUP('Données projet'!$B$10,Paramètres!$A$1:$I$89,3,0)*0.475*44/12</f>
        <v>1.2070110935812487E-10</v>
      </c>
      <c r="AX98" s="23">
        <f t="shared" si="60"/>
        <v>3.3180249290979056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5.6843418860808015E-14</v>
      </c>
      <c r="BE98" s="14">
        <f>BD98*VLOOKUP('Données projet'!$B$11,Paramètres!$A$1:$I$89,3,0)*VLOOKUP('Données projet'!$B$11,Paramètres!$A$1:$I$89,5,0)</f>
        <v>3.3992364478763198E-14</v>
      </c>
      <c r="BF98" s="14">
        <f t="shared" si="91"/>
        <v>5.790027782444094E-13</v>
      </c>
      <c r="BG98" s="22">
        <f t="shared" si="61"/>
        <v>1.0676332069095257E-12</v>
      </c>
      <c r="BH98" s="62">
        <f t="shared" si="62"/>
        <v>293.33333333333439</v>
      </c>
      <c r="BI98" s="62">
        <f ca="1">AVERAGE(OFFSET($BH$3,0,0,'Données projet'!$E$11+1,1))-AVERAGE(OFFSET($H$3,0,0,'Données projet'!$E$11+1,1))</f>
        <v>150.99976380209381</v>
      </c>
      <c r="BJ98" s="62">
        <f t="shared" si="92"/>
        <v>306.39227726293234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27.271660866729281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4.379073101784999E-8</v>
      </c>
      <c r="BS98" s="24">
        <f t="shared" si="63"/>
        <v>27.271660910520012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266.99999999999983</v>
      </c>
      <c r="AJ99" s="14">
        <f>AI99*VLOOKUP('Données projet'!$B$10,Paramètres!$A$1:$I$89,3,0)*VLOOKUP('Données projet'!$B$10,Paramètres!$A$1:$I$89,5,0)</f>
        <v>216.59039999999987</v>
      </c>
      <c r="AK99" s="14">
        <f t="shared" si="89"/>
        <v>53.373153688190904</v>
      </c>
      <c r="AL99" s="22">
        <f t="shared" si="58"/>
        <v>470.18652267359886</v>
      </c>
      <c r="AM99" s="62">
        <f t="shared" si="59"/>
        <v>763.51985600693217</v>
      </c>
      <c r="AN99" s="62">
        <f ca="1">AVERAGE(OFFSET($AM$3,0,0,'Données projet'!$E$10+1,1))-AVERAGE(OFFSET($H$3,0,0,'Données projet'!$E$10+1,1))</f>
        <v>219.96569743439244</v>
      </c>
      <c r="AO99" s="62">
        <f t="shared" si="90"/>
        <v>219.27079214454579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3.2272933628069751</v>
      </c>
      <c r="AW99" s="23">
        <f>EXP(-LN(2)/2)*AW98+(1-EXP(-LN(2)/2))/(LN(2)/2)*AQ99*AT99*VLOOKUP('Données projet'!$B$10,Paramètres!$A$1:$I$89,3,0)*0.475*44/12</f>
        <v>8.5348572923869145E-11</v>
      </c>
      <c r="AX99" s="23">
        <f t="shared" si="60"/>
        <v>3.2272933628923237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5.6843418860808015E-14</v>
      </c>
      <c r="BE99" s="14">
        <f>BD99*VLOOKUP('Données projet'!$B$11,Paramètres!$A$1:$I$89,3,0)*VLOOKUP('Données projet'!$B$11,Paramètres!$A$1:$I$89,5,0)</f>
        <v>3.3992364478763198E-14</v>
      </c>
      <c r="BF99" s="14">
        <f t="shared" si="91"/>
        <v>5.790027782444094E-13</v>
      </c>
      <c r="BG99" s="22">
        <f t="shared" si="61"/>
        <v>1.0676332069095257E-12</v>
      </c>
      <c r="BH99" s="62">
        <f t="shared" si="62"/>
        <v>293.33333333333439</v>
      </c>
      <c r="BI99" s="62">
        <f ca="1">AVERAGE(OFFSET($BH$3,0,0,'Données projet'!$E$11+1,1))-AVERAGE(OFFSET($H$3,0,0,'Données projet'!$E$11+1,1))</f>
        <v>150.99976380209381</v>
      </c>
      <c r="BJ99" s="62">
        <f t="shared" si="92"/>
        <v>306.39227726293234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26.736880231203372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3.0964722855837812E-8</v>
      </c>
      <c r="BS99" s="24">
        <f t="shared" si="63"/>
        <v>26.736880262168096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266.99999999999983</v>
      </c>
      <c r="AJ100" s="14">
        <f>AI100*VLOOKUP('Données projet'!$B$10,Paramètres!$A$1:$I$89,3,0)*VLOOKUP('Données projet'!$B$10,Paramètres!$A$1:$I$89,5,0)</f>
        <v>216.59039999999987</v>
      </c>
      <c r="AK100" s="14">
        <f t="shared" si="89"/>
        <v>53.373153688190904</v>
      </c>
      <c r="AL100" s="22">
        <f t="shared" si="58"/>
        <v>470.18652267359886</v>
      </c>
      <c r="AM100" s="62">
        <f t="shared" si="59"/>
        <v>763.51985600693217</v>
      </c>
      <c r="AN100" s="62">
        <f ca="1">AVERAGE(OFFSET($AM$3,0,0,'Données projet'!$E$10+1,1))-AVERAGE(OFFSET($H$3,0,0,'Données projet'!$E$10+1,1))</f>
        <v>219.96569743439244</v>
      </c>
      <c r="AO100" s="62">
        <f t="shared" si="90"/>
        <v>219.27079214454579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3.1390428560850365</v>
      </c>
      <c r="AW100" s="23">
        <f>EXP(-LN(2)/2)*AW99+(1-EXP(-LN(2)/2))/(LN(2)/2)*AQ100*AT100*VLOOKUP('Données projet'!$B$10,Paramètres!$A$1:$I$89,3,0)*0.475*44/12</f>
        <v>6.0350554679062434E-11</v>
      </c>
      <c r="AX100" s="23">
        <f t="shared" si="60"/>
        <v>3.1390428561453869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5.6843418860808015E-14</v>
      </c>
      <c r="BE100" s="14">
        <f>BD100*VLOOKUP('Données projet'!$B$11,Paramètres!$A$1:$I$89,3,0)*VLOOKUP('Données projet'!$B$11,Paramètres!$A$1:$I$89,5,0)</f>
        <v>3.3992364478763198E-14</v>
      </c>
      <c r="BF100" s="14">
        <f t="shared" si="91"/>
        <v>5.790027782444094E-13</v>
      </c>
      <c r="BG100" s="22">
        <f t="shared" si="61"/>
        <v>1.0676332069095257E-12</v>
      </c>
      <c r="BH100" s="62">
        <f t="shared" si="62"/>
        <v>293.33333333333439</v>
      </c>
      <c r="BI100" s="62">
        <f ca="1">AVERAGE(OFFSET($BH$3,0,0,'Données projet'!$E$11+1,1))-AVERAGE(OFFSET($H$3,0,0,'Données projet'!$E$11+1,1))</f>
        <v>150.99976380209381</v>
      </c>
      <c r="BJ100" s="62">
        <f t="shared" si="92"/>
        <v>306.39227726293234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26.212586317756145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2.1895365508924995E-8</v>
      </c>
      <c r="BS100" s="24">
        <f t="shared" si="63"/>
        <v>26.212586339651509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266.99999999999983</v>
      </c>
      <c r="AJ101" s="14">
        <f>AI101*VLOOKUP('Données projet'!$B$10,Paramètres!$A$1:$I$89,3,0)*VLOOKUP('Données projet'!$B$10,Paramètres!$A$1:$I$89,5,0)</f>
        <v>216.59039999999987</v>
      </c>
      <c r="AK101" s="14">
        <f t="shared" si="89"/>
        <v>53.373153688190904</v>
      </c>
      <c r="AL101" s="22">
        <f t="shared" si="58"/>
        <v>470.18652267359886</v>
      </c>
      <c r="AM101" s="62">
        <f t="shared" si="59"/>
        <v>763.51985600693217</v>
      </c>
      <c r="AN101" s="62">
        <f ca="1">AVERAGE(OFFSET($AM$3,0,0,'Données projet'!$E$10+1,1))-AVERAGE(OFFSET($H$3,0,0,'Données projet'!$E$10+1,1))</f>
        <v>219.96569743439244</v>
      </c>
      <c r="AO101" s="62">
        <f t="shared" si="90"/>
        <v>219.27079214454579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3.0532055641103018</v>
      </c>
      <c r="AW101" s="23">
        <f>EXP(-LN(2)/2)*AW100+(1-EXP(-LN(2)/2))/(LN(2)/2)*AQ101*AT101*VLOOKUP('Données projet'!$B$10,Paramètres!$A$1:$I$89,3,0)*0.475*44/12</f>
        <v>4.2674286461934572E-11</v>
      </c>
      <c r="AX101" s="23">
        <f t="shared" si="60"/>
        <v>3.0532055641529761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5.6843418860808015E-14</v>
      </c>
      <c r="BE101" s="14">
        <f>BD101*VLOOKUP('Données projet'!$B$11,Paramètres!$A$1:$I$89,3,0)*VLOOKUP('Données projet'!$B$11,Paramètres!$A$1:$I$89,5,0)</f>
        <v>3.3992364478763198E-14</v>
      </c>
      <c r="BF101" s="14">
        <f t="shared" si="91"/>
        <v>5.790027782444094E-13</v>
      </c>
      <c r="BG101" s="22">
        <f t="shared" si="61"/>
        <v>1.0676332069095257E-12</v>
      </c>
      <c r="BH101" s="62">
        <f t="shared" si="62"/>
        <v>293.33333333333439</v>
      </c>
      <c r="BI101" s="62">
        <f ca="1">AVERAGE(OFFSET($BH$3,0,0,'Données projet'!$E$11+1,1))-AVERAGE(OFFSET($H$3,0,0,'Données projet'!$E$11+1,1))</f>
        <v>150.99976380209381</v>
      </c>
      <c r="BJ101" s="62">
        <f t="shared" si="92"/>
        <v>306.39227726293234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25.698573488163905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1.5482361427918906E-8</v>
      </c>
      <c r="BS101" s="24">
        <f t="shared" si="63"/>
        <v>25.698573503646266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266.99999999999983</v>
      </c>
      <c r="AJ102" s="14">
        <f>AI102*VLOOKUP('Données projet'!$B$10,Paramètres!$A$1:$I$89,3,0)*VLOOKUP('Données projet'!$B$10,Paramètres!$A$1:$I$89,5,0)</f>
        <v>216.59039999999987</v>
      </c>
      <c r="AK102" s="14">
        <f t="shared" si="89"/>
        <v>53.373153688190904</v>
      </c>
      <c r="AL102" s="22">
        <f t="shared" si="58"/>
        <v>470.18652267359886</v>
      </c>
      <c r="AM102" s="62">
        <f t="shared" si="59"/>
        <v>763.51985600693217</v>
      </c>
      <c r="AN102" s="62">
        <f ca="1">AVERAGE(OFFSET($AM$3,0,0,'Données projet'!$E$10+1,1))-AVERAGE(OFFSET($H$3,0,0,'Données projet'!$E$10+1,1))</f>
        <v>219.96569743439244</v>
      </c>
      <c r="AO102" s="62">
        <f t="shared" si="90"/>
        <v>219.27079214454579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2.9697154973986031</v>
      </c>
      <c r="AW102" s="23">
        <f>EXP(-LN(2)/2)*AW101+(1-EXP(-LN(2)/2))/(LN(2)/2)*AQ102*AT102*VLOOKUP('Données projet'!$B$10,Paramètres!$A$1:$I$89,3,0)*0.475*44/12</f>
        <v>3.0175277339531217E-11</v>
      </c>
      <c r="AX102" s="23">
        <f t="shared" si="60"/>
        <v>2.9697154974287785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5.6843418860808015E-14</v>
      </c>
      <c r="BE102" s="14">
        <f>BD102*VLOOKUP('Données projet'!$B$11,Paramètres!$A$1:$I$89,3,0)*VLOOKUP('Données projet'!$B$11,Paramètres!$A$1:$I$89,5,0)</f>
        <v>3.3992364478763198E-14</v>
      </c>
      <c r="BF102" s="14">
        <f t="shared" si="91"/>
        <v>5.790027782444094E-13</v>
      </c>
      <c r="BG102" s="22">
        <f t="shared" si="61"/>
        <v>1.0676332069095257E-12</v>
      </c>
      <c r="BH102" s="62">
        <f t="shared" si="62"/>
        <v>293.33333333333439</v>
      </c>
      <c r="BI102" s="62">
        <f ca="1">AVERAGE(OFFSET($BH$3,0,0,'Données projet'!$E$11+1,1))-AVERAGE(OFFSET($H$3,0,0,'Données projet'!$E$11+1,1))</f>
        <v>150.99976380209381</v>
      </c>
      <c r="BJ102" s="62">
        <f t="shared" si="92"/>
        <v>306.39227726293234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25.194640136643102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1.0947682754462498E-8</v>
      </c>
      <c r="BS102" s="24">
        <f t="shared" si="63"/>
        <v>25.194640147590786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266.99999999999983</v>
      </c>
      <c r="AJ103" s="14">
        <f>AI103*VLOOKUP('Données projet'!$B$10,Paramètres!$A$1:$I$89,3,0)*VLOOKUP('Données projet'!$B$10,Paramètres!$A$1:$I$89,5,0)</f>
        <v>216.59039999999987</v>
      </c>
      <c r="AK103" s="14">
        <f t="shared" si="89"/>
        <v>53.373153688190904</v>
      </c>
      <c r="AL103" s="22">
        <f t="shared" si="58"/>
        <v>470.18652267359886</v>
      </c>
      <c r="AM103" s="62">
        <f t="shared" si="59"/>
        <v>763.51985600693217</v>
      </c>
      <c r="AN103" s="62">
        <f ca="1">AVERAGE(OFFSET($AM$3,0,0,'Données projet'!$E$10+1,1))-AVERAGE(OFFSET($H$3,0,0,'Données projet'!$E$10+1,1))</f>
        <v>219.96569743439244</v>
      </c>
      <c r="AO103" s="62">
        <f t="shared" si="90"/>
        <v>219.27079214454579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2.8885084709516877</v>
      </c>
      <c r="AW103" s="23">
        <f>EXP(-LN(2)/2)*AW102+(1-EXP(-LN(2)/2))/(LN(2)/2)*AQ103*AT103*VLOOKUP('Données projet'!$B$10,Paramètres!$A$1:$I$89,3,0)*0.475*44/12</f>
        <v>2.1337143230967286E-11</v>
      </c>
      <c r="AX103" s="23">
        <f t="shared" si="60"/>
        <v>2.8885084709730249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5.6843418860808015E-14</v>
      </c>
      <c r="BE103" s="14">
        <f>BD103*VLOOKUP('Données projet'!$B$11,Paramètres!$A$1:$I$89,3,0)*VLOOKUP('Données projet'!$B$11,Paramètres!$A$1:$I$89,5,0)</f>
        <v>3.3992364478763198E-14</v>
      </c>
      <c r="BF103" s="14">
        <f t="shared" si="91"/>
        <v>5.790027782444094E-13</v>
      </c>
      <c r="BG103" s="22">
        <f t="shared" si="61"/>
        <v>1.0676332069095257E-12</v>
      </c>
      <c r="BH103" s="62">
        <f t="shared" si="62"/>
        <v>293.33333333333439</v>
      </c>
      <c r="BI103" s="62">
        <f ca="1">AVERAGE(OFFSET($BH$3,0,0,'Données projet'!$E$11+1,1))-AVERAGE(OFFSET($H$3,0,0,'Données projet'!$E$11+1,1))</f>
        <v>150.99976380209381</v>
      </c>
      <c r="BJ103" s="62">
        <f t="shared" si="92"/>
        <v>306.39227726293234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24.700588610776627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7.741180713959453E-9</v>
      </c>
      <c r="BS103" s="24">
        <f t="shared" si="63"/>
        <v>24.700588618517809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266.99999999999983</v>
      </c>
      <c r="AJ104" s="14">
        <f>AI104*VLOOKUP('Données projet'!$B$10,Paramètres!$A$1:$I$89,3,0)*VLOOKUP('Données projet'!$B$10,Paramètres!$A$1:$I$89,5,0)</f>
        <v>216.59039999999987</v>
      </c>
      <c r="AK104" s="14">
        <f t="shared" si="89"/>
        <v>53.373153688190904</v>
      </c>
      <c r="AL104" s="22">
        <f t="shared" si="58"/>
        <v>470.18652267359886</v>
      </c>
      <c r="AM104" s="62">
        <f t="shared" si="59"/>
        <v>763.51985600693217</v>
      </c>
      <c r="AN104" s="62">
        <f ca="1">AVERAGE(OFFSET($AM$3,0,0,'Données projet'!$E$10+1,1))-AVERAGE(OFFSET($H$3,0,0,'Données projet'!$E$10+1,1))</f>
        <v>219.96569743439244</v>
      </c>
      <c r="AO104" s="62">
        <f t="shared" si="90"/>
        <v>219.27079214454579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2.809522054913455</v>
      </c>
      <c r="AW104" s="23">
        <f>EXP(-LN(2)/2)*AW103+(1-EXP(-LN(2)/2))/(LN(2)/2)*AQ104*AT104*VLOOKUP('Données projet'!$B$10,Paramètres!$A$1:$I$89,3,0)*0.475*44/12</f>
        <v>1.5087638669765609E-11</v>
      </c>
      <c r="AX104" s="23">
        <f t="shared" si="60"/>
        <v>2.8095220549285425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5.6843418860808015E-14</v>
      </c>
      <c r="BE104" s="14">
        <f>BD104*VLOOKUP('Données projet'!$B$11,Paramètres!$A$1:$I$89,3,0)*VLOOKUP('Données projet'!$B$11,Paramètres!$A$1:$I$89,5,0)</f>
        <v>3.3992364478763198E-14</v>
      </c>
      <c r="BF104" s="14">
        <f t="shared" si="91"/>
        <v>5.790027782444094E-13</v>
      </c>
      <c r="BG104" s="22">
        <f t="shared" si="61"/>
        <v>1.0676332069095257E-12</v>
      </c>
      <c r="BH104" s="62">
        <f t="shared" si="62"/>
        <v>293.33333333333439</v>
      </c>
      <c r="BI104" s="62">
        <f ca="1">AVERAGE(OFFSET($BH$3,0,0,'Données projet'!$E$11+1,1))-AVERAGE(OFFSET($H$3,0,0,'Données projet'!$E$11+1,1))</f>
        <v>150.99976380209381</v>
      </c>
      <c r="BJ104" s="62">
        <f t="shared" si="92"/>
        <v>306.39227726293234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24.216225133990719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5.4738413772312488E-9</v>
      </c>
      <c r="BS104" s="24">
        <f t="shared" si="63"/>
        <v>24.216225139464559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266.99999999999983</v>
      </c>
      <c r="AJ105" s="14">
        <f>AI105*VLOOKUP('Données projet'!$B$10,Paramètres!$A$1:$I$89,3,0)*VLOOKUP('Données projet'!$B$10,Paramètres!$A$1:$I$89,5,0)</f>
        <v>216.59039999999987</v>
      </c>
      <c r="AK105" s="14">
        <f t="shared" si="89"/>
        <v>53.373153688190904</v>
      </c>
      <c r="AL105" s="22">
        <f t="shared" si="58"/>
        <v>470.18652267359886</v>
      </c>
      <c r="AM105" s="62">
        <f t="shared" si="59"/>
        <v>763.51985600693217</v>
      </c>
      <c r="AN105" s="62">
        <f ca="1">AVERAGE(OFFSET($AM$3,0,0,'Données projet'!$E$10+1,1))-AVERAGE(OFFSET($H$3,0,0,'Données projet'!$E$10+1,1))</f>
        <v>219.96569743439244</v>
      </c>
      <c r="AO105" s="62">
        <f t="shared" si="90"/>
        <v>219.27079214454579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2.7326955265755029</v>
      </c>
      <c r="AW105" s="23">
        <f>EXP(-LN(2)/2)*AW104+(1-EXP(-LN(2)/2))/(LN(2)/2)*AQ105*AT105*VLOOKUP('Données projet'!$B$10,Paramètres!$A$1:$I$89,3,0)*0.475*44/12</f>
        <v>1.0668571615483643E-11</v>
      </c>
      <c r="AX105" s="23">
        <f t="shared" si="60"/>
        <v>2.7326955265861712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5.6843418860808015E-14</v>
      </c>
      <c r="BE105" s="14">
        <f>BD105*VLOOKUP('Données projet'!$B$11,Paramètres!$A$1:$I$89,3,0)*VLOOKUP('Données projet'!$B$11,Paramètres!$A$1:$I$89,5,0)</f>
        <v>3.3992364478763198E-14</v>
      </c>
      <c r="BF105" s="14">
        <f t="shared" si="91"/>
        <v>5.790027782444094E-13</v>
      </c>
      <c r="BG105" s="22">
        <f t="shared" si="61"/>
        <v>1.0676332069095257E-12</v>
      </c>
      <c r="BH105" s="62">
        <f t="shared" si="62"/>
        <v>293.33333333333439</v>
      </c>
      <c r="BI105" s="62">
        <f ca="1">AVERAGE(OFFSET($BH$3,0,0,'Données projet'!$E$11+1,1))-AVERAGE(OFFSET($H$3,0,0,'Données projet'!$E$11+1,1))</f>
        <v>150.99976380209381</v>
      </c>
      <c r="BJ105" s="62">
        <f t="shared" si="92"/>
        <v>306.39227726293234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23.741359729552034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3.8705903569797265E-9</v>
      </c>
      <c r="BS105" s="24">
        <f t="shared" si="63"/>
        <v>23.741359733422623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266.99999999999983</v>
      </c>
      <c r="AJ106" s="14">
        <f>AI106*VLOOKUP('Données projet'!$B$10,Paramètres!$A$1:$I$89,3,0)*VLOOKUP('Données projet'!$B$10,Paramètres!$A$1:$I$89,5,0)</f>
        <v>216.59039999999987</v>
      </c>
      <c r="AK106" s="14">
        <f t="shared" si="89"/>
        <v>53.373153688190904</v>
      </c>
      <c r="AL106" s="22">
        <f t="shared" si="58"/>
        <v>470.18652267359886</v>
      </c>
      <c r="AM106" s="62">
        <f t="shared" si="59"/>
        <v>763.51985600693217</v>
      </c>
      <c r="AN106" s="62">
        <f ca="1">AVERAGE(OFFSET($AM$3,0,0,'Données projet'!$E$10+1,1))-AVERAGE(OFFSET($H$3,0,0,'Données projet'!$E$10+1,1))</f>
        <v>219.96569743439244</v>
      </c>
      <c r="AO106" s="62">
        <f t="shared" si="90"/>
        <v>219.27079214454579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2.6579698236950837</v>
      </c>
      <c r="AW106" s="23">
        <f>EXP(-LN(2)/2)*AW105+(1-EXP(-LN(2)/2))/(LN(2)/2)*AQ106*AT106*VLOOKUP('Données projet'!$B$10,Paramètres!$A$1:$I$89,3,0)*0.475*44/12</f>
        <v>7.5438193348828043E-12</v>
      </c>
      <c r="AX106" s="23">
        <f t="shared" si="60"/>
        <v>2.6579698237026275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5.6843418860808015E-14</v>
      </c>
      <c r="BE106" s="14">
        <f>BD106*VLOOKUP('Données projet'!$B$11,Paramètres!$A$1:$I$89,3,0)*VLOOKUP('Données projet'!$B$11,Paramètres!$A$1:$I$89,5,0)</f>
        <v>3.3992364478763198E-14</v>
      </c>
      <c r="BF106" s="14">
        <f t="shared" si="91"/>
        <v>5.790027782444094E-13</v>
      </c>
      <c r="BG106" s="22">
        <f t="shared" si="61"/>
        <v>1.0676332069095257E-12</v>
      </c>
      <c r="BH106" s="62">
        <f t="shared" si="62"/>
        <v>293.33333333333439</v>
      </c>
      <c r="BI106" s="62">
        <f ca="1">AVERAGE(OFFSET($BH$3,0,0,'Données projet'!$E$11+1,1))-AVERAGE(OFFSET($H$3,0,0,'Données projet'!$E$11+1,1))</f>
        <v>150.99976380209381</v>
      </c>
      <c r="BJ106" s="62">
        <f t="shared" si="92"/>
        <v>306.39227726293234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23.275806146055093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2.7369206886156244E-9</v>
      </c>
      <c r="BS106" s="24">
        <f t="shared" si="63"/>
        <v>23.275806148792014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266.99999999999983</v>
      </c>
      <c r="AJ107" s="14">
        <f>AI107*VLOOKUP('Données projet'!$B$10,Paramètres!$A$1:$I$89,3,0)*VLOOKUP('Données projet'!$B$10,Paramètres!$A$1:$I$89,5,0)</f>
        <v>216.59039999999987</v>
      </c>
      <c r="AK107" s="14">
        <f t="shared" si="89"/>
        <v>53.373153688190904</v>
      </c>
      <c r="AL107" s="22">
        <f t="shared" si="58"/>
        <v>470.18652267359886</v>
      </c>
      <c r="AM107" s="62">
        <f t="shared" si="59"/>
        <v>763.51985600693217</v>
      </c>
      <c r="AN107" s="62">
        <f ca="1">AVERAGE(OFFSET($AM$3,0,0,'Données projet'!$E$10+1,1))-AVERAGE(OFFSET($H$3,0,0,'Données projet'!$E$10+1,1))</f>
        <v>219.96569743439244</v>
      </c>
      <c r="AO107" s="62">
        <f t="shared" si="90"/>
        <v>219.27079214454579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2.5852874990895836</v>
      </c>
      <c r="AW107" s="23">
        <f>EXP(-LN(2)/2)*AW106+(1-EXP(-LN(2)/2))/(LN(2)/2)*AQ107*AT107*VLOOKUP('Données projet'!$B$10,Paramètres!$A$1:$I$89,3,0)*0.475*44/12</f>
        <v>5.3342858077418215E-12</v>
      </c>
      <c r="AX107" s="23">
        <f t="shared" si="60"/>
        <v>2.585287499094918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5.6843418860808015E-14</v>
      </c>
      <c r="BE107" s="14">
        <f>BD107*VLOOKUP('Données projet'!$B$11,Paramètres!$A$1:$I$89,3,0)*VLOOKUP('Données projet'!$B$11,Paramètres!$A$1:$I$89,5,0)</f>
        <v>3.3992364478763198E-14</v>
      </c>
      <c r="BF107" s="14">
        <f t="shared" si="91"/>
        <v>5.790027782444094E-13</v>
      </c>
      <c r="BG107" s="22">
        <f t="shared" si="61"/>
        <v>1.0676332069095257E-12</v>
      </c>
      <c r="BH107" s="62">
        <f t="shared" si="62"/>
        <v>293.33333333333439</v>
      </c>
      <c r="BI107" s="62">
        <f ca="1">AVERAGE(OFFSET($BH$3,0,0,'Données projet'!$E$11+1,1))-AVERAGE(OFFSET($H$3,0,0,'Données projet'!$E$11+1,1))</f>
        <v>150.99976380209381</v>
      </c>
      <c r="BJ107" s="62">
        <f t="shared" si="92"/>
        <v>306.39227726293234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22.819381784370879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1.9352951784898633E-9</v>
      </c>
      <c r="BS107" s="24">
        <f t="shared" si="63"/>
        <v>22.819381786306174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266.99999999999983</v>
      </c>
      <c r="AJ108" s="14">
        <f>AI108*VLOOKUP('Données projet'!$B$10,Paramètres!$A$1:$I$89,3,0)*VLOOKUP('Données projet'!$B$10,Paramètres!$A$1:$I$89,5,0)</f>
        <v>216.59039999999987</v>
      </c>
      <c r="AK108" s="14">
        <f t="shared" si="89"/>
        <v>53.373153688190904</v>
      </c>
      <c r="AL108" s="22">
        <f t="shared" si="58"/>
        <v>470.18652267359886</v>
      </c>
      <c r="AM108" s="62">
        <f t="shared" si="59"/>
        <v>763.51985600693217</v>
      </c>
      <c r="AN108" s="62">
        <f ca="1">AVERAGE(OFFSET($AM$3,0,0,'Données projet'!$E$10+1,1))-AVERAGE(OFFSET($H$3,0,0,'Données projet'!$E$10+1,1))</f>
        <v>219.96569743439244</v>
      </c>
      <c r="AO108" s="62">
        <f t="shared" si="90"/>
        <v>219.27079214454579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2.5145926764726179</v>
      </c>
      <c r="AW108" s="23">
        <f>EXP(-LN(2)/2)*AW107+(1-EXP(-LN(2)/2))/(LN(2)/2)*AQ108*AT108*VLOOKUP('Données projet'!$B$10,Paramètres!$A$1:$I$89,3,0)*0.475*44/12</f>
        <v>3.7719096674414021E-12</v>
      </c>
      <c r="AX108" s="23">
        <f t="shared" si="60"/>
        <v>2.51459267647639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5.6843418860808015E-14</v>
      </c>
      <c r="BE108" s="14">
        <f>BD108*VLOOKUP('Données projet'!$B$11,Paramètres!$A$1:$I$89,3,0)*VLOOKUP('Données projet'!$B$11,Paramètres!$A$1:$I$89,5,0)</f>
        <v>3.3992364478763198E-14</v>
      </c>
      <c r="BF108" s="14">
        <f t="shared" si="91"/>
        <v>5.790027782444094E-13</v>
      </c>
      <c r="BG108" s="22">
        <f t="shared" si="61"/>
        <v>1.0676332069095257E-12</v>
      </c>
      <c r="BH108" s="62">
        <f t="shared" si="62"/>
        <v>293.33333333333439</v>
      </c>
      <c r="BI108" s="62">
        <f ca="1">AVERAGE(OFFSET($BH$3,0,0,'Données projet'!$E$11+1,1))-AVERAGE(OFFSET($H$3,0,0,'Données projet'!$E$11+1,1))</f>
        <v>150.99976380209381</v>
      </c>
      <c r="BJ108" s="62">
        <f t="shared" si="92"/>
        <v>306.39227726293234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22.371907626027923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1.3684603443078122E-9</v>
      </c>
      <c r="BS108" s="24">
        <f t="shared" si="63"/>
        <v>22.371907627396382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266.99999999999983</v>
      </c>
      <c r="AJ109" s="14">
        <f>AI109*VLOOKUP('Données projet'!$B$10,Paramètres!$A$1:$I$89,3,0)*VLOOKUP('Données projet'!$B$10,Paramètres!$A$1:$I$89,5,0)</f>
        <v>216.59039999999987</v>
      </c>
      <c r="AK109" s="14">
        <f t="shared" si="89"/>
        <v>53.373153688190904</v>
      </c>
      <c r="AL109" s="22">
        <f t="shared" si="58"/>
        <v>470.18652267359886</v>
      </c>
      <c r="AM109" s="62">
        <f t="shared" si="59"/>
        <v>763.51985600693217</v>
      </c>
      <c r="AN109" s="62">
        <f ca="1">AVERAGE(OFFSET($AM$3,0,0,'Données projet'!$E$10+1,1))-AVERAGE(OFFSET($H$3,0,0,'Données projet'!$E$10+1,1))</f>
        <v>219.96569743439244</v>
      </c>
      <c r="AO109" s="62">
        <f t="shared" si="90"/>
        <v>219.27079214454579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2.4458310074977923</v>
      </c>
      <c r="AW109" s="23">
        <f>EXP(-LN(2)/2)*AW108+(1-EXP(-LN(2)/2))/(LN(2)/2)*AQ109*AT109*VLOOKUP('Données projet'!$B$10,Paramètres!$A$1:$I$89,3,0)*0.475*44/12</f>
        <v>2.6671429038709108E-12</v>
      </c>
      <c r="AX109" s="23">
        <f t="shared" si="60"/>
        <v>2.4458310075004595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3.3992364478763198E-14</v>
      </c>
      <c r="BF109" s="14">
        <f t="shared" si="91"/>
        <v>5.790027782444094E-13</v>
      </c>
      <c r="BG109" s="22">
        <f t="shared" si="61"/>
        <v>1.0676332069095257E-12</v>
      </c>
      <c r="BH109" s="62">
        <f t="shared" si="62"/>
        <v>293.33333333333439</v>
      </c>
      <c r="BI109" s="62">
        <f ca="1">AVERAGE(OFFSET($BH$3,0,0,'Données projet'!$E$11+1,1))-AVERAGE(OFFSET($H$3,0,0,'Données projet'!$E$11+1,1))</f>
        <v>150.99976380209381</v>
      </c>
      <c r="BJ109" s="62">
        <f t="shared" si="92"/>
        <v>306.39227726293234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21.933208162997783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9.6764758924493163E-10</v>
      </c>
      <c r="BS109" s="24">
        <f t="shared" si="63"/>
        <v>21.933208163965432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266.99999999999983</v>
      </c>
      <c r="AJ110" s="14">
        <f>AI110*VLOOKUP('Données projet'!$B$10,Paramètres!$A$1:$I$89,3,0)*VLOOKUP('Données projet'!$B$10,Paramètres!$A$1:$I$89,5,0)</f>
        <v>216.59039999999987</v>
      </c>
      <c r="AK110" s="14">
        <f t="shared" si="89"/>
        <v>53.373153688190904</v>
      </c>
      <c r="AL110" s="22">
        <f t="shared" si="58"/>
        <v>470.18652267359886</v>
      </c>
      <c r="AM110" s="62">
        <f t="shared" si="59"/>
        <v>763.51985600693217</v>
      </c>
      <c r="AN110" s="62">
        <f ca="1">AVERAGE(OFFSET($AM$3,0,0,'Données projet'!$E$10+1,1))-AVERAGE(OFFSET($H$3,0,0,'Données projet'!$E$10+1,1))</f>
        <v>219.96569743439244</v>
      </c>
      <c r="AO110" s="62">
        <f t="shared" si="90"/>
        <v>219.27079214454579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2.3789496299771025</v>
      </c>
      <c r="AW110" s="23">
        <f>EXP(-LN(2)/2)*AW109+(1-EXP(-LN(2)/2))/(LN(2)/2)*AQ110*AT110*VLOOKUP('Données projet'!$B$10,Paramètres!$A$1:$I$89,3,0)*0.475*44/12</f>
        <v>1.8859548337207011E-12</v>
      </c>
      <c r="AX110" s="23">
        <f t="shared" si="60"/>
        <v>2.3789496299789885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3.3992364478763198E-14</v>
      </c>
      <c r="BF110" s="14">
        <f t="shared" si="91"/>
        <v>5.790027782444094E-13</v>
      </c>
      <c r="BG110" s="22">
        <f t="shared" si="61"/>
        <v>1.0676332069095257E-12</v>
      </c>
      <c r="BH110" s="62">
        <f t="shared" si="62"/>
        <v>293.33333333333439</v>
      </c>
      <c r="BI110" s="62">
        <f ca="1">AVERAGE(OFFSET($BH$3,0,0,'Données projet'!$E$11+1,1))-AVERAGE(OFFSET($H$3,0,0,'Données projet'!$E$11+1,1))</f>
        <v>150.99976380209381</v>
      </c>
      <c r="BJ110" s="62">
        <f t="shared" si="92"/>
        <v>306.39227726293234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21.503111328857415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6.842301721539061E-10</v>
      </c>
      <c r="BS110" s="24">
        <f t="shared" si="63"/>
        <v>21.503111329541646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266.99999999999983</v>
      </c>
      <c r="AJ111" s="14">
        <f>AI111*VLOOKUP('Données projet'!$B$10,Paramètres!$A$1:$I$89,3,0)*VLOOKUP('Données projet'!$B$10,Paramètres!$A$1:$I$89,5,0)</f>
        <v>216.59039999999987</v>
      </c>
      <c r="AK111" s="14">
        <f t="shared" si="89"/>
        <v>53.373153688190904</v>
      </c>
      <c r="AL111" s="22">
        <f t="shared" si="58"/>
        <v>470.18652267359886</v>
      </c>
      <c r="AM111" s="62">
        <f t="shared" si="59"/>
        <v>763.51985600693217</v>
      </c>
      <c r="AN111" s="62">
        <f ca="1">AVERAGE(OFFSET($AM$3,0,0,'Données projet'!$E$10+1,1))-AVERAGE(OFFSET($H$3,0,0,'Données projet'!$E$10+1,1))</f>
        <v>219.96569743439244</v>
      </c>
      <c r="AO111" s="62">
        <f t="shared" si="90"/>
        <v>219.27079214454579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2.3138971272418547</v>
      </c>
      <c r="AW111" s="23">
        <f>EXP(-LN(2)/2)*AW110+(1-EXP(-LN(2)/2))/(LN(2)/2)*AQ111*AT111*VLOOKUP('Données projet'!$B$10,Paramètres!$A$1:$I$89,3,0)*0.475*44/12</f>
        <v>1.3335714519354554E-12</v>
      </c>
      <c r="AX111" s="23">
        <f t="shared" si="60"/>
        <v>2.3138971272431883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3.3992364478763198E-14</v>
      </c>
      <c r="BF111" s="14">
        <f t="shared" si="91"/>
        <v>5.790027782444094E-13</v>
      </c>
      <c r="BG111" s="22">
        <f t="shared" si="61"/>
        <v>1.0676332069095257E-12</v>
      </c>
      <c r="BH111" s="62">
        <f t="shared" si="62"/>
        <v>293.33333333333439</v>
      </c>
      <c r="BI111" s="62">
        <f ca="1">AVERAGE(OFFSET($BH$3,0,0,'Données projet'!$E$11+1,1))-AVERAGE(OFFSET($H$3,0,0,'Données projet'!$E$11+1,1))</f>
        <v>150.99976380209381</v>
      </c>
      <c r="BJ111" s="62">
        <f t="shared" si="92"/>
        <v>306.39227726293234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21.081448431301371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4.8382379462246581E-10</v>
      </c>
      <c r="BS111" s="24">
        <f t="shared" si="63"/>
        <v>21.081448431785194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266.99999999999983</v>
      </c>
      <c r="AJ112" s="14">
        <f>AI112*VLOOKUP('Données projet'!$B$10,Paramètres!$A$1:$I$89,3,0)*VLOOKUP('Données projet'!$B$10,Paramètres!$A$1:$I$89,5,0)</f>
        <v>216.59039999999987</v>
      </c>
      <c r="AK112" s="14">
        <f t="shared" si="89"/>
        <v>53.373153688190904</v>
      </c>
      <c r="AL112" s="22">
        <f t="shared" si="58"/>
        <v>470.18652267359886</v>
      </c>
      <c r="AM112" s="62">
        <f t="shared" si="59"/>
        <v>763.51985600693217</v>
      </c>
      <c r="AN112" s="62">
        <f ca="1">AVERAGE(OFFSET($AM$3,0,0,'Données projet'!$E$10+1,1))-AVERAGE(OFFSET($H$3,0,0,'Données projet'!$E$10+1,1))</f>
        <v>219.96569743439244</v>
      </c>
      <c r="AO112" s="62">
        <f t="shared" si="90"/>
        <v>219.27079214454579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2.2506234886148646</v>
      </c>
      <c r="AW112" s="23">
        <f>EXP(-LN(2)/2)*AW111+(1-EXP(-LN(2)/2))/(LN(2)/2)*AQ112*AT112*VLOOKUP('Données projet'!$B$10,Paramètres!$A$1:$I$89,3,0)*0.475*44/12</f>
        <v>9.4297741686035053E-13</v>
      </c>
      <c r="AX112" s="23">
        <f t="shared" si="60"/>
        <v>2.2506234886158074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3.3992364478763198E-14</v>
      </c>
      <c r="BF112" s="14">
        <f t="shared" si="91"/>
        <v>5.790027782444094E-13</v>
      </c>
      <c r="BG112" s="22">
        <f t="shared" si="61"/>
        <v>1.0676332069095257E-12</v>
      </c>
      <c r="BH112" s="62">
        <f t="shared" si="62"/>
        <v>293.33333333333439</v>
      </c>
      <c r="BI112" s="62">
        <f ca="1">AVERAGE(OFFSET($BH$3,0,0,'Données projet'!$E$11+1,1))-AVERAGE(OFFSET($H$3,0,0,'Données projet'!$E$11+1,1))</f>
        <v>150.99976380209381</v>
      </c>
      <c r="BJ112" s="62">
        <f t="shared" si="92"/>
        <v>306.39227726293234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20.668054085977431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3.4211508607695305E-10</v>
      </c>
      <c r="BS112" s="24">
        <f t="shared" si="63"/>
        <v>20.668054086319547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266.99999999999983</v>
      </c>
      <c r="AJ113" s="14">
        <f>AI113*VLOOKUP('Données projet'!$B$10,Paramètres!$A$1:$I$89,3,0)*VLOOKUP('Données projet'!$B$10,Paramètres!$A$1:$I$89,5,0)</f>
        <v>216.59039999999987</v>
      </c>
      <c r="AK113" s="14">
        <f t="shared" si="89"/>
        <v>53.373153688190904</v>
      </c>
      <c r="AL113" s="22">
        <f t="shared" si="58"/>
        <v>470.18652267359886</v>
      </c>
      <c r="AM113" s="62">
        <f t="shared" si="59"/>
        <v>763.51985600693217</v>
      </c>
      <c r="AN113" s="62">
        <f ca="1">AVERAGE(OFFSET($AM$3,0,0,'Données projet'!$E$10+1,1))-AVERAGE(OFFSET($H$3,0,0,'Données projet'!$E$10+1,1))</f>
        <v>219.96569743439244</v>
      </c>
      <c r="AO113" s="62">
        <f t="shared" si="90"/>
        <v>219.27079214454579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2.1890800709635458</v>
      </c>
      <c r="AW113" s="23">
        <f>EXP(-LN(2)/2)*AW112+(1-EXP(-LN(2)/2))/(LN(2)/2)*AQ113*AT113*VLOOKUP('Données projet'!$B$10,Paramètres!$A$1:$I$89,3,0)*0.475*44/12</f>
        <v>6.6678572596772769E-13</v>
      </c>
      <c r="AX113" s="23">
        <f t="shared" si="60"/>
        <v>2.1890800709642124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3.3992364478763198E-14</v>
      </c>
      <c r="BF113" s="14">
        <f t="shared" si="91"/>
        <v>5.790027782444094E-13</v>
      </c>
      <c r="BG113" s="22">
        <f t="shared" si="61"/>
        <v>1.0676332069095257E-12</v>
      </c>
      <c r="BH113" s="62">
        <f t="shared" si="62"/>
        <v>293.33333333333439</v>
      </c>
      <c r="BI113" s="62">
        <f ca="1">AVERAGE(OFFSET($BH$3,0,0,'Données projet'!$E$11+1,1))-AVERAGE(OFFSET($H$3,0,0,'Données projet'!$E$11+1,1))</f>
        <v>150.99976380209381</v>
      </c>
      <c r="BJ113" s="62">
        <f t="shared" si="92"/>
        <v>306.39227726293234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20.26276615161964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2.4191189731123291E-10</v>
      </c>
      <c r="BS113" s="24">
        <f t="shared" si="63"/>
        <v>20.262766151861552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266.99999999999983</v>
      </c>
      <c r="AJ114" s="14">
        <f>AI114*VLOOKUP('Données projet'!$B$10,Paramètres!$A$1:$I$89,3,0)*VLOOKUP('Données projet'!$B$10,Paramètres!$A$1:$I$89,5,0)</f>
        <v>216.59039999999987</v>
      </c>
      <c r="AK114" s="14">
        <f t="shared" si="89"/>
        <v>53.373153688190904</v>
      </c>
      <c r="AL114" s="22">
        <f t="shared" si="58"/>
        <v>470.18652267359886</v>
      </c>
      <c r="AM114" s="62">
        <f t="shared" si="59"/>
        <v>763.51985600693217</v>
      </c>
      <c r="AN114" s="62">
        <f ca="1">AVERAGE(OFFSET($AM$3,0,0,'Données projet'!$E$10+1,1))-AVERAGE(OFFSET($H$3,0,0,'Données projet'!$E$10+1,1))</f>
        <v>219.96569743439244</v>
      </c>
      <c r="AO114" s="62">
        <f t="shared" si="90"/>
        <v>219.27079214454579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2.1292195613043301</v>
      </c>
      <c r="AW114" s="23">
        <f>EXP(-LN(2)/2)*AW113+(1-EXP(-LN(2)/2))/(LN(2)/2)*AQ114*AT114*VLOOKUP('Données projet'!$B$10,Paramètres!$A$1:$I$89,3,0)*0.475*44/12</f>
        <v>4.7148870843017527E-13</v>
      </c>
      <c r="AX114" s="23">
        <f t="shared" si="60"/>
        <v>2.1292195613048017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3.3992364478763198E-14</v>
      </c>
      <c r="BF114" s="14">
        <f t="shared" si="91"/>
        <v>5.790027782444094E-13</v>
      </c>
      <c r="BG114" s="22">
        <f t="shared" si="61"/>
        <v>1.0676332069095257E-12</v>
      </c>
      <c r="BH114" s="62">
        <f t="shared" si="62"/>
        <v>293.33333333333439</v>
      </c>
      <c r="BI114" s="62">
        <f ca="1">AVERAGE(OFFSET($BH$3,0,0,'Données projet'!$E$11+1,1))-AVERAGE(OFFSET($H$3,0,0,'Données projet'!$E$11+1,1))</f>
        <v>150.99976380209381</v>
      </c>
      <c r="BJ114" s="62">
        <f t="shared" si="92"/>
        <v>306.39227726293234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19.865425666453376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1.7105754303847652E-10</v>
      </c>
      <c r="BS114" s="24">
        <f t="shared" si="63"/>
        <v>19.865425666624432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266.99999999999983</v>
      </c>
      <c r="AJ115" s="14">
        <f>AI115*VLOOKUP('Données projet'!$B$10,Paramètres!$A$1:$I$89,3,0)*VLOOKUP('Données projet'!$B$10,Paramètres!$A$1:$I$89,5,0)</f>
        <v>216.59039999999987</v>
      </c>
      <c r="AK115" s="14">
        <f t="shared" si="89"/>
        <v>53.373153688190904</v>
      </c>
      <c r="AL115" s="22">
        <f t="shared" si="58"/>
        <v>470.18652267359886</v>
      </c>
      <c r="AM115" s="62">
        <f t="shared" si="59"/>
        <v>763.51985600693217</v>
      </c>
      <c r="AN115" s="62">
        <f ca="1">AVERAGE(OFFSET($AM$3,0,0,'Données projet'!$E$10+1,1))-AVERAGE(OFFSET($H$3,0,0,'Données projet'!$E$10+1,1))</f>
        <v>219.96569743439244</v>
      </c>
      <c r="AO115" s="62">
        <f t="shared" si="90"/>
        <v>219.27079214454579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2.0709959404296727</v>
      </c>
      <c r="AW115" s="23">
        <f>EXP(-LN(2)/2)*AW114+(1-EXP(-LN(2)/2))/(LN(2)/2)*AQ115*AT115*VLOOKUP('Données projet'!$B$10,Paramètres!$A$1:$I$89,3,0)*0.475*44/12</f>
        <v>3.3339286298386385E-13</v>
      </c>
      <c r="AX115" s="23">
        <f t="shared" si="60"/>
        <v>2.0709959404300062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3.3992364478763198E-14</v>
      </c>
      <c r="BF115" s="14">
        <f t="shared" si="91"/>
        <v>5.790027782444094E-13</v>
      </c>
      <c r="BG115" s="22">
        <f t="shared" si="61"/>
        <v>1.0676332069095257E-12</v>
      </c>
      <c r="BH115" s="62">
        <f t="shared" si="62"/>
        <v>293.33333333333439</v>
      </c>
      <c r="BI115" s="62">
        <f ca="1">AVERAGE(OFFSET($BH$3,0,0,'Données projet'!$E$11+1,1))-AVERAGE(OFFSET($H$3,0,0,'Données projet'!$E$11+1,1))</f>
        <v>150.99976380209381</v>
      </c>
      <c r="BJ115" s="62">
        <f t="shared" si="92"/>
        <v>306.39227726293234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19.475876785847454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1.2095594865561645E-10</v>
      </c>
      <c r="BS115" s="24">
        <f t="shared" si="63"/>
        <v>19.47587678596841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266.99999999999983</v>
      </c>
      <c r="AJ116" s="14">
        <f>AI116*VLOOKUP('Données projet'!$B$10,Paramètres!$A$1:$I$89,3,0)*VLOOKUP('Données projet'!$B$10,Paramètres!$A$1:$I$89,5,0)</f>
        <v>216.59039999999987</v>
      </c>
      <c r="AK116" s="14">
        <f t="shared" si="89"/>
        <v>53.373153688190904</v>
      </c>
      <c r="AL116" s="22">
        <f t="shared" si="58"/>
        <v>470.18652267359886</v>
      </c>
      <c r="AM116" s="62">
        <f t="shared" si="59"/>
        <v>763.51985600693217</v>
      </c>
      <c r="AN116" s="62">
        <f ca="1">AVERAGE(OFFSET($AM$3,0,0,'Données projet'!$E$10+1,1))-AVERAGE(OFFSET($H$3,0,0,'Données projet'!$E$10+1,1))</f>
        <v>219.96569743439244</v>
      </c>
      <c r="AO116" s="62">
        <f t="shared" si="90"/>
        <v>219.27079214454579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2.01436444752968</v>
      </c>
      <c r="AW116" s="23">
        <f>EXP(-LN(2)/2)*AW115+(1-EXP(-LN(2)/2))/(LN(2)/2)*AQ116*AT116*VLOOKUP('Données projet'!$B$10,Paramètres!$A$1:$I$89,3,0)*0.475*44/12</f>
        <v>2.3574435421508763E-13</v>
      </c>
      <c r="AX116" s="23">
        <f t="shared" si="60"/>
        <v>2.0143644475299158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3.3992364478763198E-14</v>
      </c>
      <c r="BF116" s="14">
        <f t="shared" si="91"/>
        <v>5.790027782444094E-13</v>
      </c>
      <c r="BG116" s="22">
        <f t="shared" si="61"/>
        <v>1.0676332069095257E-12</v>
      </c>
      <c r="BH116" s="62">
        <f t="shared" si="62"/>
        <v>293.33333333333439</v>
      </c>
      <c r="BI116" s="62">
        <f ca="1">AVERAGE(OFFSET($BH$3,0,0,'Données projet'!$E$11+1,1))-AVERAGE(OFFSET($H$3,0,0,'Données projet'!$E$11+1,1))</f>
        <v>150.99976380209381</v>
      </c>
      <c r="BJ116" s="62">
        <f t="shared" si="92"/>
        <v>306.39227726293234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19.09396672118886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8.5528771519238262E-11</v>
      </c>
      <c r="BS116" s="24">
        <f t="shared" si="63"/>
        <v>19.093966721274388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266.99999999999983</v>
      </c>
      <c r="AJ117" s="14">
        <f>AI117*VLOOKUP('Données projet'!$B$10,Paramètres!$A$1:$I$89,3,0)*VLOOKUP('Données projet'!$B$10,Paramètres!$A$1:$I$89,5,0)</f>
        <v>216.59039999999987</v>
      </c>
      <c r="AK117" s="14">
        <f t="shared" si="89"/>
        <v>53.373153688190904</v>
      </c>
      <c r="AL117" s="22">
        <f t="shared" si="58"/>
        <v>470.18652267359886</v>
      </c>
      <c r="AM117" s="62">
        <f t="shared" si="59"/>
        <v>763.51985600693217</v>
      </c>
      <c r="AN117" s="62">
        <f ca="1">AVERAGE(OFFSET($AM$3,0,0,'Données projet'!$E$10+1,1))-AVERAGE(OFFSET($H$3,0,0,'Données projet'!$E$10+1,1))</f>
        <v>219.96569743439244</v>
      </c>
      <c r="AO117" s="62">
        <f t="shared" si="90"/>
        <v>219.27079214454579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1.9592815457811585</v>
      </c>
      <c r="AW117" s="23">
        <f>EXP(-LN(2)/2)*AW116+(1-EXP(-LN(2)/2))/(LN(2)/2)*AQ117*AT117*VLOOKUP('Données projet'!$B$10,Paramètres!$A$1:$I$89,3,0)*0.475*44/12</f>
        <v>1.6669643149193192E-13</v>
      </c>
      <c r="AX117" s="23">
        <f t="shared" si="60"/>
        <v>1.9592815457813253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3.3992364478763198E-14</v>
      </c>
      <c r="BF117" s="14">
        <f t="shared" si="91"/>
        <v>5.790027782444094E-13</v>
      </c>
      <c r="BG117" s="22">
        <f t="shared" si="61"/>
        <v>1.0676332069095257E-12</v>
      </c>
      <c r="BH117" s="62">
        <f t="shared" si="62"/>
        <v>293.33333333333439</v>
      </c>
      <c r="BI117" s="62">
        <f ca="1">AVERAGE(OFFSET($BH$3,0,0,'Données projet'!$E$11+1,1))-AVERAGE(OFFSET($H$3,0,0,'Données projet'!$E$11+1,1))</f>
        <v>150.99976380209381</v>
      </c>
      <c r="BJ117" s="62">
        <f t="shared" si="92"/>
        <v>306.39227726293234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18.719545679956081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6.0477974327808227E-11</v>
      </c>
      <c r="BS117" s="24">
        <f t="shared" si="63"/>
        <v>18.719545680016559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266.99999999999983</v>
      </c>
      <c r="AJ118" s="14">
        <f>AI118*VLOOKUP('Données projet'!$B$10,Paramètres!$A$1:$I$89,3,0)*VLOOKUP('Données projet'!$B$10,Paramètres!$A$1:$I$89,5,0)</f>
        <v>216.59039999999987</v>
      </c>
      <c r="AK118" s="14">
        <f t="shared" si="89"/>
        <v>53.373153688190904</v>
      </c>
      <c r="AL118" s="22">
        <f t="shared" si="58"/>
        <v>470.18652267359886</v>
      </c>
      <c r="AM118" s="62">
        <f t="shared" si="59"/>
        <v>763.51985600693217</v>
      </c>
      <c r="AN118" s="62">
        <f ca="1">AVERAGE(OFFSET($AM$3,0,0,'Données projet'!$E$10+1,1))-AVERAGE(OFFSET($H$3,0,0,'Données projet'!$E$10+1,1))</f>
        <v>219.96569743439244</v>
      </c>
      <c r="AO118" s="62">
        <f t="shared" si="90"/>
        <v>219.27079214454579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1.9057048888776342</v>
      </c>
      <c r="AW118" s="23">
        <f>EXP(-LN(2)/2)*AW117+(1-EXP(-LN(2)/2))/(LN(2)/2)*AQ118*AT118*VLOOKUP('Données projet'!$B$10,Paramètres!$A$1:$I$89,3,0)*0.475*44/12</f>
        <v>1.1787217710754382E-13</v>
      </c>
      <c r="AX118" s="23">
        <f t="shared" si="60"/>
        <v>1.9057048888777521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3.3992364478763198E-14</v>
      </c>
      <c r="BF118" s="14">
        <f t="shared" si="91"/>
        <v>5.790027782444094E-13</v>
      </c>
      <c r="BG118" s="22">
        <f t="shared" si="61"/>
        <v>1.0676332069095257E-12</v>
      </c>
      <c r="BH118" s="62">
        <f t="shared" si="62"/>
        <v>293.33333333333439</v>
      </c>
      <c r="BI118" s="62">
        <f ca="1">AVERAGE(OFFSET($BH$3,0,0,'Données projet'!$E$11+1,1))-AVERAGE(OFFSET($H$3,0,0,'Données projet'!$E$11+1,1))</f>
        <v>150.99976380209381</v>
      </c>
      <c r="BJ118" s="62">
        <f t="shared" si="92"/>
        <v>306.39227726293234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18.352466806967595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4.2764385759619131E-11</v>
      </c>
      <c r="BS118" s="24">
        <f t="shared" si="63"/>
        <v>18.352466807010359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266.99999999999983</v>
      </c>
      <c r="AJ119" s="14">
        <f>AI119*VLOOKUP('Données projet'!$B$10,Paramètres!$A$1:$I$89,3,0)*VLOOKUP('Données projet'!$B$10,Paramètres!$A$1:$I$89,5,0)</f>
        <v>216.59039999999987</v>
      </c>
      <c r="AK119" s="14">
        <f t="shared" si="89"/>
        <v>53.373153688190904</v>
      </c>
      <c r="AL119" s="22">
        <f t="shared" si="58"/>
        <v>470.18652267359886</v>
      </c>
      <c r="AM119" s="62">
        <f t="shared" si="59"/>
        <v>763.51985600693217</v>
      </c>
      <c r="AN119" s="62">
        <f ca="1">AVERAGE(OFFSET($AM$3,0,0,'Données projet'!$E$10+1,1))-AVERAGE(OFFSET($H$3,0,0,'Données projet'!$E$10+1,1))</f>
        <v>219.96569743439244</v>
      </c>
      <c r="AO119" s="62">
        <f t="shared" si="90"/>
        <v>219.27079214454579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1.8535932884746107</v>
      </c>
      <c r="AW119" s="23">
        <f>EXP(-LN(2)/2)*AW118+(1-EXP(-LN(2)/2))/(LN(2)/2)*AQ119*AT119*VLOOKUP('Données projet'!$B$10,Paramètres!$A$1:$I$89,3,0)*0.475*44/12</f>
        <v>8.3348215745965961E-14</v>
      </c>
      <c r="AX119" s="23">
        <f t="shared" si="60"/>
        <v>1.853593288474694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3.3992364478763198E-14</v>
      </c>
      <c r="BF119" s="14">
        <f t="shared" si="91"/>
        <v>5.790027782444094E-13</v>
      </c>
      <c r="BG119" s="22">
        <f t="shared" si="61"/>
        <v>1.0676332069095257E-12</v>
      </c>
      <c r="BH119" s="62">
        <f t="shared" si="62"/>
        <v>293.33333333333439</v>
      </c>
      <c r="BI119" s="62">
        <f ca="1">AVERAGE(OFFSET($BH$3,0,0,'Données projet'!$E$11+1,1))-AVERAGE(OFFSET($H$3,0,0,'Données projet'!$E$11+1,1))</f>
        <v>150.99976380209381</v>
      </c>
      <c r="BJ119" s="62">
        <f t="shared" si="92"/>
        <v>306.39227726293234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17.992586126782406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3.0238987163904113E-11</v>
      </c>
      <c r="BS119" s="24">
        <f t="shared" si="63"/>
        <v>17.992586126812647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266.99999999999983</v>
      </c>
      <c r="AJ120" s="14">
        <f>AI120*VLOOKUP('Données projet'!$B$10,Paramètres!$A$1:$I$89,3,0)*VLOOKUP('Données projet'!$B$10,Paramètres!$A$1:$I$89,5,0)</f>
        <v>216.59039999999987</v>
      </c>
      <c r="AK120" s="14">
        <f t="shared" si="89"/>
        <v>53.373153688190904</v>
      </c>
      <c r="AL120" s="22">
        <f t="shared" si="58"/>
        <v>470.18652267359886</v>
      </c>
      <c r="AM120" s="62">
        <f t="shared" si="59"/>
        <v>763.51985600693217</v>
      </c>
      <c r="AN120" s="62">
        <f ca="1">AVERAGE(OFFSET($AM$3,0,0,'Données projet'!$E$10+1,1))-AVERAGE(OFFSET($H$3,0,0,'Données projet'!$E$10+1,1))</f>
        <v>219.96569743439244</v>
      </c>
      <c r="AO120" s="62">
        <f t="shared" si="90"/>
        <v>219.27079214454579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1.8029066825250379</v>
      </c>
      <c r="AW120" s="23">
        <f>EXP(-LN(2)/2)*AW119+(1-EXP(-LN(2)/2))/(LN(2)/2)*AQ120*AT120*VLOOKUP('Données projet'!$B$10,Paramètres!$A$1:$I$89,3,0)*0.475*44/12</f>
        <v>5.8936088553771908E-14</v>
      </c>
      <c r="AX120" s="23">
        <f t="shared" si="60"/>
        <v>1.8029066825250968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3.3992364478763198E-14</v>
      </c>
      <c r="BF120" s="14">
        <f t="shared" si="91"/>
        <v>5.790027782444094E-13</v>
      </c>
      <c r="BG120" s="22">
        <f t="shared" si="61"/>
        <v>1.0676332069095257E-12</v>
      </c>
      <c r="BH120" s="62">
        <f t="shared" si="62"/>
        <v>293.33333333333439</v>
      </c>
      <c r="BI120" s="62">
        <f ca="1">AVERAGE(OFFSET($BH$3,0,0,'Données projet'!$E$11+1,1))-AVERAGE(OFFSET($H$3,0,0,'Données projet'!$E$11+1,1))</f>
        <v>150.99976380209381</v>
      </c>
      <c r="BJ120" s="62">
        <f t="shared" si="92"/>
        <v>306.39227726293234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17.639762487230108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2.1382192879809566E-11</v>
      </c>
      <c r="BS120" s="24">
        <f t="shared" si="63"/>
        <v>17.639762487251492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266.99999999999983</v>
      </c>
      <c r="AJ121" s="14">
        <f>AI121*VLOOKUP('Données projet'!$B$10,Paramètres!$A$1:$I$89,3,0)*VLOOKUP('Données projet'!$B$10,Paramètres!$A$1:$I$89,5,0)</f>
        <v>216.59039999999987</v>
      </c>
      <c r="AK121" s="14">
        <f t="shared" si="89"/>
        <v>53.373153688190904</v>
      </c>
      <c r="AL121" s="22">
        <f t="shared" si="58"/>
        <v>470.18652267359886</v>
      </c>
      <c r="AM121" s="62">
        <f t="shared" si="59"/>
        <v>763.51985600693217</v>
      </c>
      <c r="AN121" s="62">
        <f ca="1">AVERAGE(OFFSET($AM$3,0,0,'Données projet'!$E$10+1,1))-AVERAGE(OFFSET($H$3,0,0,'Données projet'!$E$10+1,1))</f>
        <v>219.96569743439244</v>
      </c>
      <c r="AO121" s="62">
        <f t="shared" si="90"/>
        <v>219.27079214454579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1.753606104480649</v>
      </c>
      <c r="AW121" s="23">
        <f>EXP(-LN(2)/2)*AW120+(1-EXP(-LN(2)/2))/(LN(2)/2)*AQ121*AT121*VLOOKUP('Données projet'!$B$10,Paramètres!$A$1:$I$89,3,0)*0.475*44/12</f>
        <v>4.1674107872982981E-14</v>
      </c>
      <c r="AX121" s="23">
        <f t="shared" si="60"/>
        <v>1.7536061044806908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3.3992364478763198E-14</v>
      </c>
      <c r="BF121" s="14">
        <f t="shared" si="91"/>
        <v>5.790027782444094E-13</v>
      </c>
      <c r="BG121" s="22">
        <f t="shared" si="61"/>
        <v>1.0676332069095257E-12</v>
      </c>
      <c r="BH121" s="62">
        <f t="shared" si="62"/>
        <v>293.33333333333439</v>
      </c>
      <c r="BI121" s="62">
        <f ca="1">AVERAGE(OFFSET($BH$3,0,0,'Données projet'!$E$11+1,1))-AVERAGE(OFFSET($H$3,0,0,'Données projet'!$E$11+1,1))</f>
        <v>150.99976380209381</v>
      </c>
      <c r="BJ121" s="62">
        <f t="shared" si="92"/>
        <v>306.39227726293234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17.293857504048262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1.5119493581952057E-11</v>
      </c>
      <c r="BS121" s="24">
        <f t="shared" si="63"/>
        <v>17.293857504063382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266.99999999999983</v>
      </c>
      <c r="AJ122" s="14">
        <f>AI122*VLOOKUP('Données projet'!$B$10,Paramètres!$A$1:$I$89,3,0)*VLOOKUP('Données projet'!$B$10,Paramètres!$A$1:$I$89,5,0)</f>
        <v>216.59039999999987</v>
      </c>
      <c r="AK122" s="14">
        <f t="shared" si="89"/>
        <v>53.373153688190904</v>
      </c>
      <c r="AL122" s="22">
        <f t="shared" si="58"/>
        <v>470.18652267359886</v>
      </c>
      <c r="AM122" s="62">
        <f t="shared" si="59"/>
        <v>763.51985600693217</v>
      </c>
      <c r="AN122" s="62">
        <f ca="1">AVERAGE(OFFSET($AM$3,0,0,'Données projet'!$E$10+1,1))-AVERAGE(OFFSET($H$3,0,0,'Données projet'!$E$10+1,1))</f>
        <v>219.96569743439244</v>
      </c>
      <c r="AO122" s="62">
        <f t="shared" si="90"/>
        <v>219.27079214454579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1.7056536533354885</v>
      </c>
      <c r="AW122" s="23">
        <f>EXP(-LN(2)/2)*AW121+(1-EXP(-LN(2)/2))/(LN(2)/2)*AQ122*AT122*VLOOKUP('Données projet'!$B$10,Paramètres!$A$1:$I$89,3,0)*0.475*44/12</f>
        <v>2.9468044276885954E-14</v>
      </c>
      <c r="AX122" s="23">
        <f t="shared" si="60"/>
        <v>1.705653653335518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3.3992364478763198E-14</v>
      </c>
      <c r="BF122" s="14">
        <f t="shared" si="91"/>
        <v>5.790027782444094E-13</v>
      </c>
      <c r="BG122" s="22">
        <f t="shared" si="61"/>
        <v>1.0676332069095257E-12</v>
      </c>
      <c r="BH122" s="62">
        <f t="shared" si="62"/>
        <v>293.33333333333439</v>
      </c>
      <c r="BI122" s="62">
        <f ca="1">AVERAGE(OFFSET($BH$3,0,0,'Données projet'!$E$11+1,1))-AVERAGE(OFFSET($H$3,0,0,'Données projet'!$E$11+1,1))</f>
        <v>150.99976380209381</v>
      </c>
      <c r="BJ122" s="62">
        <f t="shared" si="92"/>
        <v>306.39227726293234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16.954735506605402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1.0691096439904783E-11</v>
      </c>
      <c r="BS122" s="24">
        <f t="shared" si="63"/>
        <v>16.954735506616093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266.99999999999983</v>
      </c>
      <c r="AJ123" s="14">
        <f>AI123*VLOOKUP('Données projet'!$B$10,Paramètres!$A$1:$I$89,3,0)*VLOOKUP('Données projet'!$B$10,Paramètres!$A$1:$I$89,5,0)</f>
        <v>216.59039999999987</v>
      </c>
      <c r="AK123" s="14">
        <f t="shared" si="89"/>
        <v>53.373153688190904</v>
      </c>
      <c r="AL123" s="22">
        <f t="shared" si="58"/>
        <v>470.18652267359886</v>
      </c>
      <c r="AM123" s="62">
        <f t="shared" si="59"/>
        <v>763.51985600693217</v>
      </c>
      <c r="AN123" s="62">
        <f ca="1">AVERAGE(OFFSET($AM$3,0,0,'Données projet'!$E$10+1,1))-AVERAGE(OFFSET($H$3,0,0,'Données projet'!$E$10+1,1))</f>
        <v>219.96569743439244</v>
      </c>
      <c r="AO123" s="62">
        <f t="shared" si="90"/>
        <v>219.27079214454579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1.6590124644886022</v>
      </c>
      <c r="AW123" s="23">
        <f>EXP(-LN(2)/2)*AW122+(1-EXP(-LN(2)/2))/(LN(2)/2)*AQ123*AT123*VLOOKUP('Données projet'!$B$10,Paramètres!$A$1:$I$89,3,0)*0.475*44/12</f>
        <v>2.083705393649149E-14</v>
      </c>
      <c r="AX123" s="23">
        <f t="shared" si="60"/>
        <v>1.6590124644886231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3.3992364478763198E-14</v>
      </c>
      <c r="BF123" s="14">
        <f t="shared" si="91"/>
        <v>5.790027782444094E-13</v>
      </c>
      <c r="BG123" s="22">
        <f t="shared" si="61"/>
        <v>1.0676332069095257E-12</v>
      </c>
      <c r="BH123" s="62">
        <f t="shared" si="62"/>
        <v>293.33333333333439</v>
      </c>
      <c r="BI123" s="62">
        <f ca="1">AVERAGE(OFFSET($BH$3,0,0,'Données projet'!$E$11+1,1))-AVERAGE(OFFSET($H$3,0,0,'Données projet'!$E$11+1,1))</f>
        <v>150.99976380209381</v>
      </c>
      <c r="BJ123" s="62">
        <f t="shared" si="92"/>
        <v>306.39227726293234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16.622263484688403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7.5597467909760283E-12</v>
      </c>
      <c r="BS123" s="24">
        <f t="shared" si="63"/>
        <v>16.622263484695964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266.99999999999983</v>
      </c>
      <c r="AJ124" s="14">
        <f>AI124*VLOOKUP('Données projet'!$B$10,Paramètres!$A$1:$I$89,3,0)*VLOOKUP('Données projet'!$B$10,Paramètres!$A$1:$I$89,5,0)</f>
        <v>216.59039999999987</v>
      </c>
      <c r="AK124" s="14">
        <f t="shared" si="89"/>
        <v>53.373153688190904</v>
      </c>
      <c r="AL124" s="22">
        <f t="shared" si="58"/>
        <v>470.18652267359886</v>
      </c>
      <c r="AM124" s="62">
        <f t="shared" si="59"/>
        <v>763.51985600693217</v>
      </c>
      <c r="AN124" s="62">
        <f ca="1">AVERAGE(OFFSET($AM$3,0,0,'Données projet'!$E$10+1,1))-AVERAGE(OFFSET($H$3,0,0,'Données projet'!$E$10+1,1))</f>
        <v>219.96569743439244</v>
      </c>
      <c r="AO124" s="62">
        <f t="shared" si="90"/>
        <v>219.27079214454579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1.6136466814034875</v>
      </c>
      <c r="AW124" s="23">
        <f>EXP(-LN(2)/2)*AW123+(1-EXP(-LN(2)/2))/(LN(2)/2)*AQ124*AT124*VLOOKUP('Données projet'!$B$10,Paramètres!$A$1:$I$89,3,0)*0.475*44/12</f>
        <v>1.4734022138442977E-14</v>
      </c>
      <c r="AX124" s="23">
        <f t="shared" si="60"/>
        <v>1.6136466814035022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3.3992364478763198E-14</v>
      </c>
      <c r="BF124" s="14">
        <f t="shared" si="91"/>
        <v>5.790027782444094E-13</v>
      </c>
      <c r="BG124" s="22">
        <f t="shared" si="61"/>
        <v>1.0676332069095257E-12</v>
      </c>
      <c r="BH124" s="62">
        <f t="shared" si="62"/>
        <v>293.33333333333439</v>
      </c>
      <c r="BI124" s="62">
        <f ca="1">AVERAGE(OFFSET($BH$3,0,0,'Données projet'!$E$11+1,1))-AVERAGE(OFFSET($H$3,0,0,'Données projet'!$E$11+1,1))</f>
        <v>150.99976380209381</v>
      </c>
      <c r="BJ124" s="62">
        <f t="shared" si="92"/>
        <v>306.39227726293234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16.296311036333289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5.3455482199523914E-12</v>
      </c>
      <c r="BS124" s="24">
        <f t="shared" si="63"/>
        <v>16.296311036338636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266.99999999999983</v>
      </c>
      <c r="AJ125" s="14">
        <f>AI125*VLOOKUP('Données projet'!$B$10,Paramètres!$A$1:$I$89,3,0)*VLOOKUP('Données projet'!$B$10,Paramètres!$A$1:$I$89,5,0)</f>
        <v>216.59039999999987</v>
      </c>
      <c r="AK125" s="14">
        <f t="shared" si="89"/>
        <v>53.373153688190904</v>
      </c>
      <c r="AL125" s="22">
        <f t="shared" si="58"/>
        <v>470.18652267359886</v>
      </c>
      <c r="AM125" s="62">
        <f t="shared" si="59"/>
        <v>763.51985600693217</v>
      </c>
      <c r="AN125" s="62">
        <f ca="1">AVERAGE(OFFSET($AM$3,0,0,'Données projet'!$E$10+1,1))-AVERAGE(OFFSET($H$3,0,0,'Données projet'!$E$10+1,1))</f>
        <v>219.96569743439244</v>
      </c>
      <c r="AO125" s="62">
        <f t="shared" si="90"/>
        <v>219.27079214454579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1.5695214280425183</v>
      </c>
      <c r="AW125" s="23">
        <f>EXP(-LN(2)/2)*AW124+(1-EXP(-LN(2)/2))/(LN(2)/2)*AQ125*AT125*VLOOKUP('Données projet'!$B$10,Paramètres!$A$1:$I$89,3,0)*0.475*44/12</f>
        <v>1.0418526968245745E-14</v>
      </c>
      <c r="AX125" s="23">
        <f t="shared" si="60"/>
        <v>1.5695214280425287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3.3992364478763198E-14</v>
      </c>
      <c r="BF125" s="14">
        <f t="shared" si="91"/>
        <v>5.790027782444094E-13</v>
      </c>
      <c r="BG125" s="22">
        <f t="shared" si="61"/>
        <v>1.0676332069095257E-12</v>
      </c>
      <c r="BH125" s="62">
        <f t="shared" si="62"/>
        <v>293.33333333333439</v>
      </c>
      <c r="BI125" s="62">
        <f ca="1">AVERAGE(OFFSET($BH$3,0,0,'Données projet'!$E$11+1,1))-AVERAGE(OFFSET($H$3,0,0,'Données projet'!$E$11+1,1))</f>
        <v>150.99976380209381</v>
      </c>
      <c r="BJ125" s="62">
        <f t="shared" si="92"/>
        <v>306.39227726293234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15.976750316679055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3.7798733954880142E-12</v>
      </c>
      <c r="BS125" s="24">
        <f t="shared" si="63"/>
        <v>15.976750316682836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266.99999999999983</v>
      </c>
      <c r="AJ126" s="14">
        <f>AI126*VLOOKUP('Données projet'!$B$10,Paramètres!$A$1:$I$89,3,0)*VLOOKUP('Données projet'!$B$10,Paramètres!$A$1:$I$89,5,0)</f>
        <v>216.59039999999987</v>
      </c>
      <c r="AK126" s="14">
        <f t="shared" si="89"/>
        <v>53.373153688190904</v>
      </c>
      <c r="AL126" s="22">
        <f t="shared" si="58"/>
        <v>470.18652267359886</v>
      </c>
      <c r="AM126" s="62">
        <f t="shared" si="59"/>
        <v>763.51985600693217</v>
      </c>
      <c r="AN126" s="62">
        <f ca="1">AVERAGE(OFFSET($AM$3,0,0,'Données projet'!$E$10+1,1))-AVERAGE(OFFSET($H$3,0,0,'Données projet'!$E$10+1,1))</f>
        <v>219.96569743439244</v>
      </c>
      <c r="AO126" s="62">
        <f t="shared" si="90"/>
        <v>219.27079214454579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1.5266027820551509</v>
      </c>
      <c r="AW126" s="23">
        <f>EXP(-LN(2)/2)*AW125+(1-EXP(-LN(2)/2))/(LN(2)/2)*AQ126*AT126*VLOOKUP('Données projet'!$B$10,Paramètres!$A$1:$I$89,3,0)*0.475*44/12</f>
        <v>7.3670110692214885E-15</v>
      </c>
      <c r="AX126" s="23">
        <f t="shared" si="60"/>
        <v>1.5266027820551582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3.3992364478763198E-14</v>
      </c>
      <c r="BF126" s="14">
        <f t="shared" si="91"/>
        <v>5.790027782444094E-13</v>
      </c>
      <c r="BG126" s="22">
        <f t="shared" si="61"/>
        <v>1.0676332069095257E-12</v>
      </c>
      <c r="BH126" s="62">
        <f t="shared" si="62"/>
        <v>293.33333333333439</v>
      </c>
      <c r="BI126" s="62">
        <f ca="1">AVERAGE(OFFSET($BH$3,0,0,'Données projet'!$E$11+1,1))-AVERAGE(OFFSET($H$3,0,0,'Données projet'!$E$11+1,1))</f>
        <v>150.99976380209381</v>
      </c>
      <c r="BJ126" s="62">
        <f t="shared" si="92"/>
        <v>306.39227726293234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15.663455987824447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2.6727741099761957E-12</v>
      </c>
      <c r="BS126" s="24">
        <f t="shared" si="63"/>
        <v>15.66345598782712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266.99999999999983</v>
      </c>
      <c r="AJ127" s="14">
        <f>AI127*VLOOKUP('Données projet'!$B$10,Paramètres!$A$1:$I$89,3,0)*VLOOKUP('Données projet'!$B$10,Paramètres!$A$1:$I$89,5,0)</f>
        <v>216.59039999999987</v>
      </c>
      <c r="AK127" s="14">
        <f t="shared" si="89"/>
        <v>53.373153688190904</v>
      </c>
      <c r="AL127" s="22">
        <f t="shared" si="58"/>
        <v>470.18652267359886</v>
      </c>
      <c r="AM127" s="62">
        <f t="shared" si="59"/>
        <v>763.51985600693217</v>
      </c>
      <c r="AN127" s="62">
        <f ca="1">AVERAGE(OFFSET($AM$3,0,0,'Données projet'!$E$10+1,1))-AVERAGE(OFFSET($H$3,0,0,'Données projet'!$E$10+1,1))</f>
        <v>219.96569743439244</v>
      </c>
      <c r="AO127" s="62">
        <f t="shared" si="90"/>
        <v>219.27079214454579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1.4848577486993015</v>
      </c>
      <c r="AW127" s="23">
        <f>EXP(-LN(2)/2)*AW126+(1-EXP(-LN(2)/2))/(LN(2)/2)*AQ127*AT127*VLOOKUP('Données projet'!$B$10,Paramètres!$A$1:$I$89,3,0)*0.475*44/12</f>
        <v>5.2092634841228726E-15</v>
      </c>
      <c r="AX127" s="23">
        <f t="shared" si="60"/>
        <v>1.4848577486993066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3.3992364478763198E-14</v>
      </c>
      <c r="BF127" s="14">
        <f t="shared" si="91"/>
        <v>5.790027782444094E-13</v>
      </c>
      <c r="BG127" s="22">
        <f t="shared" si="61"/>
        <v>1.0676332069095257E-12</v>
      </c>
      <c r="BH127" s="62">
        <f t="shared" si="62"/>
        <v>293.33333333333439</v>
      </c>
      <c r="BI127" s="62">
        <f ca="1">AVERAGE(OFFSET($BH$3,0,0,'Données projet'!$E$11+1,1))-AVERAGE(OFFSET($H$3,0,0,'Données projet'!$E$11+1,1))</f>
        <v>150.99976380209381</v>
      </c>
      <c r="BJ127" s="62">
        <f t="shared" si="92"/>
        <v>306.39227726293234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15.356305169668007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1.8899366977440071E-12</v>
      </c>
      <c r="BS127" s="24">
        <f t="shared" si="63"/>
        <v>15.356305169669897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266.99999999999983</v>
      </c>
      <c r="AJ128" s="14">
        <f>AI128*VLOOKUP('Données projet'!$B$10,Paramètres!$A$1:$I$89,3,0)*VLOOKUP('Données projet'!$B$10,Paramètres!$A$1:$I$89,5,0)</f>
        <v>216.59039999999987</v>
      </c>
      <c r="AK128" s="14">
        <f t="shared" si="89"/>
        <v>53.373153688190904</v>
      </c>
      <c r="AL128" s="22">
        <f t="shared" si="58"/>
        <v>470.18652267359886</v>
      </c>
      <c r="AM128" s="62">
        <f t="shared" si="59"/>
        <v>763.51985600693217</v>
      </c>
      <c r="AN128" s="62">
        <f ca="1">AVERAGE(OFFSET($AM$3,0,0,'Données projet'!$E$10+1,1))-AVERAGE(OFFSET($H$3,0,0,'Données projet'!$E$10+1,1))</f>
        <v>219.96569743439244</v>
      </c>
      <c r="AO128" s="62">
        <f t="shared" si="90"/>
        <v>219.27079214454579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1.4442542354758439</v>
      </c>
      <c r="AW128" s="23">
        <f>EXP(-LN(2)/2)*AW127+(1-EXP(-LN(2)/2))/(LN(2)/2)*AQ128*AT128*VLOOKUP('Données projet'!$B$10,Paramètres!$A$1:$I$89,3,0)*0.475*44/12</f>
        <v>3.6835055346107443E-15</v>
      </c>
      <c r="AX128" s="23">
        <f t="shared" si="60"/>
        <v>1.4442542354758476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3.3992364478763198E-14</v>
      </c>
      <c r="BF128" s="14">
        <f t="shared" si="91"/>
        <v>5.790027782444094E-13</v>
      </c>
      <c r="BG128" s="22">
        <f t="shared" si="61"/>
        <v>1.0676332069095257E-12</v>
      </c>
      <c r="BH128" s="62">
        <f t="shared" si="62"/>
        <v>293.33333333333439</v>
      </c>
      <c r="BI128" s="62">
        <f ca="1">AVERAGE(OFFSET($BH$3,0,0,'Données projet'!$E$11+1,1))-AVERAGE(OFFSET($H$3,0,0,'Données projet'!$E$11+1,1))</f>
        <v>150.99976380209381</v>
      </c>
      <c r="BJ128" s="62">
        <f t="shared" si="92"/>
        <v>306.39227726293234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15.055177391712114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1.3363870549880978E-12</v>
      </c>
      <c r="BS128" s="24">
        <f t="shared" si="63"/>
        <v>15.05517739171345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266.99999999999983</v>
      </c>
      <c r="AJ129" s="14">
        <f>AI129*VLOOKUP('Données projet'!$B$10,Paramètres!$A$1:$I$89,3,0)*VLOOKUP('Données projet'!$B$10,Paramètres!$A$1:$I$89,5,0)</f>
        <v>216.59039999999987</v>
      </c>
      <c r="AK129" s="14">
        <f t="shared" si="89"/>
        <v>53.373153688190904</v>
      </c>
      <c r="AL129" s="22">
        <f t="shared" si="58"/>
        <v>470.18652267359886</v>
      </c>
      <c r="AM129" s="62">
        <f t="shared" si="59"/>
        <v>763.51985600693217</v>
      </c>
      <c r="AN129" s="62">
        <f ca="1">AVERAGE(OFFSET($AM$3,0,0,'Données projet'!$E$10+1,1))-AVERAGE(OFFSET($H$3,0,0,'Données projet'!$E$10+1,1))</f>
        <v>219.96569743439244</v>
      </c>
      <c r="AO129" s="62">
        <f t="shared" si="90"/>
        <v>219.27079214454579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1.4047610274567275</v>
      </c>
      <c r="AW129" s="23">
        <f>EXP(-LN(2)/2)*AW128+(1-EXP(-LN(2)/2))/(LN(2)/2)*AQ129*AT129*VLOOKUP('Données projet'!$B$10,Paramètres!$A$1:$I$89,3,0)*0.475*44/12</f>
        <v>2.6046317420614363E-15</v>
      </c>
      <c r="AX129" s="23">
        <f t="shared" si="60"/>
        <v>1.4047610274567301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3.3992364478763198E-14</v>
      </c>
      <c r="BF129" s="14">
        <f t="shared" si="91"/>
        <v>5.790027782444094E-13</v>
      </c>
      <c r="BG129" s="22">
        <f t="shared" si="61"/>
        <v>1.0676332069095257E-12</v>
      </c>
      <c r="BH129" s="62">
        <f t="shared" si="62"/>
        <v>293.33333333333439</v>
      </c>
      <c r="BI129" s="62">
        <f ca="1">AVERAGE(OFFSET($BH$3,0,0,'Données projet'!$E$11+1,1))-AVERAGE(OFFSET($H$3,0,0,'Données projet'!$E$11+1,1))</f>
        <v>150.99976380209381</v>
      </c>
      <c r="BJ129" s="62">
        <f t="shared" si="92"/>
        <v>306.39227726293234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14.759954545812127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9.4496834887200354E-13</v>
      </c>
      <c r="BS129" s="24">
        <f t="shared" si="63"/>
        <v>14.759954545813072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266.99999999999983</v>
      </c>
      <c r="AJ130" s="14">
        <f>AI130*VLOOKUP('Données projet'!$B$10,Paramètres!$A$1:$I$89,3,0)*VLOOKUP('Données projet'!$B$10,Paramètres!$A$1:$I$89,5,0)</f>
        <v>216.59039999999987</v>
      </c>
      <c r="AK130" s="14">
        <f t="shared" si="89"/>
        <v>53.373153688190904</v>
      </c>
      <c r="AL130" s="22">
        <f t="shared" si="58"/>
        <v>470.18652267359886</v>
      </c>
      <c r="AM130" s="62">
        <f t="shared" si="59"/>
        <v>763.51985600693217</v>
      </c>
      <c r="AN130" s="62">
        <f ca="1">AVERAGE(OFFSET($AM$3,0,0,'Données projet'!$E$10+1,1))-AVERAGE(OFFSET($H$3,0,0,'Données projet'!$E$10+1,1))</f>
        <v>219.96569743439244</v>
      </c>
      <c r="AO130" s="62">
        <f t="shared" si="90"/>
        <v>219.27079214454579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1.3663477632877514</v>
      </c>
      <c r="AW130" s="23">
        <f>EXP(-LN(2)/2)*AW129+(1-EXP(-LN(2)/2))/(LN(2)/2)*AQ130*AT130*VLOOKUP('Données projet'!$B$10,Paramètres!$A$1:$I$89,3,0)*0.475*44/12</f>
        <v>1.8417527673053721E-15</v>
      </c>
      <c r="AX130" s="23">
        <f t="shared" si="60"/>
        <v>1.3663477632877532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3.3992364478763198E-14</v>
      </c>
      <c r="BF130" s="14">
        <f t="shared" si="91"/>
        <v>5.790027782444094E-13</v>
      </c>
      <c r="BG130" s="22">
        <f t="shared" si="61"/>
        <v>1.0676332069095257E-12</v>
      </c>
      <c r="BH130" s="62">
        <f t="shared" si="62"/>
        <v>293.33333333333439</v>
      </c>
      <c r="BI130" s="62">
        <f ca="1">AVERAGE(OFFSET($BH$3,0,0,'Données projet'!$E$11+1,1))-AVERAGE(OFFSET($H$3,0,0,'Données projet'!$E$11+1,1))</f>
        <v>150.99976380209381</v>
      </c>
      <c r="BJ130" s="62">
        <f t="shared" si="92"/>
        <v>306.39227726293234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14.470520839852083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6.6819352749404892E-13</v>
      </c>
      <c r="BS130" s="24">
        <f t="shared" si="63"/>
        <v>14.470520839852751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266.99999999999983</v>
      </c>
      <c r="AJ131" s="14">
        <f>AI131*VLOOKUP('Données projet'!$B$10,Paramètres!$A$1:$I$89,3,0)*VLOOKUP('Données projet'!$B$10,Paramètres!$A$1:$I$89,5,0)</f>
        <v>216.59039999999987</v>
      </c>
      <c r="AK131" s="14">
        <f t="shared" si="89"/>
        <v>53.373153688190904</v>
      </c>
      <c r="AL131" s="22">
        <f t="shared" si="58"/>
        <v>470.18652267359886</v>
      </c>
      <c r="AM131" s="62">
        <f t="shared" si="59"/>
        <v>763.51985600693217</v>
      </c>
      <c r="AN131" s="62">
        <f ca="1">AVERAGE(OFFSET($AM$3,0,0,'Données projet'!$E$10+1,1))-AVERAGE(OFFSET($H$3,0,0,'Données projet'!$E$10+1,1))</f>
        <v>219.96569743439244</v>
      </c>
      <c r="AO131" s="62">
        <f t="shared" si="90"/>
        <v>219.27079214454579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1.3289849118475419</v>
      </c>
      <c r="AW131" s="23">
        <f>EXP(-LN(2)/2)*AW130+(1-EXP(-LN(2)/2))/(LN(2)/2)*AQ131*AT131*VLOOKUP('Données projet'!$B$10,Paramètres!$A$1:$I$89,3,0)*0.475*44/12</f>
        <v>1.3023158710307181E-15</v>
      </c>
      <c r="AX131" s="23">
        <f t="shared" si="60"/>
        <v>1.3289849118475432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3.3992364478763198E-14</v>
      </c>
      <c r="BF131" s="14">
        <f t="shared" si="91"/>
        <v>5.790027782444094E-13</v>
      </c>
      <c r="BG131" s="22">
        <f t="shared" si="61"/>
        <v>1.0676332069095257E-12</v>
      </c>
      <c r="BH131" s="62">
        <f t="shared" si="62"/>
        <v>293.33333333333439</v>
      </c>
      <c r="BI131" s="62">
        <f ca="1">AVERAGE(OFFSET($BH$3,0,0,'Données projet'!$E$11+1,1))-AVERAGE(OFFSET($H$3,0,0,'Données projet'!$E$11+1,1))</f>
        <v>150.99976380209381</v>
      </c>
      <c r="BJ131" s="62">
        <f t="shared" si="92"/>
        <v>306.39227726293234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14.186762752328788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4.7248417443600177E-13</v>
      </c>
      <c r="BS131" s="24">
        <f t="shared" si="63"/>
        <v>14.18676275232926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266.99999999999983</v>
      </c>
      <c r="AJ132" s="14">
        <f>AI132*VLOOKUP('Données projet'!$B$10,Paramètres!$A$1:$I$89,3,0)*VLOOKUP('Données projet'!$B$10,Paramètres!$A$1:$I$89,5,0)</f>
        <v>216.59039999999987</v>
      </c>
      <c r="AK132" s="14">
        <f t="shared" si="89"/>
        <v>53.373153688190904</v>
      </c>
      <c r="AL132" s="22">
        <f t="shared" ref="AL132:AL153" si="112">(AJ132+AK132)*0.475*44/12</f>
        <v>470.18652267359886</v>
      </c>
      <c r="AM132" s="62">
        <f t="shared" ref="AM132:AM195" si="113">AL132+(AD132+AE132)*44/12</f>
        <v>763.51985600693217</v>
      </c>
      <c r="AN132" s="62">
        <f ca="1">AVERAGE(OFFSET($AM$3,0,0,'Données projet'!$E$10+1,1))-AVERAGE(OFFSET($H$3,0,0,'Données projet'!$E$10+1,1))</f>
        <v>219.96569743439244</v>
      </c>
      <c r="AO132" s="62">
        <f t="shared" si="90"/>
        <v>219.27079214454579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1.2926437495447918</v>
      </c>
      <c r="AW132" s="23">
        <f>EXP(-LN(2)/2)*AW131+(1-EXP(-LN(2)/2))/(LN(2)/2)*AQ132*AT132*VLOOKUP('Données projet'!$B$10,Paramètres!$A$1:$I$89,3,0)*0.475*44/12</f>
        <v>9.2087638365268607E-16</v>
      </c>
      <c r="AX132" s="23">
        <f t="shared" ref="AX132:AX153" si="114">SUM(AU132:AW132)</f>
        <v>1.2926437495447927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3.3992364478763198E-14</v>
      </c>
      <c r="BF132" s="14">
        <f t="shared" si="91"/>
        <v>5.790027782444094E-13</v>
      </c>
      <c r="BG132" s="22">
        <f t="shared" ref="BG132:BG153" si="115">(BE132+BF132)*0.475*44/12</f>
        <v>1.0676332069095257E-12</v>
      </c>
      <c r="BH132" s="62">
        <f t="shared" ref="BH132:BH195" si="116">BG132+(AY132+AZ132)*44/12</f>
        <v>293.33333333333439</v>
      </c>
      <c r="BI132" s="62">
        <f ca="1">AVERAGE(OFFSET($BH$3,0,0,'Données projet'!$E$11+1,1))-AVERAGE(OFFSET($H$3,0,0,'Données projet'!$E$11+1,1))</f>
        <v>150.99976380209381</v>
      </c>
      <c r="BJ132" s="62">
        <f t="shared" si="92"/>
        <v>306.39227726293234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13.908568987826479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3.3409676374702446E-13</v>
      </c>
      <c r="BS132" s="24">
        <f t="shared" ref="BS132:BS153" si="117">SUM(BP132:BR132)</f>
        <v>13.908568987826813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266.99999999999983</v>
      </c>
      <c r="AJ133" s="14">
        <f>AI133*VLOOKUP('Données projet'!$B$10,Paramètres!$A$1:$I$89,3,0)*VLOOKUP('Données projet'!$B$10,Paramètres!$A$1:$I$89,5,0)</f>
        <v>216.59039999999987</v>
      </c>
      <c r="AK133" s="14">
        <f t="shared" ref="AK133:AK153" si="143">EXP(-1.0587+0.8836*LN(AJ133)+0.284)</f>
        <v>53.373153688190904</v>
      </c>
      <c r="AL133" s="22">
        <f t="shared" si="112"/>
        <v>470.18652267359886</v>
      </c>
      <c r="AM133" s="62">
        <f t="shared" si="113"/>
        <v>763.51985600693217</v>
      </c>
      <c r="AN133" s="62">
        <f ca="1">AVERAGE(OFFSET($AM$3,0,0,'Données projet'!$E$10+1,1))-AVERAGE(OFFSET($H$3,0,0,'Données projet'!$E$10+1,1))</f>
        <v>219.96569743439244</v>
      </c>
      <c r="AO133" s="62">
        <f t="shared" ref="AO133:AO196" si="144">$AO$3</f>
        <v>219.27079214454579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1.2572963382363089</v>
      </c>
      <c r="AW133" s="23">
        <f>EXP(-LN(2)/2)*AW132+(1-EXP(-LN(2)/2))/(LN(2)/2)*AQ133*AT133*VLOOKUP('Données projet'!$B$10,Paramètres!$A$1:$I$89,3,0)*0.475*44/12</f>
        <v>6.5115793551535907E-16</v>
      </c>
      <c r="AX133" s="23">
        <f t="shared" si="114"/>
        <v>1.2572963382363096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3.3992364478763198E-14</v>
      </c>
      <c r="BF133" s="14">
        <f t="shared" ref="BF133:BF153" si="145">EXP(-1.0587+0.8836*LN(BE133)+0.284)</f>
        <v>5.790027782444094E-13</v>
      </c>
      <c r="BG133" s="22">
        <f t="shared" si="115"/>
        <v>1.0676332069095257E-12</v>
      </c>
      <c r="BH133" s="62">
        <f t="shared" si="116"/>
        <v>293.33333333333439</v>
      </c>
      <c r="BI133" s="62">
        <f ca="1">AVERAGE(OFFSET($BH$3,0,0,'Données projet'!$E$11+1,1))-AVERAGE(OFFSET($H$3,0,0,'Données projet'!$E$11+1,1))</f>
        <v>150.99976380209381</v>
      </c>
      <c r="BJ133" s="62">
        <f t="shared" ref="BJ133:BJ196" si="146">$BJ$3</f>
        <v>306.39227726293234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13.635830433364619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2.3624208721800089E-13</v>
      </c>
      <c r="BS133" s="24">
        <f t="shared" si="117"/>
        <v>13.635830433364855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266.99999999999983</v>
      </c>
      <c r="AJ134" s="14">
        <f>AI134*VLOOKUP('Données projet'!$B$10,Paramètres!$A$1:$I$89,3,0)*VLOOKUP('Données projet'!$B$10,Paramètres!$A$1:$I$89,5,0)</f>
        <v>216.59039999999987</v>
      </c>
      <c r="AK134" s="14">
        <f t="shared" si="143"/>
        <v>53.373153688190904</v>
      </c>
      <c r="AL134" s="22">
        <f t="shared" si="112"/>
        <v>470.18652267359886</v>
      </c>
      <c r="AM134" s="62">
        <f t="shared" si="113"/>
        <v>763.51985600693217</v>
      </c>
      <c r="AN134" s="62">
        <f ca="1">AVERAGE(OFFSET($AM$3,0,0,'Données projet'!$E$10+1,1))-AVERAGE(OFFSET($H$3,0,0,'Données projet'!$E$10+1,1))</f>
        <v>219.96569743439244</v>
      </c>
      <c r="AO134" s="62">
        <f t="shared" si="144"/>
        <v>219.27079214454579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1.2229155037488961</v>
      </c>
      <c r="AW134" s="23">
        <f>EXP(-LN(2)/2)*AW133+(1-EXP(-LN(2)/2))/(LN(2)/2)*AQ134*AT134*VLOOKUP('Données projet'!$B$10,Paramètres!$A$1:$I$89,3,0)*0.475*44/12</f>
        <v>4.6043819182634303E-16</v>
      </c>
      <c r="AX134" s="23">
        <f t="shared" si="114"/>
        <v>1.2229155037488966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3.3992364478763198E-14</v>
      </c>
      <c r="BF134" s="14">
        <f t="shared" si="145"/>
        <v>5.790027782444094E-13</v>
      </c>
      <c r="BG134" s="22">
        <f t="shared" si="115"/>
        <v>1.0676332069095257E-12</v>
      </c>
      <c r="BH134" s="62">
        <f t="shared" si="116"/>
        <v>293.33333333333439</v>
      </c>
      <c r="BI134" s="62">
        <f ca="1">AVERAGE(OFFSET($BH$3,0,0,'Données projet'!$E$11+1,1))-AVERAGE(OFFSET($H$3,0,0,'Données projet'!$E$11+1,1))</f>
        <v>150.99976380209381</v>
      </c>
      <c r="BJ134" s="62">
        <f t="shared" si="146"/>
        <v>306.39227726293234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13.368440115601665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1.6704838187351223E-13</v>
      </c>
      <c r="BS134" s="24">
        <f t="shared" si="117"/>
        <v>13.368440115601832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266.99999999999983</v>
      </c>
      <c r="AJ135" s="14">
        <f>AI135*VLOOKUP('Données projet'!$B$10,Paramètres!$A$1:$I$89,3,0)*VLOOKUP('Données projet'!$B$10,Paramètres!$A$1:$I$89,5,0)</f>
        <v>216.59039999999987</v>
      </c>
      <c r="AK135" s="14">
        <f t="shared" si="143"/>
        <v>53.373153688190904</v>
      </c>
      <c r="AL135" s="22">
        <f t="shared" si="112"/>
        <v>470.18652267359886</v>
      </c>
      <c r="AM135" s="62">
        <f t="shared" si="113"/>
        <v>763.51985600693217</v>
      </c>
      <c r="AN135" s="62">
        <f ca="1">AVERAGE(OFFSET($AM$3,0,0,'Données projet'!$E$10+1,1))-AVERAGE(OFFSET($H$3,0,0,'Données projet'!$E$10+1,1))</f>
        <v>219.96569743439244</v>
      </c>
      <c r="AO135" s="62">
        <f t="shared" si="144"/>
        <v>219.27079214454579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1.1894748149885512</v>
      </c>
      <c r="AW135" s="23">
        <f>EXP(-LN(2)/2)*AW134+(1-EXP(-LN(2)/2))/(LN(2)/2)*AQ135*AT135*VLOOKUP('Données projet'!$B$10,Paramètres!$A$1:$I$89,3,0)*0.475*44/12</f>
        <v>3.2557896775767954E-16</v>
      </c>
      <c r="AX135" s="23">
        <f t="shared" si="114"/>
        <v>1.1894748149885515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3.3992364478763198E-14</v>
      </c>
      <c r="BF135" s="14">
        <f t="shared" si="145"/>
        <v>5.790027782444094E-13</v>
      </c>
      <c r="BG135" s="22">
        <f t="shared" si="115"/>
        <v>1.0676332069095257E-12</v>
      </c>
      <c r="BH135" s="62">
        <f t="shared" si="116"/>
        <v>293.33333333333439</v>
      </c>
      <c r="BI135" s="62">
        <f ca="1">AVERAGE(OFFSET($BH$3,0,0,'Données projet'!$E$11+1,1))-AVERAGE(OFFSET($H$3,0,0,'Données projet'!$E$11+1,1))</f>
        <v>150.99976380209381</v>
      </c>
      <c r="BJ135" s="62">
        <f t="shared" si="146"/>
        <v>306.39227726293234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13.106293158878051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1.1812104360900044E-13</v>
      </c>
      <c r="BS135" s="24">
        <f t="shared" si="117"/>
        <v>13.106293158878168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266.99999999999983</v>
      </c>
      <c r="AJ136" s="14">
        <f>AI136*VLOOKUP('Données projet'!$B$10,Paramètres!$A$1:$I$89,3,0)*VLOOKUP('Données projet'!$B$10,Paramètres!$A$1:$I$89,5,0)</f>
        <v>216.59039999999987</v>
      </c>
      <c r="AK136" s="14">
        <f t="shared" si="143"/>
        <v>53.373153688190904</v>
      </c>
      <c r="AL136" s="22">
        <f t="shared" si="112"/>
        <v>470.18652267359886</v>
      </c>
      <c r="AM136" s="62">
        <f t="shared" si="113"/>
        <v>763.51985600693217</v>
      </c>
      <c r="AN136" s="62">
        <f ca="1">AVERAGE(OFFSET($AM$3,0,0,'Données projet'!$E$10+1,1))-AVERAGE(OFFSET($H$3,0,0,'Données projet'!$E$10+1,1))</f>
        <v>219.96569743439244</v>
      </c>
      <c r="AO136" s="62">
        <f t="shared" si="144"/>
        <v>219.27079214454579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1.1569485636209274</v>
      </c>
      <c r="AW136" s="23">
        <f>EXP(-LN(2)/2)*AW135+(1-EXP(-LN(2)/2))/(LN(2)/2)*AQ136*AT136*VLOOKUP('Données projet'!$B$10,Paramètres!$A$1:$I$89,3,0)*0.475*44/12</f>
        <v>2.3021909591317152E-16</v>
      </c>
      <c r="AX136" s="23">
        <f t="shared" si="114"/>
        <v>1.1569485636209276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3.3992364478763198E-14</v>
      </c>
      <c r="BF136" s="14">
        <f t="shared" si="145"/>
        <v>5.790027782444094E-13</v>
      </c>
      <c r="BG136" s="22">
        <f t="shared" si="115"/>
        <v>1.0676332069095257E-12</v>
      </c>
      <c r="BH136" s="62">
        <f t="shared" si="116"/>
        <v>293.33333333333439</v>
      </c>
      <c r="BI136" s="62">
        <f ca="1">AVERAGE(OFFSET($BH$3,0,0,'Données projet'!$E$11+1,1))-AVERAGE(OFFSET($H$3,0,0,'Données projet'!$E$11+1,1))</f>
        <v>150.99976380209381</v>
      </c>
      <c r="BJ136" s="62">
        <f t="shared" si="146"/>
        <v>306.39227726293234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12.849286744081933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8.3524190936756116E-14</v>
      </c>
      <c r="BS136" s="24">
        <f t="shared" si="117"/>
        <v>12.849286744082017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266.99999999999983</v>
      </c>
      <c r="AJ137" s="14">
        <f>AI137*VLOOKUP('Données projet'!$B$10,Paramètres!$A$1:$I$89,3,0)*VLOOKUP('Données projet'!$B$10,Paramètres!$A$1:$I$89,5,0)</f>
        <v>216.59039999999987</v>
      </c>
      <c r="AK137" s="14">
        <f t="shared" si="143"/>
        <v>53.373153688190904</v>
      </c>
      <c r="AL137" s="22">
        <f t="shared" si="112"/>
        <v>470.18652267359886</v>
      </c>
      <c r="AM137" s="62">
        <f t="shared" si="113"/>
        <v>763.51985600693217</v>
      </c>
      <c r="AN137" s="62">
        <f ca="1">AVERAGE(OFFSET($AM$3,0,0,'Données projet'!$E$10+1,1))-AVERAGE(OFFSET($H$3,0,0,'Données projet'!$E$10+1,1))</f>
        <v>219.96569743439244</v>
      </c>
      <c r="AO137" s="62">
        <f t="shared" si="144"/>
        <v>219.27079214454579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1.1253117443074323</v>
      </c>
      <c r="AW137" s="23">
        <f>EXP(-LN(2)/2)*AW136+(1-EXP(-LN(2)/2))/(LN(2)/2)*AQ137*AT137*VLOOKUP('Données projet'!$B$10,Paramètres!$A$1:$I$89,3,0)*0.475*44/12</f>
        <v>1.6278948387883977E-16</v>
      </c>
      <c r="AX137" s="23">
        <f t="shared" si="114"/>
        <v>1.1253117443074325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3.3992364478763198E-14</v>
      </c>
      <c r="BF137" s="14">
        <f t="shared" si="145"/>
        <v>5.790027782444094E-13</v>
      </c>
      <c r="BG137" s="22">
        <f t="shared" si="115"/>
        <v>1.0676332069095257E-12</v>
      </c>
      <c r="BH137" s="62">
        <f t="shared" si="116"/>
        <v>293.33333333333439</v>
      </c>
      <c r="BI137" s="62">
        <f ca="1">AVERAGE(OFFSET($BH$3,0,0,'Données projet'!$E$11+1,1))-AVERAGE(OFFSET($H$3,0,0,'Données projet'!$E$11+1,1))</f>
        <v>150.99976380209381</v>
      </c>
      <c r="BJ137" s="62">
        <f t="shared" si="146"/>
        <v>306.39227726293234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12.597320068321531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5.9060521804500221E-14</v>
      </c>
      <c r="BS137" s="24">
        <f t="shared" si="117"/>
        <v>12.59732006832159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266.99999999999983</v>
      </c>
      <c r="AJ138" s="14">
        <f>AI138*VLOOKUP('Données projet'!$B$10,Paramètres!$A$1:$I$89,3,0)*VLOOKUP('Données projet'!$B$10,Paramètres!$A$1:$I$89,5,0)</f>
        <v>216.59039999999987</v>
      </c>
      <c r="AK138" s="14">
        <f t="shared" si="143"/>
        <v>53.373153688190904</v>
      </c>
      <c r="AL138" s="22">
        <f t="shared" si="112"/>
        <v>470.18652267359886</v>
      </c>
      <c r="AM138" s="62">
        <f t="shared" si="113"/>
        <v>763.51985600693217</v>
      </c>
      <c r="AN138" s="62">
        <f ca="1">AVERAGE(OFFSET($AM$3,0,0,'Données projet'!$E$10+1,1))-AVERAGE(OFFSET($H$3,0,0,'Données projet'!$E$10+1,1))</f>
        <v>219.96569743439244</v>
      </c>
      <c r="AO138" s="62">
        <f t="shared" si="144"/>
        <v>219.27079214454579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1.0945400354817729</v>
      </c>
      <c r="AW138" s="23">
        <f>EXP(-LN(2)/2)*AW137+(1-EXP(-LN(2)/2))/(LN(2)/2)*AQ138*AT138*VLOOKUP('Données projet'!$B$10,Paramètres!$A$1:$I$89,3,0)*0.475*44/12</f>
        <v>1.1510954795658576E-16</v>
      </c>
      <c r="AX138" s="23">
        <f t="shared" si="114"/>
        <v>1.0945400354817731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3.3992364478763198E-14</v>
      </c>
      <c r="BF138" s="14">
        <f t="shared" si="145"/>
        <v>5.790027782444094E-13</v>
      </c>
      <c r="BG138" s="22">
        <f t="shared" si="115"/>
        <v>1.0676332069095257E-12</v>
      </c>
      <c r="BH138" s="62">
        <f t="shared" si="116"/>
        <v>293.33333333333439</v>
      </c>
      <c r="BI138" s="62">
        <f ca="1">AVERAGE(OFFSET($BH$3,0,0,'Données projet'!$E$11+1,1))-AVERAGE(OFFSET($H$3,0,0,'Données projet'!$E$11+1,1))</f>
        <v>150.99976380209381</v>
      </c>
      <c r="BJ138" s="62">
        <f t="shared" si="146"/>
        <v>306.39227726293234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12.350294305388294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4.1762095468378058E-14</v>
      </c>
      <c r="BS138" s="24">
        <f t="shared" si="117"/>
        <v>12.350294305388337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266.99999999999983</v>
      </c>
      <c r="AJ139" s="14">
        <f>AI139*VLOOKUP('Données projet'!$B$10,Paramètres!$A$1:$I$89,3,0)*VLOOKUP('Données projet'!$B$10,Paramètres!$A$1:$I$89,5,0)</f>
        <v>216.59039999999987</v>
      </c>
      <c r="AK139" s="14">
        <f t="shared" si="143"/>
        <v>53.373153688190904</v>
      </c>
      <c r="AL139" s="22">
        <f t="shared" si="112"/>
        <v>470.18652267359886</v>
      </c>
      <c r="AM139" s="62">
        <f t="shared" si="113"/>
        <v>763.51985600693217</v>
      </c>
      <c r="AN139" s="62">
        <f ca="1">AVERAGE(OFFSET($AM$3,0,0,'Données projet'!$E$10+1,1))-AVERAGE(OFFSET($H$3,0,0,'Données projet'!$E$10+1,1))</f>
        <v>219.96569743439244</v>
      </c>
      <c r="AO139" s="62">
        <f t="shared" si="144"/>
        <v>219.27079214454579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1.064609780652165</v>
      </c>
      <c r="AW139" s="23">
        <f>EXP(-LN(2)/2)*AW138+(1-EXP(-LN(2)/2))/(LN(2)/2)*AQ139*AT139*VLOOKUP('Données projet'!$B$10,Paramètres!$A$1:$I$89,3,0)*0.475*44/12</f>
        <v>8.1394741939419884E-17</v>
      </c>
      <c r="AX139" s="23">
        <f t="shared" si="114"/>
        <v>1.064609780652165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3.3992364478763198E-14</v>
      </c>
      <c r="BF139" s="14">
        <f t="shared" si="145"/>
        <v>5.790027782444094E-13</v>
      </c>
      <c r="BG139" s="22">
        <f t="shared" si="115"/>
        <v>1.0676332069095257E-12</v>
      </c>
      <c r="BH139" s="62">
        <f t="shared" si="116"/>
        <v>293.33333333333439</v>
      </c>
      <c r="BI139" s="62">
        <f ca="1">AVERAGE(OFFSET($BH$3,0,0,'Données projet'!$E$11+1,1))-AVERAGE(OFFSET($H$3,0,0,'Données projet'!$E$11+1,1))</f>
        <v>150.99976380209381</v>
      </c>
      <c r="BJ139" s="62">
        <f t="shared" si="146"/>
        <v>306.39227726293234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12.10811256699534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2.9530260902250111E-14</v>
      </c>
      <c r="BS139" s="24">
        <f t="shared" si="117"/>
        <v>12.10811256699537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266.99999999999983</v>
      </c>
      <c r="AJ140" s="14">
        <f>AI140*VLOOKUP('Données projet'!$B$10,Paramètres!$A$1:$I$89,3,0)*VLOOKUP('Données projet'!$B$10,Paramètres!$A$1:$I$89,5,0)</f>
        <v>216.59039999999987</v>
      </c>
      <c r="AK140" s="14">
        <f t="shared" si="143"/>
        <v>53.373153688190904</v>
      </c>
      <c r="AL140" s="22">
        <f t="shared" si="112"/>
        <v>470.18652267359886</v>
      </c>
      <c r="AM140" s="62">
        <f t="shared" si="113"/>
        <v>763.51985600693217</v>
      </c>
      <c r="AN140" s="62">
        <f ca="1">AVERAGE(OFFSET($AM$3,0,0,'Données projet'!$E$10+1,1))-AVERAGE(OFFSET($H$3,0,0,'Données projet'!$E$10+1,1))</f>
        <v>219.96569743439244</v>
      </c>
      <c r="AO140" s="62">
        <f t="shared" si="144"/>
        <v>219.27079214454579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1.0354979702148364</v>
      </c>
      <c r="AW140" s="23">
        <f>EXP(-LN(2)/2)*AW139+(1-EXP(-LN(2)/2))/(LN(2)/2)*AQ140*AT140*VLOOKUP('Données projet'!$B$10,Paramètres!$A$1:$I$89,3,0)*0.475*44/12</f>
        <v>5.7554773978292879E-17</v>
      </c>
      <c r="AX140" s="23">
        <f t="shared" si="114"/>
        <v>1.0354979702148364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3.3992364478763198E-14</v>
      </c>
      <c r="BF140" s="14">
        <f t="shared" si="145"/>
        <v>5.790027782444094E-13</v>
      </c>
      <c r="BG140" s="22">
        <f t="shared" si="115"/>
        <v>1.0676332069095257E-12</v>
      </c>
      <c r="BH140" s="62">
        <f t="shared" si="116"/>
        <v>293.33333333333439</v>
      </c>
      <c r="BI140" s="62">
        <f ca="1">AVERAGE(OFFSET($BH$3,0,0,'Données projet'!$E$11+1,1))-AVERAGE(OFFSET($H$3,0,0,'Données projet'!$E$11+1,1))</f>
        <v>150.99976380209381</v>
      </c>
      <c r="BJ140" s="62">
        <f t="shared" si="146"/>
        <v>306.39227726293234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11.870679864775997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2.0881047734189029E-14</v>
      </c>
      <c r="BS140" s="24">
        <f t="shared" si="117"/>
        <v>11.870679864776019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266.99999999999983</v>
      </c>
      <c r="AJ141" s="14">
        <f>AI141*VLOOKUP('Données projet'!$B$10,Paramètres!$A$1:$I$89,3,0)*VLOOKUP('Données projet'!$B$10,Paramètres!$A$1:$I$89,5,0)</f>
        <v>216.59039999999987</v>
      </c>
      <c r="AK141" s="14">
        <f t="shared" si="143"/>
        <v>53.373153688190904</v>
      </c>
      <c r="AL141" s="22">
        <f t="shared" si="112"/>
        <v>470.18652267359886</v>
      </c>
      <c r="AM141" s="62">
        <f t="shared" si="113"/>
        <v>763.51985600693217</v>
      </c>
      <c r="AN141" s="62">
        <f ca="1">AVERAGE(OFFSET($AM$3,0,0,'Données projet'!$E$10+1,1))-AVERAGE(OFFSET($H$3,0,0,'Données projet'!$E$10+1,1))</f>
        <v>219.96569743439244</v>
      </c>
      <c r="AO141" s="62">
        <f t="shared" si="144"/>
        <v>219.27079214454579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1.00718222376484</v>
      </c>
      <c r="AW141" s="23">
        <f>EXP(-LN(2)/2)*AW140+(1-EXP(-LN(2)/2))/(LN(2)/2)*AQ141*AT141*VLOOKUP('Données projet'!$B$10,Paramètres!$A$1:$I$89,3,0)*0.475*44/12</f>
        <v>4.0697370969709942E-17</v>
      </c>
      <c r="AX141" s="23">
        <f t="shared" si="114"/>
        <v>1.00718222376484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3.3992364478763198E-14</v>
      </c>
      <c r="BF141" s="14">
        <f t="shared" si="145"/>
        <v>5.790027782444094E-13</v>
      </c>
      <c r="BG141" s="22">
        <f t="shared" si="115"/>
        <v>1.0676332069095257E-12</v>
      </c>
      <c r="BH141" s="62">
        <f t="shared" si="116"/>
        <v>293.33333333333439</v>
      </c>
      <c r="BI141" s="62">
        <f ca="1">AVERAGE(OFFSET($BH$3,0,0,'Données projet'!$E$11+1,1))-AVERAGE(OFFSET($H$3,0,0,'Données projet'!$E$11+1,1))</f>
        <v>150.99976380209381</v>
      </c>
      <c r="BJ141" s="62">
        <f t="shared" si="146"/>
        <v>306.39227726293234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11.637903073027527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1.4765130451125055E-14</v>
      </c>
      <c r="BS141" s="24">
        <f t="shared" si="117"/>
        <v>11.637903073027541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266.99999999999983</v>
      </c>
      <c r="AJ142" s="14">
        <f>AI142*VLOOKUP('Données projet'!$B$10,Paramètres!$A$1:$I$89,3,0)*VLOOKUP('Données projet'!$B$10,Paramètres!$A$1:$I$89,5,0)</f>
        <v>216.59039999999987</v>
      </c>
      <c r="AK142" s="14">
        <f t="shared" si="143"/>
        <v>53.373153688190904</v>
      </c>
      <c r="AL142" s="22">
        <f t="shared" si="112"/>
        <v>470.18652267359886</v>
      </c>
      <c r="AM142" s="62">
        <f t="shared" si="113"/>
        <v>763.51985600693217</v>
      </c>
      <c r="AN142" s="62">
        <f ca="1">AVERAGE(OFFSET($AM$3,0,0,'Données projet'!$E$10+1,1))-AVERAGE(OFFSET($H$3,0,0,'Données projet'!$E$10+1,1))</f>
        <v>219.96569743439244</v>
      </c>
      <c r="AO142" s="62">
        <f t="shared" si="144"/>
        <v>219.27079214454579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0.97964077289057927</v>
      </c>
      <c r="AW142" s="23">
        <f>EXP(-LN(2)/2)*AW141+(1-EXP(-LN(2)/2))/(LN(2)/2)*AQ142*AT142*VLOOKUP('Données projet'!$B$10,Paramètres!$A$1:$I$89,3,0)*0.475*44/12</f>
        <v>2.877738698914644E-17</v>
      </c>
      <c r="AX142" s="23">
        <f t="shared" si="114"/>
        <v>0.97964077289057927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3.3992364478763198E-14</v>
      </c>
      <c r="BF142" s="14">
        <f t="shared" si="145"/>
        <v>5.790027782444094E-13</v>
      </c>
      <c r="BG142" s="22">
        <f t="shared" si="115"/>
        <v>1.0676332069095257E-12</v>
      </c>
      <c r="BH142" s="62">
        <f t="shared" si="116"/>
        <v>293.33333333333439</v>
      </c>
      <c r="BI142" s="62">
        <f ca="1">AVERAGE(OFFSET($BH$3,0,0,'Données projet'!$E$11+1,1))-AVERAGE(OFFSET($H$3,0,0,'Données projet'!$E$11+1,1))</f>
        <v>150.99976380209381</v>
      </c>
      <c r="BJ142" s="62">
        <f t="shared" si="146"/>
        <v>306.39227726293234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11.40969089218542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1.0440523867094514E-14</v>
      </c>
      <c r="BS142" s="24">
        <f t="shared" si="117"/>
        <v>11.409690892185431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266.99999999999983</v>
      </c>
      <c r="AJ143" s="14">
        <f>AI143*VLOOKUP('Données projet'!$B$10,Paramètres!$A$1:$I$89,3,0)*VLOOKUP('Données projet'!$B$10,Paramètres!$A$1:$I$89,5,0)</f>
        <v>216.59039999999987</v>
      </c>
      <c r="AK143" s="14">
        <f t="shared" si="143"/>
        <v>53.373153688190904</v>
      </c>
      <c r="AL143" s="22">
        <f t="shared" si="112"/>
        <v>470.18652267359886</v>
      </c>
      <c r="AM143" s="62">
        <f t="shared" si="113"/>
        <v>763.51985600693217</v>
      </c>
      <c r="AN143" s="62">
        <f ca="1">AVERAGE(OFFSET($AM$3,0,0,'Données projet'!$E$10+1,1))-AVERAGE(OFFSET($H$3,0,0,'Données projet'!$E$10+1,1))</f>
        <v>219.96569743439244</v>
      </c>
      <c r="AO143" s="62">
        <f t="shared" si="144"/>
        <v>219.27079214454579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0.95285244443881711</v>
      </c>
      <c r="AW143" s="23">
        <f>EXP(-LN(2)/2)*AW142+(1-EXP(-LN(2)/2))/(LN(2)/2)*AQ143*AT143*VLOOKUP('Données projet'!$B$10,Paramètres!$A$1:$I$89,3,0)*0.475*44/12</f>
        <v>2.0348685484854971E-17</v>
      </c>
      <c r="AX143" s="23">
        <f t="shared" si="114"/>
        <v>0.95285244443881711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3.3992364478763198E-14</v>
      </c>
      <c r="BF143" s="14">
        <f t="shared" si="145"/>
        <v>5.790027782444094E-13</v>
      </c>
      <c r="BG143" s="22">
        <f t="shared" si="115"/>
        <v>1.0676332069095257E-12</v>
      </c>
      <c r="BH143" s="62">
        <f t="shared" si="116"/>
        <v>293.33333333333439</v>
      </c>
      <c r="BI143" s="62">
        <f ca="1">AVERAGE(OFFSET($BH$3,0,0,'Données projet'!$E$11+1,1))-AVERAGE(OFFSET($H$3,0,0,'Données projet'!$E$11+1,1))</f>
        <v>150.99976380209381</v>
      </c>
      <c r="BJ143" s="62">
        <f t="shared" si="146"/>
        <v>306.39227726293234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11.185953813013942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7.3825652255625277E-15</v>
      </c>
      <c r="BS143" s="24">
        <f t="shared" si="117"/>
        <v>11.185953813013949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266.99999999999983</v>
      </c>
      <c r="AJ144" s="14">
        <f>AI144*VLOOKUP('Données projet'!$B$10,Paramètres!$A$1:$I$89,3,0)*VLOOKUP('Données projet'!$B$10,Paramètres!$A$1:$I$89,5,0)</f>
        <v>216.59039999999987</v>
      </c>
      <c r="AK144" s="14">
        <f t="shared" si="143"/>
        <v>53.373153688190904</v>
      </c>
      <c r="AL144" s="22">
        <f t="shared" si="112"/>
        <v>470.18652267359886</v>
      </c>
      <c r="AM144" s="62">
        <f t="shared" si="113"/>
        <v>763.51985600693217</v>
      </c>
      <c r="AN144" s="62">
        <f ca="1">AVERAGE(OFFSET($AM$3,0,0,'Données projet'!$E$10+1,1))-AVERAGE(OFFSET($H$3,0,0,'Données projet'!$E$10+1,1))</f>
        <v>219.96569743439244</v>
      </c>
      <c r="AO144" s="62">
        <f t="shared" si="144"/>
        <v>219.27079214454579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0.92679664423730534</v>
      </c>
      <c r="AW144" s="23">
        <f>EXP(-LN(2)/2)*AW143+(1-EXP(-LN(2)/2))/(LN(2)/2)*AQ144*AT144*VLOOKUP('Données projet'!$B$10,Paramètres!$A$1:$I$89,3,0)*0.475*44/12</f>
        <v>1.438869349457322E-17</v>
      </c>
      <c r="AX144" s="23">
        <f t="shared" si="114"/>
        <v>0.92679664423730534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3.3992364478763198E-14</v>
      </c>
      <c r="BF144" s="14">
        <f t="shared" si="145"/>
        <v>5.790027782444094E-13</v>
      </c>
      <c r="BG144" s="22">
        <f t="shared" si="115"/>
        <v>1.0676332069095257E-12</v>
      </c>
      <c r="BH144" s="62">
        <f t="shared" si="116"/>
        <v>293.33333333333439</v>
      </c>
      <c r="BI144" s="62">
        <f ca="1">AVERAGE(OFFSET($BH$3,0,0,'Données projet'!$E$11+1,1))-AVERAGE(OFFSET($H$3,0,0,'Données projet'!$E$11+1,1))</f>
        <v>150.99976380209381</v>
      </c>
      <c r="BJ144" s="62">
        <f t="shared" si="146"/>
        <v>306.39227726293234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10.966604081498874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5.2202619335472572E-15</v>
      </c>
      <c r="BS144" s="24">
        <f t="shared" si="117"/>
        <v>10.966604081498879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266.99999999999983</v>
      </c>
      <c r="AJ145" s="14">
        <f>AI145*VLOOKUP('Données projet'!$B$10,Paramètres!$A$1:$I$89,3,0)*VLOOKUP('Données projet'!$B$10,Paramètres!$A$1:$I$89,5,0)</f>
        <v>216.59039999999987</v>
      </c>
      <c r="AK145" s="14">
        <f t="shared" si="143"/>
        <v>53.373153688190904</v>
      </c>
      <c r="AL145" s="22">
        <f t="shared" si="112"/>
        <v>470.18652267359886</v>
      </c>
      <c r="AM145" s="62">
        <f t="shared" si="113"/>
        <v>763.51985600693217</v>
      </c>
      <c r="AN145" s="62">
        <f ca="1">AVERAGE(OFFSET($AM$3,0,0,'Données projet'!$E$10+1,1))-AVERAGE(OFFSET($H$3,0,0,'Données projet'!$E$10+1,1))</f>
        <v>219.96569743439244</v>
      </c>
      <c r="AO145" s="62">
        <f t="shared" si="144"/>
        <v>219.27079214454579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0.90145334126251897</v>
      </c>
      <c r="AW145" s="23">
        <f>EXP(-LN(2)/2)*AW144+(1-EXP(-LN(2)/2))/(LN(2)/2)*AQ145*AT145*VLOOKUP('Données projet'!$B$10,Paramètres!$A$1:$I$89,3,0)*0.475*44/12</f>
        <v>1.0174342742427486E-17</v>
      </c>
      <c r="AX145" s="23">
        <f t="shared" si="114"/>
        <v>0.90145334126251897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3.3992364478763198E-14</v>
      </c>
      <c r="BF145" s="14">
        <f t="shared" si="145"/>
        <v>5.790027782444094E-13</v>
      </c>
      <c r="BG145" s="22">
        <f t="shared" si="115"/>
        <v>1.0676332069095257E-12</v>
      </c>
      <c r="BH145" s="62">
        <f t="shared" si="116"/>
        <v>293.33333333333439</v>
      </c>
      <c r="BI145" s="62">
        <f ca="1">AVERAGE(OFFSET($BH$3,0,0,'Données projet'!$E$11+1,1))-AVERAGE(OFFSET($H$3,0,0,'Données projet'!$E$11+1,1))</f>
        <v>150.99976380209381</v>
      </c>
      <c r="BJ145" s="62">
        <f t="shared" si="146"/>
        <v>306.39227726293234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10.75155566442869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3.6912826127812638E-15</v>
      </c>
      <c r="BS145" s="24">
        <f t="shared" si="117"/>
        <v>10.751555664428693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266.99999999999983</v>
      </c>
      <c r="AJ146" s="14">
        <f>AI146*VLOOKUP('Données projet'!$B$10,Paramètres!$A$1:$I$89,3,0)*VLOOKUP('Données projet'!$B$10,Paramètres!$A$1:$I$89,5,0)</f>
        <v>216.59039999999987</v>
      </c>
      <c r="AK146" s="14">
        <f t="shared" si="143"/>
        <v>53.373153688190904</v>
      </c>
      <c r="AL146" s="22">
        <f t="shared" si="112"/>
        <v>470.18652267359886</v>
      </c>
      <c r="AM146" s="62">
        <f t="shared" si="113"/>
        <v>763.51985600693217</v>
      </c>
      <c r="AN146" s="62">
        <f ca="1">AVERAGE(OFFSET($AM$3,0,0,'Données projet'!$E$10+1,1))-AVERAGE(OFFSET($H$3,0,0,'Données projet'!$E$10+1,1))</f>
        <v>219.96569743439244</v>
      </c>
      <c r="AO146" s="62">
        <f t="shared" si="144"/>
        <v>219.27079214454579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0.87680305224032451</v>
      </c>
      <c r="AW146" s="23">
        <f>EXP(-LN(2)/2)*AW145+(1-EXP(-LN(2)/2))/(LN(2)/2)*AQ146*AT146*VLOOKUP('Données projet'!$B$10,Paramètres!$A$1:$I$89,3,0)*0.475*44/12</f>
        <v>7.1943467472866099E-18</v>
      </c>
      <c r="AX146" s="23">
        <f t="shared" si="114"/>
        <v>0.87680305224032451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3.3992364478763198E-14</v>
      </c>
      <c r="BF146" s="14">
        <f t="shared" si="145"/>
        <v>5.790027782444094E-13</v>
      </c>
      <c r="BG146" s="22">
        <f t="shared" si="115"/>
        <v>1.0676332069095257E-12</v>
      </c>
      <c r="BH146" s="62">
        <f t="shared" si="116"/>
        <v>293.33333333333439</v>
      </c>
      <c r="BI146" s="62">
        <f ca="1">AVERAGE(OFFSET($BH$3,0,0,'Données projet'!$E$11+1,1))-AVERAGE(OFFSET($H$3,0,0,'Données projet'!$E$11+1,1))</f>
        <v>150.99976380209381</v>
      </c>
      <c r="BJ146" s="62">
        <f t="shared" si="146"/>
        <v>306.39227726293234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10.54072421565067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2.6101309667736286E-15</v>
      </c>
      <c r="BS146" s="24">
        <f t="shared" si="117"/>
        <v>10.540724215650672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266.99999999999983</v>
      </c>
      <c r="AJ147" s="14">
        <f>AI147*VLOOKUP('Données projet'!$B$10,Paramètres!$A$1:$I$89,3,0)*VLOOKUP('Données projet'!$B$10,Paramètres!$A$1:$I$89,5,0)</f>
        <v>216.59039999999987</v>
      </c>
      <c r="AK147" s="14">
        <f t="shared" si="143"/>
        <v>53.373153688190904</v>
      </c>
      <c r="AL147" s="22">
        <f t="shared" si="112"/>
        <v>470.18652267359886</v>
      </c>
      <c r="AM147" s="62">
        <f t="shared" si="113"/>
        <v>763.51985600693217</v>
      </c>
      <c r="AN147" s="62">
        <f ca="1">AVERAGE(OFFSET($AM$3,0,0,'Données projet'!$E$10+1,1))-AVERAGE(OFFSET($H$3,0,0,'Données projet'!$E$10+1,1))</f>
        <v>219.96569743439244</v>
      </c>
      <c r="AO147" s="62">
        <f t="shared" si="144"/>
        <v>219.27079214454579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0.85282682666774423</v>
      </c>
      <c r="AW147" s="23">
        <f>EXP(-LN(2)/2)*AW146+(1-EXP(-LN(2)/2))/(LN(2)/2)*AQ147*AT147*VLOOKUP('Données projet'!$B$10,Paramètres!$A$1:$I$89,3,0)*0.475*44/12</f>
        <v>5.0871713712137428E-18</v>
      </c>
      <c r="AX147" s="23">
        <f t="shared" si="114"/>
        <v>0.85282682666774423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3.3992364478763198E-14</v>
      </c>
      <c r="BF147" s="14">
        <f t="shared" si="145"/>
        <v>5.790027782444094E-13</v>
      </c>
      <c r="BG147" s="22">
        <f t="shared" si="115"/>
        <v>1.0676332069095257E-12</v>
      </c>
      <c r="BH147" s="62">
        <f t="shared" si="116"/>
        <v>293.33333333333439</v>
      </c>
      <c r="BI147" s="62">
        <f ca="1">AVERAGE(OFFSET($BH$3,0,0,'Données projet'!$E$11+1,1))-AVERAGE(OFFSET($H$3,0,0,'Données projet'!$E$11+1,1))</f>
        <v>150.99976380209381</v>
      </c>
      <c r="BJ147" s="62">
        <f t="shared" si="146"/>
        <v>306.39227726293234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10.3340270429887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1.8456413063906319E-15</v>
      </c>
      <c r="BS147" s="24">
        <f t="shared" si="117"/>
        <v>10.334027042988701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266.99999999999983</v>
      </c>
      <c r="AJ148" s="14">
        <f>AI148*VLOOKUP('Données projet'!$B$10,Paramètres!$A$1:$I$89,3,0)*VLOOKUP('Données projet'!$B$10,Paramètres!$A$1:$I$89,5,0)</f>
        <v>216.59039999999987</v>
      </c>
      <c r="AK148" s="14">
        <f t="shared" si="143"/>
        <v>53.373153688190904</v>
      </c>
      <c r="AL148" s="22">
        <f t="shared" si="112"/>
        <v>470.18652267359886</v>
      </c>
      <c r="AM148" s="62">
        <f t="shared" si="113"/>
        <v>763.51985600693217</v>
      </c>
      <c r="AN148" s="62">
        <f ca="1">AVERAGE(OFFSET($AM$3,0,0,'Données projet'!$E$10+1,1))-AVERAGE(OFFSET($H$3,0,0,'Données projet'!$E$10+1,1))</f>
        <v>219.96569743439244</v>
      </c>
      <c r="AO148" s="62">
        <f t="shared" si="144"/>
        <v>219.27079214454579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0.82950623224430109</v>
      </c>
      <c r="AW148" s="23">
        <f>EXP(-LN(2)/2)*AW147+(1-EXP(-LN(2)/2))/(LN(2)/2)*AQ148*AT148*VLOOKUP('Données projet'!$B$10,Paramètres!$A$1:$I$89,3,0)*0.475*44/12</f>
        <v>3.5971733736433049E-18</v>
      </c>
      <c r="AX148" s="23">
        <f t="shared" si="114"/>
        <v>0.82950623224430109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3.3992364478763198E-14</v>
      </c>
      <c r="BF148" s="14">
        <f t="shared" si="145"/>
        <v>5.790027782444094E-13</v>
      </c>
      <c r="BG148" s="22">
        <f t="shared" si="115"/>
        <v>1.0676332069095257E-12</v>
      </c>
      <c r="BH148" s="62">
        <f t="shared" si="116"/>
        <v>293.33333333333439</v>
      </c>
      <c r="BI148" s="62">
        <f ca="1">AVERAGE(OFFSET($BH$3,0,0,'Données projet'!$E$11+1,1))-AVERAGE(OFFSET($H$3,0,0,'Données projet'!$E$11+1,1))</f>
        <v>150.99976380209381</v>
      </c>
      <c r="BJ148" s="62">
        <f t="shared" si="146"/>
        <v>306.39227726293234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10.131383075809804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1.3050654833868143E-15</v>
      </c>
      <c r="BS148" s="24">
        <f t="shared" si="117"/>
        <v>10.131383075809806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266.99999999999983</v>
      </c>
      <c r="AJ149" s="14">
        <f>AI149*VLOOKUP('Données projet'!$B$10,Paramètres!$A$1:$I$89,3,0)*VLOOKUP('Données projet'!$B$10,Paramètres!$A$1:$I$89,5,0)</f>
        <v>216.59039999999987</v>
      </c>
      <c r="AK149" s="14">
        <f t="shared" si="143"/>
        <v>53.373153688190904</v>
      </c>
      <c r="AL149" s="22">
        <f t="shared" si="112"/>
        <v>470.18652267359886</v>
      </c>
      <c r="AM149" s="62">
        <f t="shared" si="113"/>
        <v>763.51985600693217</v>
      </c>
      <c r="AN149" s="62">
        <f ca="1">AVERAGE(OFFSET($AM$3,0,0,'Données projet'!$E$10+1,1))-AVERAGE(OFFSET($H$3,0,0,'Données projet'!$E$10+1,1))</f>
        <v>219.96569743439244</v>
      </c>
      <c r="AO149" s="62">
        <f t="shared" si="144"/>
        <v>219.27079214454579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0.80682334070174377</v>
      </c>
      <c r="AW149" s="23">
        <f>EXP(-LN(2)/2)*AW148+(1-EXP(-LN(2)/2))/(LN(2)/2)*AQ149*AT149*VLOOKUP('Données projet'!$B$10,Paramètres!$A$1:$I$89,3,0)*0.475*44/12</f>
        <v>2.5435856856068714E-18</v>
      </c>
      <c r="AX149" s="23">
        <f t="shared" si="114"/>
        <v>0.80682334070174377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3.3992364478763198E-14</v>
      </c>
      <c r="BF149" s="14">
        <f t="shared" si="145"/>
        <v>5.790027782444094E-13</v>
      </c>
      <c r="BG149" s="22">
        <f t="shared" si="115"/>
        <v>1.0676332069095257E-12</v>
      </c>
      <c r="BH149" s="62">
        <f t="shared" si="116"/>
        <v>293.33333333333439</v>
      </c>
      <c r="BI149" s="62">
        <f ca="1">AVERAGE(OFFSET($BH$3,0,0,'Données projet'!$E$11+1,1))-AVERAGE(OFFSET($H$3,0,0,'Données projet'!$E$11+1,1))</f>
        <v>150.99976380209381</v>
      </c>
      <c r="BJ149" s="62">
        <f t="shared" si="146"/>
        <v>306.39227726293234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9.9327128332266721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9.2282065319531596E-16</v>
      </c>
      <c r="BS149" s="24">
        <f t="shared" si="117"/>
        <v>9.9327128332266739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266.99999999999983</v>
      </c>
      <c r="AJ150" s="14">
        <f>AI150*VLOOKUP('Données projet'!$B$10,Paramètres!$A$1:$I$89,3,0)*VLOOKUP('Données projet'!$B$10,Paramètres!$A$1:$I$89,5,0)</f>
        <v>216.59039999999987</v>
      </c>
      <c r="AK150" s="14">
        <f t="shared" si="143"/>
        <v>53.373153688190904</v>
      </c>
      <c r="AL150" s="22">
        <f t="shared" si="112"/>
        <v>470.18652267359886</v>
      </c>
      <c r="AM150" s="62">
        <f t="shared" si="113"/>
        <v>763.51985600693217</v>
      </c>
      <c r="AN150" s="62">
        <f ca="1">AVERAGE(OFFSET($AM$3,0,0,'Données projet'!$E$10+1,1))-AVERAGE(OFFSET($H$3,0,0,'Données projet'!$E$10+1,1))</f>
        <v>219.96569743439244</v>
      </c>
      <c r="AO150" s="62">
        <f t="shared" si="144"/>
        <v>219.27079214454579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0.78476071402125913</v>
      </c>
      <c r="AW150" s="23">
        <f>EXP(-LN(2)/2)*AW149+(1-EXP(-LN(2)/2))/(LN(2)/2)*AQ150*AT150*VLOOKUP('Données projet'!$B$10,Paramètres!$A$1:$I$89,3,0)*0.475*44/12</f>
        <v>1.7985866868216525E-18</v>
      </c>
      <c r="AX150" s="23">
        <f t="shared" si="114"/>
        <v>0.78476071402125913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3.3992364478763198E-14</v>
      </c>
      <c r="BF150" s="14">
        <f t="shared" si="145"/>
        <v>5.790027782444094E-13</v>
      </c>
      <c r="BG150" s="22">
        <f t="shared" si="115"/>
        <v>1.0676332069095257E-12</v>
      </c>
      <c r="BH150" s="62">
        <f t="shared" si="116"/>
        <v>293.33333333333439</v>
      </c>
      <c r="BI150" s="62">
        <f ca="1">AVERAGE(OFFSET($BH$3,0,0,'Données projet'!$E$11+1,1))-AVERAGE(OFFSET($H$3,0,0,'Données projet'!$E$11+1,1))</f>
        <v>150.99976380209381</v>
      </c>
      <c r="BJ150" s="62">
        <f t="shared" si="146"/>
        <v>306.39227726293234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9.7379383929237129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6.5253274169340715E-16</v>
      </c>
      <c r="BS150" s="24">
        <f t="shared" si="117"/>
        <v>9.7379383929237129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266.99999999999983</v>
      </c>
      <c r="AJ151" s="14">
        <f>AI151*VLOOKUP('Données projet'!$B$10,Paramètres!$A$1:$I$89,3,0)*VLOOKUP('Données projet'!$B$10,Paramètres!$A$1:$I$89,5,0)</f>
        <v>216.59039999999987</v>
      </c>
      <c r="AK151" s="14">
        <f t="shared" si="143"/>
        <v>53.373153688190904</v>
      </c>
      <c r="AL151" s="22">
        <f t="shared" si="112"/>
        <v>470.18652267359886</v>
      </c>
      <c r="AM151" s="62">
        <f t="shared" si="113"/>
        <v>763.51985600693217</v>
      </c>
      <c r="AN151" s="62">
        <f ca="1">AVERAGE(OFFSET($AM$3,0,0,'Données projet'!$E$10+1,1))-AVERAGE(OFFSET($H$3,0,0,'Données projet'!$E$10+1,1))</f>
        <v>219.96569743439244</v>
      </c>
      <c r="AO151" s="62">
        <f t="shared" si="144"/>
        <v>219.27079214454579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0.76330139102757544</v>
      </c>
      <c r="AW151" s="23">
        <f>EXP(-LN(2)/2)*AW150+(1-EXP(-LN(2)/2))/(LN(2)/2)*AQ151*AT151*VLOOKUP('Données projet'!$B$10,Paramètres!$A$1:$I$89,3,0)*0.475*44/12</f>
        <v>1.2717928428034357E-18</v>
      </c>
      <c r="AX151" s="23">
        <f t="shared" si="114"/>
        <v>0.76330139102757544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3.3992364478763198E-14</v>
      </c>
      <c r="BF151" s="14">
        <f t="shared" si="145"/>
        <v>5.790027782444094E-13</v>
      </c>
      <c r="BG151" s="22">
        <f t="shared" si="115"/>
        <v>1.0676332069095257E-12</v>
      </c>
      <c r="BH151" s="62">
        <f t="shared" si="116"/>
        <v>293.33333333333439</v>
      </c>
      <c r="BI151" s="62">
        <f ca="1">AVERAGE(OFFSET($BH$3,0,0,'Données projet'!$E$11+1,1))-AVERAGE(OFFSET($H$3,0,0,'Données projet'!$E$11+1,1))</f>
        <v>150.99976380209381</v>
      </c>
      <c r="BJ151" s="62">
        <f t="shared" si="146"/>
        <v>306.39227726293234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9.5469833605944157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4.6141032659765798E-16</v>
      </c>
      <c r="BS151" s="24">
        <f t="shared" si="117"/>
        <v>9.5469833605944157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266.99999999999983</v>
      </c>
      <c r="AJ152" s="14">
        <f>AI152*VLOOKUP('Données projet'!$B$10,Paramètres!$A$1:$I$89,3,0)*VLOOKUP('Données projet'!$B$10,Paramètres!$A$1:$I$89,5,0)</f>
        <v>216.59039999999987</v>
      </c>
      <c r="AK152" s="14">
        <f t="shared" si="143"/>
        <v>53.373153688190904</v>
      </c>
      <c r="AL152" s="22">
        <f t="shared" si="112"/>
        <v>470.18652267359886</v>
      </c>
      <c r="AM152" s="62">
        <f t="shared" si="113"/>
        <v>763.51985600693217</v>
      </c>
      <c r="AN152" s="62">
        <f ca="1">AVERAGE(OFFSET($AM$3,0,0,'Données projet'!$E$10+1,1))-AVERAGE(OFFSET($H$3,0,0,'Données projet'!$E$10+1,1))</f>
        <v>219.96569743439244</v>
      </c>
      <c r="AO152" s="62">
        <f t="shared" si="144"/>
        <v>219.27079214454579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0.74242887434965077</v>
      </c>
      <c r="AW152" s="23">
        <f>EXP(-LN(2)/2)*AW151+(1-EXP(-LN(2)/2))/(LN(2)/2)*AQ152*AT152*VLOOKUP('Données projet'!$B$10,Paramètres!$A$1:$I$89,3,0)*0.475*44/12</f>
        <v>8.9929334341082624E-19</v>
      </c>
      <c r="AX152" s="23">
        <f t="shared" si="114"/>
        <v>0.74242887434965077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3.3992364478763198E-14</v>
      </c>
      <c r="BF152" s="14">
        <f t="shared" si="145"/>
        <v>5.790027782444094E-13</v>
      </c>
      <c r="BG152" s="22">
        <f t="shared" si="115"/>
        <v>1.0676332069095257E-12</v>
      </c>
      <c r="BH152" s="62">
        <f t="shared" si="116"/>
        <v>293.33333333333439</v>
      </c>
      <c r="BI152" s="62">
        <f ca="1">AVERAGE(OFFSET($BH$3,0,0,'Données projet'!$E$11+1,1))-AVERAGE(OFFSET($H$3,0,0,'Données projet'!$E$11+1,1))</f>
        <v>150.99976380209381</v>
      </c>
      <c r="BJ152" s="62">
        <f t="shared" si="146"/>
        <v>306.39227726293234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9.359772839978028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3.2626637084670358E-16</v>
      </c>
      <c r="BS152" s="24">
        <f t="shared" si="117"/>
        <v>9.359772839978028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266.99999999999983</v>
      </c>
      <c r="AJ153" s="14">
        <f>AI153*VLOOKUP('Données projet'!$B$10,Paramètres!$A$1:$I$89,3,0)*VLOOKUP('Données projet'!$B$10,Paramètres!$A$1:$I$89,5,0)</f>
        <v>216.59039999999987</v>
      </c>
      <c r="AK153" s="14">
        <f t="shared" si="143"/>
        <v>53.373153688190904</v>
      </c>
      <c r="AL153" s="22">
        <f t="shared" si="112"/>
        <v>470.18652267359886</v>
      </c>
      <c r="AM153" s="62">
        <f t="shared" si="113"/>
        <v>763.51985600693217</v>
      </c>
      <c r="AN153" s="62">
        <f ca="1">AVERAGE(OFFSET($AM$3,0,0,'Données projet'!$E$10+1,1))-AVERAGE(OFFSET($H$3,0,0,'Données projet'!$E$10+1,1))</f>
        <v>219.96569743439244</v>
      </c>
      <c r="AO153" s="62">
        <f t="shared" si="144"/>
        <v>219.27079214454579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0.72212711773792193</v>
      </c>
      <c r="AW153" s="23">
        <f>EXP(-LN(2)/2)*AW152+(1-EXP(-LN(2)/2))/(LN(2)/2)*AQ153*AT153*VLOOKUP('Données projet'!$B$10,Paramètres!$A$1:$I$89,3,0)*0.475*44/12</f>
        <v>6.3589642140171785E-19</v>
      </c>
      <c r="AX153" s="23">
        <f t="shared" si="114"/>
        <v>0.72212711773792193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3.3992364478763198E-14</v>
      </c>
      <c r="BF153" s="14">
        <f t="shared" si="145"/>
        <v>5.790027782444094E-13</v>
      </c>
      <c r="BG153" s="22">
        <f t="shared" si="115"/>
        <v>1.0676332069095257E-12</v>
      </c>
      <c r="BH153" s="62">
        <f t="shared" si="116"/>
        <v>293.33333333333439</v>
      </c>
      <c r="BI153" s="62">
        <f ca="1">AVERAGE(OFFSET($BH$3,0,0,'Données projet'!$E$11+1,1))-AVERAGE(OFFSET($H$3,0,0,'Données projet'!$E$11+1,1))</f>
        <v>150.99976380209381</v>
      </c>
      <c r="BJ153" s="62">
        <f t="shared" si="146"/>
        <v>306.39227726293234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9.1762334034837849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2.3070516329882899E-16</v>
      </c>
      <c r="BS153" s="24">
        <f t="shared" si="117"/>
        <v>9.1762334034837849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266.99999999999983</v>
      </c>
      <c r="AJ154" s="14">
        <f>AI154*VLOOKUP('Données projet'!$B$10,Paramètres!$A$1:$I$89,3,0)*VLOOKUP('Données projet'!$B$10,Paramètres!$A$1:$I$89,5,0)</f>
        <v>216.59039999999987</v>
      </c>
      <c r="AK154" s="14">
        <f t="shared" ref="AK154:AK203" si="164">EXP(-1.0587+0.8836*LN(AJ154)+0.284)</f>
        <v>53.373153688190904</v>
      </c>
      <c r="AL154" s="22">
        <f t="shared" ref="AL154:AL203" si="165">(AJ154+AK154)*0.475*44/12</f>
        <v>470.18652267359886</v>
      </c>
      <c r="AM154" s="62">
        <f t="shared" si="113"/>
        <v>763.51985600693217</v>
      </c>
      <c r="AN154" s="62">
        <f ca="1">AVERAGE(OFFSET($AM$3,0,0,'Données projet'!$E$10+1,1))-AVERAGE(OFFSET($H$3,0,0,'Données projet'!$E$10+1,1))</f>
        <v>219.96569743439244</v>
      </c>
      <c r="AO154" s="62">
        <f t="shared" si="144"/>
        <v>219.27079214454579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0.70238051372836374</v>
      </c>
      <c r="AW154" s="23">
        <f>EXP(-LN(2)/2)*AW153+(1-EXP(-LN(2)/2))/(LN(2)/2)*AQ154*AT154*VLOOKUP('Données projet'!$B$10,Paramètres!$A$1:$I$89,3,0)*0.475*44/12</f>
        <v>4.4964667170541312E-19</v>
      </c>
      <c r="AX154" s="23">
        <f t="shared" ref="AX154:AX203" si="166">SUM(AU154:AW154)</f>
        <v>0.70238051372836374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3.3992364478763198E-14</v>
      </c>
      <c r="BF154" s="14">
        <f t="shared" ref="BF154:BF203" si="167">EXP(-1.0587+0.8836*LN(BE154)+0.284)</f>
        <v>5.790027782444094E-13</v>
      </c>
      <c r="BG154" s="22">
        <f t="shared" ref="BG154:BG203" si="168">(BE154+BF154)*0.475*44/12</f>
        <v>1.0676332069095257E-12</v>
      </c>
      <c r="BH154" s="62">
        <f t="shared" si="116"/>
        <v>293.33333333333439</v>
      </c>
      <c r="BI154" s="62">
        <f ca="1">AVERAGE(OFFSET($BH$3,0,0,'Données projet'!$E$11+1,1))-AVERAGE(OFFSET($H$3,0,0,'Données projet'!$E$11+1,1))</f>
        <v>150.99976380209381</v>
      </c>
      <c r="BJ154" s="62">
        <f t="shared" si="146"/>
        <v>306.39227726293234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8.9962930633911906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1.6313318542335179E-16</v>
      </c>
      <c r="BS154" s="24">
        <f t="shared" ref="BS154:BS203" si="169">SUM(BP154:BR154)</f>
        <v>8.9962930633911906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266.99999999999983</v>
      </c>
      <c r="AJ155" s="14">
        <f>AI155*VLOOKUP('Données projet'!$B$10,Paramètres!$A$1:$I$89,3,0)*VLOOKUP('Données projet'!$B$10,Paramètres!$A$1:$I$89,5,0)</f>
        <v>216.59039999999987</v>
      </c>
      <c r="AK155" s="14">
        <f t="shared" si="164"/>
        <v>53.373153688190904</v>
      </c>
      <c r="AL155" s="22">
        <f t="shared" si="165"/>
        <v>470.18652267359886</v>
      </c>
      <c r="AM155" s="62">
        <f t="shared" si="113"/>
        <v>763.51985600693217</v>
      </c>
      <c r="AN155" s="62">
        <f ca="1">AVERAGE(OFFSET($AM$3,0,0,'Données projet'!$E$10+1,1))-AVERAGE(OFFSET($H$3,0,0,'Données projet'!$E$10+1,1))</f>
        <v>219.96569743439244</v>
      </c>
      <c r="AO155" s="62">
        <f t="shared" si="144"/>
        <v>219.27079214454579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0.68317388164387571</v>
      </c>
      <c r="AW155" s="23">
        <f>EXP(-LN(2)/2)*AW154+(1-EXP(-LN(2)/2))/(LN(2)/2)*AQ155*AT155*VLOOKUP('Données projet'!$B$10,Paramètres!$A$1:$I$89,3,0)*0.475*44/12</f>
        <v>3.1794821070085892E-19</v>
      </c>
      <c r="AX155" s="23">
        <f t="shared" si="166"/>
        <v>0.68317388164387571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3.3992364478763198E-14</v>
      </c>
      <c r="BF155" s="14">
        <f t="shared" si="167"/>
        <v>5.790027782444094E-13</v>
      </c>
      <c r="BG155" s="22">
        <f t="shared" si="168"/>
        <v>1.0676332069095257E-12</v>
      </c>
      <c r="BH155" s="62">
        <f t="shared" si="116"/>
        <v>293.33333333333439</v>
      </c>
      <c r="BI155" s="62">
        <f ca="1">AVERAGE(OFFSET($BH$3,0,0,'Données projet'!$E$11+1,1))-AVERAGE(OFFSET($H$3,0,0,'Données projet'!$E$11+1,1))</f>
        <v>150.99976380209381</v>
      </c>
      <c r="BJ155" s="62">
        <f t="shared" si="146"/>
        <v>306.39227726293234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8.8198812436150416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1.153525816494145E-16</v>
      </c>
      <c r="BS155" s="24">
        <f t="shared" si="169"/>
        <v>8.8198812436150416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266.99999999999983</v>
      </c>
      <c r="AJ156" s="14">
        <f>AI156*VLOOKUP('Données projet'!$B$10,Paramètres!$A$1:$I$89,3,0)*VLOOKUP('Données projet'!$B$10,Paramètres!$A$1:$I$89,5,0)</f>
        <v>216.59039999999987</v>
      </c>
      <c r="AK156" s="14">
        <f t="shared" si="164"/>
        <v>53.373153688190904</v>
      </c>
      <c r="AL156" s="22">
        <f t="shared" si="165"/>
        <v>470.18652267359886</v>
      </c>
      <c r="AM156" s="62">
        <f t="shared" si="113"/>
        <v>763.51985600693217</v>
      </c>
      <c r="AN156" s="62">
        <f ca="1">AVERAGE(OFFSET($AM$3,0,0,'Données projet'!$E$10+1,1))-AVERAGE(OFFSET($H$3,0,0,'Données projet'!$E$10+1,1))</f>
        <v>219.96569743439244</v>
      </c>
      <c r="AO156" s="62">
        <f t="shared" si="144"/>
        <v>219.27079214454579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0.66449245592377093</v>
      </c>
      <c r="AW156" s="23">
        <f>EXP(-LN(2)/2)*AW155+(1-EXP(-LN(2)/2))/(LN(2)/2)*AQ156*AT156*VLOOKUP('Données projet'!$B$10,Paramètres!$A$1:$I$89,3,0)*0.475*44/12</f>
        <v>2.2482333585270656E-19</v>
      </c>
      <c r="AX156" s="23">
        <f t="shared" si="166"/>
        <v>0.66449245592377093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3.3992364478763198E-14</v>
      </c>
      <c r="BF156" s="14">
        <f t="shared" si="167"/>
        <v>5.790027782444094E-13</v>
      </c>
      <c r="BG156" s="22">
        <f t="shared" si="168"/>
        <v>1.0676332069095257E-12</v>
      </c>
      <c r="BH156" s="62">
        <f t="shared" si="116"/>
        <v>293.33333333333439</v>
      </c>
      <c r="BI156" s="62">
        <f ca="1">AVERAGE(OFFSET($BH$3,0,0,'Données projet'!$E$11+1,1))-AVERAGE(OFFSET($H$3,0,0,'Données projet'!$E$11+1,1))</f>
        <v>150.99976380209381</v>
      </c>
      <c r="BJ156" s="62">
        <f t="shared" si="146"/>
        <v>306.39227726293234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8.6469287520241185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8.1566592711675894E-17</v>
      </c>
      <c r="BS156" s="24">
        <f t="shared" si="169"/>
        <v>8.6469287520241185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266.99999999999983</v>
      </c>
      <c r="AJ157" s="14">
        <f>AI157*VLOOKUP('Données projet'!$B$10,Paramètres!$A$1:$I$89,3,0)*VLOOKUP('Données projet'!$B$10,Paramètres!$A$1:$I$89,5,0)</f>
        <v>216.59039999999987</v>
      </c>
      <c r="AK157" s="14">
        <f t="shared" si="164"/>
        <v>53.373153688190904</v>
      </c>
      <c r="AL157" s="22">
        <f t="shared" si="165"/>
        <v>470.18652267359886</v>
      </c>
      <c r="AM157" s="62">
        <f t="shared" si="113"/>
        <v>763.51985600693217</v>
      </c>
      <c r="AN157" s="62">
        <f ca="1">AVERAGE(OFFSET($AM$3,0,0,'Données projet'!$E$10+1,1))-AVERAGE(OFFSET($H$3,0,0,'Données projet'!$E$10+1,1))</f>
        <v>219.96569743439244</v>
      </c>
      <c r="AO157" s="62">
        <f t="shared" si="144"/>
        <v>219.27079214454579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0.64632187477239589</v>
      </c>
      <c r="AW157" s="23">
        <f>EXP(-LN(2)/2)*AW156+(1-EXP(-LN(2)/2))/(LN(2)/2)*AQ157*AT157*VLOOKUP('Données projet'!$B$10,Paramètres!$A$1:$I$89,3,0)*0.475*44/12</f>
        <v>1.5897410535042946E-19</v>
      </c>
      <c r="AX157" s="23">
        <f t="shared" si="166"/>
        <v>0.64632187477239589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3.3992364478763198E-14</v>
      </c>
      <c r="BF157" s="14">
        <f t="shared" si="167"/>
        <v>5.790027782444094E-13</v>
      </c>
      <c r="BG157" s="22">
        <f t="shared" si="168"/>
        <v>1.0676332069095257E-12</v>
      </c>
      <c r="BH157" s="62">
        <f t="shared" si="116"/>
        <v>293.33333333333439</v>
      </c>
      <c r="BI157" s="62">
        <f ca="1">AVERAGE(OFFSET($BH$3,0,0,'Données projet'!$E$11+1,1))-AVERAGE(OFFSET($H$3,0,0,'Données projet'!$E$11+1,1))</f>
        <v>150.99976380209381</v>
      </c>
      <c r="BJ157" s="62">
        <f t="shared" si="146"/>
        <v>306.39227726293234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8.4773677533026888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5.7676290824707248E-17</v>
      </c>
      <c r="BS157" s="24">
        <f t="shared" si="169"/>
        <v>8.4773677533026888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266.99999999999983</v>
      </c>
      <c r="AJ158" s="14">
        <f>AI158*VLOOKUP('Données projet'!$B$10,Paramètres!$A$1:$I$89,3,0)*VLOOKUP('Données projet'!$B$10,Paramètres!$A$1:$I$89,5,0)</f>
        <v>216.59039999999987</v>
      </c>
      <c r="AK158" s="14">
        <f t="shared" si="164"/>
        <v>53.373153688190904</v>
      </c>
      <c r="AL158" s="22">
        <f t="shared" si="165"/>
        <v>470.18652267359886</v>
      </c>
      <c r="AM158" s="62">
        <f t="shared" si="113"/>
        <v>763.51985600693217</v>
      </c>
      <c r="AN158" s="62">
        <f ca="1">AVERAGE(OFFSET($AM$3,0,0,'Données projet'!$E$10+1,1))-AVERAGE(OFFSET($H$3,0,0,'Données projet'!$E$10+1,1))</f>
        <v>219.96569743439244</v>
      </c>
      <c r="AO158" s="62">
        <f t="shared" si="144"/>
        <v>219.27079214454579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0.62864816911815447</v>
      </c>
      <c r="AW158" s="23">
        <f>EXP(-LN(2)/2)*AW157+(1-EXP(-LN(2)/2))/(LN(2)/2)*AQ158*AT158*VLOOKUP('Données projet'!$B$10,Paramètres!$A$1:$I$89,3,0)*0.475*44/12</f>
        <v>1.1241166792635328E-19</v>
      </c>
      <c r="AX158" s="23">
        <f t="shared" si="166"/>
        <v>0.62864816911815447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3.3992364478763198E-14</v>
      </c>
      <c r="BF158" s="14">
        <f t="shared" si="167"/>
        <v>5.790027782444094E-13</v>
      </c>
      <c r="BG158" s="22">
        <f t="shared" si="168"/>
        <v>1.0676332069095257E-12</v>
      </c>
      <c r="BH158" s="62">
        <f t="shared" si="116"/>
        <v>293.33333333333439</v>
      </c>
      <c r="BI158" s="62">
        <f ca="1">AVERAGE(OFFSET($BH$3,0,0,'Données projet'!$E$11+1,1))-AVERAGE(OFFSET($H$3,0,0,'Données projet'!$E$11+1,1))</f>
        <v>150.99976380209381</v>
      </c>
      <c r="BJ158" s="62">
        <f t="shared" si="146"/>
        <v>306.39227726293234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8.3111317423441893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4.0783296355837947E-17</v>
      </c>
      <c r="BS158" s="24">
        <f t="shared" si="169"/>
        <v>8.3111317423441893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266.99999999999983</v>
      </c>
      <c r="AJ159" s="14">
        <f>AI159*VLOOKUP('Données projet'!$B$10,Paramètres!$A$1:$I$89,3,0)*VLOOKUP('Données projet'!$B$10,Paramètres!$A$1:$I$89,5,0)</f>
        <v>216.59039999999987</v>
      </c>
      <c r="AK159" s="14">
        <f t="shared" si="164"/>
        <v>53.373153688190904</v>
      </c>
      <c r="AL159" s="22">
        <f t="shared" si="165"/>
        <v>470.18652267359886</v>
      </c>
      <c r="AM159" s="62">
        <f t="shared" si="113"/>
        <v>763.51985600693217</v>
      </c>
      <c r="AN159" s="62">
        <f ca="1">AVERAGE(OFFSET($AM$3,0,0,'Données projet'!$E$10+1,1))-AVERAGE(OFFSET($H$3,0,0,'Données projet'!$E$10+1,1))</f>
        <v>219.96569743439244</v>
      </c>
      <c r="AO159" s="62">
        <f t="shared" si="144"/>
        <v>219.27079214454579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0.61145775187444806</v>
      </c>
      <c r="AW159" s="23">
        <f>EXP(-LN(2)/2)*AW158+(1-EXP(-LN(2)/2))/(LN(2)/2)*AQ159*AT159*VLOOKUP('Données projet'!$B$10,Paramètres!$A$1:$I$89,3,0)*0.475*44/12</f>
        <v>7.9487052675214731E-20</v>
      </c>
      <c r="AX159" s="23">
        <f t="shared" si="166"/>
        <v>0.61145775187444806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3.3992364478763198E-14</v>
      </c>
      <c r="BF159" s="14">
        <f t="shared" si="167"/>
        <v>5.790027782444094E-13</v>
      </c>
      <c r="BG159" s="22">
        <f t="shared" si="168"/>
        <v>1.0676332069095257E-12</v>
      </c>
      <c r="BH159" s="62">
        <f t="shared" si="116"/>
        <v>293.33333333333439</v>
      </c>
      <c r="BI159" s="62">
        <f ca="1">AVERAGE(OFFSET($BH$3,0,0,'Données projet'!$E$11+1,1))-AVERAGE(OFFSET($H$3,0,0,'Données projet'!$E$11+1,1))</f>
        <v>150.99976380209381</v>
      </c>
      <c r="BJ159" s="62">
        <f t="shared" si="146"/>
        <v>306.39227726293234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8.1481555181666323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2.8838145412353624E-17</v>
      </c>
      <c r="BS159" s="24">
        <f t="shared" si="169"/>
        <v>8.1481555181666323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266.99999999999983</v>
      </c>
      <c r="AJ160" s="14">
        <f>AI160*VLOOKUP('Données projet'!$B$10,Paramètres!$A$1:$I$89,3,0)*VLOOKUP('Données projet'!$B$10,Paramètres!$A$1:$I$89,5,0)</f>
        <v>216.59039999999987</v>
      </c>
      <c r="AK160" s="14">
        <f t="shared" si="164"/>
        <v>53.373153688190904</v>
      </c>
      <c r="AL160" s="22">
        <f t="shared" si="165"/>
        <v>470.18652267359886</v>
      </c>
      <c r="AM160" s="62">
        <f t="shared" si="113"/>
        <v>763.51985600693217</v>
      </c>
      <c r="AN160" s="62">
        <f ca="1">AVERAGE(OFFSET($AM$3,0,0,'Données projet'!$E$10+1,1))-AVERAGE(OFFSET($H$3,0,0,'Données projet'!$E$10+1,1))</f>
        <v>219.96569743439244</v>
      </c>
      <c r="AO160" s="62">
        <f t="shared" si="144"/>
        <v>219.27079214454579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0.59473740749427562</v>
      </c>
      <c r="AW160" s="23">
        <f>EXP(-LN(2)/2)*AW159+(1-EXP(-LN(2)/2))/(LN(2)/2)*AQ160*AT160*VLOOKUP('Données projet'!$B$10,Paramètres!$A$1:$I$89,3,0)*0.475*44/12</f>
        <v>5.620583396317664E-20</v>
      </c>
      <c r="AX160" s="23">
        <f t="shared" si="166"/>
        <v>0.59473740749427562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3.3992364478763198E-14</v>
      </c>
      <c r="BF160" s="14">
        <f t="shared" si="167"/>
        <v>5.790027782444094E-13</v>
      </c>
      <c r="BG160" s="22">
        <f t="shared" si="168"/>
        <v>1.0676332069095257E-12</v>
      </c>
      <c r="BH160" s="62">
        <f t="shared" si="116"/>
        <v>293.33333333333439</v>
      </c>
      <c r="BI160" s="62">
        <f ca="1">AVERAGE(OFFSET($BH$3,0,0,'Données projet'!$E$11+1,1))-AVERAGE(OFFSET($H$3,0,0,'Données projet'!$E$11+1,1))</f>
        <v>150.99976380209381</v>
      </c>
      <c r="BJ160" s="62">
        <f t="shared" si="146"/>
        <v>306.39227726293234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7.9883751583395153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2.0391648177918974E-17</v>
      </c>
      <c r="BS160" s="24">
        <f t="shared" si="169"/>
        <v>7.9883751583395153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266.99999999999983</v>
      </c>
      <c r="AJ161" s="14">
        <f>AI161*VLOOKUP('Données projet'!$B$10,Paramètres!$A$1:$I$89,3,0)*VLOOKUP('Données projet'!$B$10,Paramètres!$A$1:$I$89,5,0)</f>
        <v>216.59039999999987</v>
      </c>
      <c r="AK161" s="14">
        <f t="shared" si="164"/>
        <v>53.373153688190904</v>
      </c>
      <c r="AL161" s="22">
        <f t="shared" si="165"/>
        <v>470.18652267359886</v>
      </c>
      <c r="AM161" s="62">
        <f t="shared" si="113"/>
        <v>763.51985600693217</v>
      </c>
      <c r="AN161" s="62">
        <f ca="1">AVERAGE(OFFSET($AM$3,0,0,'Données projet'!$E$10+1,1))-AVERAGE(OFFSET($H$3,0,0,'Données projet'!$E$10+1,1))</f>
        <v>219.96569743439244</v>
      </c>
      <c r="AO161" s="62">
        <f t="shared" si="144"/>
        <v>219.27079214454579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0.57847428181046368</v>
      </c>
      <c r="AW161" s="23">
        <f>EXP(-LN(2)/2)*AW160+(1-EXP(-LN(2)/2))/(LN(2)/2)*AQ161*AT161*VLOOKUP('Données projet'!$B$10,Paramètres!$A$1:$I$89,3,0)*0.475*44/12</f>
        <v>3.9743526337607365E-20</v>
      </c>
      <c r="AX161" s="23">
        <f t="shared" si="166"/>
        <v>0.57847428181046368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3.3992364478763198E-14</v>
      </c>
      <c r="BF161" s="14">
        <f t="shared" si="167"/>
        <v>5.790027782444094E-13</v>
      </c>
      <c r="BG161" s="22">
        <f t="shared" si="168"/>
        <v>1.0676332069095257E-12</v>
      </c>
      <c r="BH161" s="62">
        <f t="shared" si="116"/>
        <v>293.33333333333439</v>
      </c>
      <c r="BI161" s="62">
        <f ca="1">AVERAGE(OFFSET($BH$3,0,0,'Données projet'!$E$11+1,1))-AVERAGE(OFFSET($H$3,0,0,'Données projet'!$E$11+1,1))</f>
        <v>150.99976380209381</v>
      </c>
      <c r="BJ161" s="62">
        <f t="shared" si="146"/>
        <v>306.39227726293234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7.831727993912212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1.4419072706176812E-17</v>
      </c>
      <c r="BS161" s="24">
        <f t="shared" si="169"/>
        <v>7.831727993912212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266.99999999999983</v>
      </c>
      <c r="AJ162" s="14">
        <f>AI162*VLOOKUP('Données projet'!$B$10,Paramètres!$A$1:$I$89,3,0)*VLOOKUP('Données projet'!$B$10,Paramètres!$A$1:$I$89,5,0)</f>
        <v>216.59039999999987</v>
      </c>
      <c r="AK162" s="14">
        <f t="shared" si="164"/>
        <v>53.373153688190904</v>
      </c>
      <c r="AL162" s="22">
        <f t="shared" si="165"/>
        <v>470.18652267359886</v>
      </c>
      <c r="AM162" s="62">
        <f t="shared" si="113"/>
        <v>763.51985600693217</v>
      </c>
      <c r="AN162" s="62">
        <f ca="1">AVERAGE(OFFSET($AM$3,0,0,'Données projet'!$E$10+1,1))-AVERAGE(OFFSET($H$3,0,0,'Données projet'!$E$10+1,1))</f>
        <v>219.96569743439244</v>
      </c>
      <c r="AO162" s="62">
        <f t="shared" si="144"/>
        <v>219.27079214454579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0.56265587215371615</v>
      </c>
      <c r="AW162" s="23">
        <f>EXP(-LN(2)/2)*AW161+(1-EXP(-LN(2)/2))/(LN(2)/2)*AQ162*AT162*VLOOKUP('Données projet'!$B$10,Paramètres!$A$1:$I$89,3,0)*0.475*44/12</f>
        <v>2.810291698158832E-20</v>
      </c>
      <c r="AX162" s="23">
        <f t="shared" si="166"/>
        <v>0.56265587215371615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3.3992364478763198E-14</v>
      </c>
      <c r="BF162" s="14">
        <f t="shared" si="167"/>
        <v>5.790027782444094E-13</v>
      </c>
      <c r="BG162" s="22">
        <f t="shared" si="168"/>
        <v>1.0676332069095257E-12</v>
      </c>
      <c r="BH162" s="62">
        <f t="shared" si="116"/>
        <v>293.33333333333439</v>
      </c>
      <c r="BI162" s="62">
        <f ca="1">AVERAGE(OFFSET($BH$3,0,0,'Données projet'!$E$11+1,1))-AVERAGE(OFFSET($H$3,0,0,'Données projet'!$E$11+1,1))</f>
        <v>150.99976380209381</v>
      </c>
      <c r="BJ162" s="62">
        <f t="shared" si="146"/>
        <v>306.39227726293234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7.6781525848339918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1.0195824088959487E-17</v>
      </c>
      <c r="BS162" s="24">
        <f t="shared" si="169"/>
        <v>7.6781525848339918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266.99999999999983</v>
      </c>
      <c r="AJ163" s="14">
        <f>AI163*VLOOKUP('Données projet'!$B$10,Paramètres!$A$1:$I$89,3,0)*VLOOKUP('Données projet'!$B$10,Paramètres!$A$1:$I$89,5,0)</f>
        <v>216.59039999999987</v>
      </c>
      <c r="AK163" s="14">
        <f t="shared" si="164"/>
        <v>53.373153688190904</v>
      </c>
      <c r="AL163" s="22">
        <f t="shared" si="165"/>
        <v>470.18652267359886</v>
      </c>
      <c r="AM163" s="62">
        <f t="shared" si="113"/>
        <v>763.51985600693217</v>
      </c>
      <c r="AN163" s="62">
        <f ca="1">AVERAGE(OFFSET($AM$3,0,0,'Données projet'!$E$10+1,1))-AVERAGE(OFFSET($H$3,0,0,'Données projet'!$E$10+1,1))</f>
        <v>219.96569743439244</v>
      </c>
      <c r="AO163" s="62">
        <f t="shared" si="144"/>
        <v>219.27079214454579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0.54727001774088646</v>
      </c>
      <c r="AW163" s="23">
        <f>EXP(-LN(2)/2)*AW162+(1-EXP(-LN(2)/2))/(LN(2)/2)*AQ163*AT163*VLOOKUP('Données projet'!$B$10,Paramètres!$A$1:$I$89,3,0)*0.475*44/12</f>
        <v>1.9871763168803683E-20</v>
      </c>
      <c r="AX163" s="23">
        <f t="shared" si="166"/>
        <v>0.54727001774088646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3.3992364478763198E-14</v>
      </c>
      <c r="BF163" s="14">
        <f t="shared" si="167"/>
        <v>5.790027782444094E-13</v>
      </c>
      <c r="BG163" s="22">
        <f t="shared" si="168"/>
        <v>1.0676332069095257E-12</v>
      </c>
      <c r="BH163" s="62">
        <f t="shared" si="116"/>
        <v>293.33333333333439</v>
      </c>
      <c r="BI163" s="62">
        <f ca="1">AVERAGE(OFFSET($BH$3,0,0,'Données projet'!$E$11+1,1))-AVERAGE(OFFSET($H$3,0,0,'Données projet'!$E$11+1,1))</f>
        <v>150.99976380209381</v>
      </c>
      <c r="BJ163" s="62">
        <f t="shared" si="146"/>
        <v>306.39227726293234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7.5275886958560454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7.2095363530884059E-18</v>
      </c>
      <c r="BS163" s="24">
        <f t="shared" si="169"/>
        <v>7.5275886958560454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266.99999999999983</v>
      </c>
      <c r="AJ164" s="14">
        <f>AI164*VLOOKUP('Données projet'!$B$10,Paramètres!$A$1:$I$89,3,0)*VLOOKUP('Données projet'!$B$10,Paramètres!$A$1:$I$89,5,0)</f>
        <v>216.59039999999987</v>
      </c>
      <c r="AK164" s="14">
        <f t="shared" si="164"/>
        <v>53.373153688190904</v>
      </c>
      <c r="AL164" s="22">
        <f t="shared" si="165"/>
        <v>470.18652267359886</v>
      </c>
      <c r="AM164" s="62">
        <f t="shared" si="113"/>
        <v>763.51985600693217</v>
      </c>
      <c r="AN164" s="62">
        <f ca="1">AVERAGE(OFFSET($AM$3,0,0,'Données projet'!$E$10+1,1))-AVERAGE(OFFSET($H$3,0,0,'Données projet'!$E$10+1,1))</f>
        <v>219.96569743439244</v>
      </c>
      <c r="AO164" s="62">
        <f t="shared" si="144"/>
        <v>219.27079214454579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0.53230489032608252</v>
      </c>
      <c r="AW164" s="23">
        <f>EXP(-LN(2)/2)*AW163+(1-EXP(-LN(2)/2))/(LN(2)/2)*AQ164*AT164*VLOOKUP('Données projet'!$B$10,Paramètres!$A$1:$I$89,3,0)*0.475*44/12</f>
        <v>1.405145849079416E-20</v>
      </c>
      <c r="AX164" s="23">
        <f t="shared" si="166"/>
        <v>0.53230489032608252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3.3992364478763198E-14</v>
      </c>
      <c r="BF164" s="14">
        <f t="shared" si="167"/>
        <v>5.790027782444094E-13</v>
      </c>
      <c r="BG164" s="22">
        <f t="shared" si="168"/>
        <v>1.0676332069095257E-12</v>
      </c>
      <c r="BH164" s="62">
        <f t="shared" si="116"/>
        <v>293.33333333333439</v>
      </c>
      <c r="BI164" s="62">
        <f ca="1">AVERAGE(OFFSET($BH$3,0,0,'Données projet'!$E$11+1,1))-AVERAGE(OFFSET($H$3,0,0,'Données projet'!$E$11+1,1))</f>
        <v>150.99976380209381</v>
      </c>
      <c r="BJ164" s="62">
        <f t="shared" si="146"/>
        <v>306.39227726293234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7.3799772729060518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5.0979120444797434E-18</v>
      </c>
      <c r="BS164" s="24">
        <f t="shared" si="169"/>
        <v>7.3799772729060518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266.99999999999983</v>
      </c>
      <c r="AJ165" s="14">
        <f>AI165*VLOOKUP('Données projet'!$B$10,Paramètres!$A$1:$I$89,3,0)*VLOOKUP('Données projet'!$B$10,Paramètres!$A$1:$I$89,5,0)</f>
        <v>216.59039999999987</v>
      </c>
      <c r="AK165" s="14">
        <f t="shared" si="164"/>
        <v>53.373153688190904</v>
      </c>
      <c r="AL165" s="22">
        <f t="shared" si="165"/>
        <v>470.18652267359886</v>
      </c>
      <c r="AM165" s="62">
        <f t="shared" si="113"/>
        <v>763.51985600693217</v>
      </c>
      <c r="AN165" s="62">
        <f ca="1">AVERAGE(OFFSET($AM$3,0,0,'Données projet'!$E$10+1,1))-AVERAGE(OFFSET($H$3,0,0,'Données projet'!$E$10+1,1))</f>
        <v>219.96569743439244</v>
      </c>
      <c r="AO165" s="62">
        <f t="shared" si="144"/>
        <v>219.27079214454579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0.51774898510741818</v>
      </c>
      <c r="AW165" s="23">
        <f>EXP(-LN(2)/2)*AW164+(1-EXP(-LN(2)/2))/(LN(2)/2)*AQ165*AT165*VLOOKUP('Données projet'!$B$10,Paramètres!$A$1:$I$89,3,0)*0.475*44/12</f>
        <v>9.9358815844018413E-21</v>
      </c>
      <c r="AX165" s="23">
        <f t="shared" si="166"/>
        <v>0.51774898510741818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3.3992364478763198E-14</v>
      </c>
      <c r="BF165" s="14">
        <f t="shared" si="167"/>
        <v>5.790027782444094E-13</v>
      </c>
      <c r="BG165" s="22">
        <f t="shared" si="168"/>
        <v>1.0676332069095257E-12</v>
      </c>
      <c r="BH165" s="62">
        <f t="shared" si="116"/>
        <v>293.33333333333439</v>
      </c>
      <c r="BI165" s="62">
        <f ca="1">AVERAGE(OFFSET($BH$3,0,0,'Données projet'!$E$11+1,1))-AVERAGE(OFFSET($H$3,0,0,'Données projet'!$E$11+1,1))</f>
        <v>150.99976380209381</v>
      </c>
      <c r="BJ165" s="62">
        <f t="shared" si="146"/>
        <v>306.39227726293234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7.2352604199260302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3.604768176544203E-18</v>
      </c>
      <c r="BS165" s="24">
        <f t="shared" si="169"/>
        <v>7.2352604199260302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266.99999999999983</v>
      </c>
      <c r="AJ166" s="14">
        <f>AI166*VLOOKUP('Données projet'!$B$10,Paramètres!$A$1:$I$89,3,0)*VLOOKUP('Données projet'!$B$10,Paramètres!$A$1:$I$89,5,0)</f>
        <v>216.59039999999987</v>
      </c>
      <c r="AK166" s="14">
        <f t="shared" si="164"/>
        <v>53.373153688190904</v>
      </c>
      <c r="AL166" s="22">
        <f t="shared" si="165"/>
        <v>470.18652267359886</v>
      </c>
      <c r="AM166" s="62">
        <f t="shared" si="113"/>
        <v>763.51985600693217</v>
      </c>
      <c r="AN166" s="62">
        <f ca="1">AVERAGE(OFFSET($AM$3,0,0,'Données projet'!$E$10+1,1))-AVERAGE(OFFSET($H$3,0,0,'Données projet'!$E$10+1,1))</f>
        <v>219.96569743439244</v>
      </c>
      <c r="AO166" s="62">
        <f t="shared" si="144"/>
        <v>219.27079214454579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0.50359111188242001</v>
      </c>
      <c r="AW166" s="23">
        <f>EXP(-LN(2)/2)*AW165+(1-EXP(-LN(2)/2))/(LN(2)/2)*AQ166*AT166*VLOOKUP('Données projet'!$B$10,Paramètres!$A$1:$I$89,3,0)*0.475*44/12</f>
        <v>7.02572924539708E-21</v>
      </c>
      <c r="AX166" s="23">
        <f t="shared" si="166"/>
        <v>0.50359111188242001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3.3992364478763198E-14</v>
      </c>
      <c r="BF166" s="14">
        <f t="shared" si="167"/>
        <v>5.790027782444094E-13</v>
      </c>
      <c r="BG166" s="22">
        <f t="shared" si="168"/>
        <v>1.0676332069095257E-12</v>
      </c>
      <c r="BH166" s="62">
        <f t="shared" si="116"/>
        <v>293.33333333333439</v>
      </c>
      <c r="BI166" s="62">
        <f ca="1">AVERAGE(OFFSET($BH$3,0,0,'Données projet'!$E$11+1,1))-AVERAGE(OFFSET($H$3,0,0,'Données projet'!$E$11+1,1))</f>
        <v>150.99976380209381</v>
      </c>
      <c r="BJ166" s="62">
        <f t="shared" si="146"/>
        <v>306.39227726293234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7.0933813761643822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2.5489560222398717E-18</v>
      </c>
      <c r="BS166" s="24">
        <f t="shared" si="169"/>
        <v>7.0933813761643822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266.99999999999983</v>
      </c>
      <c r="AJ167" s="14">
        <f>AI167*VLOOKUP('Données projet'!$B$10,Paramètres!$A$1:$I$89,3,0)*VLOOKUP('Données projet'!$B$10,Paramètres!$A$1:$I$89,5,0)</f>
        <v>216.59039999999987</v>
      </c>
      <c r="AK167" s="14">
        <f t="shared" si="164"/>
        <v>53.373153688190904</v>
      </c>
      <c r="AL167" s="22">
        <f t="shared" si="165"/>
        <v>470.18652267359886</v>
      </c>
      <c r="AM167" s="62">
        <f t="shared" si="113"/>
        <v>763.51985600693217</v>
      </c>
      <c r="AN167" s="62">
        <f ca="1">AVERAGE(OFFSET($AM$3,0,0,'Données projet'!$E$10+1,1))-AVERAGE(OFFSET($H$3,0,0,'Données projet'!$E$10+1,1))</f>
        <v>219.96569743439244</v>
      </c>
      <c r="AO167" s="62">
        <f t="shared" si="144"/>
        <v>219.27079214454579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0.48982038644528964</v>
      </c>
      <c r="AW167" s="23">
        <f>EXP(-LN(2)/2)*AW166+(1-EXP(-LN(2)/2))/(LN(2)/2)*AQ167*AT167*VLOOKUP('Données projet'!$B$10,Paramètres!$A$1:$I$89,3,0)*0.475*44/12</f>
        <v>4.9679407922009207E-21</v>
      </c>
      <c r="AX167" s="23">
        <f t="shared" si="166"/>
        <v>0.48982038644528964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3.3992364478763198E-14</v>
      </c>
      <c r="BF167" s="14">
        <f t="shared" si="167"/>
        <v>5.790027782444094E-13</v>
      </c>
      <c r="BG167" s="22">
        <f t="shared" si="168"/>
        <v>1.0676332069095257E-12</v>
      </c>
      <c r="BH167" s="62">
        <f t="shared" si="116"/>
        <v>293.33333333333439</v>
      </c>
      <c r="BI167" s="62">
        <f ca="1">AVERAGE(OFFSET($BH$3,0,0,'Données projet'!$E$11+1,1))-AVERAGE(OFFSET($H$3,0,0,'Données projet'!$E$11+1,1))</f>
        <v>150.99976380209381</v>
      </c>
      <c r="BJ167" s="62">
        <f t="shared" si="146"/>
        <v>306.39227726293234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6.954284493913228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1.8023840882721015E-18</v>
      </c>
      <c r="BS167" s="24">
        <f t="shared" si="169"/>
        <v>6.954284493913228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266.99999999999983</v>
      </c>
      <c r="AJ168" s="14">
        <f>AI168*VLOOKUP('Données projet'!$B$10,Paramètres!$A$1:$I$89,3,0)*VLOOKUP('Données projet'!$B$10,Paramètres!$A$1:$I$89,5,0)</f>
        <v>216.59039999999987</v>
      </c>
      <c r="AK168" s="14">
        <f t="shared" si="164"/>
        <v>53.373153688190904</v>
      </c>
      <c r="AL168" s="22">
        <f t="shared" si="165"/>
        <v>470.18652267359886</v>
      </c>
      <c r="AM168" s="62">
        <f t="shared" si="113"/>
        <v>763.51985600693217</v>
      </c>
      <c r="AN168" s="62">
        <f ca="1">AVERAGE(OFFSET($AM$3,0,0,'Données projet'!$E$10+1,1))-AVERAGE(OFFSET($H$3,0,0,'Données projet'!$E$10+1,1))</f>
        <v>219.96569743439244</v>
      </c>
      <c r="AO168" s="62">
        <f t="shared" si="144"/>
        <v>219.27079214454579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0.47642622221940856</v>
      </c>
      <c r="AW168" s="23">
        <f>EXP(-LN(2)/2)*AW167+(1-EXP(-LN(2)/2))/(LN(2)/2)*AQ168*AT168*VLOOKUP('Données projet'!$B$10,Paramètres!$A$1:$I$89,3,0)*0.475*44/12</f>
        <v>3.51286462269854E-21</v>
      </c>
      <c r="AX168" s="23">
        <f t="shared" si="166"/>
        <v>0.47642622221940856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3.3992364478763198E-14</v>
      </c>
      <c r="BF168" s="14">
        <f t="shared" si="167"/>
        <v>5.790027782444094E-13</v>
      </c>
      <c r="BG168" s="22">
        <f t="shared" si="168"/>
        <v>1.0676332069095257E-12</v>
      </c>
      <c r="BH168" s="62">
        <f t="shared" si="116"/>
        <v>293.33333333333439</v>
      </c>
      <c r="BI168" s="62">
        <f ca="1">AVERAGE(OFFSET($BH$3,0,0,'Données projet'!$E$11+1,1))-AVERAGE(OFFSET($H$3,0,0,'Données projet'!$E$11+1,1))</f>
        <v>150.99976380209381</v>
      </c>
      <c r="BJ168" s="62">
        <f t="shared" si="146"/>
        <v>306.39227726293234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6.8179152166822981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1.2744780111199358E-18</v>
      </c>
      <c r="BS168" s="24">
        <f t="shared" si="169"/>
        <v>6.8179152166822981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266.99999999999983</v>
      </c>
      <c r="AJ169" s="14">
        <f>AI169*VLOOKUP('Données projet'!$B$10,Paramètres!$A$1:$I$89,3,0)*VLOOKUP('Données projet'!$B$10,Paramètres!$A$1:$I$89,5,0)</f>
        <v>216.59039999999987</v>
      </c>
      <c r="AK169" s="14">
        <f t="shared" si="164"/>
        <v>53.373153688190904</v>
      </c>
      <c r="AL169" s="22">
        <f t="shared" si="165"/>
        <v>470.18652267359886</v>
      </c>
      <c r="AM169" s="62">
        <f t="shared" si="113"/>
        <v>763.51985600693217</v>
      </c>
      <c r="AN169" s="62">
        <f ca="1">AVERAGE(OFFSET($AM$3,0,0,'Données projet'!$E$10+1,1))-AVERAGE(OFFSET($H$3,0,0,'Données projet'!$E$10+1,1))</f>
        <v>219.96569743439244</v>
      </c>
      <c r="AO169" s="62">
        <f t="shared" si="144"/>
        <v>219.27079214454579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0.46339832211865267</v>
      </c>
      <c r="AW169" s="23">
        <f>EXP(-LN(2)/2)*AW168+(1-EXP(-LN(2)/2))/(LN(2)/2)*AQ169*AT169*VLOOKUP('Données projet'!$B$10,Paramètres!$A$1:$I$89,3,0)*0.475*44/12</f>
        <v>2.4839703961004603E-21</v>
      </c>
      <c r="AX169" s="23">
        <f t="shared" si="166"/>
        <v>0.46339832211865267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3.3992364478763198E-14</v>
      </c>
      <c r="BF169" s="14">
        <f t="shared" si="167"/>
        <v>5.790027782444094E-13</v>
      </c>
      <c r="BG169" s="22">
        <f t="shared" si="168"/>
        <v>1.0676332069095257E-12</v>
      </c>
      <c r="BH169" s="62">
        <f t="shared" si="116"/>
        <v>293.33333333333439</v>
      </c>
      <c r="BI169" s="62">
        <f ca="1">AVERAGE(OFFSET($BH$3,0,0,'Données projet'!$E$11+1,1))-AVERAGE(OFFSET($H$3,0,0,'Données projet'!$E$11+1,1))</f>
        <v>150.99976380209381</v>
      </c>
      <c r="BJ169" s="62">
        <f t="shared" si="146"/>
        <v>306.39227726293234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6.6842200578008208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9.0119204413605074E-19</v>
      </c>
      <c r="BS169" s="24">
        <f t="shared" si="169"/>
        <v>6.6842200578008208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266.99999999999983</v>
      </c>
      <c r="AJ170" s="14">
        <f>AI170*VLOOKUP('Données projet'!$B$10,Paramètres!$A$1:$I$89,3,0)*VLOOKUP('Données projet'!$B$10,Paramètres!$A$1:$I$89,5,0)</f>
        <v>216.59039999999987</v>
      </c>
      <c r="AK170" s="14">
        <f t="shared" si="164"/>
        <v>53.373153688190904</v>
      </c>
      <c r="AL170" s="22">
        <f t="shared" si="165"/>
        <v>470.18652267359886</v>
      </c>
      <c r="AM170" s="62">
        <f t="shared" si="113"/>
        <v>763.51985600693217</v>
      </c>
      <c r="AN170" s="62">
        <f ca="1">AVERAGE(OFFSET($AM$3,0,0,'Données projet'!$E$10+1,1))-AVERAGE(OFFSET($H$3,0,0,'Données projet'!$E$10+1,1))</f>
        <v>219.96569743439244</v>
      </c>
      <c r="AO170" s="62">
        <f t="shared" si="144"/>
        <v>219.27079214454579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0.45072667063125949</v>
      </c>
      <c r="AW170" s="23">
        <f>EXP(-LN(2)/2)*AW169+(1-EXP(-LN(2)/2))/(LN(2)/2)*AQ170*AT170*VLOOKUP('Données projet'!$B$10,Paramètres!$A$1:$I$89,3,0)*0.475*44/12</f>
        <v>1.75643231134927E-21</v>
      </c>
      <c r="AX170" s="23">
        <f t="shared" si="166"/>
        <v>0.45072667063125949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3.3992364478763198E-14</v>
      </c>
      <c r="BF170" s="14">
        <f t="shared" si="167"/>
        <v>5.790027782444094E-13</v>
      </c>
      <c r="BG170" s="22">
        <f t="shared" si="168"/>
        <v>1.0676332069095257E-12</v>
      </c>
      <c r="BH170" s="62">
        <f t="shared" si="116"/>
        <v>293.33333333333439</v>
      </c>
      <c r="BI170" s="62">
        <f ca="1">AVERAGE(OFFSET($BH$3,0,0,'Données projet'!$E$11+1,1))-AVERAGE(OFFSET($H$3,0,0,'Données projet'!$E$11+1,1))</f>
        <v>150.99976380209381</v>
      </c>
      <c r="BJ170" s="62">
        <f t="shared" si="146"/>
        <v>306.39227726293234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6.5531465794390149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6.3723900555996792E-19</v>
      </c>
      <c r="BS170" s="24">
        <f t="shared" si="169"/>
        <v>6.5531465794390149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266.99999999999983</v>
      </c>
      <c r="AJ171" s="14">
        <f>AI171*VLOOKUP('Données projet'!$B$10,Paramètres!$A$1:$I$89,3,0)*VLOOKUP('Données projet'!$B$10,Paramètres!$A$1:$I$89,5,0)</f>
        <v>216.59039999999987</v>
      </c>
      <c r="AK171" s="14">
        <f t="shared" si="164"/>
        <v>53.373153688190904</v>
      </c>
      <c r="AL171" s="22">
        <f t="shared" si="165"/>
        <v>470.18652267359886</v>
      </c>
      <c r="AM171" s="62">
        <f t="shared" si="113"/>
        <v>763.51985600693217</v>
      </c>
      <c r="AN171" s="62">
        <f ca="1">AVERAGE(OFFSET($AM$3,0,0,'Données projet'!$E$10+1,1))-AVERAGE(OFFSET($H$3,0,0,'Données projet'!$E$10+1,1))</f>
        <v>219.96569743439244</v>
      </c>
      <c r="AO171" s="62">
        <f t="shared" si="144"/>
        <v>219.27079214454579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0.43840152612016225</v>
      </c>
      <c r="AW171" s="23">
        <f>EXP(-LN(2)/2)*AW170+(1-EXP(-LN(2)/2))/(LN(2)/2)*AQ171*AT171*VLOOKUP('Données projet'!$B$10,Paramètres!$A$1:$I$89,3,0)*0.475*44/12</f>
        <v>1.2419851980502302E-21</v>
      </c>
      <c r="AX171" s="23">
        <f t="shared" si="166"/>
        <v>0.43840152612016225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3.3992364478763198E-14</v>
      </c>
      <c r="BF171" s="14">
        <f t="shared" si="167"/>
        <v>5.790027782444094E-13</v>
      </c>
      <c r="BG171" s="22">
        <f t="shared" si="168"/>
        <v>1.0676332069095257E-12</v>
      </c>
      <c r="BH171" s="62">
        <f t="shared" si="116"/>
        <v>293.33333333333439</v>
      </c>
      <c r="BI171" s="62">
        <f ca="1">AVERAGE(OFFSET($BH$3,0,0,'Données projet'!$E$11+1,1))-AVERAGE(OFFSET($H$3,0,0,'Données projet'!$E$11+1,1))</f>
        <v>150.99976380209381</v>
      </c>
      <c r="BJ171" s="62">
        <f t="shared" si="146"/>
        <v>306.39227726293234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6.4246433720409559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4.5059602206802537E-19</v>
      </c>
      <c r="BS171" s="24">
        <f t="shared" si="169"/>
        <v>6.4246433720409559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266.99999999999983</v>
      </c>
      <c r="AJ172" s="14">
        <f>AI172*VLOOKUP('Données projet'!$B$10,Paramètres!$A$1:$I$89,3,0)*VLOOKUP('Données projet'!$B$10,Paramètres!$A$1:$I$89,5,0)</f>
        <v>216.59039999999987</v>
      </c>
      <c r="AK172" s="14">
        <f t="shared" si="164"/>
        <v>53.373153688190904</v>
      </c>
      <c r="AL172" s="22">
        <f t="shared" si="165"/>
        <v>470.18652267359886</v>
      </c>
      <c r="AM172" s="62">
        <f t="shared" si="113"/>
        <v>763.51985600693217</v>
      </c>
      <c r="AN172" s="62">
        <f ca="1">AVERAGE(OFFSET($AM$3,0,0,'Données projet'!$E$10+1,1))-AVERAGE(OFFSET($H$3,0,0,'Données projet'!$E$10+1,1))</f>
        <v>219.96569743439244</v>
      </c>
      <c r="AO172" s="62">
        <f t="shared" si="144"/>
        <v>219.27079214454579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0.42641341333387212</v>
      </c>
      <c r="AW172" s="23">
        <f>EXP(-LN(2)/2)*AW171+(1-EXP(-LN(2)/2))/(LN(2)/2)*AQ172*AT172*VLOOKUP('Données projet'!$B$10,Paramètres!$A$1:$I$89,3,0)*0.475*44/12</f>
        <v>8.78216155674635E-22</v>
      </c>
      <c r="AX172" s="23">
        <f t="shared" si="166"/>
        <v>0.42641341333387212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3.3992364478763198E-14</v>
      </c>
      <c r="BF172" s="14">
        <f t="shared" si="167"/>
        <v>5.790027782444094E-13</v>
      </c>
      <c r="BG172" s="22">
        <f t="shared" si="168"/>
        <v>1.0676332069095257E-12</v>
      </c>
      <c r="BH172" s="62">
        <f t="shared" si="116"/>
        <v>293.33333333333439</v>
      </c>
      <c r="BI172" s="62">
        <f ca="1">AVERAGE(OFFSET($BH$3,0,0,'Données projet'!$E$11+1,1))-AVERAGE(OFFSET($H$3,0,0,'Données projet'!$E$11+1,1))</f>
        <v>150.99976380209381</v>
      </c>
      <c r="BJ172" s="62">
        <f t="shared" si="146"/>
        <v>306.39227726293234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6.2986600341607559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3.1861950277998396E-19</v>
      </c>
      <c r="BS172" s="24">
        <f t="shared" si="169"/>
        <v>6.2986600341607559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266.99999999999983</v>
      </c>
      <c r="AJ173" s="14">
        <f>AI173*VLOOKUP('Données projet'!$B$10,Paramètres!$A$1:$I$89,3,0)*VLOOKUP('Données projet'!$B$10,Paramètres!$A$1:$I$89,5,0)</f>
        <v>216.59039999999987</v>
      </c>
      <c r="AK173" s="14">
        <f t="shared" si="164"/>
        <v>53.373153688190904</v>
      </c>
      <c r="AL173" s="22">
        <f t="shared" si="165"/>
        <v>470.18652267359886</v>
      </c>
      <c r="AM173" s="62">
        <f t="shared" si="113"/>
        <v>763.51985600693217</v>
      </c>
      <c r="AN173" s="62">
        <f ca="1">AVERAGE(OFFSET($AM$3,0,0,'Données projet'!$E$10+1,1))-AVERAGE(OFFSET($H$3,0,0,'Données projet'!$E$10+1,1))</f>
        <v>219.96569743439244</v>
      </c>
      <c r="AO173" s="62">
        <f t="shared" si="144"/>
        <v>219.27079214454579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0.41475311612215054</v>
      </c>
      <c r="AW173" s="23">
        <f>EXP(-LN(2)/2)*AW172+(1-EXP(-LN(2)/2))/(LN(2)/2)*AQ173*AT173*VLOOKUP('Données projet'!$B$10,Paramètres!$A$1:$I$89,3,0)*0.475*44/12</f>
        <v>6.2099259902511508E-22</v>
      </c>
      <c r="AX173" s="23">
        <f t="shared" si="166"/>
        <v>0.41475311612215054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3.3992364478763198E-14</v>
      </c>
      <c r="BF173" s="14">
        <f t="shared" si="167"/>
        <v>5.790027782444094E-13</v>
      </c>
      <c r="BG173" s="22">
        <f t="shared" si="168"/>
        <v>1.0676332069095257E-12</v>
      </c>
      <c r="BH173" s="62">
        <f t="shared" si="116"/>
        <v>293.33333333333439</v>
      </c>
      <c r="BI173" s="62">
        <f ca="1">AVERAGE(OFFSET($BH$3,0,0,'Données projet'!$E$11+1,1))-AVERAGE(OFFSET($H$3,0,0,'Données projet'!$E$11+1,1))</f>
        <v>150.99976380209381</v>
      </c>
      <c r="BJ173" s="62">
        <f t="shared" si="146"/>
        <v>306.39227726293234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6.1751471526941382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2.2529801103401269E-19</v>
      </c>
      <c r="BS173" s="24">
        <f t="shared" si="169"/>
        <v>6.1751471526941382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266.99999999999983</v>
      </c>
      <c r="AJ174" s="14">
        <f>AI174*VLOOKUP('Données projet'!$B$10,Paramètres!$A$1:$I$89,3,0)*VLOOKUP('Données projet'!$B$10,Paramètres!$A$1:$I$89,5,0)</f>
        <v>216.59039999999987</v>
      </c>
      <c r="AK174" s="14">
        <f t="shared" si="164"/>
        <v>53.373153688190904</v>
      </c>
      <c r="AL174" s="22">
        <f t="shared" si="165"/>
        <v>470.18652267359886</v>
      </c>
      <c r="AM174" s="62">
        <f t="shared" si="113"/>
        <v>763.51985600693217</v>
      </c>
      <c r="AN174" s="62">
        <f ca="1">AVERAGE(OFFSET($AM$3,0,0,'Données projet'!$E$10+1,1))-AVERAGE(OFFSET($H$3,0,0,'Données projet'!$E$10+1,1))</f>
        <v>219.96569743439244</v>
      </c>
      <c r="AO174" s="62">
        <f t="shared" si="144"/>
        <v>219.27079214454579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0.40341167035087189</v>
      </c>
      <c r="AW174" s="23">
        <f>EXP(-LN(2)/2)*AW173+(1-EXP(-LN(2)/2))/(LN(2)/2)*AQ174*AT174*VLOOKUP('Données projet'!$B$10,Paramètres!$A$1:$I$89,3,0)*0.475*44/12</f>
        <v>4.391080778373175E-22</v>
      </c>
      <c r="AX174" s="23">
        <f t="shared" si="166"/>
        <v>0.40341167035087189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3.3992364478763198E-14</v>
      </c>
      <c r="BF174" s="14">
        <f t="shared" si="167"/>
        <v>5.790027782444094E-13</v>
      </c>
      <c r="BG174" s="22">
        <f t="shared" si="168"/>
        <v>1.0676332069095257E-12</v>
      </c>
      <c r="BH174" s="62">
        <f t="shared" si="116"/>
        <v>293.33333333333439</v>
      </c>
      <c r="BI174" s="62">
        <f ca="1">AVERAGE(OFFSET($BH$3,0,0,'Données projet'!$E$11+1,1))-AVERAGE(OFFSET($H$3,0,0,'Données projet'!$E$11+1,1))</f>
        <v>150.99976380209381</v>
      </c>
      <c r="BJ174" s="62">
        <f t="shared" si="146"/>
        <v>306.39227726293234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6.054056283497661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1.5930975138999198E-19</v>
      </c>
      <c r="BS174" s="24">
        <f t="shared" si="169"/>
        <v>6.054056283497661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266.99999999999983</v>
      </c>
      <c r="AJ175" s="14">
        <f>AI175*VLOOKUP('Données projet'!$B$10,Paramètres!$A$1:$I$89,3,0)*VLOOKUP('Données projet'!$B$10,Paramètres!$A$1:$I$89,5,0)</f>
        <v>216.59039999999987</v>
      </c>
      <c r="AK175" s="14">
        <f t="shared" si="164"/>
        <v>53.373153688190904</v>
      </c>
      <c r="AL175" s="22">
        <f t="shared" si="165"/>
        <v>470.18652267359886</v>
      </c>
      <c r="AM175" s="62">
        <f t="shared" si="113"/>
        <v>763.51985600693217</v>
      </c>
      <c r="AN175" s="62">
        <f ca="1">AVERAGE(OFFSET($AM$3,0,0,'Données projet'!$E$10+1,1))-AVERAGE(OFFSET($H$3,0,0,'Données projet'!$E$10+1,1))</f>
        <v>219.96569743439244</v>
      </c>
      <c r="AO175" s="62">
        <f t="shared" si="144"/>
        <v>219.27079214454579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0.39238035701062957</v>
      </c>
      <c r="AW175" s="23">
        <f>EXP(-LN(2)/2)*AW174+(1-EXP(-LN(2)/2))/(LN(2)/2)*AQ175*AT175*VLOOKUP('Données projet'!$B$10,Paramètres!$A$1:$I$89,3,0)*0.475*44/12</f>
        <v>3.1049629951255754E-22</v>
      </c>
      <c r="AX175" s="23">
        <f t="shared" si="166"/>
        <v>0.39238035701062957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3.3992364478763198E-14</v>
      </c>
      <c r="BF175" s="14">
        <f t="shared" si="167"/>
        <v>5.790027782444094E-13</v>
      </c>
      <c r="BG175" s="22">
        <f t="shared" si="168"/>
        <v>1.0676332069095257E-12</v>
      </c>
      <c r="BH175" s="62">
        <f t="shared" si="116"/>
        <v>293.33333333333439</v>
      </c>
      <c r="BI175" s="62">
        <f ca="1">AVERAGE(OFFSET($BH$3,0,0,'Données projet'!$E$11+1,1))-AVERAGE(OFFSET($H$3,0,0,'Données projet'!$E$11+1,1))</f>
        <v>150.99976380209381</v>
      </c>
      <c r="BJ175" s="62">
        <f t="shared" si="146"/>
        <v>306.39227726293234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5.9353399323879898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1.1264900551700634E-19</v>
      </c>
      <c r="BS175" s="24">
        <f t="shared" si="169"/>
        <v>5.9353399323879898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266.99999999999983</v>
      </c>
      <c r="AJ176" s="14">
        <f>AI176*VLOOKUP('Données projet'!$B$10,Paramètres!$A$1:$I$89,3,0)*VLOOKUP('Données projet'!$B$10,Paramètres!$A$1:$I$89,5,0)</f>
        <v>216.59039999999987</v>
      </c>
      <c r="AK176" s="14">
        <f t="shared" si="164"/>
        <v>53.373153688190904</v>
      </c>
      <c r="AL176" s="22">
        <f t="shared" si="165"/>
        <v>470.18652267359886</v>
      </c>
      <c r="AM176" s="62">
        <f t="shared" si="113"/>
        <v>763.51985600693217</v>
      </c>
      <c r="AN176" s="62">
        <f ca="1">AVERAGE(OFFSET($AM$3,0,0,'Données projet'!$E$10+1,1))-AVERAGE(OFFSET($H$3,0,0,'Données projet'!$E$10+1,1))</f>
        <v>219.96569743439244</v>
      </c>
      <c r="AO176" s="62">
        <f t="shared" si="144"/>
        <v>219.27079214454579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0.38165069551378772</v>
      </c>
      <c r="AW176" s="23">
        <f>EXP(-LN(2)/2)*AW175+(1-EXP(-LN(2)/2))/(LN(2)/2)*AQ176*AT176*VLOOKUP('Données projet'!$B$10,Paramètres!$A$1:$I$89,3,0)*0.475*44/12</f>
        <v>2.1955403891865875E-22</v>
      </c>
      <c r="AX176" s="23">
        <f t="shared" si="166"/>
        <v>0.38165069551378772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3.3992364478763198E-14</v>
      </c>
      <c r="BF176" s="14">
        <f t="shared" si="167"/>
        <v>5.790027782444094E-13</v>
      </c>
      <c r="BG176" s="22">
        <f t="shared" si="168"/>
        <v>1.0676332069095257E-12</v>
      </c>
      <c r="BH176" s="62">
        <f t="shared" si="116"/>
        <v>293.33333333333439</v>
      </c>
      <c r="BI176" s="62">
        <f ca="1">AVERAGE(OFFSET($BH$3,0,0,'Données projet'!$E$11+1,1))-AVERAGE(OFFSET($H$3,0,0,'Données projet'!$E$11+1,1))</f>
        <v>150.99976380209381</v>
      </c>
      <c r="BJ176" s="62">
        <f t="shared" si="146"/>
        <v>306.39227726293234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5.8189515365137554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7.965487569499599E-20</v>
      </c>
      <c r="BS176" s="24">
        <f t="shared" si="169"/>
        <v>5.8189515365137554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266.99999999999983</v>
      </c>
      <c r="AJ177" s="14">
        <f>AI177*VLOOKUP('Données projet'!$B$10,Paramètres!$A$1:$I$89,3,0)*VLOOKUP('Données projet'!$B$10,Paramètres!$A$1:$I$89,5,0)</f>
        <v>216.59039999999987</v>
      </c>
      <c r="AK177" s="14">
        <f t="shared" si="164"/>
        <v>53.373153688190904</v>
      </c>
      <c r="AL177" s="22">
        <f t="shared" si="165"/>
        <v>470.18652267359886</v>
      </c>
      <c r="AM177" s="62">
        <f t="shared" si="113"/>
        <v>763.51985600693217</v>
      </c>
      <c r="AN177" s="62">
        <f ca="1">AVERAGE(OFFSET($AM$3,0,0,'Données projet'!$E$10+1,1))-AVERAGE(OFFSET($H$3,0,0,'Données projet'!$E$10+1,1))</f>
        <v>219.96569743439244</v>
      </c>
      <c r="AO177" s="62">
        <f t="shared" si="144"/>
        <v>219.27079214454579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0.37121443717482538</v>
      </c>
      <c r="AW177" s="23">
        <f>EXP(-LN(2)/2)*AW176+(1-EXP(-LN(2)/2))/(LN(2)/2)*AQ177*AT177*VLOOKUP('Données projet'!$B$10,Paramètres!$A$1:$I$89,3,0)*0.475*44/12</f>
        <v>1.5524814975627877E-22</v>
      </c>
      <c r="AX177" s="23">
        <f t="shared" si="166"/>
        <v>0.37121443717482538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3.3992364478763198E-14</v>
      </c>
      <c r="BF177" s="14">
        <f t="shared" si="167"/>
        <v>5.790027782444094E-13</v>
      </c>
      <c r="BG177" s="22">
        <f t="shared" si="168"/>
        <v>1.0676332069095257E-12</v>
      </c>
      <c r="BH177" s="62">
        <f t="shared" si="116"/>
        <v>293.33333333333439</v>
      </c>
      <c r="BI177" s="62">
        <f ca="1">AVERAGE(OFFSET($BH$3,0,0,'Données projet'!$E$11+1,1))-AVERAGE(OFFSET($H$3,0,0,'Données projet'!$E$11+1,1))</f>
        <v>150.99976380209381</v>
      </c>
      <c r="BJ177" s="62">
        <f t="shared" si="146"/>
        <v>306.39227726293234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5.7048454460927029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5.6324502758503171E-20</v>
      </c>
      <c r="BS177" s="24">
        <f t="shared" si="169"/>
        <v>5.7048454460927029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266.99999999999983</v>
      </c>
      <c r="AJ178" s="14">
        <f>AI178*VLOOKUP('Données projet'!$B$10,Paramètres!$A$1:$I$89,3,0)*VLOOKUP('Données projet'!$B$10,Paramètres!$A$1:$I$89,5,0)</f>
        <v>216.59039999999987</v>
      </c>
      <c r="AK178" s="14">
        <f t="shared" si="164"/>
        <v>53.373153688190904</v>
      </c>
      <c r="AL178" s="22">
        <f t="shared" si="165"/>
        <v>470.18652267359886</v>
      </c>
      <c r="AM178" s="62">
        <f t="shared" si="113"/>
        <v>763.51985600693217</v>
      </c>
      <c r="AN178" s="62">
        <f ca="1">AVERAGE(OFFSET($AM$3,0,0,'Données projet'!$E$10+1,1))-AVERAGE(OFFSET($H$3,0,0,'Données projet'!$E$10+1,1))</f>
        <v>219.96569743439244</v>
      </c>
      <c r="AO178" s="62">
        <f t="shared" si="144"/>
        <v>219.27079214454579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0.36106355886896097</v>
      </c>
      <c r="AW178" s="23">
        <f>EXP(-LN(2)/2)*AW177+(1-EXP(-LN(2)/2))/(LN(2)/2)*AQ178*AT178*VLOOKUP('Données projet'!$B$10,Paramètres!$A$1:$I$89,3,0)*0.475*44/12</f>
        <v>1.0977701945932937E-22</v>
      </c>
      <c r="AX178" s="23">
        <f t="shared" si="166"/>
        <v>0.36106355886896097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3.3992364478763198E-14</v>
      </c>
      <c r="BF178" s="14">
        <f t="shared" si="167"/>
        <v>5.790027782444094E-13</v>
      </c>
      <c r="BG178" s="22">
        <f t="shared" si="168"/>
        <v>1.0676332069095257E-12</v>
      </c>
      <c r="BH178" s="62">
        <f t="shared" si="116"/>
        <v>293.33333333333439</v>
      </c>
      <c r="BI178" s="62">
        <f ca="1">AVERAGE(OFFSET($BH$3,0,0,'Données projet'!$E$11+1,1))-AVERAGE(OFFSET($H$3,0,0,'Données projet'!$E$11+1,1))</f>
        <v>150.99976380209381</v>
      </c>
      <c r="BJ178" s="62">
        <f t="shared" si="146"/>
        <v>306.39227726293234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5.5929769065069639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3.9827437847497995E-20</v>
      </c>
      <c r="BS178" s="24">
        <f t="shared" si="169"/>
        <v>5.5929769065069639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266.99999999999983</v>
      </c>
      <c r="AJ179" s="14">
        <f>AI179*VLOOKUP('Données projet'!$B$10,Paramètres!$A$1:$I$89,3,0)*VLOOKUP('Données projet'!$B$10,Paramètres!$A$1:$I$89,5,0)</f>
        <v>216.59039999999987</v>
      </c>
      <c r="AK179" s="14">
        <f t="shared" si="164"/>
        <v>53.373153688190904</v>
      </c>
      <c r="AL179" s="22">
        <f t="shared" si="165"/>
        <v>470.18652267359886</v>
      </c>
      <c r="AM179" s="62">
        <f t="shared" si="113"/>
        <v>763.51985600693217</v>
      </c>
      <c r="AN179" s="62">
        <f ca="1">AVERAGE(OFFSET($AM$3,0,0,'Données projet'!$E$10+1,1))-AVERAGE(OFFSET($H$3,0,0,'Données projet'!$E$10+1,1))</f>
        <v>219.96569743439244</v>
      </c>
      <c r="AO179" s="62">
        <f t="shared" si="144"/>
        <v>219.27079214454579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0.35119025686418187</v>
      </c>
      <c r="AW179" s="23">
        <f>EXP(-LN(2)/2)*AW178+(1-EXP(-LN(2)/2))/(LN(2)/2)*AQ179*AT179*VLOOKUP('Données projet'!$B$10,Paramètres!$A$1:$I$89,3,0)*0.475*44/12</f>
        <v>7.7624074878139385E-23</v>
      </c>
      <c r="AX179" s="23">
        <f t="shared" si="166"/>
        <v>0.35119025686418187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3.3992364478763198E-14</v>
      </c>
      <c r="BF179" s="14">
        <f t="shared" si="167"/>
        <v>5.790027782444094E-13</v>
      </c>
      <c r="BG179" s="22">
        <f t="shared" si="168"/>
        <v>1.0676332069095257E-12</v>
      </c>
      <c r="BH179" s="62">
        <f t="shared" si="116"/>
        <v>293.33333333333439</v>
      </c>
      <c r="BI179" s="62">
        <f ca="1">AVERAGE(OFFSET($BH$3,0,0,'Données projet'!$E$11+1,1))-AVERAGE(OFFSET($H$3,0,0,'Données projet'!$E$11+1,1))</f>
        <v>150.99976380209381</v>
      </c>
      <c r="BJ179" s="62">
        <f t="shared" si="146"/>
        <v>306.39227726293234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5.4833020407494297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2.8162251379251586E-20</v>
      </c>
      <c r="BS179" s="24">
        <f t="shared" si="169"/>
        <v>5.4833020407494297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266.99999999999983</v>
      </c>
      <c r="AJ180" s="14">
        <f>AI180*VLOOKUP('Données projet'!$B$10,Paramètres!$A$1:$I$89,3,0)*VLOOKUP('Données projet'!$B$10,Paramètres!$A$1:$I$89,5,0)</f>
        <v>216.59039999999987</v>
      </c>
      <c r="AK180" s="14">
        <f t="shared" si="164"/>
        <v>53.373153688190904</v>
      </c>
      <c r="AL180" s="22">
        <f t="shared" si="165"/>
        <v>470.18652267359886</v>
      </c>
      <c r="AM180" s="62">
        <f t="shared" si="113"/>
        <v>763.51985600693217</v>
      </c>
      <c r="AN180" s="62">
        <f ca="1">AVERAGE(OFFSET($AM$3,0,0,'Données projet'!$E$10+1,1))-AVERAGE(OFFSET($H$3,0,0,'Données projet'!$E$10+1,1))</f>
        <v>219.96569743439244</v>
      </c>
      <c r="AO180" s="62">
        <f t="shared" si="144"/>
        <v>219.27079214454579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0.34158694082193786</v>
      </c>
      <c r="AW180" s="23">
        <f>EXP(-LN(2)/2)*AW179+(1-EXP(-LN(2)/2))/(LN(2)/2)*AQ180*AT180*VLOOKUP('Données projet'!$B$10,Paramètres!$A$1:$I$89,3,0)*0.475*44/12</f>
        <v>5.4888509729664687E-23</v>
      </c>
      <c r="AX180" s="23">
        <f t="shared" si="166"/>
        <v>0.34158694082193786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3.3992364478763198E-14</v>
      </c>
      <c r="BF180" s="14">
        <f t="shared" si="167"/>
        <v>5.790027782444094E-13</v>
      </c>
      <c r="BG180" s="22">
        <f t="shared" si="168"/>
        <v>1.0676332069095257E-12</v>
      </c>
      <c r="BH180" s="62">
        <f t="shared" si="116"/>
        <v>293.33333333333439</v>
      </c>
      <c r="BI180" s="62">
        <f ca="1">AVERAGE(OFFSET($BH$3,0,0,'Données projet'!$E$11+1,1))-AVERAGE(OFFSET($H$3,0,0,'Données projet'!$E$11+1,1))</f>
        <v>150.99976380209381</v>
      </c>
      <c r="BJ180" s="62">
        <f t="shared" si="146"/>
        <v>306.39227726293234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5.3757778322143377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1.9913718923748998E-20</v>
      </c>
      <c r="BS180" s="24">
        <f t="shared" si="169"/>
        <v>5.3757778322143377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266.99999999999983</v>
      </c>
      <c r="AJ181" s="14">
        <f>AI181*VLOOKUP('Données projet'!$B$10,Paramètres!$A$1:$I$89,3,0)*VLOOKUP('Données projet'!$B$10,Paramètres!$A$1:$I$89,5,0)</f>
        <v>216.59039999999987</v>
      </c>
      <c r="AK181" s="14">
        <f t="shared" si="164"/>
        <v>53.373153688190904</v>
      </c>
      <c r="AL181" s="22">
        <f t="shared" si="165"/>
        <v>470.18652267359886</v>
      </c>
      <c r="AM181" s="62">
        <f t="shared" si="113"/>
        <v>763.51985600693217</v>
      </c>
      <c r="AN181" s="62">
        <f ca="1">AVERAGE(OFFSET($AM$3,0,0,'Données projet'!$E$10+1,1))-AVERAGE(OFFSET($H$3,0,0,'Données projet'!$E$10+1,1))</f>
        <v>219.96569743439244</v>
      </c>
      <c r="AO181" s="62">
        <f t="shared" si="144"/>
        <v>219.27079214454579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0.33224622796188547</v>
      </c>
      <c r="AW181" s="23">
        <f>EXP(-LN(2)/2)*AW180+(1-EXP(-LN(2)/2))/(LN(2)/2)*AQ181*AT181*VLOOKUP('Données projet'!$B$10,Paramètres!$A$1:$I$89,3,0)*0.475*44/12</f>
        <v>3.8812037439069693E-23</v>
      </c>
      <c r="AX181" s="23">
        <f t="shared" si="166"/>
        <v>0.33224622796188547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3.3992364478763198E-14</v>
      </c>
      <c r="BF181" s="14">
        <f t="shared" si="167"/>
        <v>5.790027782444094E-13</v>
      </c>
      <c r="BG181" s="22">
        <f t="shared" si="168"/>
        <v>1.0676332069095257E-12</v>
      </c>
      <c r="BH181" s="62">
        <f t="shared" si="116"/>
        <v>293.33333333333439</v>
      </c>
      <c r="BI181" s="62">
        <f ca="1">AVERAGE(OFFSET($BH$3,0,0,'Données projet'!$E$11+1,1))-AVERAGE(OFFSET($H$3,0,0,'Données projet'!$E$11+1,1))</f>
        <v>150.99976380209381</v>
      </c>
      <c r="BJ181" s="62">
        <f t="shared" si="146"/>
        <v>306.39227726293234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5.2703621078253278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1.4081125689625793E-20</v>
      </c>
      <c r="BS181" s="24">
        <f t="shared" si="169"/>
        <v>5.2703621078253278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266.99999999999983</v>
      </c>
      <c r="AJ182" s="14">
        <f>AI182*VLOOKUP('Données projet'!$B$10,Paramètres!$A$1:$I$89,3,0)*VLOOKUP('Données projet'!$B$10,Paramètres!$A$1:$I$89,5,0)</f>
        <v>216.59039999999987</v>
      </c>
      <c r="AK182" s="14">
        <f t="shared" si="164"/>
        <v>53.373153688190904</v>
      </c>
      <c r="AL182" s="22">
        <f t="shared" si="165"/>
        <v>470.18652267359886</v>
      </c>
      <c r="AM182" s="62">
        <f t="shared" si="113"/>
        <v>763.51985600693217</v>
      </c>
      <c r="AN182" s="62">
        <f ca="1">AVERAGE(OFFSET($AM$3,0,0,'Données projet'!$E$10+1,1))-AVERAGE(OFFSET($H$3,0,0,'Données projet'!$E$10+1,1))</f>
        <v>219.96569743439244</v>
      </c>
      <c r="AO182" s="62">
        <f t="shared" si="144"/>
        <v>219.27079214454579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0.32316093738619794</v>
      </c>
      <c r="AW182" s="23">
        <f>EXP(-LN(2)/2)*AW181+(1-EXP(-LN(2)/2))/(LN(2)/2)*AQ182*AT182*VLOOKUP('Données projet'!$B$10,Paramètres!$A$1:$I$89,3,0)*0.475*44/12</f>
        <v>2.7444254864832344E-23</v>
      </c>
      <c r="AX182" s="23">
        <f t="shared" si="166"/>
        <v>0.32316093738619794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3.3992364478763198E-14</v>
      </c>
      <c r="BF182" s="14">
        <f t="shared" si="167"/>
        <v>5.790027782444094E-13</v>
      </c>
      <c r="BG182" s="22">
        <f t="shared" si="168"/>
        <v>1.0676332069095257E-12</v>
      </c>
      <c r="BH182" s="62">
        <f t="shared" si="116"/>
        <v>293.33333333333439</v>
      </c>
      <c r="BI182" s="62">
        <f ca="1">AVERAGE(OFFSET($BH$3,0,0,'Données projet'!$E$11+1,1))-AVERAGE(OFFSET($H$3,0,0,'Données projet'!$E$11+1,1))</f>
        <v>150.99976380209381</v>
      </c>
      <c r="BJ182" s="62">
        <f t="shared" si="146"/>
        <v>306.39227726293234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5.1670135214943436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9.9568594618744988E-21</v>
      </c>
      <c r="BS182" s="24">
        <f t="shared" si="169"/>
        <v>5.1670135214943436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266.99999999999983</v>
      </c>
      <c r="AJ183" s="14">
        <f>AI183*VLOOKUP('Données projet'!$B$10,Paramètres!$A$1:$I$89,3,0)*VLOOKUP('Données projet'!$B$10,Paramètres!$A$1:$I$89,5,0)</f>
        <v>216.59039999999987</v>
      </c>
      <c r="AK183" s="14">
        <f t="shared" si="164"/>
        <v>53.373153688190904</v>
      </c>
      <c r="AL183" s="22">
        <f t="shared" si="165"/>
        <v>470.18652267359886</v>
      </c>
      <c r="AM183" s="62">
        <f t="shared" si="113"/>
        <v>763.51985600693217</v>
      </c>
      <c r="AN183" s="62">
        <f ca="1">AVERAGE(OFFSET($AM$3,0,0,'Données projet'!$E$10+1,1))-AVERAGE(OFFSET($H$3,0,0,'Données projet'!$E$10+1,1))</f>
        <v>219.96569743439244</v>
      </c>
      <c r="AO183" s="62">
        <f t="shared" si="144"/>
        <v>219.27079214454579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0.31432408455907723</v>
      </c>
      <c r="AW183" s="23">
        <f>EXP(-LN(2)/2)*AW182+(1-EXP(-LN(2)/2))/(LN(2)/2)*AQ183*AT183*VLOOKUP('Données projet'!$B$10,Paramètres!$A$1:$I$89,3,0)*0.475*44/12</f>
        <v>1.9406018719534846E-23</v>
      </c>
      <c r="AX183" s="23">
        <f t="shared" si="166"/>
        <v>0.31432408455907723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3.3992364478763198E-14</v>
      </c>
      <c r="BF183" s="14">
        <f t="shared" si="167"/>
        <v>5.790027782444094E-13</v>
      </c>
      <c r="BG183" s="22">
        <f t="shared" si="168"/>
        <v>1.0676332069095257E-12</v>
      </c>
      <c r="BH183" s="62">
        <f t="shared" si="116"/>
        <v>293.33333333333439</v>
      </c>
      <c r="BI183" s="62">
        <f ca="1">AVERAGE(OFFSET($BH$3,0,0,'Données projet'!$E$11+1,1))-AVERAGE(OFFSET($H$3,0,0,'Données projet'!$E$11+1,1))</f>
        <v>150.99976380209381</v>
      </c>
      <c r="BJ183" s="62">
        <f t="shared" si="146"/>
        <v>306.39227726293234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5.0656915379048959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7.0405628448128964E-21</v>
      </c>
      <c r="BS183" s="24">
        <f t="shared" si="169"/>
        <v>5.0656915379048959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266.99999999999983</v>
      </c>
      <c r="AJ184" s="14">
        <f>AI184*VLOOKUP('Données projet'!$B$10,Paramètres!$A$1:$I$89,3,0)*VLOOKUP('Données projet'!$B$10,Paramètres!$A$1:$I$89,5,0)</f>
        <v>216.59039999999987</v>
      </c>
      <c r="AK184" s="14">
        <f t="shared" si="164"/>
        <v>53.373153688190904</v>
      </c>
      <c r="AL184" s="22">
        <f t="shared" si="165"/>
        <v>470.18652267359886</v>
      </c>
      <c r="AM184" s="62">
        <f t="shared" si="113"/>
        <v>763.51985600693217</v>
      </c>
      <c r="AN184" s="62">
        <f ca="1">AVERAGE(OFFSET($AM$3,0,0,'Données projet'!$E$10+1,1))-AVERAGE(OFFSET($H$3,0,0,'Données projet'!$E$10+1,1))</f>
        <v>219.96569743439244</v>
      </c>
      <c r="AO184" s="62">
        <f t="shared" si="144"/>
        <v>219.27079214454579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0.30572887593722403</v>
      </c>
      <c r="AW184" s="23">
        <f>EXP(-LN(2)/2)*AW183+(1-EXP(-LN(2)/2))/(LN(2)/2)*AQ184*AT184*VLOOKUP('Données projet'!$B$10,Paramètres!$A$1:$I$89,3,0)*0.475*44/12</f>
        <v>1.3722127432416172E-23</v>
      </c>
      <c r="AX184" s="23">
        <f t="shared" si="166"/>
        <v>0.30572887593722403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3.3992364478763198E-14</v>
      </c>
      <c r="BF184" s="14">
        <f t="shared" si="167"/>
        <v>5.790027782444094E-13</v>
      </c>
      <c r="BG184" s="22">
        <f t="shared" si="168"/>
        <v>1.0676332069095257E-12</v>
      </c>
      <c r="BH184" s="62">
        <f t="shared" si="116"/>
        <v>293.33333333333439</v>
      </c>
      <c r="BI184" s="62">
        <f ca="1">AVERAGE(OFFSET($BH$3,0,0,'Données projet'!$E$11+1,1))-AVERAGE(OFFSET($H$3,0,0,'Données projet'!$E$11+1,1))</f>
        <v>150.99976380209381</v>
      </c>
      <c r="BJ184" s="62">
        <f t="shared" si="146"/>
        <v>306.39227726293234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4.9663564166133298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4.9784297309372494E-21</v>
      </c>
      <c r="BS184" s="24">
        <f t="shared" si="169"/>
        <v>4.9663564166133298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266.99999999999983</v>
      </c>
      <c r="AJ185" s="14">
        <f>AI185*VLOOKUP('Données projet'!$B$10,Paramètres!$A$1:$I$89,3,0)*VLOOKUP('Données projet'!$B$10,Paramètres!$A$1:$I$89,5,0)</f>
        <v>216.59039999999987</v>
      </c>
      <c r="AK185" s="14">
        <f t="shared" si="164"/>
        <v>53.373153688190904</v>
      </c>
      <c r="AL185" s="22">
        <f t="shared" si="165"/>
        <v>470.18652267359886</v>
      </c>
      <c r="AM185" s="62">
        <f t="shared" si="113"/>
        <v>763.51985600693217</v>
      </c>
      <c r="AN185" s="62">
        <f ca="1">AVERAGE(OFFSET($AM$3,0,0,'Données projet'!$E$10+1,1))-AVERAGE(OFFSET($H$3,0,0,'Données projet'!$E$10+1,1))</f>
        <v>219.96569743439244</v>
      </c>
      <c r="AO185" s="62">
        <f t="shared" si="144"/>
        <v>219.27079214454579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0.29736870374713781</v>
      </c>
      <c r="AW185" s="23">
        <f>EXP(-LN(2)/2)*AW184+(1-EXP(-LN(2)/2))/(LN(2)/2)*AQ185*AT185*VLOOKUP('Données projet'!$B$10,Paramètres!$A$1:$I$89,3,0)*0.475*44/12</f>
        <v>9.7030093597674232E-24</v>
      </c>
      <c r="AX185" s="23">
        <f t="shared" si="166"/>
        <v>0.29736870374713781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3.3992364478763198E-14</v>
      </c>
      <c r="BF185" s="14">
        <f t="shared" si="167"/>
        <v>5.790027782444094E-13</v>
      </c>
      <c r="BG185" s="22">
        <f t="shared" si="168"/>
        <v>1.0676332069095257E-12</v>
      </c>
      <c r="BH185" s="62">
        <f t="shared" si="116"/>
        <v>293.33333333333439</v>
      </c>
      <c r="BI185" s="62">
        <f ca="1">AVERAGE(OFFSET($BH$3,0,0,'Données projet'!$E$11+1,1))-AVERAGE(OFFSET($H$3,0,0,'Données projet'!$E$11+1,1))</f>
        <v>150.99976380209381</v>
      </c>
      <c r="BJ185" s="62">
        <f t="shared" si="146"/>
        <v>306.39227726293234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4.8689691964618502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3.5202814224064482E-21</v>
      </c>
      <c r="BS185" s="24">
        <f t="shared" si="169"/>
        <v>4.8689691964618502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266.99999999999983</v>
      </c>
      <c r="AJ186" s="14">
        <f>AI186*VLOOKUP('Données projet'!$B$10,Paramètres!$A$1:$I$89,3,0)*VLOOKUP('Données projet'!$B$10,Paramètres!$A$1:$I$89,5,0)</f>
        <v>216.59039999999987</v>
      </c>
      <c r="AK186" s="14">
        <f t="shared" si="164"/>
        <v>53.373153688190904</v>
      </c>
      <c r="AL186" s="22">
        <f t="shared" si="165"/>
        <v>470.18652267359886</v>
      </c>
      <c r="AM186" s="62">
        <f t="shared" si="113"/>
        <v>763.51985600693217</v>
      </c>
      <c r="AN186" s="62">
        <f ca="1">AVERAGE(OFFSET($AM$3,0,0,'Données projet'!$E$10+1,1))-AVERAGE(OFFSET($H$3,0,0,'Données projet'!$E$10+1,1))</f>
        <v>219.96569743439244</v>
      </c>
      <c r="AO186" s="62">
        <f t="shared" si="144"/>
        <v>219.27079214454579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0.28923714090523184</v>
      </c>
      <c r="AW186" s="23">
        <f>EXP(-LN(2)/2)*AW185+(1-EXP(-LN(2)/2))/(LN(2)/2)*AQ186*AT186*VLOOKUP('Données projet'!$B$10,Paramètres!$A$1:$I$89,3,0)*0.475*44/12</f>
        <v>6.8610637162080859E-24</v>
      </c>
      <c r="AX186" s="23">
        <f t="shared" si="166"/>
        <v>0.28923714090523184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3.3992364478763198E-14</v>
      </c>
      <c r="BF186" s="14">
        <f t="shared" si="167"/>
        <v>5.790027782444094E-13</v>
      </c>
      <c r="BG186" s="22">
        <f t="shared" si="168"/>
        <v>1.0676332069095257E-12</v>
      </c>
      <c r="BH186" s="62">
        <f t="shared" si="116"/>
        <v>293.33333333333439</v>
      </c>
      <c r="BI186" s="62">
        <f ca="1">AVERAGE(OFFSET($BH$3,0,0,'Données projet'!$E$11+1,1))-AVERAGE(OFFSET($H$3,0,0,'Données projet'!$E$11+1,1))</f>
        <v>150.99976380209381</v>
      </c>
      <c r="BJ186" s="62">
        <f t="shared" si="146"/>
        <v>306.39227726293234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4.7734916802972016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2.4892148654686247E-21</v>
      </c>
      <c r="BS186" s="24">
        <f t="shared" si="169"/>
        <v>4.7734916802972016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266.99999999999983</v>
      </c>
      <c r="AJ187" s="14">
        <f>AI187*VLOOKUP('Données projet'!$B$10,Paramètres!$A$1:$I$89,3,0)*VLOOKUP('Données projet'!$B$10,Paramètres!$A$1:$I$89,5,0)</f>
        <v>216.59039999999987</v>
      </c>
      <c r="AK187" s="14">
        <f t="shared" si="164"/>
        <v>53.373153688190904</v>
      </c>
      <c r="AL187" s="22">
        <f t="shared" si="165"/>
        <v>470.18652267359886</v>
      </c>
      <c r="AM187" s="62">
        <f t="shared" si="113"/>
        <v>763.51985600693217</v>
      </c>
      <c r="AN187" s="62">
        <f ca="1">AVERAGE(OFFSET($AM$3,0,0,'Données projet'!$E$10+1,1))-AVERAGE(OFFSET($H$3,0,0,'Données projet'!$E$10+1,1))</f>
        <v>219.96569743439244</v>
      </c>
      <c r="AO187" s="62">
        <f t="shared" si="144"/>
        <v>219.27079214454579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0.28132793607685808</v>
      </c>
      <c r="AW187" s="23">
        <f>EXP(-LN(2)/2)*AW186+(1-EXP(-LN(2)/2))/(LN(2)/2)*AQ187*AT187*VLOOKUP('Données projet'!$B$10,Paramètres!$A$1:$I$89,3,0)*0.475*44/12</f>
        <v>4.8515046798837116E-24</v>
      </c>
      <c r="AX187" s="23">
        <f t="shared" si="166"/>
        <v>0.28132793607685808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3.3992364478763198E-14</v>
      </c>
      <c r="BF187" s="14">
        <f t="shared" si="167"/>
        <v>5.790027782444094E-13</v>
      </c>
      <c r="BG187" s="22">
        <f t="shared" si="168"/>
        <v>1.0676332069095257E-12</v>
      </c>
      <c r="BH187" s="62">
        <f t="shared" si="116"/>
        <v>293.33333333333439</v>
      </c>
      <c r="BI187" s="62">
        <f ca="1">AVERAGE(OFFSET($BH$3,0,0,'Données projet'!$E$11+1,1))-AVERAGE(OFFSET($H$3,0,0,'Données projet'!$E$11+1,1))</f>
        <v>150.99976380209381</v>
      </c>
      <c r="BJ187" s="62">
        <f t="shared" si="146"/>
        <v>306.39227726293234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4.6798864199890078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1.7601407112032241E-21</v>
      </c>
      <c r="BS187" s="24">
        <f t="shared" si="169"/>
        <v>4.6798864199890078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266.99999999999983</v>
      </c>
      <c r="AJ188" s="14">
        <f>AI188*VLOOKUP('Données projet'!$B$10,Paramètres!$A$1:$I$89,3,0)*VLOOKUP('Données projet'!$B$10,Paramètres!$A$1:$I$89,5,0)</f>
        <v>216.59039999999987</v>
      </c>
      <c r="AK188" s="14">
        <f t="shared" si="164"/>
        <v>53.373153688190904</v>
      </c>
      <c r="AL188" s="22">
        <f t="shared" si="165"/>
        <v>470.18652267359886</v>
      </c>
      <c r="AM188" s="62">
        <f t="shared" si="113"/>
        <v>763.51985600693217</v>
      </c>
      <c r="AN188" s="62">
        <f ca="1">AVERAGE(OFFSET($AM$3,0,0,'Données projet'!$E$10+1,1))-AVERAGE(OFFSET($H$3,0,0,'Données projet'!$E$10+1,1))</f>
        <v>219.96569743439244</v>
      </c>
      <c r="AO188" s="62">
        <f t="shared" si="144"/>
        <v>219.27079214454579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0.27363500887044323</v>
      </c>
      <c r="AW188" s="23">
        <f>EXP(-LN(2)/2)*AW187+(1-EXP(-LN(2)/2))/(LN(2)/2)*AQ188*AT188*VLOOKUP('Données projet'!$B$10,Paramètres!$A$1:$I$89,3,0)*0.475*44/12</f>
        <v>3.430531858104043E-24</v>
      </c>
      <c r="AX188" s="23">
        <f t="shared" si="166"/>
        <v>0.27363500887044323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3.3992364478763198E-14</v>
      </c>
      <c r="BF188" s="14">
        <f t="shared" si="167"/>
        <v>5.790027782444094E-13</v>
      </c>
      <c r="BG188" s="22">
        <f t="shared" si="168"/>
        <v>1.0676332069095257E-12</v>
      </c>
      <c r="BH188" s="62">
        <f t="shared" si="116"/>
        <v>293.33333333333439</v>
      </c>
      <c r="BI188" s="62">
        <f ca="1">AVERAGE(OFFSET($BH$3,0,0,'Données projet'!$E$11+1,1))-AVERAGE(OFFSET($H$3,0,0,'Données projet'!$E$11+1,1))</f>
        <v>150.99976380209381</v>
      </c>
      <c r="BJ188" s="62">
        <f t="shared" si="146"/>
        <v>306.39227726293234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4.5881167017418862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1.2446074327343123E-21</v>
      </c>
      <c r="BS188" s="24">
        <f t="shared" si="169"/>
        <v>4.5881167017418862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266.99999999999983</v>
      </c>
      <c r="AJ189" s="14">
        <f>AI189*VLOOKUP('Données projet'!$B$10,Paramètres!$A$1:$I$89,3,0)*VLOOKUP('Données projet'!$B$10,Paramètres!$A$1:$I$89,5,0)</f>
        <v>216.59039999999987</v>
      </c>
      <c r="AK189" s="14">
        <f t="shared" si="164"/>
        <v>53.373153688190904</v>
      </c>
      <c r="AL189" s="22">
        <f t="shared" si="165"/>
        <v>470.18652267359886</v>
      </c>
      <c r="AM189" s="62">
        <f t="shared" si="113"/>
        <v>763.51985600693217</v>
      </c>
      <c r="AN189" s="62">
        <f ca="1">AVERAGE(OFFSET($AM$3,0,0,'Données projet'!$E$10+1,1))-AVERAGE(OFFSET($H$3,0,0,'Données projet'!$E$10+1,1))</f>
        <v>219.96569743439244</v>
      </c>
      <c r="AO189" s="62">
        <f t="shared" si="144"/>
        <v>219.27079214454579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0.26615244516304126</v>
      </c>
      <c r="AW189" s="23">
        <f>EXP(-LN(2)/2)*AW188+(1-EXP(-LN(2)/2))/(LN(2)/2)*AQ189*AT189*VLOOKUP('Données projet'!$B$10,Paramètres!$A$1:$I$89,3,0)*0.475*44/12</f>
        <v>2.4257523399418558E-24</v>
      </c>
      <c r="AX189" s="23">
        <f t="shared" si="166"/>
        <v>0.26615244516304126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3.3992364478763198E-14</v>
      </c>
      <c r="BF189" s="14">
        <f t="shared" si="167"/>
        <v>5.790027782444094E-13</v>
      </c>
      <c r="BG189" s="22">
        <f t="shared" si="168"/>
        <v>1.0676332069095257E-12</v>
      </c>
      <c r="BH189" s="62">
        <f t="shared" si="116"/>
        <v>293.33333333333439</v>
      </c>
      <c r="BI189" s="62">
        <f ca="1">AVERAGE(OFFSET($BH$3,0,0,'Données projet'!$E$11+1,1))-AVERAGE(OFFSET($H$3,0,0,'Données projet'!$E$11+1,1))</f>
        <v>150.99976380209381</v>
      </c>
      <c r="BJ189" s="62">
        <f t="shared" si="146"/>
        <v>306.39227726293234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4.4981465316955891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8.8007035560161205E-22</v>
      </c>
      <c r="BS189" s="24">
        <f t="shared" si="169"/>
        <v>4.4981465316955891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266.99999999999983</v>
      </c>
      <c r="AJ190" s="14">
        <f>AI190*VLOOKUP('Données projet'!$B$10,Paramètres!$A$1:$I$89,3,0)*VLOOKUP('Données projet'!$B$10,Paramètres!$A$1:$I$89,5,0)</f>
        <v>216.59039999999987</v>
      </c>
      <c r="AK190" s="14">
        <f t="shared" si="164"/>
        <v>53.373153688190904</v>
      </c>
      <c r="AL190" s="22">
        <f t="shared" si="165"/>
        <v>470.18652267359886</v>
      </c>
      <c r="AM190" s="62">
        <f t="shared" si="113"/>
        <v>763.51985600693217</v>
      </c>
      <c r="AN190" s="62">
        <f ca="1">AVERAGE(OFFSET($AM$3,0,0,'Données projet'!$E$10+1,1))-AVERAGE(OFFSET($H$3,0,0,'Données projet'!$E$10+1,1))</f>
        <v>219.96569743439244</v>
      </c>
      <c r="AO190" s="62">
        <f t="shared" si="144"/>
        <v>219.27079214454579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0.25887449255370909</v>
      </c>
      <c r="AW190" s="23">
        <f>EXP(-LN(2)/2)*AW189+(1-EXP(-LN(2)/2))/(LN(2)/2)*AQ190*AT190*VLOOKUP('Données projet'!$B$10,Paramètres!$A$1:$I$89,3,0)*0.475*44/12</f>
        <v>1.7152659290520215E-24</v>
      </c>
      <c r="AX190" s="23">
        <f t="shared" si="166"/>
        <v>0.25887449255370909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3.3992364478763198E-14</v>
      </c>
      <c r="BF190" s="14">
        <f t="shared" si="167"/>
        <v>5.790027782444094E-13</v>
      </c>
      <c r="BG190" s="22">
        <f t="shared" si="168"/>
        <v>1.0676332069095257E-12</v>
      </c>
      <c r="BH190" s="62">
        <f t="shared" si="116"/>
        <v>293.33333333333439</v>
      </c>
      <c r="BI190" s="62">
        <f ca="1">AVERAGE(OFFSET($BH$3,0,0,'Données projet'!$E$11+1,1))-AVERAGE(OFFSET($H$3,0,0,'Données projet'!$E$11+1,1))</f>
        <v>150.99976380209381</v>
      </c>
      <c r="BJ190" s="62">
        <f t="shared" si="146"/>
        <v>306.39227726293234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4.4099406218075154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6.2230371636715617E-22</v>
      </c>
      <c r="BS190" s="24">
        <f t="shared" si="169"/>
        <v>4.4099406218075154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266.99999999999983</v>
      </c>
      <c r="AJ191" s="14">
        <f>AI191*VLOOKUP('Données projet'!$B$10,Paramètres!$A$1:$I$89,3,0)*VLOOKUP('Données projet'!$B$10,Paramètres!$A$1:$I$89,5,0)</f>
        <v>216.59039999999987</v>
      </c>
      <c r="AK191" s="14">
        <f t="shared" si="164"/>
        <v>53.373153688190904</v>
      </c>
      <c r="AL191" s="22">
        <f t="shared" si="165"/>
        <v>470.18652267359886</v>
      </c>
      <c r="AM191" s="62">
        <f t="shared" si="113"/>
        <v>763.51985600693217</v>
      </c>
      <c r="AN191" s="62">
        <f ca="1">AVERAGE(OFFSET($AM$3,0,0,'Données projet'!$E$10+1,1))-AVERAGE(OFFSET($H$3,0,0,'Données projet'!$E$10+1,1))</f>
        <v>219.96569743439244</v>
      </c>
      <c r="AO191" s="62">
        <f t="shared" si="144"/>
        <v>219.27079214454579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0.25179555594121</v>
      </c>
      <c r="AW191" s="23">
        <f>EXP(-LN(2)/2)*AW190+(1-EXP(-LN(2)/2))/(LN(2)/2)*AQ191*AT191*VLOOKUP('Données projet'!$B$10,Paramètres!$A$1:$I$89,3,0)*0.475*44/12</f>
        <v>1.2128761699709279E-24</v>
      </c>
      <c r="AX191" s="23">
        <f t="shared" si="166"/>
        <v>0.25179555594121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3.3992364478763198E-14</v>
      </c>
      <c r="BF191" s="14">
        <f t="shared" si="167"/>
        <v>5.790027782444094E-13</v>
      </c>
      <c r="BG191" s="22">
        <f t="shared" si="168"/>
        <v>1.0676332069095257E-12</v>
      </c>
      <c r="BH191" s="62">
        <f t="shared" si="116"/>
        <v>293.33333333333439</v>
      </c>
      <c r="BI191" s="62">
        <f ca="1">AVERAGE(OFFSET($BH$3,0,0,'Données projet'!$E$11+1,1))-AVERAGE(OFFSET($H$3,0,0,'Données projet'!$E$11+1,1))</f>
        <v>150.99976380209381</v>
      </c>
      <c r="BJ191" s="62">
        <f t="shared" si="146"/>
        <v>306.39227726293234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4.3234643760120539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4.4003517780080603E-22</v>
      </c>
      <c r="BS191" s="24">
        <f t="shared" si="169"/>
        <v>4.3234643760120539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266.99999999999983</v>
      </c>
      <c r="AJ192" s="14">
        <f>AI192*VLOOKUP('Données projet'!$B$10,Paramètres!$A$1:$I$89,3,0)*VLOOKUP('Données projet'!$B$10,Paramètres!$A$1:$I$89,5,0)</f>
        <v>216.59039999999987</v>
      </c>
      <c r="AK192" s="14">
        <f t="shared" si="164"/>
        <v>53.373153688190904</v>
      </c>
      <c r="AL192" s="22">
        <f t="shared" si="165"/>
        <v>470.18652267359886</v>
      </c>
      <c r="AM192" s="62">
        <f t="shared" si="113"/>
        <v>763.51985600693217</v>
      </c>
      <c r="AN192" s="62">
        <f ca="1">AVERAGE(OFFSET($AM$3,0,0,'Données projet'!$E$10+1,1))-AVERAGE(OFFSET($H$3,0,0,'Données projet'!$E$10+1,1))</f>
        <v>219.96569743439244</v>
      </c>
      <c r="AO192" s="62">
        <f t="shared" si="144"/>
        <v>219.27079214454579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0.24491019322264482</v>
      </c>
      <c r="AW192" s="23">
        <f>EXP(-LN(2)/2)*AW191+(1-EXP(-LN(2)/2))/(LN(2)/2)*AQ192*AT192*VLOOKUP('Données projet'!$B$10,Paramètres!$A$1:$I$89,3,0)*0.475*44/12</f>
        <v>8.5763296452601074E-25</v>
      </c>
      <c r="AX192" s="23">
        <f t="shared" si="166"/>
        <v>0.24491019322264482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3.3992364478763198E-14</v>
      </c>
      <c r="BF192" s="14">
        <f t="shared" si="167"/>
        <v>5.790027782444094E-13</v>
      </c>
      <c r="BG192" s="22">
        <f t="shared" si="168"/>
        <v>1.0676332069095257E-12</v>
      </c>
      <c r="BH192" s="62">
        <f t="shared" si="116"/>
        <v>293.33333333333439</v>
      </c>
      <c r="BI192" s="62">
        <f ca="1">AVERAGE(OFFSET($BH$3,0,0,'Données projet'!$E$11+1,1))-AVERAGE(OFFSET($H$3,0,0,'Données projet'!$E$11+1,1))</f>
        <v>150.99976380209381</v>
      </c>
      <c r="BJ192" s="62">
        <f t="shared" si="146"/>
        <v>306.39227726293234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4.2386838766513399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3.1115185818357809E-22</v>
      </c>
      <c r="BS192" s="24">
        <f t="shared" si="169"/>
        <v>4.2386838766513399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266.99999999999983</v>
      </c>
      <c r="AJ193" s="14">
        <f>AI193*VLOOKUP('Données projet'!$B$10,Paramètres!$A$1:$I$89,3,0)*VLOOKUP('Données projet'!$B$10,Paramètres!$A$1:$I$89,5,0)</f>
        <v>216.59039999999987</v>
      </c>
      <c r="AK193" s="14">
        <f t="shared" si="164"/>
        <v>53.373153688190904</v>
      </c>
      <c r="AL193" s="22">
        <f t="shared" si="165"/>
        <v>470.18652267359886</v>
      </c>
      <c r="AM193" s="62">
        <f t="shared" si="113"/>
        <v>763.51985600693217</v>
      </c>
      <c r="AN193" s="62">
        <f ca="1">AVERAGE(OFFSET($AM$3,0,0,'Données projet'!$E$10+1,1))-AVERAGE(OFFSET($H$3,0,0,'Données projet'!$E$10+1,1))</f>
        <v>219.96569743439244</v>
      </c>
      <c r="AO193" s="62">
        <f t="shared" si="144"/>
        <v>219.27079214454579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0.23821311110970428</v>
      </c>
      <c r="AW193" s="23">
        <f>EXP(-LN(2)/2)*AW192+(1-EXP(-LN(2)/2))/(LN(2)/2)*AQ193*AT193*VLOOKUP('Données projet'!$B$10,Paramètres!$A$1:$I$89,3,0)*0.475*44/12</f>
        <v>6.0643808498546395E-25</v>
      </c>
      <c r="AX193" s="23">
        <f t="shared" si="166"/>
        <v>0.23821311110970428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3.3992364478763198E-14</v>
      </c>
      <c r="BF193" s="14">
        <f t="shared" si="167"/>
        <v>5.790027782444094E-13</v>
      </c>
      <c r="BG193" s="22">
        <f t="shared" si="168"/>
        <v>1.0676332069095257E-12</v>
      </c>
      <c r="BH193" s="62">
        <f t="shared" si="116"/>
        <v>293.33333333333439</v>
      </c>
      <c r="BI193" s="62">
        <f ca="1">AVERAGE(OFFSET($BH$3,0,0,'Données projet'!$E$11+1,1))-AVERAGE(OFFSET($H$3,0,0,'Données projet'!$E$11+1,1))</f>
        <v>150.99976380209381</v>
      </c>
      <c r="BJ193" s="62">
        <f t="shared" si="146"/>
        <v>306.39227726293234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4.1555658711720902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2.2001758890040301E-22</v>
      </c>
      <c r="BS193" s="24">
        <f t="shared" si="169"/>
        <v>4.1555658711720902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266.99999999999983</v>
      </c>
      <c r="AJ194" s="14">
        <f>AI194*VLOOKUP('Données projet'!$B$10,Paramètres!$A$1:$I$89,3,0)*VLOOKUP('Données projet'!$B$10,Paramètres!$A$1:$I$89,5,0)</f>
        <v>216.59039999999987</v>
      </c>
      <c r="AK194" s="14">
        <f t="shared" si="164"/>
        <v>53.373153688190904</v>
      </c>
      <c r="AL194" s="22">
        <f t="shared" si="165"/>
        <v>470.18652267359886</v>
      </c>
      <c r="AM194" s="62">
        <f t="shared" si="113"/>
        <v>763.51985600693217</v>
      </c>
      <c r="AN194" s="62">
        <f ca="1">AVERAGE(OFFSET($AM$3,0,0,'Données projet'!$E$10+1,1))-AVERAGE(OFFSET($H$3,0,0,'Données projet'!$E$10+1,1))</f>
        <v>219.96569743439244</v>
      </c>
      <c r="AO194" s="62">
        <f t="shared" si="144"/>
        <v>219.27079214454579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0.23169916105932634</v>
      </c>
      <c r="AW194" s="23">
        <f>EXP(-LN(2)/2)*AW193+(1-EXP(-LN(2)/2))/(LN(2)/2)*AQ194*AT194*VLOOKUP('Données projet'!$B$10,Paramètres!$A$1:$I$89,3,0)*0.475*44/12</f>
        <v>4.2881648226300537E-25</v>
      </c>
      <c r="AX194" s="23">
        <f t="shared" si="166"/>
        <v>0.23169916105932634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3.3992364478763198E-14</v>
      </c>
      <c r="BF194" s="14">
        <f t="shared" si="167"/>
        <v>5.790027782444094E-13</v>
      </c>
      <c r="BG194" s="22">
        <f t="shared" si="168"/>
        <v>1.0676332069095257E-12</v>
      </c>
      <c r="BH194" s="62">
        <f t="shared" si="116"/>
        <v>293.33333333333439</v>
      </c>
      <c r="BI194" s="62">
        <f ca="1">AVERAGE(OFFSET($BH$3,0,0,'Données projet'!$E$11+1,1))-AVERAGE(OFFSET($H$3,0,0,'Données projet'!$E$11+1,1))</f>
        <v>150.99976380209381</v>
      </c>
      <c r="BJ194" s="62">
        <f t="shared" si="146"/>
        <v>306.39227726293234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4.0740777590833117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1.5557592909178904E-22</v>
      </c>
      <c r="BS194" s="24">
        <f t="shared" si="169"/>
        <v>4.0740777590833117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266.99999999999983</v>
      </c>
      <c r="AJ195" s="14">
        <f>AI195*VLOOKUP('Données projet'!$B$10,Paramètres!$A$1:$I$89,3,0)*VLOOKUP('Données projet'!$B$10,Paramètres!$A$1:$I$89,5,0)</f>
        <v>216.59039999999987</v>
      </c>
      <c r="AK195" s="14">
        <f t="shared" si="164"/>
        <v>53.373153688190904</v>
      </c>
      <c r="AL195" s="22">
        <f t="shared" si="165"/>
        <v>470.18652267359886</v>
      </c>
      <c r="AM195" s="62">
        <f t="shared" si="113"/>
        <v>763.51985600693217</v>
      </c>
      <c r="AN195" s="62">
        <f ca="1">AVERAGE(OFFSET($AM$3,0,0,'Données projet'!$E$10+1,1))-AVERAGE(OFFSET($H$3,0,0,'Données projet'!$E$10+1,1))</f>
        <v>219.96569743439244</v>
      </c>
      <c r="AO195" s="62">
        <f t="shared" si="144"/>
        <v>219.27079214454579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0.22536333531562974</v>
      </c>
      <c r="AW195" s="23">
        <f>EXP(-LN(2)/2)*AW194+(1-EXP(-LN(2)/2))/(LN(2)/2)*AQ195*AT195*VLOOKUP('Données projet'!$B$10,Paramètres!$A$1:$I$89,3,0)*0.475*44/12</f>
        <v>3.0321904249273197E-25</v>
      </c>
      <c r="AX195" s="23">
        <f t="shared" si="166"/>
        <v>0.22536333531562974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3.3992364478763198E-14</v>
      </c>
      <c r="BF195" s="14">
        <f t="shared" si="167"/>
        <v>5.790027782444094E-13</v>
      </c>
      <c r="BG195" s="22">
        <f t="shared" si="168"/>
        <v>1.0676332069095257E-12</v>
      </c>
      <c r="BH195" s="62">
        <f t="shared" si="116"/>
        <v>293.33333333333439</v>
      </c>
      <c r="BI195" s="62">
        <f ca="1">AVERAGE(OFFSET($BH$3,0,0,'Données projet'!$E$11+1,1))-AVERAGE(OFFSET($H$3,0,0,'Données projet'!$E$11+1,1))</f>
        <v>150.99976380209381</v>
      </c>
      <c r="BJ195" s="62">
        <f t="shared" si="146"/>
        <v>306.39227726293234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3.9941875791697532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1.1000879445020151E-22</v>
      </c>
      <c r="BS195" s="24">
        <f t="shared" si="169"/>
        <v>3.9941875791697532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266.99999999999983</v>
      </c>
      <c r="AJ196" s="14">
        <f>AI196*VLOOKUP('Données projet'!$B$10,Paramètres!$A$1:$I$89,3,0)*VLOOKUP('Données projet'!$B$10,Paramètres!$A$1:$I$89,5,0)</f>
        <v>216.59039999999987</v>
      </c>
      <c r="AK196" s="14">
        <f t="shared" si="164"/>
        <v>53.373153688190904</v>
      </c>
      <c r="AL196" s="22">
        <f t="shared" si="165"/>
        <v>470.18652267359886</v>
      </c>
      <c r="AM196" s="62">
        <f t="shared" ref="AM196:AM203" si="193">AL196+(AD196+AE196)*44/12</f>
        <v>763.51985600693217</v>
      </c>
      <c r="AN196" s="62">
        <f ca="1">AVERAGE(OFFSET($AM$3,0,0,'Données projet'!$E$10+1,1))-AVERAGE(OFFSET($H$3,0,0,'Données projet'!$E$10+1,1))</f>
        <v>219.96569743439244</v>
      </c>
      <c r="AO196" s="62">
        <f t="shared" si="144"/>
        <v>219.27079214454579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0.21920076306008113</v>
      </c>
      <c r="AW196" s="23">
        <f>EXP(-LN(2)/2)*AW195+(1-EXP(-LN(2)/2))/(LN(2)/2)*AQ196*AT196*VLOOKUP('Données projet'!$B$10,Paramètres!$A$1:$I$89,3,0)*0.475*44/12</f>
        <v>2.1440824113150268E-25</v>
      </c>
      <c r="AX196" s="23">
        <f t="shared" si="166"/>
        <v>0.21920076306008113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3.3992364478763198E-14</v>
      </c>
      <c r="BF196" s="14">
        <f t="shared" si="167"/>
        <v>5.790027782444094E-13</v>
      </c>
      <c r="BG196" s="22">
        <f t="shared" si="168"/>
        <v>1.0676332069095257E-12</v>
      </c>
      <c r="BH196" s="62">
        <f t="shared" ref="BH196:BH203" si="194">BG196+(AY196+AZ196)*44/12</f>
        <v>293.33333333333439</v>
      </c>
      <c r="BI196" s="62">
        <f ca="1">AVERAGE(OFFSET($BH$3,0,0,'Données projet'!$E$11+1,1))-AVERAGE(OFFSET($H$3,0,0,'Données projet'!$E$11+1,1))</f>
        <v>150.99976380209381</v>
      </c>
      <c r="BJ196" s="62">
        <f t="shared" si="146"/>
        <v>306.39227726293234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3.9158639969561015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7.7787964545894522E-23</v>
      </c>
      <c r="BS196" s="24">
        <f t="shared" si="169"/>
        <v>3.9158639969561015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266.99999999999983</v>
      </c>
      <c r="AJ197" s="14">
        <f>AI197*VLOOKUP('Données projet'!$B$10,Paramètres!$A$1:$I$89,3,0)*VLOOKUP('Données projet'!$B$10,Paramètres!$A$1:$I$89,5,0)</f>
        <v>216.59039999999987</v>
      </c>
      <c r="AK197" s="14">
        <f t="shared" si="164"/>
        <v>53.373153688190904</v>
      </c>
      <c r="AL197" s="22">
        <f t="shared" si="165"/>
        <v>470.18652267359886</v>
      </c>
      <c r="AM197" s="62">
        <f t="shared" si="193"/>
        <v>763.51985600693217</v>
      </c>
      <c r="AN197" s="62">
        <f ca="1">AVERAGE(OFFSET($AM$3,0,0,'Données projet'!$E$10+1,1))-AVERAGE(OFFSET($H$3,0,0,'Données projet'!$E$10+1,1))</f>
        <v>219.96569743439244</v>
      </c>
      <c r="AO197" s="62">
        <f t="shared" ref="AO197:AO203" si="205">$AO$3</f>
        <v>219.27079214454579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0.21320670666693606</v>
      </c>
      <c r="AW197" s="23">
        <f>EXP(-LN(2)/2)*AW196+(1-EXP(-LN(2)/2))/(LN(2)/2)*AQ197*AT197*VLOOKUP('Données projet'!$B$10,Paramètres!$A$1:$I$89,3,0)*0.475*44/12</f>
        <v>1.5160952124636599E-25</v>
      </c>
      <c r="AX197" s="23">
        <f t="shared" si="166"/>
        <v>0.21320670666693606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3.3992364478763198E-14</v>
      </c>
      <c r="BF197" s="14">
        <f t="shared" si="167"/>
        <v>5.790027782444094E-13</v>
      </c>
      <c r="BG197" s="22">
        <f t="shared" si="168"/>
        <v>1.0676332069095257E-12</v>
      </c>
      <c r="BH197" s="62">
        <f t="shared" si="194"/>
        <v>293.33333333333439</v>
      </c>
      <c r="BI197" s="62">
        <f ca="1">AVERAGE(OFFSET($BH$3,0,0,'Données projet'!$E$11+1,1))-AVERAGE(OFFSET($H$3,0,0,'Données projet'!$E$11+1,1))</f>
        <v>150.99976380209381</v>
      </c>
      <c r="BJ197" s="62">
        <f t="shared" ref="BJ197:BJ203" si="206">$BJ$3</f>
        <v>306.39227726293234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3.8390762924169914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5.5004397225100753E-23</v>
      </c>
      <c r="BS197" s="24">
        <f t="shared" si="169"/>
        <v>3.8390762924169914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266.99999999999983</v>
      </c>
      <c r="AJ198" s="14">
        <f>AI198*VLOOKUP('Données projet'!$B$10,Paramètres!$A$1:$I$89,3,0)*VLOOKUP('Données projet'!$B$10,Paramètres!$A$1:$I$89,5,0)</f>
        <v>216.59039999999987</v>
      </c>
      <c r="AK198" s="14">
        <f t="shared" si="164"/>
        <v>53.373153688190904</v>
      </c>
      <c r="AL198" s="22">
        <f t="shared" si="165"/>
        <v>470.18652267359886</v>
      </c>
      <c r="AM198" s="62">
        <f t="shared" si="193"/>
        <v>763.51985600693217</v>
      </c>
      <c r="AN198" s="62">
        <f ca="1">AVERAGE(OFFSET($AM$3,0,0,'Données projet'!$E$10+1,1))-AVERAGE(OFFSET($H$3,0,0,'Données projet'!$E$10+1,1))</f>
        <v>219.96569743439244</v>
      </c>
      <c r="AO198" s="62">
        <f t="shared" si="205"/>
        <v>219.27079214454579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0.20737655806107527</v>
      </c>
      <c r="AW198" s="23">
        <f>EXP(-LN(2)/2)*AW197+(1-EXP(-LN(2)/2))/(LN(2)/2)*AQ198*AT198*VLOOKUP('Données projet'!$B$10,Paramètres!$A$1:$I$89,3,0)*0.475*44/12</f>
        <v>1.0720412056575134E-25</v>
      </c>
      <c r="AX198" s="23">
        <f t="shared" si="166"/>
        <v>0.20737655806107527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3.3992364478763198E-14</v>
      </c>
      <c r="BF198" s="14">
        <f t="shared" si="167"/>
        <v>5.790027782444094E-13</v>
      </c>
      <c r="BG198" s="22">
        <f t="shared" si="168"/>
        <v>1.0676332069095257E-12</v>
      </c>
      <c r="BH198" s="62">
        <f t="shared" si="194"/>
        <v>293.33333333333439</v>
      </c>
      <c r="BI198" s="62">
        <f ca="1">AVERAGE(OFFSET($BH$3,0,0,'Données projet'!$E$11+1,1))-AVERAGE(OFFSET($H$3,0,0,'Données projet'!$E$11+1,1))</f>
        <v>150.99976380209381</v>
      </c>
      <c r="BJ198" s="62">
        <f t="shared" si="206"/>
        <v>306.39227726293234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3.7637943479280183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3.8893982272947261E-23</v>
      </c>
      <c r="BS198" s="24">
        <f t="shared" si="169"/>
        <v>3.7637943479280183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266.99999999999983</v>
      </c>
      <c r="AJ199" s="14">
        <f>AI199*VLOOKUP('Données projet'!$B$10,Paramètres!$A$1:$I$89,3,0)*VLOOKUP('Données projet'!$B$10,Paramètres!$A$1:$I$89,5,0)</f>
        <v>216.59039999999987</v>
      </c>
      <c r="AK199" s="14">
        <f t="shared" si="164"/>
        <v>53.373153688190904</v>
      </c>
      <c r="AL199" s="22">
        <f t="shared" si="165"/>
        <v>470.18652267359886</v>
      </c>
      <c r="AM199" s="62">
        <f t="shared" si="193"/>
        <v>763.51985600693217</v>
      </c>
      <c r="AN199" s="62">
        <f ca="1">AVERAGE(OFFSET($AM$3,0,0,'Données projet'!$E$10+1,1))-AVERAGE(OFFSET($H$3,0,0,'Données projet'!$E$10+1,1))</f>
        <v>219.96569743439244</v>
      </c>
      <c r="AO199" s="62">
        <f t="shared" si="205"/>
        <v>219.27079214454579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0.20170583517543594</v>
      </c>
      <c r="AW199" s="23">
        <f>EXP(-LN(2)/2)*AW198+(1-EXP(-LN(2)/2))/(LN(2)/2)*AQ199*AT199*VLOOKUP('Données projet'!$B$10,Paramètres!$A$1:$I$89,3,0)*0.475*44/12</f>
        <v>7.5804760623182994E-26</v>
      </c>
      <c r="AX199" s="23">
        <f t="shared" si="166"/>
        <v>0.20170583517543594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3.3992364478763198E-14</v>
      </c>
      <c r="BF199" s="14">
        <f t="shared" si="167"/>
        <v>5.790027782444094E-13</v>
      </c>
      <c r="BG199" s="22">
        <f t="shared" si="168"/>
        <v>1.0676332069095257E-12</v>
      </c>
      <c r="BH199" s="62">
        <f t="shared" si="194"/>
        <v>293.33333333333439</v>
      </c>
      <c r="BI199" s="62">
        <f ca="1">AVERAGE(OFFSET($BH$3,0,0,'Données projet'!$E$11+1,1))-AVERAGE(OFFSET($H$3,0,0,'Données projet'!$E$11+1,1))</f>
        <v>150.99976380209381</v>
      </c>
      <c r="BJ199" s="62">
        <f t="shared" si="206"/>
        <v>306.39227726293234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3.6899886364530219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2.7502198612550377E-23</v>
      </c>
      <c r="BS199" s="24">
        <f t="shared" si="169"/>
        <v>3.6899886364530219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266.99999999999983</v>
      </c>
      <c r="AJ200" s="14">
        <f>AI200*VLOOKUP('Données projet'!$B$10,Paramètres!$A$1:$I$89,3,0)*VLOOKUP('Données projet'!$B$10,Paramètres!$A$1:$I$89,5,0)</f>
        <v>216.59039999999987</v>
      </c>
      <c r="AK200" s="14">
        <f t="shared" si="164"/>
        <v>53.373153688190904</v>
      </c>
      <c r="AL200" s="22">
        <f t="shared" si="165"/>
        <v>470.18652267359886</v>
      </c>
      <c r="AM200" s="62">
        <f t="shared" si="193"/>
        <v>763.51985600693217</v>
      </c>
      <c r="AN200" s="62">
        <f ca="1">AVERAGE(OFFSET($AM$3,0,0,'Données projet'!$E$10+1,1))-AVERAGE(OFFSET($H$3,0,0,'Données projet'!$E$10+1,1))</f>
        <v>219.96569743439244</v>
      </c>
      <c r="AO200" s="62">
        <f t="shared" si="205"/>
        <v>219.27079214454579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0.19619017850531478</v>
      </c>
      <c r="AW200" s="23">
        <f>EXP(-LN(2)/2)*AW199+(1-EXP(-LN(2)/2))/(LN(2)/2)*AQ200*AT200*VLOOKUP('Données projet'!$B$10,Paramètres!$A$1:$I$89,3,0)*0.475*44/12</f>
        <v>5.3602060282875671E-26</v>
      </c>
      <c r="AX200" s="23">
        <f t="shared" si="166"/>
        <v>0.19619017850531478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3.3992364478763198E-14</v>
      </c>
      <c r="BF200" s="14">
        <f t="shared" si="167"/>
        <v>5.790027782444094E-13</v>
      </c>
      <c r="BG200" s="22">
        <f t="shared" si="168"/>
        <v>1.0676332069095257E-12</v>
      </c>
      <c r="BH200" s="62">
        <f t="shared" si="194"/>
        <v>293.33333333333439</v>
      </c>
      <c r="BI200" s="62">
        <f ca="1">AVERAGE(OFFSET($BH$3,0,0,'Données projet'!$E$11+1,1))-AVERAGE(OFFSET($H$3,0,0,'Données projet'!$E$11+1,1))</f>
        <v>150.99976380209381</v>
      </c>
      <c r="BJ200" s="62">
        <f t="shared" si="206"/>
        <v>306.39227726293234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3.6176302099630111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1.944699113647363E-23</v>
      </c>
      <c r="BS200" s="24">
        <f t="shared" si="169"/>
        <v>3.6176302099630111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266.99999999999983</v>
      </c>
      <c r="AJ201" s="14">
        <f>AI201*VLOOKUP('Données projet'!$B$10,Paramètres!$A$1:$I$89,3,0)*VLOOKUP('Données projet'!$B$10,Paramètres!$A$1:$I$89,5,0)</f>
        <v>216.59039999999987</v>
      </c>
      <c r="AK201" s="14">
        <f t="shared" si="164"/>
        <v>53.373153688190904</v>
      </c>
      <c r="AL201" s="22">
        <f t="shared" si="165"/>
        <v>470.18652267359886</v>
      </c>
      <c r="AM201" s="62">
        <f t="shared" si="193"/>
        <v>763.51985600693217</v>
      </c>
      <c r="AN201" s="62">
        <f ca="1">AVERAGE(OFFSET($AM$3,0,0,'Données projet'!$E$10+1,1))-AVERAGE(OFFSET($H$3,0,0,'Données projet'!$E$10+1,1))</f>
        <v>219.96569743439244</v>
      </c>
      <c r="AO201" s="62">
        <f t="shared" si="205"/>
        <v>219.27079214454579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0.19082534775689386</v>
      </c>
      <c r="AW201" s="23">
        <f>EXP(-LN(2)/2)*AW200+(1-EXP(-LN(2)/2))/(LN(2)/2)*AQ201*AT201*VLOOKUP('Données projet'!$B$10,Paramètres!$A$1:$I$89,3,0)*0.475*44/12</f>
        <v>3.7902380311591497E-26</v>
      </c>
      <c r="AX201" s="23">
        <f t="shared" si="166"/>
        <v>0.19082534775689386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3.3992364478763198E-14</v>
      </c>
      <c r="BF201" s="14">
        <f t="shared" si="167"/>
        <v>5.790027782444094E-13</v>
      </c>
      <c r="BG201" s="22">
        <f t="shared" si="168"/>
        <v>1.0676332069095257E-12</v>
      </c>
      <c r="BH201" s="62">
        <f t="shared" si="194"/>
        <v>293.33333333333439</v>
      </c>
      <c r="BI201" s="62">
        <f ca="1">AVERAGE(OFFSET($BH$3,0,0,'Données projet'!$E$11+1,1))-AVERAGE(OFFSET($H$3,0,0,'Données projet'!$E$11+1,1))</f>
        <v>150.99976380209381</v>
      </c>
      <c r="BJ201" s="62">
        <f t="shared" si="206"/>
        <v>306.39227726293234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3.5466906880821871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1.3751099306275188E-23</v>
      </c>
      <c r="BS201" s="24">
        <f t="shared" si="169"/>
        <v>3.5466906880821871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266.99999999999983</v>
      </c>
      <c r="AJ202" s="14">
        <f>AI202*VLOOKUP('Données projet'!$B$10,Paramètres!$A$1:$I$89,3,0)*VLOOKUP('Données projet'!$B$10,Paramètres!$A$1:$I$89,5,0)</f>
        <v>216.59039999999987</v>
      </c>
      <c r="AK202" s="14">
        <f t="shared" si="164"/>
        <v>53.373153688190904</v>
      </c>
      <c r="AL202" s="22">
        <f t="shared" si="165"/>
        <v>470.18652267359886</v>
      </c>
      <c r="AM202" s="62">
        <f t="shared" si="193"/>
        <v>763.51985600693217</v>
      </c>
      <c r="AN202" s="62">
        <f ca="1">AVERAGE(OFFSET($AM$3,0,0,'Données projet'!$E$10+1,1))-AVERAGE(OFFSET($H$3,0,0,'Données projet'!$E$10+1,1))</f>
        <v>219.96569743439244</v>
      </c>
      <c r="AO202" s="62">
        <f t="shared" si="205"/>
        <v>219.27079214454579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0.18560721858741269</v>
      </c>
      <c r="AW202" s="23">
        <f>EXP(-LN(2)/2)*AW201+(1-EXP(-LN(2)/2))/(LN(2)/2)*AQ202*AT202*VLOOKUP('Données projet'!$B$10,Paramètres!$A$1:$I$89,3,0)*0.475*44/12</f>
        <v>2.6801030141437836E-26</v>
      </c>
      <c r="AX202" s="23">
        <f t="shared" si="166"/>
        <v>0.18560721858741269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3.3992364478763198E-14</v>
      </c>
      <c r="BF202" s="14">
        <f t="shared" si="167"/>
        <v>5.790027782444094E-13</v>
      </c>
      <c r="BG202" s="22">
        <f t="shared" si="168"/>
        <v>1.0676332069095257E-12</v>
      </c>
      <c r="BH202" s="62">
        <f t="shared" si="194"/>
        <v>293.33333333333439</v>
      </c>
      <c r="BI202" s="62">
        <f ca="1">AVERAGE(OFFSET($BH$3,0,0,'Données projet'!$E$11+1,1))-AVERAGE(OFFSET($H$3,0,0,'Données projet'!$E$11+1,1))</f>
        <v>150.99976380209381</v>
      </c>
      <c r="BJ202" s="62">
        <f t="shared" si="206"/>
        <v>306.39227726293234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3.47714224695661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9.7234955682368152E-24</v>
      </c>
      <c r="BS202" s="24">
        <f t="shared" si="169"/>
        <v>3.47714224695661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266.99999999999983</v>
      </c>
      <c r="AJ203" s="14">
        <f>AI203*VLOOKUP('Données projet'!$B$10,Paramètres!$A$1:$I$89,3,0)*VLOOKUP('Données projet'!$B$10,Paramètres!$A$1:$I$89,5,0)</f>
        <v>216.59039999999987</v>
      </c>
      <c r="AK203" s="14">
        <f t="shared" si="164"/>
        <v>53.373153688190904</v>
      </c>
      <c r="AL203" s="22">
        <f t="shared" si="165"/>
        <v>470.18652267359886</v>
      </c>
      <c r="AM203" s="62">
        <f t="shared" si="193"/>
        <v>763.51985600693217</v>
      </c>
      <c r="AN203" s="62">
        <f ca="1">AVERAGE(OFFSET($AM$3,0,0,'Données projet'!$E$10+1,1))-AVERAGE(OFFSET($H$3,0,0,'Données projet'!$E$10+1,1))</f>
        <v>219.96569743439244</v>
      </c>
      <c r="AO203" s="62">
        <f t="shared" si="205"/>
        <v>219.27079214454579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0.18053177943448048</v>
      </c>
      <c r="AW203" s="23">
        <f>EXP(-LN(2)/2)*AW202+(1-EXP(-LN(2)/2))/(LN(2)/2)*AQ203*AT203*VLOOKUP('Données projet'!$B$10,Paramètres!$A$1:$I$89,3,0)*0.475*44/12</f>
        <v>1.8951190155795748E-26</v>
      </c>
      <c r="AX203" s="23">
        <f t="shared" si="166"/>
        <v>0.18053177943448048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3.3992364478763198E-14</v>
      </c>
      <c r="BF203" s="14">
        <f t="shared" si="167"/>
        <v>5.790027782444094E-13</v>
      </c>
      <c r="BG203" s="22">
        <f t="shared" si="168"/>
        <v>1.0676332069095257E-12</v>
      </c>
      <c r="BH203" s="62">
        <f t="shared" si="194"/>
        <v>293.33333333333439</v>
      </c>
      <c r="BI203" s="62">
        <f ca="1">AVERAGE(OFFSET($BH$3,0,0,'Données projet'!$E$11+1,1))-AVERAGE(OFFSET($H$3,0,0,'Données projet'!$E$11+1,1))</f>
        <v>150.99976380209381</v>
      </c>
      <c r="BJ203" s="62">
        <f t="shared" si="206"/>
        <v>306.39227726293234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3.408957608341145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6.8755496531375942E-24</v>
      </c>
      <c r="BS203" s="24">
        <f t="shared" si="169"/>
        <v>3.408957608341145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1.2721747796233518</v>
      </c>
      <c r="BA205" s="88">
        <f>EXP(LN('Données projet'!B88)/'Données projet'!A88)</f>
        <v>1.4261938757879591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L24" sqref="L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20.044749999999997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2961.1935632997292</v>
      </c>
      <c r="G6" s="156">
        <f ca="1">F6*(100%-'Données projet'!$C$24)*(100%-'Données projet'!$C$25)*(100%-'Données projet'!$C$26)*(100%-'Données projet'!$C$27)</f>
        <v>1812.2504607394344</v>
      </c>
      <c r="H6" s="157">
        <f>IF(OR('Données projet'!B9="",'Données projet'!C9="",'Données projet'!C9=0%),0,AVERAGE(Calculateur!$AC$3:$AC$33)*B6)</f>
        <v>301.33428941705802</v>
      </c>
      <c r="I6" s="158">
        <f>H6*(100%-'Données projet'!$C$24)*(100%-'Données projet'!$C$25)*(100%-'Données projet'!$C$26)*(100%-'Données projet'!$C$27)</f>
        <v>184.41658512323949</v>
      </c>
      <c r="J6" s="159">
        <f>IF(OR('Données projet'!B9="",'Données projet'!C9="",'Données projet'!C9=0%),0,SUM(Calculateur!$V$3:$V$33)*VLOOKUP('Données projet'!$B$9,Paramètres!$A$1:$I$89,9,0)*B6)</f>
        <v>5227.2699049999983</v>
      </c>
      <c r="K6" s="160">
        <f>J6*(100%-'Données projet'!$C$24)*(100%-'Données projet'!$C$25)*(100%-'Données projet'!$C$26)*(100%-'Données projet'!$C$27)</f>
        <v>3199.0891818599989</v>
      </c>
      <c r="L6" s="161">
        <f ca="1">G6+I6+K6</f>
        <v>5195.7562277226725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Bouleau verruqueux</v>
      </c>
      <c r="B7" s="163">
        <f>'Données projet'!D10</f>
        <v>5.1712499999999997</v>
      </c>
      <c r="C7" s="156">
        <f ca="1">IF(OR('Données projet'!B10="",'Données projet'!C10="",'Données projet'!C10=0%),0,Calculateur!AN3)</f>
        <v>219.96569743439244</v>
      </c>
      <c r="D7" s="156">
        <f>IF(OR('Données projet'!B10="",'Données projet'!C10="",'Données projet'!C10=0%),0,Calculateur!AO3)</f>
        <v>219.27079214454579</v>
      </c>
      <c r="E7" s="156">
        <f t="shared" ref="E7:E15" ca="1" si="0">MIN(C7,D7)</f>
        <v>219.27079214454579</v>
      </c>
      <c r="F7" s="156">
        <f t="shared" ref="F7:F15" ca="1" si="1">E7*B7</f>
        <v>1133.9040838774824</v>
      </c>
      <c r="G7" s="156">
        <f ca="1">F7*(100%-'Données projet'!$C$24)*(100%-'Données projet'!$C$25)*(100%-'Données projet'!$C$26)*(100%-'Données projet'!$C$27)</f>
        <v>693.94929933301933</v>
      </c>
      <c r="H7" s="164">
        <f>IF(OR('Données projet'!B10="",'Données projet'!C10="",'Données projet'!C10=0%),0,AVERAGE(Calculateur!$AX$3:$AX$33)*B7)</f>
        <v>30.297722859147651</v>
      </c>
      <c r="I7" s="158">
        <f>H7*(100%-'Données projet'!$C$24)*(100%-'Données projet'!$C$25)*(100%-'Données projet'!$C$26)*(100%-'Données projet'!$C$27)</f>
        <v>18.542206389798363</v>
      </c>
      <c r="J7" s="159">
        <f>IF(OR('Données projet'!B10="",'Données projet'!C10="",'Données projet'!C10=0%),0,SUM(Calculateur!$AQ$3:$AQ$33)*VLOOKUP('Données projet'!$B$10,Paramètres!$A$1:$I$89,9,0)*B7)</f>
        <v>127.98843749999999</v>
      </c>
      <c r="K7" s="160">
        <f>J7*(100%-'Données projet'!$C$24)*(100%-'Données projet'!$C$25)*(100%-'Données projet'!$C$26)*(100%-'Données projet'!$C$27)</f>
        <v>78.328923750000001</v>
      </c>
      <c r="L7" s="161">
        <f t="shared" ref="L7:L15" ca="1" si="2">G7+I7+K7</f>
        <v>790.82042947281775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Pin maritime</v>
      </c>
      <c r="B8" s="163">
        <f>'Données projet'!D11</f>
        <v>24.033999999999999</v>
      </c>
      <c r="C8" s="156">
        <f ca="1">IF(OR('Données projet'!B11="",'Données projet'!C11="",'Données projet'!C11=0%),0,Calculateur!BI3)</f>
        <v>150.99976380209381</v>
      </c>
      <c r="D8" s="156">
        <f>IF(OR('Données projet'!B11="",'Données projet'!C11="",'Données projet'!C11=0%),0,Calculateur!BJ3)</f>
        <v>306.39227726293234</v>
      </c>
      <c r="E8" s="156">
        <f t="shared" ca="1" si="0"/>
        <v>150.99976380209381</v>
      </c>
      <c r="F8" s="156">
        <f t="shared" ca="1" si="1"/>
        <v>3629.1283232195224</v>
      </c>
      <c r="G8" s="156">
        <f ca="1">F8*(100%-'Données projet'!$C$24)*(100%-'Données projet'!$C$25)*(100%-'Données projet'!$C$26)*(100%-'Données projet'!$C$27)</f>
        <v>2221.0265338103477</v>
      </c>
      <c r="H8" s="164">
        <f>IF(OR('Données projet'!B11="",'Données projet'!C11="",'Données projet'!C11=0%),0,AVERAGE(Calculateur!$BS$3:$BS$33)*B8)</f>
        <v>232.74482302181903</v>
      </c>
      <c r="I8" s="158">
        <f>H8*(100%-'Données projet'!$C$24)*(100%-'Données projet'!$C$25)*(100%-'Données projet'!$C$26)*(100%-'Données projet'!$C$27)</f>
        <v>142.43983168935324</v>
      </c>
      <c r="J8" s="159">
        <f>IF(OR('Données projet'!B11="",'Données projet'!C11="",'Données projet'!C11=0%),0,SUM(Calculateur!$BL$3:$BL$33)*VLOOKUP('Données projet'!$B$11,Paramètres!$A$1:$I$89,9,0)*B8)</f>
        <v>1701.6071999999999</v>
      </c>
      <c r="K8" s="160">
        <f>J8*(100%-'Données projet'!$C$24)*(100%-'Données projet'!$C$25)*(100%-'Données projet'!$C$26)*(100%-'Données projet'!$C$27)</f>
        <v>1041.3836064</v>
      </c>
      <c r="L8" s="161">
        <f t="shared" ca="1" si="2"/>
        <v>3404.8499718997009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7724.2259703967338</v>
      </c>
      <c r="G16" s="175">
        <f t="shared" ca="1" si="3"/>
        <v>4727.2262938828007</v>
      </c>
      <c r="H16" s="176">
        <f t="shared" si="3"/>
        <v>564.37683529802473</v>
      </c>
      <c r="I16" s="176">
        <f t="shared" si="3"/>
        <v>345.39862320239109</v>
      </c>
      <c r="J16" s="177">
        <f t="shared" si="3"/>
        <v>7056.8655424999979</v>
      </c>
      <c r="K16" s="177">
        <f t="shared" si="3"/>
        <v>4318.8017120099985</v>
      </c>
      <c r="L16" s="178">
        <f t="shared" ca="1" si="3"/>
        <v>9391.4266290951909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Bouleau verruqueux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Pin maritime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90" zoomScaleNormal="90" workbookViewId="0">
      <selection activeCell="V35" sqref="V3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20.044749999999997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Bouleau verruqueux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5.1712499999999997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Pin maritime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24.033999999999999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Bouleau verruqueux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15</v>
      </c>
      <c r="B54" s="193">
        <f>'Données projet'!D62</f>
        <v>15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20</v>
      </c>
      <c r="B55" s="193">
        <f>'Données projet'!D63</f>
        <v>28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28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28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35</v>
      </c>
      <c r="B58" s="193">
        <f>'Données projet'!D66</f>
        <v>28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40</v>
      </c>
      <c r="B59" s="193">
        <f>'Données projet'!D67</f>
        <v>28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45</v>
      </c>
      <c r="B60" s="193">
        <f>'Données projet'!D68</f>
        <v>22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50</v>
      </c>
      <c r="B61" s="193">
        <f>'Données projet'!D69</f>
        <v>17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55</v>
      </c>
      <c r="B62" s="193">
        <f>'Données projet'!D70</f>
        <v>13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60</v>
      </c>
      <c r="B63" s="193">
        <f>'Données projet'!D71</f>
        <v>12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65</v>
      </c>
      <c r="B64" s="193">
        <f>'Données projet'!D72</f>
        <v>11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70</v>
      </c>
      <c r="B65" s="193">
        <f>'Données projet'!D73</f>
        <v>10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75</v>
      </c>
      <c r="B66" s="193">
        <f>'Données projet'!D74</f>
        <v>9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80</v>
      </c>
      <c r="B67" s="193">
        <f>'Données projet'!D75</f>
        <v>8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Pin maritime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13</v>
      </c>
      <c r="B85" s="193">
        <f>'Données projet'!D88</f>
        <v>28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18</v>
      </c>
      <c r="B86" s="193">
        <f>'Données projet'!D89</f>
        <v>40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23</v>
      </c>
      <c r="B87" s="193">
        <f>'Données projet'!D90</f>
        <v>52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34</v>
      </c>
      <c r="B88" s="193">
        <f>'Données projet'!D91</f>
        <v>325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2023-07-10T09:58:21Z</dcterms:modified>
</cp:coreProperties>
</file>