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Dijon\VOUDENAY\"/>
    </mc:Choice>
  </mc:AlternateContent>
  <xr:revisionPtr revIDLastSave="0" documentId="13_ncr:1_{40224337-C0E3-45D7-8934-A5C130CDE657}" xr6:coauthVersionLast="47" xr6:coauthVersionMax="47" xr10:uidLastSave="{00000000-0000-0000-0000-000000000000}"/>
  <bookViews>
    <workbookView xWindow="-108" yWindow="-108" windowWidth="23256" windowHeight="1257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4" i="1" l="1"/>
  <c r="B71" i="1"/>
  <c r="B70" i="1"/>
  <c r="B69" i="1"/>
  <c r="B68" i="1"/>
  <c r="B67" i="1"/>
  <c r="B66" i="1"/>
  <c r="B65" i="1"/>
  <c r="B64" i="1"/>
  <c r="B63" i="1"/>
  <c r="B43" i="1"/>
  <c r="D43" i="1" s="1"/>
  <c r="D42" i="1"/>
  <c r="D41" i="1"/>
  <c r="D40" i="1"/>
  <c r="D39" i="1"/>
  <c r="D38" i="1"/>
  <c r="D37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68" i="2" a="1"/>
  <c r="BC68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66" i="2" a="1"/>
  <c r="AH166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47" i="2" l="1" a="1"/>
  <c r="BC47" i="2" s="1"/>
  <c r="BC58" i="2" a="1"/>
  <c r="BC58" i="2" s="1"/>
  <c r="AH199" i="2" a="1"/>
  <c r="AH199" i="2" s="1"/>
  <c r="AH19" i="2" a="1"/>
  <c r="AH19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<sst xmlns="http://schemas.openxmlformats.org/spreadsheetml/2006/main" count="1172" uniqueCount="324">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</sst>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0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2.0575379614796372</c:v>
                </c:pt>
                <c:pt idx="2">
                  <c:v>2.9133398068911021</c:v>
                </c:pt>
                <c:pt idx="3">
                  <c:v>4.1266638689145365</c:v>
                </c:pt>
                <c:pt idx="4">
                  <c:v>5.8474843900153717</c:v>
                </c:pt>
                <c:pt idx="5">
                  <c:v>8.2889276698844174</c:v>
                </c:pt>
                <c:pt idx="6">
                  <c:v>11.753958229926276</c:v>
                </c:pt>
                <c:pt idx="7">
                  <c:v>16.673378126901387</c:v>
                </c:pt>
                <c:pt idx="8">
                  <c:v>23.659949504836316</c:v>
                </c:pt>
                <c:pt idx="9">
                  <c:v>33.585501037747001</c:v>
                </c:pt>
                <c:pt idx="10">
                  <c:v>47.690805729373977</c:v>
                </c:pt>
                <c:pt idx="11">
                  <c:v>75.558860801897666</c:v>
                </c:pt>
                <c:pt idx="12">
                  <c:v>103.15988932242193</c:v>
                </c:pt>
                <c:pt idx="13">
                  <c:v>130.57674992713748</c:v>
                </c:pt>
                <c:pt idx="14">
                  <c:v>157.85387700396475</c:v>
                </c:pt>
                <c:pt idx="15">
                  <c:v>185.0189099293344</c:v>
                </c:pt>
                <c:pt idx="16">
                  <c:v>212.09065246496911</c:v>
                </c:pt>
                <c:pt idx="17">
                  <c:v>239.08269579606318</c:v>
                </c:pt>
                <c:pt idx="18">
                  <c:v>266.00530378420564</c:v>
                </c:pt>
                <c:pt idx="19">
                  <c:v>292.86648987993851</c:v>
                </c:pt>
                <c:pt idx="20">
                  <c:v>319.67267638199866</c:v>
                </c:pt>
                <c:pt idx="21">
                  <c:v>205.69292373404804</c:v>
                </c:pt>
                <c:pt idx="22">
                  <c:v>241.97042473428789</c:v>
                </c:pt>
                <c:pt idx="23">
                  <c:v>278.12400868528636</c:v>
                </c:pt>
                <c:pt idx="24">
                  <c:v>314.17205102468091</c:v>
                </c:pt>
                <c:pt idx="25">
                  <c:v>350.12835739990146</c:v>
                </c:pt>
                <c:pt idx="26">
                  <c:v>386.00366373649166</c:v>
                </c:pt>
                <c:pt idx="27">
                  <c:v>421.80654704119564</c:v>
                </c:pt>
                <c:pt idx="28">
                  <c:v>457.54400989580841</c:v>
                </c:pt>
                <c:pt idx="29">
                  <c:v>493.22187244613178</c:v>
                </c:pt>
                <c:pt idx="30">
                  <c:v>528.84504491471182</c:v>
                </c:pt>
                <c:pt idx="31">
                  <c:v>380.76413736439571</c:v>
                </c:pt>
                <c:pt idx="32">
                  <c:v>415.50731229097477</c:v>
                </c:pt>
                <c:pt idx="33">
                  <c:v>450.18785522380881</c:v>
                </c:pt>
                <c:pt idx="34">
                  <c:v>484.8112620680497</c:v>
                </c:pt>
                <c:pt idx="35">
                  <c:v>519.38218040475874</c:v>
                </c:pt>
                <c:pt idx="36">
                  <c:v>553.90458932902277</c:v>
                </c:pt>
                <c:pt idx="37">
                  <c:v>588.38193210780025</c:v>
                </c:pt>
                <c:pt idx="38">
                  <c:v>622.81721612844763</c:v>
                </c:pt>
                <c:pt idx="39">
                  <c:v>657.21308960049214</c:v>
                </c:pt>
                <c:pt idx="40">
                  <c:v>691.57190137448958</c:v>
                </c:pt>
                <c:pt idx="41">
                  <c:v>539.01365151586447</c:v>
                </c:pt>
                <c:pt idx="42">
                  <c:v>568.07863482731716</c:v>
                </c:pt>
                <c:pt idx="43">
                  <c:v>597.11255058718575</c:v>
                </c:pt>
                <c:pt idx="44">
                  <c:v>626.11711964454901</c:v>
                </c:pt>
                <c:pt idx="45">
                  <c:v>655.09389063044625</c:v>
                </c:pt>
                <c:pt idx="46">
                  <c:v>684.04426419847312</c:v>
                </c:pt>
                <c:pt idx="47">
                  <c:v>712.96951295203337</c:v>
                </c:pt>
                <c:pt idx="48">
                  <c:v>741.87079797292688</c:v>
                </c:pt>
                <c:pt idx="49">
                  <c:v>770.74918264325231</c:v>
                </c:pt>
                <c:pt idx="50">
                  <c:v>799.60564429058593</c:v>
                </c:pt>
                <c:pt idx="51">
                  <c:v>661.68649249180817</c:v>
                </c:pt>
                <c:pt idx="52">
                  <c:v>685.92633203218918</c:v>
                </c:pt>
                <c:pt idx="53">
                  <c:v>710.14861029192286</c:v>
                </c:pt>
                <c:pt idx="54">
                  <c:v>734.35400976783649</c:v>
                </c:pt>
                <c:pt idx="55">
                  <c:v>758.54316435646831</c:v>
                </c:pt>
                <c:pt idx="56">
                  <c:v>782.71666428503977</c:v>
                </c:pt>
                <c:pt idx="57">
                  <c:v>806.87506040233473</c:v>
                </c:pt>
                <c:pt idx="58">
                  <c:v>831.01886792961568</c:v>
                </c:pt>
                <c:pt idx="59">
                  <c:v>855.14856975354303</c:v>
                </c:pt>
                <c:pt idx="60">
                  <c:v>879.26461932860639</c:v>
                </c:pt>
                <c:pt idx="61">
                  <c:v>780.95697426856452</c:v>
                </c:pt>
                <c:pt idx="62">
                  <c:v>801.0127318113814</c:v>
                </c:pt>
                <c:pt idx="63">
                  <c:v>821.05835347290338</c:v>
                </c:pt>
                <c:pt idx="64">
                  <c:v>841.09412125848519</c:v>
                </c:pt>
                <c:pt idx="65">
                  <c:v>861.12030265969315</c:v>
                </c:pt>
                <c:pt idx="66">
                  <c:v>881.13715172820503</c:v>
                </c:pt>
                <c:pt idx="67">
                  <c:v>901.14491004717593</c:v>
                </c:pt>
                <c:pt idx="68">
                  <c:v>921.14380761196799</c:v>
                </c:pt>
                <c:pt idx="69">
                  <c:v>941.13406363052036</c:v>
                </c:pt>
                <c:pt idx="70">
                  <c:v>961.11588725227614</c:v>
                </c:pt>
                <c:pt idx="71">
                  <c:v>877.04088347687787</c:v>
                </c:pt>
                <c:pt idx="72">
                  <c:v>893.54067793915567</c:v>
                </c:pt>
                <c:pt idx="73">
                  <c:v>910.03438961413349</c:v>
                </c:pt>
                <c:pt idx="74">
                  <c:v>926.5221441533381</c:v>
                </c:pt>
                <c:pt idx="75">
                  <c:v>943.0040623769188</c:v>
                </c:pt>
                <c:pt idx="76">
                  <c:v>959.4802605423265</c:v>
                </c:pt>
                <c:pt idx="77">
                  <c:v>975.95085059359735</c:v>
                </c:pt>
                <c:pt idx="78">
                  <c:v>992.41594039296217</c:v>
                </c:pt>
                <c:pt idx="79">
                  <c:v>1008.8756339363023</c:v>
                </c:pt>
                <c:pt idx="80">
                  <c:v>1025.3300315538318</c:v>
                </c:pt>
                <c:pt idx="81">
                  <c:v>1.4514589267555721E-11</c:v>
                </c:pt>
                <c:pt idx="82">
                  <c:v>1.4514589267555721E-11</c:v>
                </c:pt>
                <c:pt idx="83">
                  <c:v>1.4514589267555721E-11</c:v>
                </c:pt>
                <c:pt idx="84">
                  <c:v>1.4514589267555721E-11</c:v>
                </c:pt>
                <c:pt idx="85">
                  <c:v>1.4514589267555721E-11</c:v>
                </c:pt>
                <c:pt idx="86">
                  <c:v>1.4514589267555721E-11</c:v>
                </c:pt>
                <c:pt idx="87">
                  <c:v>1.4514589267555721E-11</c:v>
                </c:pt>
                <c:pt idx="88">
                  <c:v>1.4514589267555721E-11</c:v>
                </c:pt>
                <c:pt idx="89">
                  <c:v>1.4514589267555721E-11</c:v>
                </c:pt>
                <c:pt idx="90">
                  <c:v>1.4514589267555721E-11</c:v>
                </c:pt>
                <c:pt idx="91">
                  <c:v>1.4514589267555721E-11</c:v>
                </c:pt>
                <c:pt idx="92">
                  <c:v>1.4514589267555721E-11</c:v>
                </c:pt>
                <c:pt idx="93">
                  <c:v>1.4514589267555721E-11</c:v>
                </c:pt>
                <c:pt idx="94">
                  <c:v>1.4514589267555721E-11</c:v>
                </c:pt>
                <c:pt idx="95">
                  <c:v>1.4514589267555721E-11</c:v>
                </c:pt>
                <c:pt idx="96">
                  <c:v>1.4514589267555721E-11</c:v>
                </c:pt>
                <c:pt idx="97">
                  <c:v>1.4514589267555721E-11</c:v>
                </c:pt>
                <c:pt idx="98">
                  <c:v>1.4514589267555721E-11</c:v>
                </c:pt>
                <c:pt idx="99">
                  <c:v>1.4514589267555721E-11</c:v>
                </c:pt>
                <c:pt idx="100">
                  <c:v>1.4514589267555721E-11</c:v>
                </c:pt>
                <c:pt idx="101">
                  <c:v>1.4514589267555721E-11</c:v>
                </c:pt>
                <c:pt idx="102">
                  <c:v>1.4514589267555721E-11</c:v>
                </c:pt>
                <c:pt idx="103">
                  <c:v>1.4514589267555721E-11</c:v>
                </c:pt>
                <c:pt idx="104">
                  <c:v>1.4514589267555721E-11</c:v>
                </c:pt>
                <c:pt idx="105">
                  <c:v>1.4514589267555721E-11</c:v>
                </c:pt>
                <c:pt idx="106">
                  <c:v>1.4514589267555721E-11</c:v>
                </c:pt>
                <c:pt idx="107">
                  <c:v>1.4514589267555721E-11</c:v>
                </c:pt>
                <c:pt idx="108">
                  <c:v>1.4514589267555721E-11</c:v>
                </c:pt>
                <c:pt idx="109">
                  <c:v>1.4514589267555721E-11</c:v>
                </c:pt>
                <c:pt idx="110">
                  <c:v>1.4514589267555721E-11</c:v>
                </c:pt>
                <c:pt idx="111">
                  <c:v>1.4514589267555721E-11</c:v>
                </c:pt>
                <c:pt idx="112">
                  <c:v>1.4514589267555721E-11</c:v>
                </c:pt>
                <c:pt idx="113">
                  <c:v>1.4514589267555721E-11</c:v>
                </c:pt>
                <c:pt idx="114">
                  <c:v>1.4514589267555721E-11</c:v>
                </c:pt>
                <c:pt idx="115">
                  <c:v>1.4514589267555721E-11</c:v>
                </c:pt>
                <c:pt idx="116">
                  <c:v>1.4514589267555721E-11</c:v>
                </c:pt>
                <c:pt idx="117">
                  <c:v>1.4514589267555721E-11</c:v>
                </c:pt>
                <c:pt idx="118">
                  <c:v>1.4514589267555721E-11</c:v>
                </c:pt>
                <c:pt idx="119">
                  <c:v>1.4514589267555721E-11</c:v>
                </c:pt>
                <c:pt idx="120">
                  <c:v>1.4514589267555721E-11</c:v>
                </c:pt>
                <c:pt idx="121">
                  <c:v>1.4514589267555721E-11</c:v>
                </c:pt>
                <c:pt idx="122">
                  <c:v>1.4514589267555721E-11</c:v>
                </c:pt>
                <c:pt idx="123">
                  <c:v>1.4514589267555721E-11</c:v>
                </c:pt>
                <c:pt idx="124">
                  <c:v>1.4514589267555721E-11</c:v>
                </c:pt>
                <c:pt idx="125">
                  <c:v>1.4514589267555721E-11</c:v>
                </c:pt>
                <c:pt idx="126">
                  <c:v>1.4514589267555721E-11</c:v>
                </c:pt>
                <c:pt idx="127">
                  <c:v>1.4514589267555721E-11</c:v>
                </c:pt>
                <c:pt idx="128">
                  <c:v>1.4514589267555721E-11</c:v>
                </c:pt>
                <c:pt idx="129">
                  <c:v>1.4514589267555721E-11</c:v>
                </c:pt>
                <c:pt idx="130">
                  <c:v>1.4514589267555721E-11</c:v>
                </c:pt>
                <c:pt idx="131">
                  <c:v>1.4514589267555721E-11</c:v>
                </c:pt>
                <c:pt idx="132">
                  <c:v>1.4514589267555721E-11</c:v>
                </c:pt>
                <c:pt idx="133">
                  <c:v>1.4514589267555721E-11</c:v>
                </c:pt>
                <c:pt idx="134">
                  <c:v>1.4514589267555721E-11</c:v>
                </c:pt>
                <c:pt idx="135">
                  <c:v>1.4514589267555721E-11</c:v>
                </c:pt>
                <c:pt idx="136">
                  <c:v>1.4514589267555721E-11</c:v>
                </c:pt>
                <c:pt idx="137">
                  <c:v>1.4514589267555721E-11</c:v>
                </c:pt>
                <c:pt idx="138">
                  <c:v>1.4514589267555721E-11</c:v>
                </c:pt>
                <c:pt idx="139">
                  <c:v>1.4514589267555721E-11</c:v>
                </c:pt>
                <c:pt idx="140">
                  <c:v>1.4514589267555721E-11</c:v>
                </c:pt>
                <c:pt idx="141">
                  <c:v>1.4514589267555721E-11</c:v>
                </c:pt>
                <c:pt idx="142">
                  <c:v>1.4514589267555721E-11</c:v>
                </c:pt>
                <c:pt idx="143">
                  <c:v>1.4514589267555721E-11</c:v>
                </c:pt>
                <c:pt idx="144">
                  <c:v>1.4514589267555721E-11</c:v>
                </c:pt>
                <c:pt idx="145">
                  <c:v>1.4514589267555721E-11</c:v>
                </c:pt>
                <c:pt idx="146">
                  <c:v>1.4514589267555721E-11</c:v>
                </c:pt>
                <c:pt idx="147">
                  <c:v>1.4514589267555721E-11</c:v>
                </c:pt>
                <c:pt idx="148">
                  <c:v>1.4514589267555721E-11</c:v>
                </c:pt>
                <c:pt idx="149">
                  <c:v>1.4514589267555721E-11</c:v>
                </c:pt>
                <c:pt idx="150">
                  <c:v>1.4514589267555721E-11</c:v>
                </c:pt>
                <c:pt idx="151">
                  <c:v>1.4514589267555721E-11</c:v>
                </c:pt>
                <c:pt idx="152">
                  <c:v>1.4514589267555721E-11</c:v>
                </c:pt>
                <c:pt idx="153">
                  <c:v>1.4514589267555721E-11</c:v>
                </c:pt>
                <c:pt idx="154">
                  <c:v>1.4514589267555721E-11</c:v>
                </c:pt>
                <c:pt idx="155">
                  <c:v>1.4514589267555721E-11</c:v>
                </c:pt>
                <c:pt idx="156">
                  <c:v>1.4514589267555721E-11</c:v>
                </c:pt>
                <c:pt idx="157">
                  <c:v>1.4514589267555721E-11</c:v>
                </c:pt>
                <c:pt idx="158">
                  <c:v>1.4514589267555721E-11</c:v>
                </c:pt>
                <c:pt idx="159">
                  <c:v>1.4514589267555721E-11</c:v>
                </c:pt>
                <c:pt idx="160">
                  <c:v>1.4514589267555721E-11</c:v>
                </c:pt>
                <c:pt idx="161">
                  <c:v>1.4514589267555721E-11</c:v>
                </c:pt>
                <c:pt idx="162">
                  <c:v>1.4514589267555721E-11</c:v>
                </c:pt>
                <c:pt idx="163">
                  <c:v>1.4514589267555721E-11</c:v>
                </c:pt>
                <c:pt idx="164">
                  <c:v>1.4514589267555721E-11</c:v>
                </c:pt>
                <c:pt idx="165">
                  <c:v>1.4514589267555721E-11</c:v>
                </c:pt>
                <c:pt idx="166">
                  <c:v>1.4514589267555721E-11</c:v>
                </c:pt>
                <c:pt idx="167">
                  <c:v>1.4514589267555721E-11</c:v>
                </c:pt>
                <c:pt idx="168">
                  <c:v>1.4514589267555721E-11</c:v>
                </c:pt>
                <c:pt idx="169">
                  <c:v>1.4514589267555721E-11</c:v>
                </c:pt>
                <c:pt idx="170">
                  <c:v>1.4514589267555721E-11</c:v>
                </c:pt>
                <c:pt idx="171">
                  <c:v>1.4514589267555721E-11</c:v>
                </c:pt>
                <c:pt idx="172">
                  <c:v>1.4514589267555721E-11</c:v>
                </c:pt>
                <c:pt idx="173">
                  <c:v>1.4514589267555721E-11</c:v>
                </c:pt>
                <c:pt idx="174">
                  <c:v>1.4514589267555721E-11</c:v>
                </c:pt>
                <c:pt idx="175">
                  <c:v>1.4514589267555721E-11</c:v>
                </c:pt>
                <c:pt idx="176">
                  <c:v>1.4514589267555721E-11</c:v>
                </c:pt>
                <c:pt idx="177">
                  <c:v>1.4514589267555721E-11</c:v>
                </c:pt>
                <c:pt idx="178">
                  <c:v>1.4514589267555721E-11</c:v>
                </c:pt>
                <c:pt idx="179">
                  <c:v>1.4514589267555721E-11</c:v>
                </c:pt>
                <c:pt idx="180">
                  <c:v>1.4514589267555721E-11</c:v>
                </c:pt>
                <c:pt idx="181">
                  <c:v>1.4514589267555721E-11</c:v>
                </c:pt>
                <c:pt idx="182">
                  <c:v>1.4514589267555721E-11</c:v>
                </c:pt>
                <c:pt idx="183">
                  <c:v>1.4514589267555721E-11</c:v>
                </c:pt>
                <c:pt idx="184">
                  <c:v>1.4514589267555721E-11</c:v>
                </c:pt>
                <c:pt idx="185">
                  <c:v>1.4514589267555721E-11</c:v>
                </c:pt>
                <c:pt idx="186">
                  <c:v>1.4514589267555721E-11</c:v>
                </c:pt>
                <c:pt idx="187">
                  <c:v>1.4514589267555721E-11</c:v>
                </c:pt>
                <c:pt idx="188">
                  <c:v>1.4514589267555721E-11</c:v>
                </c:pt>
                <c:pt idx="189">
                  <c:v>1.4514589267555721E-11</c:v>
                </c:pt>
                <c:pt idx="190">
                  <c:v>1.4514589267555721E-11</c:v>
                </c:pt>
                <c:pt idx="191">
                  <c:v>1.4514589267555721E-11</c:v>
                </c:pt>
                <c:pt idx="192">
                  <c:v>1.4514589267555721E-11</c:v>
                </c:pt>
                <c:pt idx="193">
                  <c:v>1.4514589267555721E-11</c:v>
                </c:pt>
                <c:pt idx="194">
                  <c:v>1.4514589267555721E-11</c:v>
                </c:pt>
                <c:pt idx="195">
                  <c:v>1.4514589267555721E-11</c:v>
                </c:pt>
                <c:pt idx="196">
                  <c:v>1.4514589267555721E-11</c:v>
                </c:pt>
                <c:pt idx="197">
                  <c:v>1.4514589267555721E-11</c:v>
                </c:pt>
                <c:pt idx="198">
                  <c:v>1.4514589267555721E-11</c:v>
                </c:pt>
                <c:pt idx="199">
                  <c:v>1.4514589267555721E-11</c:v>
                </c:pt>
                <c:pt idx="200">
                  <c:v>1.4514589267555721E-11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1.5393896938194491</c:v>
                </c:pt>
                <c:pt idx="2">
                  <c:v>1.9340929760579824</c:v>
                </c:pt>
                <c:pt idx="3">
                  <c:v>2.4304041826975693</c:v>
                </c:pt>
                <c:pt idx="4">
                  <c:v>3.0545787484439804</c:v>
                </c:pt>
                <c:pt idx="5">
                  <c:v>3.839680427957596</c:v>
                </c:pt>
                <c:pt idx="6">
                  <c:v>4.8273525502098815</c:v>
                </c:pt>
                <c:pt idx="7">
                  <c:v>6.0700514754683512</c:v>
                </c:pt>
                <c:pt idx="8">
                  <c:v>7.6338631993393991</c:v>
                </c:pt>
                <c:pt idx="9">
                  <c:v>9.6020557757857823</c:v>
                </c:pt>
                <c:pt idx="10">
                  <c:v>12.079560300720253</c:v>
                </c:pt>
                <c:pt idx="11">
                  <c:v>15.198623807640407</c:v>
                </c:pt>
                <c:pt idx="12">
                  <c:v>19.125941354992019</c:v>
                </c:pt>
                <c:pt idx="13">
                  <c:v>24.071655343316234</c:v>
                </c:pt>
                <c:pt idx="14">
                  <c:v>30.300712128179242</c:v>
                </c:pt>
                <c:pt idx="15">
                  <c:v>38.147194904899251</c:v>
                </c:pt>
                <c:pt idx="16">
                  <c:v>48.03241472919786</c:v>
                </c:pt>
                <c:pt idx="17">
                  <c:v>60.487747376389791</c:v>
                </c:pt>
                <c:pt idx="18">
                  <c:v>76.183463875958196</c:v>
                </c:pt>
                <c:pt idx="19">
                  <c:v>95.96513133539338</c:v>
                </c:pt>
                <c:pt idx="20">
                  <c:v>120.89957623101225</c:v>
                </c:pt>
                <c:pt idx="21">
                  <c:v>120.49003654699459</c:v>
                </c:pt>
                <c:pt idx="22">
                  <c:v>127.1409435652896</c:v>
                </c:pt>
                <c:pt idx="23">
                  <c:v>133.78342099832221</c:v>
                </c:pt>
                <c:pt idx="24">
                  <c:v>140.41794724133206</c:v>
                </c:pt>
                <c:pt idx="25">
                  <c:v>147.04495169244021</c:v>
                </c:pt>
                <c:pt idx="26">
                  <c:v>153.66482180332244</c:v>
                </c:pt>
                <c:pt idx="27">
                  <c:v>160.27790884848659</c:v>
                </c:pt>
                <c:pt idx="28">
                  <c:v>166.88453269044854</c:v>
                </c:pt>
                <c:pt idx="29">
                  <c:v>173.48498574926046</c:v>
                </c:pt>
                <c:pt idx="30">
                  <c:v>180.07953633511514</c:v>
                </c:pt>
                <c:pt idx="31">
                  <c:v>161.3963988836461</c:v>
                </c:pt>
                <c:pt idx="32">
                  <c:v>168.50982140403696</c:v>
                </c:pt>
                <c:pt idx="33">
                  <c:v>175.61616597279638</c:v>
                </c:pt>
                <c:pt idx="34">
                  <c:v>182.71575986748618</c:v>
                </c:pt>
                <c:pt idx="35">
                  <c:v>189.8089028116103</c:v>
                </c:pt>
                <c:pt idx="36">
                  <c:v>196.89587026062091</c:v>
                </c:pt>
                <c:pt idx="37">
                  <c:v>203.97691618927138</c:v>
                </c:pt>
                <c:pt idx="38">
                  <c:v>211.05227547104286</c:v>
                </c:pt>
                <c:pt idx="39">
                  <c:v>218.12216592131372</c:v>
                </c:pt>
                <c:pt idx="40">
                  <c:v>225.18679006138439</c:v>
                </c:pt>
                <c:pt idx="41">
                  <c:v>185.45243509395621</c:v>
                </c:pt>
                <c:pt idx="42">
                  <c:v>192.54316466070131</c:v>
                </c:pt>
                <c:pt idx="43">
                  <c:v>199.62781910044532</c:v>
                </c:pt>
                <c:pt idx="44">
                  <c:v>206.70664475823108</c:v>
                </c:pt>
                <c:pt idx="45">
                  <c:v>213.77986970233792</c:v>
                </c:pt>
                <c:pt idx="46">
                  <c:v>220.8477056536926</c:v>
                </c:pt>
                <c:pt idx="47">
                  <c:v>227.91034965501251</c:v>
                </c:pt>
                <c:pt idx="48">
                  <c:v>234.96798552194124</c:v>
                </c:pt>
                <c:pt idx="49">
                  <c:v>242.02078511048447</c:v>
                </c:pt>
                <c:pt idx="50">
                  <c:v>249.06890942879204</c:v>
                </c:pt>
                <c:pt idx="51">
                  <c:v>210.44603337328724</c:v>
                </c:pt>
                <c:pt idx="52">
                  <c:v>218.52599874468254</c:v>
                </c:pt>
                <c:pt idx="53">
                  <c:v>226.59909976948109</c:v>
                </c:pt>
                <c:pt idx="54">
                  <c:v>234.6656157923758</c:v>
                </c:pt>
                <c:pt idx="55">
                  <c:v>242.72580536134669</c:v>
                </c:pt>
                <c:pt idx="56">
                  <c:v>250.77990843042718</c:v>
                </c:pt>
                <c:pt idx="57">
                  <c:v>258.82814826436976</c:v>
                </c:pt>
                <c:pt idx="58">
                  <c:v>266.87073309376296</c:v>
                </c:pt>
                <c:pt idx="59">
                  <c:v>274.90785755999178</c:v>
                </c:pt>
                <c:pt idx="60">
                  <c:v>282.93970398221973</c:v>
                </c:pt>
                <c:pt idx="61">
                  <c:v>243.93430319999138</c:v>
                </c:pt>
                <c:pt idx="62">
                  <c:v>251.48436037421268</c:v>
                </c:pt>
                <c:pt idx="63">
                  <c:v>259.02928096815748</c:v>
                </c:pt>
                <c:pt idx="64">
                  <c:v>266.56923588073721</c:v>
                </c:pt>
                <c:pt idx="65">
                  <c:v>274.10438554233065</c:v>
                </c:pt>
                <c:pt idx="66">
                  <c:v>281.63488083258886</c:v>
                </c:pt>
                <c:pt idx="67">
                  <c:v>289.160863894849</c:v>
                </c:pt>
                <c:pt idx="68">
                  <c:v>296.68246886125024</c:v>
                </c:pt>
                <c:pt idx="69">
                  <c:v>304.19982250040647</c:v>
                </c:pt>
                <c:pt idx="70">
                  <c:v>311.71304479765791</c:v>
                </c:pt>
                <c:pt idx="71">
                  <c:v>272.99952502719981</c:v>
                </c:pt>
                <c:pt idx="72">
                  <c:v>280.73146236841148</c:v>
                </c:pt>
                <c:pt idx="73">
                  <c:v>288.45862606345253</c:v>
                </c:pt>
                <c:pt idx="74">
                  <c:v>296.18116215846925</c:v>
                </c:pt>
                <c:pt idx="75">
                  <c:v>303.89920845414628</c:v>
                </c:pt>
                <c:pt idx="76">
                  <c:v>311.6128951734467</c:v>
                </c:pt>
                <c:pt idx="77">
                  <c:v>319.3223455597273</c:v>
                </c:pt>
                <c:pt idx="78">
                  <c:v>327.02767641403034</c:v>
                </c:pt>
                <c:pt idx="79">
                  <c:v>334.72899857905378</c:v>
                </c:pt>
                <c:pt idx="80">
                  <c:v>342.42641737622415</c:v>
                </c:pt>
                <c:pt idx="81">
                  <c:v>304.40022819227744</c:v>
                </c:pt>
                <c:pt idx="82">
                  <c:v>312.71450180432913</c:v>
                </c:pt>
                <c:pt idx="83">
                  <c:v>321.02387288556099</c:v>
                </c:pt>
                <c:pt idx="84">
                  <c:v>329.32848633594546</c:v>
                </c:pt>
                <c:pt idx="85">
                  <c:v>337.62847914518375</c:v>
                </c:pt>
                <c:pt idx="86">
                  <c:v>345.92398101265036</c:v>
                </c:pt>
                <c:pt idx="87">
                  <c:v>354.21511490472858</c:v>
                </c:pt>
                <c:pt idx="88">
                  <c:v>362.50199755720956</c:v>
                </c:pt>
                <c:pt idx="89">
                  <c:v>370.78473992932794</c:v>
                </c:pt>
                <c:pt idx="90">
                  <c:v>379.06344761508905</c:v>
                </c:pt>
                <c:pt idx="91">
                  <c:v>341.12712268545346</c:v>
                </c:pt>
                <c:pt idx="92">
                  <c:v>349.42076801278273</c:v>
                </c:pt>
                <c:pt idx="93">
                  <c:v>357.71009532310563</c:v>
                </c:pt>
                <c:pt idx="94">
                  <c:v>365.99521886354137</c:v>
                </c:pt>
                <c:pt idx="95">
                  <c:v>374.27624728301316</c:v>
                </c:pt>
                <c:pt idx="96">
                  <c:v>382.55328402706982</c:v>
                </c:pt>
                <c:pt idx="97">
                  <c:v>390.82642769673799</c:v>
                </c:pt>
                <c:pt idx="98">
                  <c:v>399.09577237538946</c:v>
                </c:pt>
                <c:pt idx="99">
                  <c:v>407.36140792709375</c:v>
                </c:pt>
                <c:pt idx="100">
                  <c:v>415.62342026948232</c:v>
                </c:pt>
                <c:pt idx="101">
                  <c:v>378.1659483420201</c:v>
                </c:pt>
                <c:pt idx="102">
                  <c:v>386.83985045971798</c:v>
                </c:pt>
                <c:pt idx="103">
                  <c:v>395.50952933718435</c:v>
                </c:pt>
                <c:pt idx="104">
                  <c:v>404.17509065511155</c:v>
                </c:pt>
                <c:pt idx="105">
                  <c:v>412.83663519043193</c:v>
                </c:pt>
                <c:pt idx="106">
                  <c:v>421.49425914421028</c:v>
                </c:pt>
                <c:pt idx="107">
                  <c:v>430.14805444118133</c:v>
                </c:pt>
                <c:pt idx="108">
                  <c:v>438.7981090039205</c:v>
                </c:pt>
                <c:pt idx="109">
                  <c:v>447.44450700426086</c:v>
                </c:pt>
                <c:pt idx="110">
                  <c:v>456.08732909426044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1.603842220177363</c:v>
                </c:pt>
                <c:pt idx="2">
                  <c:v>2.0449237297385401</c:v>
                </c:pt>
                <c:pt idx="3">
                  <c:v>2.6078005694826394</c:v>
                </c:pt>
                <c:pt idx="4">
                  <c:v>3.3262321371930614</c:v>
                </c:pt>
                <c:pt idx="5">
                  <c:v>4.2433686370993398</c:v>
                </c:pt>
                <c:pt idx="6">
                  <c:v>5.4143719407296151</c:v>
                </c:pt>
                <c:pt idx="7">
                  <c:v>6.9097701264777305</c:v>
                </c:pt>
                <c:pt idx="8">
                  <c:v>8.8197516556304585</c:v>
                </c:pt>
                <c:pt idx="9">
                  <c:v>11.259663105895113</c:v>
                </c:pt>
                <c:pt idx="10">
                  <c:v>14.377048697135145</c:v>
                </c:pt>
                <c:pt idx="11">
                  <c:v>18.360665129788281</c:v>
                </c:pt>
                <c:pt idx="12">
                  <c:v>23.45202744489043</c:v>
                </c:pt>
                <c:pt idx="13">
                  <c:v>29.960198316478341</c:v>
                </c:pt>
                <c:pt idx="14">
                  <c:v>38.280734170013282</c:v>
                </c:pt>
                <c:pt idx="15">
                  <c:v>48.919959321119023</c:v>
                </c:pt>
                <c:pt idx="16">
                  <c:v>62.526070039547591</c:v>
                </c:pt>
                <c:pt idx="17">
                  <c:v>79.928994721339095</c:v>
                </c:pt>
                <c:pt idx="18">
                  <c:v>102.1914807174298</c:v>
                </c:pt>
                <c:pt idx="19">
                  <c:v>130.67457686770217</c:v>
                </c:pt>
                <c:pt idx="20">
                  <c:v>167.12157714245117</c:v>
                </c:pt>
                <c:pt idx="21">
                  <c:v>173.17484226523302</c:v>
                </c:pt>
                <c:pt idx="22">
                  <c:v>202.12291541859756</c:v>
                </c:pt>
                <c:pt idx="23">
                  <c:v>230.97486462716213</c:v>
                </c:pt>
                <c:pt idx="24">
                  <c:v>259.7443908991703</c:v>
                </c:pt>
                <c:pt idx="25">
                  <c:v>288.44190564944347</c:v>
                </c:pt>
                <c:pt idx="26">
                  <c:v>317.07557691934716</c:v>
                </c:pt>
                <c:pt idx="27">
                  <c:v>345.65197625454135</c:v>
                </c:pt>
                <c:pt idx="28">
                  <c:v>374.17649981551682</c:v>
                </c:pt>
                <c:pt idx="29">
                  <c:v>402.65365408890875</c:v>
                </c:pt>
                <c:pt idx="30">
                  <c:v>431.08725643096574</c:v>
                </c:pt>
                <c:pt idx="31">
                  <c:v>316.04661724583633</c:v>
                </c:pt>
                <c:pt idx="32">
                  <c:v>344.62497708819268</c:v>
                </c:pt>
                <c:pt idx="33">
                  <c:v>373.15128389128796</c:v>
                </c:pt>
                <c:pt idx="34">
                  <c:v>401.63007226161682</c:v>
                </c:pt>
                <c:pt idx="35">
                  <c:v>430.06518156271517</c:v>
                </c:pt>
                <c:pt idx="36">
                  <c:v>458.45990237727136</c:v>
                </c:pt>
                <c:pt idx="37">
                  <c:v>486.81708477103376</c:v>
                </c:pt>
                <c:pt idx="38">
                  <c:v>515.13922000966511</c:v>
                </c:pt>
                <c:pt idx="39">
                  <c:v>543.42850336833237</c:v>
                </c:pt>
                <c:pt idx="40">
                  <c:v>571.68688318436887</c:v>
                </c:pt>
                <c:pt idx="41">
                  <c:v>454.88714807151217</c:v>
                </c:pt>
                <c:pt idx="42">
                  <c:v>480.6998759070346</c:v>
                </c:pt>
                <c:pt idx="43">
                  <c:v>506.48315724555465</c:v>
                </c:pt>
                <c:pt idx="44">
                  <c:v>532.23870019072854</c:v>
                </c:pt>
                <c:pt idx="45">
                  <c:v>557.96803422202993</c:v>
                </c:pt>
                <c:pt idx="46">
                  <c:v>583.67253641440277</c:v>
                </c:pt>
                <c:pt idx="47">
                  <c:v>609.35345280137506</c:v>
                </c:pt>
                <c:pt idx="48">
                  <c:v>635.01191595188084</c:v>
                </c:pt>
                <c:pt idx="49">
                  <c:v>660.64895956065914</c:v>
                </c:pt>
                <c:pt idx="50">
                  <c:v>686.26553065806058</c:v>
                </c:pt>
                <c:pt idx="51">
                  <c:v>567.52115351279951</c:v>
                </c:pt>
                <c:pt idx="52">
                  <c:v>590.78023821330669</c:v>
                </c:pt>
                <c:pt idx="53">
                  <c:v>614.02026646644197</c:v>
                </c:pt>
                <c:pt idx="54">
                  <c:v>637.2420602094686</c:v>
                </c:pt>
                <c:pt idx="55">
                  <c:v>660.44637665870471</c:v>
                </c:pt>
                <c:pt idx="56">
                  <c:v>683.63391554603504</c:v>
                </c:pt>
                <c:pt idx="57">
                  <c:v>706.80532532349207</c:v>
                </c:pt>
                <c:pt idx="58">
                  <c:v>729.96120851271223</c:v>
                </c:pt>
                <c:pt idx="59">
                  <c:v>753.10212634103527</c:v>
                </c:pt>
                <c:pt idx="60">
                  <c:v>776.22860277878442</c:v>
                </c:pt>
                <c:pt idx="61">
                  <c:v>667.33348049623498</c:v>
                </c:pt>
                <c:pt idx="62">
                  <c:v>687.88488318789871</c:v>
                </c:pt>
                <c:pt idx="63">
                  <c:v>708.42370141617005</c:v>
                </c:pt>
                <c:pt idx="64">
                  <c:v>728.95035099915742</c:v>
                </c:pt>
                <c:pt idx="65">
                  <c:v>749.4652224538886</c:v>
                </c:pt>
                <c:pt idx="66">
                  <c:v>769.96868320011879</c:v>
                </c:pt>
                <c:pt idx="67">
                  <c:v>790.46107951744852</c:v>
                </c:pt>
                <c:pt idx="68">
                  <c:v>810.94273828916755</c:v>
                </c:pt>
                <c:pt idx="69">
                  <c:v>831.41396856097208</c:v>
                </c:pt>
                <c:pt idx="70">
                  <c:v>851.87506293837168</c:v>
                </c:pt>
                <c:pt idx="71">
                  <c:v>758.55681372872095</c:v>
                </c:pt>
                <c:pt idx="72">
                  <c:v>776.22860277878408</c:v>
                </c:pt>
                <c:pt idx="73">
                  <c:v>793.89224512368764</c:v>
                </c:pt>
                <c:pt idx="74">
                  <c:v>811.54794736433348</c:v>
                </c:pt>
                <c:pt idx="75">
                  <c:v>829.19590638894454</c:v>
                </c:pt>
                <c:pt idx="76">
                  <c:v>846.83631003086464</c:v>
                </c:pt>
                <c:pt idx="77">
                  <c:v>864.46933766875611</c:v>
                </c:pt>
                <c:pt idx="78">
                  <c:v>882.09516077534101</c:v>
                </c:pt>
                <c:pt idx="79">
                  <c:v>899.71394342005567</c:v>
                </c:pt>
                <c:pt idx="80">
                  <c:v>917.32584273033024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3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3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3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3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3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3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3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3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3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3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3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3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3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3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3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3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3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3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8" zoomScale="80" zoomScaleNormal="80" workbookViewId="0">
      <selection activeCell="E22" sqref="E22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3" t="s">
        <v>190</v>
      </c>
      <c r="D1" s="263"/>
      <c r="E1" s="26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9" t="s">
        <v>231</v>
      </c>
      <c r="B5" s="269"/>
      <c r="C5" s="24">
        <v>7.33</v>
      </c>
      <c r="D5" s="270" t="s">
        <v>229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18</v>
      </c>
      <c r="C9" s="32">
        <v>0.33329999999999999</v>
      </c>
      <c r="D9" s="33">
        <f t="shared" ref="D9:D18" si="0">C9*$C$5</f>
        <v>2.4430890000000001</v>
      </c>
      <c r="E9" s="34">
        <v>80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164</v>
      </c>
      <c r="C10" s="32">
        <v>0.33329999999999999</v>
      </c>
      <c r="D10" s="33">
        <f t="shared" si="0"/>
        <v>2.4430890000000001</v>
      </c>
      <c r="E10" s="34">
        <v>110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47</v>
      </c>
      <c r="C11" s="32">
        <v>0.33329999999999999</v>
      </c>
      <c r="D11" s="33">
        <f t="shared" si="0"/>
        <v>2.4430890000000001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0.99990000000000001</v>
      </c>
      <c r="D19" s="38">
        <f>SUM(D9:D18)</f>
        <v>7.3292669999999998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7">
        <v>10</v>
      </c>
      <c r="B36" s="257">
        <v>37</v>
      </c>
      <c r="C36" s="257"/>
      <c r="D36" s="257">
        <v>0</v>
      </c>
      <c r="E36" s="63"/>
      <c r="F36" s="63"/>
      <c r="G36" s="63"/>
      <c r="H36" s="51"/>
      <c r="I36" s="49">
        <f>IFERROR(B36/A36,"")</f>
        <v>3.7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7">
        <v>20</v>
      </c>
      <c r="B37" s="257">
        <v>261</v>
      </c>
      <c r="C37" s="257">
        <v>1</v>
      </c>
      <c r="D37" s="257">
        <f>48+77</f>
        <v>125</v>
      </c>
      <c r="E37" s="63"/>
      <c r="F37" s="63">
        <v>0.5</v>
      </c>
      <c r="G37" s="63">
        <v>0.5</v>
      </c>
      <c r="H37" s="51"/>
      <c r="I37" s="53">
        <f t="shared" ref="I37:I55" si="1">IF(A37&lt;&gt;0,(B37-(B36-D36))/(A37-A36),"")</f>
        <v>22.4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7">
        <v>30</v>
      </c>
      <c r="B38" s="257">
        <v>437</v>
      </c>
      <c r="C38" s="257">
        <v>2</v>
      </c>
      <c r="D38" s="257">
        <f>77+77</f>
        <v>154</v>
      </c>
      <c r="E38" s="63">
        <v>0.2</v>
      </c>
      <c r="F38" s="63">
        <v>0.4</v>
      </c>
      <c r="G38" s="63">
        <v>0.4</v>
      </c>
      <c r="H38" s="51"/>
      <c r="I38" s="53">
        <f t="shared" si="1"/>
        <v>30.1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7">
        <v>40</v>
      </c>
      <c r="B39" s="257">
        <v>575</v>
      </c>
      <c r="C39" s="257">
        <v>3</v>
      </c>
      <c r="D39" s="257">
        <f>77+77</f>
        <v>154</v>
      </c>
      <c r="E39" s="63"/>
      <c r="F39" s="63"/>
      <c r="G39" s="63"/>
      <c r="H39" s="51"/>
      <c r="I39" s="49">
        <f t="shared" si="1"/>
        <v>29.2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7">
        <v>50</v>
      </c>
      <c r="B40" s="257">
        <v>667</v>
      </c>
      <c r="C40" s="257">
        <v>4</v>
      </c>
      <c r="D40" s="257">
        <f>76+62</f>
        <v>138</v>
      </c>
      <c r="E40" s="63"/>
      <c r="F40" s="63"/>
      <c r="G40" s="63"/>
      <c r="H40" s="51"/>
      <c r="I40" s="49">
        <f t="shared" si="1"/>
        <v>24.6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7">
        <v>60</v>
      </c>
      <c r="B41" s="257">
        <v>735</v>
      </c>
      <c r="C41" s="257">
        <v>5</v>
      </c>
      <c r="D41" s="257">
        <f>53+48</f>
        <v>101</v>
      </c>
      <c r="E41" s="63"/>
      <c r="F41" s="63"/>
      <c r="G41" s="63"/>
      <c r="H41" s="51"/>
      <c r="I41" s="53">
        <f t="shared" si="1"/>
        <v>20.6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7">
        <v>70</v>
      </c>
      <c r="B42" s="257">
        <v>805</v>
      </c>
      <c r="C42" s="257">
        <v>6</v>
      </c>
      <c r="D42" s="257">
        <f>44+42</f>
        <v>86</v>
      </c>
      <c r="E42" s="63"/>
      <c r="F42" s="63"/>
      <c r="G42" s="63"/>
      <c r="H42" s="51"/>
      <c r="I42" s="53">
        <f t="shared" si="1"/>
        <v>17.100000000000001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7">
        <v>80</v>
      </c>
      <c r="B43" s="257">
        <f>782+78</f>
        <v>860</v>
      </c>
      <c r="C43" s="257">
        <v>7</v>
      </c>
      <c r="D43" s="257">
        <f>B43</f>
        <v>860</v>
      </c>
      <c r="E43" s="63"/>
      <c r="F43" s="63"/>
      <c r="G43" s="63"/>
      <c r="H43" s="51"/>
      <c r="I43" s="49">
        <f t="shared" si="1"/>
        <v>14.1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Cèdre de l'Atlas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50">
        <v>115</v>
      </c>
      <c r="C62" s="50">
        <v>1</v>
      </c>
      <c r="D62" s="50">
        <v>6.9</v>
      </c>
      <c r="E62" s="63"/>
      <c r="F62" s="63">
        <v>0.5</v>
      </c>
      <c r="G62" s="63">
        <v>0.5</v>
      </c>
      <c r="H62" s="51"/>
      <c r="I62" s="53">
        <f>IFERROR(B62/A62,"")</f>
        <v>5.75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30</v>
      </c>
      <c r="B63" s="50">
        <f>180-D62</f>
        <v>173.1</v>
      </c>
      <c r="C63" s="50">
        <v>2</v>
      </c>
      <c r="D63" s="50">
        <v>25.4</v>
      </c>
      <c r="E63" s="63">
        <v>0.1</v>
      </c>
      <c r="F63" s="63">
        <v>0.45</v>
      </c>
      <c r="G63" s="63">
        <v>0.45</v>
      </c>
      <c r="H63" s="51"/>
      <c r="I63" s="49">
        <f>IF(A63&lt;&gt;0,(B63-(B62-D62))/(A63-A62),"")</f>
        <v>6.5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40</v>
      </c>
      <c r="B64" s="50">
        <f>250-SUM(D62:D63)</f>
        <v>217.7</v>
      </c>
      <c r="C64" s="50">
        <v>3</v>
      </c>
      <c r="D64" s="50">
        <v>46.3</v>
      </c>
      <c r="E64" s="63"/>
      <c r="F64" s="63"/>
      <c r="G64" s="51"/>
      <c r="H64" s="51"/>
      <c r="I64" s="49">
        <f>IF(A64&lt;&gt;0,(B64-(B63-D63))/(A64-A63),"")</f>
        <v>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50</v>
      </c>
      <c r="B65" s="50">
        <f>320-SUM(D62:D64)</f>
        <v>241.4</v>
      </c>
      <c r="C65" s="50">
        <v>4</v>
      </c>
      <c r="D65" s="50">
        <v>46.3</v>
      </c>
      <c r="E65" s="63"/>
      <c r="F65" s="63"/>
      <c r="G65" s="51"/>
      <c r="H65" s="51"/>
      <c r="I65" s="49">
        <f>IF(A65&lt;&gt;0,(B65-(B64-D64))/(A65-A64),"")</f>
        <v>7.0000000000000027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60</v>
      </c>
      <c r="B66" s="50">
        <f>400-SUM(D62:D65)</f>
        <v>275.10000000000002</v>
      </c>
      <c r="C66" s="50">
        <v>5</v>
      </c>
      <c r="D66" s="50">
        <v>46.3</v>
      </c>
      <c r="E66" s="63"/>
      <c r="F66" s="63"/>
      <c r="G66" s="51"/>
      <c r="H66" s="51"/>
      <c r="I66" s="49">
        <f t="shared" ref="I66:I81" si="2">IF(A66&lt;&gt;0,(B66-(B65-D65))/(A66-A65),"")</f>
        <v>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70</v>
      </c>
      <c r="B67" s="50">
        <f>475-SUM(D62:D66)</f>
        <v>303.8</v>
      </c>
      <c r="C67" s="50">
        <v>6</v>
      </c>
      <c r="D67" s="50">
        <v>46.3</v>
      </c>
      <c r="E67" s="63"/>
      <c r="F67" s="63"/>
      <c r="G67" s="51"/>
      <c r="H67" s="51"/>
      <c r="I67" s="49">
        <f t="shared" si="2"/>
        <v>7.5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80</v>
      </c>
      <c r="B68" s="50">
        <f>552-SUM(D62:D67)</f>
        <v>334.5</v>
      </c>
      <c r="C68" s="50">
        <v>7</v>
      </c>
      <c r="D68" s="50">
        <v>46.3</v>
      </c>
      <c r="E68" s="63"/>
      <c r="F68" s="63"/>
      <c r="G68" s="63"/>
      <c r="H68" s="51"/>
      <c r="I68" s="49">
        <f t="shared" si="2"/>
        <v>7.7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90</v>
      </c>
      <c r="B69" s="50">
        <f>635-SUM(D62:D68)</f>
        <v>371.2</v>
      </c>
      <c r="C69" s="50">
        <v>8</v>
      </c>
      <c r="D69" s="50">
        <v>46.3</v>
      </c>
      <c r="E69" s="63"/>
      <c r="F69" s="63"/>
      <c r="G69" s="63"/>
      <c r="H69" s="51"/>
      <c r="I69" s="49">
        <f t="shared" si="2"/>
        <v>8.3000000000000007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100</v>
      </c>
      <c r="B70" s="50">
        <f>718-SUM(D62:D69)</f>
        <v>407.9</v>
      </c>
      <c r="C70" s="50">
        <v>9</v>
      </c>
      <c r="D70" s="50">
        <v>46.3</v>
      </c>
      <c r="E70" s="63"/>
      <c r="F70" s="63"/>
      <c r="G70" s="51"/>
      <c r="H70" s="51"/>
      <c r="I70" s="49">
        <f t="shared" si="2"/>
        <v>8.3000000000000007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110</v>
      </c>
      <c r="B71" s="50">
        <f>805-SUM(D62:D70)</f>
        <v>448.59999999999997</v>
      </c>
      <c r="C71" s="50">
        <v>10</v>
      </c>
      <c r="D71" s="50">
        <v>448.6</v>
      </c>
      <c r="E71" s="63"/>
      <c r="F71" s="63"/>
      <c r="G71" s="51"/>
      <c r="H71" s="51"/>
      <c r="I71" s="49">
        <f t="shared" si="2"/>
        <v>8.6999999999999993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Sapin méditerranéen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20</v>
      </c>
      <c r="B88" s="55">
        <v>156</v>
      </c>
      <c r="C88" s="55">
        <v>2</v>
      </c>
      <c r="D88" s="55">
        <v>22</v>
      </c>
      <c r="E88" s="51"/>
      <c r="F88" s="51">
        <v>0.5</v>
      </c>
      <c r="G88" s="51">
        <v>0.5</v>
      </c>
      <c r="H88" s="87"/>
      <c r="I88" s="53">
        <f>IFERROR(B88/A88,"")</f>
        <v>7.8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30</v>
      </c>
      <c r="B89" s="55">
        <v>412</v>
      </c>
      <c r="C89" s="55">
        <v>3</v>
      </c>
      <c r="D89" s="55">
        <v>140</v>
      </c>
      <c r="E89" s="51">
        <v>0.2</v>
      </c>
      <c r="F89" s="51">
        <v>0.4</v>
      </c>
      <c r="G89" s="51">
        <v>0.4</v>
      </c>
      <c r="H89" s="87"/>
      <c r="I89" s="53">
        <f t="shared" ref="I89:I107" si="3">IF(A89&lt;&gt;0,(B89-(B88-D88))/(A89-A88),"")</f>
        <v>27.8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40</v>
      </c>
      <c r="B90" s="55">
        <v>550</v>
      </c>
      <c r="C90" s="55">
        <v>4</v>
      </c>
      <c r="D90" s="55">
        <v>140</v>
      </c>
      <c r="E90" s="51">
        <v>0.3</v>
      </c>
      <c r="F90" s="51">
        <v>0.35</v>
      </c>
      <c r="G90" s="51">
        <v>0.35</v>
      </c>
      <c r="H90" s="87"/>
      <c r="I90" s="53">
        <f t="shared" si="3"/>
        <v>27.8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50</v>
      </c>
      <c r="B91" s="55">
        <v>663</v>
      </c>
      <c r="C91" s="55">
        <v>5</v>
      </c>
      <c r="D91" s="55">
        <v>140</v>
      </c>
      <c r="E91" s="63"/>
      <c r="F91" s="63"/>
      <c r="G91" s="51"/>
      <c r="H91" s="87"/>
      <c r="I91" s="53">
        <f t="shared" si="3"/>
        <v>25.3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60</v>
      </c>
      <c r="B92" s="55">
        <v>752</v>
      </c>
      <c r="C92" s="55">
        <v>6</v>
      </c>
      <c r="D92" s="55">
        <v>128</v>
      </c>
      <c r="E92" s="63"/>
      <c r="F92" s="63"/>
      <c r="G92" s="51"/>
      <c r="H92" s="87"/>
      <c r="I92" s="53">
        <f t="shared" si="3"/>
        <v>22.9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70</v>
      </c>
      <c r="B93" s="55">
        <v>827</v>
      </c>
      <c r="C93" s="55">
        <v>7</v>
      </c>
      <c r="D93" s="55">
        <v>110</v>
      </c>
      <c r="E93" s="63"/>
      <c r="F93" s="63"/>
      <c r="G93" s="51"/>
      <c r="H93" s="87"/>
      <c r="I93" s="53">
        <f t="shared" si="3"/>
        <v>20.3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80</v>
      </c>
      <c r="B94" s="55">
        <v>892</v>
      </c>
      <c r="C94" s="55">
        <v>8</v>
      </c>
      <c r="D94" s="55">
        <f>B94</f>
        <v>892</v>
      </c>
      <c r="E94" s="63"/>
      <c r="F94" s="63"/>
      <c r="G94" s="51"/>
      <c r="H94" s="87"/>
      <c r="I94" s="53">
        <f t="shared" si="3"/>
        <v>17.5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3" zoomScaleNormal="100" workbookViewId="0">
      <selection activeCell="G19" sqref="G19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Douglas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>Cèdre de l'Atlas</v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>Sapin méditerranéen</v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/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/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/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490.7691633858222</v>
      </c>
      <c r="T3" s="59">
        <f>IF('Données projet'!E9&gt;30,$R$33-$H$33,LOOKUP('Données projet'!$E$9,$A$3:$A$203,R3:R203)-LOOKUP('Données projet'!$E$9,$A$3:$A$203,$H$3:$H$203))</f>
        <v>490.82176582457072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165.03539937460289</v>
      </c>
      <c r="AO3" s="59">
        <f>IF('Données projet'!E10&gt;30,$AM$33-$H$33,LOOKUP('Données projet'!$E$10,$A$3:$A$203,AM3:AM203)-LOOKUP('Données projet'!$E$10,$A$3:$A$203,$H$3:$H$203))</f>
        <v>142.05625724497401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402.22278907877927</v>
      </c>
      <c r="BJ3" s="59">
        <f>IF('Données projet'!E11&gt;30,$BH$33-$H$33,LOOKUP('Données projet'!$E$11,$A$3:$A$203,BH3:BH203)-LOOKUP('Données projet'!$E$11,$A$3:$A$203,$H$3:$H$203))</f>
        <v>393.06397734082458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3.7</v>
      </c>
      <c r="N4" s="13">
        <f>IF('Données projet'!$A$36&gt;35,N3+M4-V3,IF(A4&lt;'Données projet'!$A$36,$K$205^A4,IF(A4='Données projet'!$A$36,'Données projet'!$B$36,N3+M4-V3)))</f>
        <v>1.4348951656753595</v>
      </c>
      <c r="O4" s="13">
        <f>N4*VLOOKUP('Données projet'!$B$9,Paramètres!$A$1:$I$89,3,0)*VLOOKUP('Données projet'!$B$9,Paramètres!$A$1:$I$89,5,0)</f>
        <v>0.80210639761252589</v>
      </c>
      <c r="P4" s="13">
        <f>EXP(-1.0587+0.8836*LN(O4)+0.284)</f>
        <v>0.37925511137099766</v>
      </c>
      <c r="Q4" s="20">
        <f t="shared" ref="Q4:Q34" si="2">(O4+P4)*0.475*44/12</f>
        <v>2.0575379614796372</v>
      </c>
      <c r="R4" s="59">
        <f t="shared" si="0"/>
        <v>295.39087129481294</v>
      </c>
      <c r="S4" s="59">
        <f ca="1">AVERAGE(OFFSET($R$3,0,0,'Données projet'!$E$9+1,1))-AVERAGE(OFFSET($H$3,0,0,'Données projet'!$E$9+1,1))</f>
        <v>490.7691633858222</v>
      </c>
      <c r="T4" s="59">
        <f>$T$3</f>
        <v>490.82176582457072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5.75</v>
      </c>
      <c r="AI4" s="13">
        <f>IF('Données projet'!$A$62&gt;35,AI3+AH4-AQ3,IF(A4&lt;'Données projet'!$A$62,$AF$205^A4,IF(A4='Données projet'!$A$62,'Données projet'!$B$62,AI3+AH4-AQ3)))</f>
        <v>1.2677537154322802</v>
      </c>
      <c r="AJ4" s="13">
        <f>AI4*VLOOKUP('Données projet'!$B$10,Paramètres!$A$1:$I$89,3,0)*VLOOKUP('Données projet'!$B$10,Paramètres!$A$1:$I$89,5,0)</f>
        <v>0.59330873882230706</v>
      </c>
      <c r="AK4" s="13">
        <f>EXP(-1.0587+0.8836*LN(AJ4)+0.284)</f>
        <v>0.29055137246158741</v>
      </c>
      <c r="AL4" s="20">
        <f t="shared" ref="AL4:AL67" si="4">(AJ4+AK4)*0.475*44/12</f>
        <v>1.5393896938194491</v>
      </c>
      <c r="AM4" s="59">
        <f t="shared" ref="AM4:AM67" si="5">AL4+(AD4+AE4)*44/12</f>
        <v>294.87272302715274</v>
      </c>
      <c r="AN4" s="59">
        <f ca="1">AVERAGE(OFFSET($AM$3,0,0,'Données projet'!$E$10+1,1))-AVERAGE(OFFSET($H$3,0,0,'Données projet'!$E$10+1,1))</f>
        <v>165.03539937460289</v>
      </c>
      <c r="AO4" s="59">
        <f>$AO$3</f>
        <v>142.05625724497401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7.8</v>
      </c>
      <c r="BD4" s="12">
        <f>IF('Données projet'!$A$88&gt;35,BD3+BC4-BL3,IF(A4&lt;'Données projet'!$A$88,$BA$205^A4,IF(A4='Données projet'!$A$88,'Données projet'!$B$88,BD3+BC4-BL3)))</f>
        <v>1.2872302285303792</v>
      </c>
      <c r="BE4" s="13">
        <f>BD4*VLOOKUP('Données projet'!$B$11,Paramètres!$A$1:$I$89,3,0)*VLOOKUP('Données projet'!$B$11,Paramètres!$A$1:$I$89,5,0)</f>
        <v>0.6191577399231124</v>
      </c>
      <c r="BF4" s="13">
        <f>EXP(-1.0587+0.8836*LN(BE4)+0.284)</f>
        <v>0.30170860659020604</v>
      </c>
      <c r="BG4" s="20">
        <f t="shared" ref="BG4:BG67" si="7">(BE4+BF4)*0.475*44/12</f>
        <v>1.603842220177363</v>
      </c>
      <c r="BH4" s="59">
        <f t="shared" ref="BH4:BH67" si="8">BG4+(AY4+AZ4)*44/12</f>
        <v>294.93717555351066</v>
      </c>
      <c r="BI4" s="59">
        <f ca="1">AVERAGE(OFFSET($BH$3,0,0,'Données projet'!$E$11+1,1))-AVERAGE(OFFSET($H$3,0,0,'Données projet'!$E$11+1,1))</f>
        <v>402.22278907877927</v>
      </c>
      <c r="BJ4" s="59">
        <f>$BJ$3</f>
        <v>393.06397734082458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3.7</v>
      </c>
      <c r="N5" s="13">
        <f>IF('Données projet'!$A$36&gt;35,N4+M5-V4,IF(A5&lt;'Données projet'!$A$36,$K$205^A5,IF(A5='Données projet'!$A$36,'Données projet'!$B$36,N4+M5-V4)))</f>
        <v>2.0589241364785171</v>
      </c>
      <c r="O5" s="13">
        <f>N5*VLOOKUP('Données projet'!$B$9,Paramètres!$A$1:$I$89,3,0)*VLOOKUP('Données projet'!$B$9,Paramètres!$A$1:$I$89,5,0)</f>
        <v>1.150938592291491</v>
      </c>
      <c r="P5" s="13">
        <f t="shared" ref="P5:P68" si="33">EXP(-1.0587+0.8836*LN(O5)+0.284)</f>
        <v>0.52179239731105564</v>
      </c>
      <c r="Q5" s="20">
        <f t="shared" si="2"/>
        <v>2.9133398068911021</v>
      </c>
      <c r="R5" s="59">
        <f t="shared" si="0"/>
        <v>296.2466731402244</v>
      </c>
      <c r="S5" s="59">
        <f ca="1">AVERAGE(OFFSET($R$3,0,0,'Données projet'!$E$9+1,1))-AVERAGE(OFFSET($H$3,0,0,'Données projet'!$E$9+1,1))</f>
        <v>490.7691633858222</v>
      </c>
      <c r="T5" s="59">
        <f t="shared" ref="T5:T68" si="34">$T$3</f>
        <v>490.82176582457072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5.75</v>
      </c>
      <c r="AI5" s="13">
        <f>IF('Données projet'!$A$62&gt;35,AI4+AH5-AQ4,IF(A5&lt;'Données projet'!$A$62,$AF$205^A5,IF(A5='Données projet'!$A$62,'Données projet'!$B$62,AI4+AH5-AQ4)))</f>
        <v>1.6071994829923508</v>
      </c>
      <c r="AJ5" s="13">
        <f>AI5*VLOOKUP('Données projet'!$B$10,Paramètres!$A$1:$I$89,3,0)*VLOOKUP('Données projet'!$B$10,Paramètres!$A$1:$I$89,5,0)</f>
        <v>0.75216935804042018</v>
      </c>
      <c r="AK5" s="13">
        <f t="shared" ref="AK5:AK68" si="35">EXP(-1.0587+0.8836*LN(AJ5)+0.284)</f>
        <v>0.35831464735172275</v>
      </c>
      <c r="AL5" s="20">
        <f t="shared" si="4"/>
        <v>1.9340929760579824</v>
      </c>
      <c r="AM5" s="59">
        <f t="shared" si="5"/>
        <v>295.26742630939128</v>
      </c>
      <c r="AN5" s="59">
        <f ca="1">AVERAGE(OFFSET($AM$3,0,0,'Données projet'!$E$10+1,1))-AVERAGE(OFFSET($H$3,0,0,'Données projet'!$E$10+1,1))</f>
        <v>165.03539937460289</v>
      </c>
      <c r="AO5" s="59">
        <f t="shared" ref="AO5:AO68" si="36">$AO$3</f>
        <v>142.05625724497401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7.8</v>
      </c>
      <c r="BD5" s="12">
        <f>IF('Données projet'!$A$88&gt;35,BD4+BC5-BL4,IF(A5&lt;'Données projet'!$A$88,$BA$205^A5,IF(A5='Données projet'!$A$88,'Données projet'!$B$88,BD4+BC5-BL4)))</f>
        <v>1.6569616612423721</v>
      </c>
      <c r="BE5" s="13">
        <f>BD5*VLOOKUP('Données projet'!$B$11,Paramètres!$A$1:$I$89,3,0)*VLOOKUP('Données projet'!$B$11,Paramètres!$A$1:$I$89,5,0)</f>
        <v>0.79699855905758099</v>
      </c>
      <c r="BF5" s="13">
        <f t="shared" ref="BF5:BF68" si="37">EXP(-1.0587+0.8836*LN(BE5)+0.284)</f>
        <v>0.37712032883057583</v>
      </c>
      <c r="BG5" s="20">
        <f t="shared" si="7"/>
        <v>2.0449237297385401</v>
      </c>
      <c r="BH5" s="59">
        <f t="shared" si="8"/>
        <v>295.37825706307183</v>
      </c>
      <c r="BI5" s="59">
        <f ca="1">AVERAGE(OFFSET($BH$3,0,0,'Données projet'!$E$11+1,1))-AVERAGE(OFFSET($H$3,0,0,'Données projet'!$E$11+1,1))</f>
        <v>402.22278907877927</v>
      </c>
      <c r="BJ5" s="59">
        <f t="shared" ref="BJ5:BJ68" si="38">$BJ$3</f>
        <v>393.06397734082458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3.7</v>
      </c>
      <c r="N6" s="13">
        <f>IF('Données projet'!$A$36&gt;35,N5+M6-V5,IF(A6&lt;'Données projet'!$A$36,$K$205^A6,IF(A6='Données projet'!$A$36,'Données projet'!$B$36,N5+M6-V5)))</f>
        <v>2.9543402899253381</v>
      </c>
      <c r="O6" s="13">
        <f>N6*VLOOKUP('Données projet'!$B$9,Paramètres!$A$1:$I$89,3,0)*VLOOKUP('Données projet'!$B$9,Paramètres!$A$1:$I$89,5,0)</f>
        <v>1.6514762220682639</v>
      </c>
      <c r="P6" s="13">
        <f t="shared" si="33"/>
        <v>0.71790016199749873</v>
      </c>
      <c r="Q6" s="20">
        <f t="shared" si="2"/>
        <v>4.1266638689145365</v>
      </c>
      <c r="R6" s="59">
        <f t="shared" si="0"/>
        <v>297.45999720224785</v>
      </c>
      <c r="S6" s="59">
        <f ca="1">AVERAGE(OFFSET($R$3,0,0,'Données projet'!$E$9+1,1))-AVERAGE(OFFSET($H$3,0,0,'Données projet'!$E$9+1,1))</f>
        <v>490.7691633858222</v>
      </c>
      <c r="T6" s="59">
        <f t="shared" si="34"/>
        <v>490.82176582457072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5.75</v>
      </c>
      <c r="AI6" s="13">
        <f>IF('Données projet'!$A$62&gt;35,AI5+AH6-AQ5,IF(A6&lt;'Données projet'!$A$62,$AF$205^A6,IF(A6='Données projet'!$A$62,'Données projet'!$B$62,AI5+AH6-AQ5)))</f>
        <v>2.0375331160043926</v>
      </c>
      <c r="AJ6" s="13">
        <f>AI6*VLOOKUP('Données projet'!$B$10,Paramètres!$A$1:$I$89,3,0)*VLOOKUP('Données projet'!$B$10,Paramètres!$A$1:$I$89,5,0)</f>
        <v>0.95356549829005577</v>
      </c>
      <c r="AK6" s="13">
        <f t="shared" si="35"/>
        <v>0.44188187933534279</v>
      </c>
      <c r="AL6" s="20">
        <f t="shared" si="4"/>
        <v>2.4304041826975693</v>
      </c>
      <c r="AM6" s="59">
        <f t="shared" si="5"/>
        <v>295.76373751603086</v>
      </c>
      <c r="AN6" s="59">
        <f ca="1">AVERAGE(OFFSET($AM$3,0,0,'Données projet'!$E$10+1,1))-AVERAGE(OFFSET($H$3,0,0,'Données projet'!$E$10+1,1))</f>
        <v>165.03539937460289</v>
      </c>
      <c r="AO6" s="59">
        <f t="shared" si="36"/>
        <v>142.05625724497401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7.8</v>
      </c>
      <c r="BD6" s="12">
        <f>IF('Données projet'!$A$88&gt;35,BD5+BC6-BL5,IF(A6&lt;'Données projet'!$A$88,$BA$205^A6,IF(A6='Données projet'!$A$88,'Données projet'!$B$88,BD5+BC6-BL5)))</f>
        <v>2.1328911378670954</v>
      </c>
      <c r="BE6" s="13">
        <f>BD6*VLOOKUP('Données projet'!$B$11,Paramètres!$A$1:$I$89,3,0)*VLOOKUP('Données projet'!$B$11,Paramètres!$A$1:$I$89,5,0)</f>
        <v>1.0259206373140728</v>
      </c>
      <c r="BF6" s="13">
        <f t="shared" si="37"/>
        <v>0.47138112506830399</v>
      </c>
      <c r="BG6" s="20">
        <f t="shared" si="7"/>
        <v>2.6078005694826394</v>
      </c>
      <c r="BH6" s="59">
        <f t="shared" si="8"/>
        <v>295.94113390281598</v>
      </c>
      <c r="BI6" s="59">
        <f ca="1">AVERAGE(OFFSET($BH$3,0,0,'Données projet'!$E$11+1,1))-AVERAGE(OFFSET($H$3,0,0,'Données projet'!$E$11+1,1))</f>
        <v>402.22278907877927</v>
      </c>
      <c r="BJ6" s="59">
        <f t="shared" si="38"/>
        <v>393.06397734082458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3.7</v>
      </c>
      <c r="N7" s="13">
        <f>IF('Données projet'!$A$36&gt;35,N6+M7-V6,IF(A7&lt;'Données projet'!$A$36,$K$205^A7,IF(A7='Données projet'!$A$36,'Données projet'!$B$36,N6+M7-V6)))</f>
        <v>4.2391685997738078</v>
      </c>
      <c r="O7" s="13">
        <f>N7*VLOOKUP('Données projet'!$B$9,Paramètres!$A$1:$I$89,3,0)*VLOOKUP('Données projet'!$B$9,Paramètres!$A$1:$I$89,5,0)</f>
        <v>2.3696952472735586</v>
      </c>
      <c r="P7" s="13">
        <f t="shared" si="33"/>
        <v>0.98771205799842543</v>
      </c>
      <c r="Q7" s="20">
        <f t="shared" si="2"/>
        <v>5.8474843900153717</v>
      </c>
      <c r="R7" s="59">
        <f t="shared" si="0"/>
        <v>299.1808177233487</v>
      </c>
      <c r="S7" s="59">
        <f ca="1">AVERAGE(OFFSET($R$3,0,0,'Données projet'!$E$9+1,1))-AVERAGE(OFFSET($H$3,0,0,'Données projet'!$E$9+1,1))</f>
        <v>490.7691633858222</v>
      </c>
      <c r="T7" s="59">
        <f t="shared" si="34"/>
        <v>490.82176582457072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5.75</v>
      </c>
      <c r="AI7" s="13">
        <f>IF('Données projet'!$A$62&gt;35,AI6+AH7-AQ6,IF(A7&lt;'Données projet'!$A$62,$AF$205^A7,IF(A7='Données projet'!$A$62,'Données projet'!$B$62,AI6+AH7-AQ6)))</f>
        <v>2.5830901781308797</v>
      </c>
      <c r="AJ7" s="13">
        <f>AI7*VLOOKUP('Données projet'!$B$10,Paramètres!$A$1:$I$89,3,0)*VLOOKUP('Données projet'!$B$10,Paramètres!$A$1:$I$89,5,0)</f>
        <v>1.2088862033652517</v>
      </c>
      <c r="AK7" s="13">
        <f t="shared" si="35"/>
        <v>0.54493891535856476</v>
      </c>
      <c r="AL7" s="20">
        <f t="shared" si="4"/>
        <v>3.0545787484439804</v>
      </c>
      <c r="AM7" s="59">
        <f t="shared" si="5"/>
        <v>296.3879120817773</v>
      </c>
      <c r="AN7" s="59">
        <f ca="1">AVERAGE(OFFSET($AM$3,0,0,'Données projet'!$E$10+1,1))-AVERAGE(OFFSET($H$3,0,0,'Données projet'!$E$10+1,1))</f>
        <v>165.03539937460289</v>
      </c>
      <c r="AO7" s="59">
        <f t="shared" si="36"/>
        <v>142.05625724497401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7.8</v>
      </c>
      <c r="BD7" s="12">
        <f>IF('Données projet'!$A$88&gt;35,BD6+BC7-BL6,IF(A7&lt;'Données projet'!$A$88,$BA$205^A7,IF(A7='Données projet'!$A$88,'Données projet'!$B$88,BD6+BC7-BL6)))</f>
        <v>2.7455219468270813</v>
      </c>
      <c r="BE7" s="13">
        <f>BD7*VLOOKUP('Données projet'!$B$11,Paramètres!$A$1:$I$89,3,0)*VLOOKUP('Données projet'!$B$11,Paramètres!$A$1:$I$89,5,0)</f>
        <v>1.3205960564238262</v>
      </c>
      <c r="BF7" s="13">
        <f t="shared" si="37"/>
        <v>0.58920229985927153</v>
      </c>
      <c r="BG7" s="20">
        <f t="shared" si="7"/>
        <v>3.3262321371930614</v>
      </c>
      <c r="BH7" s="59">
        <f t="shared" si="8"/>
        <v>296.65956547052639</v>
      </c>
      <c r="BI7" s="59">
        <f ca="1">AVERAGE(OFFSET($BH$3,0,0,'Données projet'!$E$11+1,1))-AVERAGE(OFFSET($H$3,0,0,'Données projet'!$E$11+1,1))</f>
        <v>402.22278907877927</v>
      </c>
      <c r="BJ7" s="59">
        <f t="shared" si="38"/>
        <v>393.06397734082458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3.7</v>
      </c>
      <c r="N8" s="13">
        <f>IF('Données projet'!$A$36&gt;35,N7+M8-V7,IF(A8&lt;'Données projet'!$A$36,$K$205^A8,IF(A8='Données projet'!$A$36,'Données projet'!$B$36,N7+M8-V7)))</f>
        <v>6.0827625302982193</v>
      </c>
      <c r="O8" s="13">
        <f>N8*VLOOKUP('Données projet'!$B$9,Paramètres!$A$1:$I$89,3,0)*VLOOKUP('Données projet'!$B$9,Paramètres!$A$1:$I$89,5,0)</f>
        <v>3.4002642544367045</v>
      </c>
      <c r="P8" s="13">
        <f t="shared" si="33"/>
        <v>1.3589286660710962</v>
      </c>
      <c r="Q8" s="20">
        <f t="shared" si="2"/>
        <v>8.2889276698844174</v>
      </c>
      <c r="R8" s="59">
        <f t="shared" si="0"/>
        <v>301.62226100321772</v>
      </c>
      <c r="S8" s="59">
        <f ca="1">AVERAGE(OFFSET($R$3,0,0,'Données projet'!$E$9+1,1))-AVERAGE(OFFSET($H$3,0,0,'Données projet'!$E$9+1,1))</f>
        <v>490.7691633858222</v>
      </c>
      <c r="T8" s="59">
        <f t="shared" si="34"/>
        <v>490.82176582457072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5.75</v>
      </c>
      <c r="AI8" s="13">
        <f>IF('Données projet'!$A$62&gt;35,AI7+AH8-AQ7,IF(A8&lt;'Données projet'!$A$62,$AF$205^A8,IF(A8='Données projet'!$A$62,'Données projet'!$B$62,AI7+AH8-AQ7)))</f>
        <v>3.2747221706220535</v>
      </c>
      <c r="AJ8" s="13">
        <f>AI8*VLOOKUP('Données projet'!$B$10,Paramètres!$A$1:$I$89,3,0)*VLOOKUP('Données projet'!$B$10,Paramètres!$A$1:$I$89,5,0)</f>
        <v>1.5325699758511209</v>
      </c>
      <c r="AK8" s="13">
        <f t="shared" si="35"/>
        <v>0.67203122680395833</v>
      </c>
      <c r="AL8" s="20">
        <f t="shared" si="4"/>
        <v>3.839680427957596</v>
      </c>
      <c r="AM8" s="59">
        <f t="shared" si="5"/>
        <v>297.17301376129092</v>
      </c>
      <c r="AN8" s="59">
        <f ca="1">AVERAGE(OFFSET($AM$3,0,0,'Données projet'!$E$10+1,1))-AVERAGE(OFFSET($H$3,0,0,'Données projet'!$E$10+1,1))</f>
        <v>165.03539937460289</v>
      </c>
      <c r="AO8" s="59">
        <f t="shared" si="36"/>
        <v>142.05625724497401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7.8</v>
      </c>
      <c r="BD8" s="12">
        <f>IF('Données projet'!$A$88&gt;35,BD7+BC8-BL7,IF(A8&lt;'Données projet'!$A$88,$BA$205^A8,IF(A8='Données projet'!$A$88,'Données projet'!$B$88,BD7+BC8-BL7)))</f>
        <v>3.5341188430493955</v>
      </c>
      <c r="BE8" s="13">
        <f>BD8*VLOOKUP('Données projet'!$B$11,Paramètres!$A$1:$I$89,3,0)*VLOOKUP('Données projet'!$B$11,Paramètres!$A$1:$I$89,5,0)</f>
        <v>1.6999111635067592</v>
      </c>
      <c r="BF8" s="13">
        <f t="shared" si="37"/>
        <v>0.73647274296176146</v>
      </c>
      <c r="BG8" s="20">
        <f t="shared" si="7"/>
        <v>4.2433686370993398</v>
      </c>
      <c r="BH8" s="59">
        <f t="shared" si="8"/>
        <v>297.57670197043268</v>
      </c>
      <c r="BI8" s="59">
        <f ca="1">AVERAGE(OFFSET($BH$3,0,0,'Données projet'!$E$11+1,1))-AVERAGE(OFFSET($H$3,0,0,'Données projet'!$E$11+1,1))</f>
        <v>402.22278907877927</v>
      </c>
      <c r="BJ8" s="59">
        <f t="shared" si="38"/>
        <v>393.06397734082458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3.7</v>
      </c>
      <c r="N9" s="13">
        <f>IF('Données projet'!$A$36&gt;35,N8+M9-V8,IF(A9&lt;'Données projet'!$A$36,$K$205^A9,IF(A9='Données projet'!$A$36,'Données projet'!$B$36,N8+M9-V8)))</f>
        <v>8.7281265486761317</v>
      </c>
      <c r="O9" s="13">
        <f>N9*VLOOKUP('Données projet'!$B$9,Paramètres!$A$1:$I$89,3,0)*VLOOKUP('Données projet'!$B$9,Paramètres!$A$1:$I$89,5,0)</f>
        <v>4.8790227407099573</v>
      </c>
      <c r="P9" s="13">
        <f t="shared" si="33"/>
        <v>1.8696614104438858</v>
      </c>
      <c r="Q9" s="20">
        <f t="shared" si="2"/>
        <v>11.753958229926276</v>
      </c>
      <c r="R9" s="59">
        <f t="shared" si="0"/>
        <v>305.08729156325961</v>
      </c>
      <c r="S9" s="59">
        <f ca="1">AVERAGE(OFFSET($R$3,0,0,'Données projet'!$E$9+1,1))-AVERAGE(OFFSET($H$3,0,0,'Données projet'!$E$9+1,1))</f>
        <v>490.7691633858222</v>
      </c>
      <c r="T9" s="59">
        <f t="shared" si="34"/>
        <v>490.82176582457072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5.75</v>
      </c>
      <c r="AI9" s="13">
        <f>IF('Données projet'!$A$62&gt;35,AI8+AH9-AQ8,IF(A9&lt;'Données projet'!$A$62,$AF$205^A9,IF(A9='Données projet'!$A$62,'Données projet'!$B$62,AI8+AH9-AQ8)))</f>
        <v>4.1515411988145692</v>
      </c>
      <c r="AJ9" s="13">
        <f>AI9*VLOOKUP('Données projet'!$B$10,Paramètres!$A$1:$I$89,3,0)*VLOOKUP('Données projet'!$B$10,Paramètres!$A$1:$I$89,5,0)</f>
        <v>1.9429212810452183</v>
      </c>
      <c r="AK9" s="13">
        <f t="shared" si="35"/>
        <v>0.82876439371643607</v>
      </c>
      <c r="AL9" s="20">
        <f t="shared" si="4"/>
        <v>4.8273525502098815</v>
      </c>
      <c r="AM9" s="59">
        <f t="shared" si="5"/>
        <v>298.16068588354318</v>
      </c>
      <c r="AN9" s="59">
        <f ca="1">AVERAGE(OFFSET($AM$3,0,0,'Données projet'!$E$10+1,1))-AVERAGE(OFFSET($H$3,0,0,'Données projet'!$E$10+1,1))</f>
        <v>165.03539937460289</v>
      </c>
      <c r="AO9" s="59">
        <f t="shared" si="36"/>
        <v>142.05625724497401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7.8</v>
      </c>
      <c r="BD9" s="12">
        <f>IF('Données projet'!$A$88&gt;35,BD8+BC9-BL8,IF(A9&lt;'Données projet'!$A$88,$BA$205^A9,IF(A9='Données projet'!$A$88,'Données projet'!$B$88,BD8+BC9-BL8)))</f>
        <v>4.5492246059919923</v>
      </c>
      <c r="BE9" s="13">
        <f>BD9*VLOOKUP('Données projet'!$B$11,Paramètres!$A$1:$I$89,3,0)*VLOOKUP('Données projet'!$B$11,Paramètres!$A$1:$I$89,5,0)</f>
        <v>2.1881770354821484</v>
      </c>
      <c r="BF9" s="13">
        <f t="shared" si="37"/>
        <v>0.9205532654152383</v>
      </c>
      <c r="BG9" s="20">
        <f t="shared" si="7"/>
        <v>5.4143719407296151</v>
      </c>
      <c r="BH9" s="59">
        <f t="shared" si="8"/>
        <v>298.74770527406292</v>
      </c>
      <c r="BI9" s="59">
        <f ca="1">AVERAGE(OFFSET($BH$3,0,0,'Données projet'!$E$11+1,1))-AVERAGE(OFFSET($H$3,0,0,'Données projet'!$E$11+1,1))</f>
        <v>402.22278907877927</v>
      </c>
      <c r="BJ9" s="59">
        <f t="shared" si="38"/>
        <v>393.06397734082458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3.7</v>
      </c>
      <c r="N10" s="13">
        <f>IF('Données projet'!$A$36&gt;35,N9+M10-V9,IF(A10&lt;'Données projet'!$A$36,$K$205^A10,IF(A10='Données projet'!$A$36,'Données projet'!$B$36,N9+M10-V9)))</f>
        <v>12.523946590098141</v>
      </c>
      <c r="O10" s="13">
        <f>N10*VLOOKUP('Données projet'!$B$9,Paramètres!$A$1:$I$89,3,0)*VLOOKUP('Données projet'!$B$9,Paramètres!$A$1:$I$89,5,0)</f>
        <v>7.0008861438648609</v>
      </c>
      <c r="P10" s="13">
        <f t="shared" si="33"/>
        <v>2.5723453165569885</v>
      </c>
      <c r="Q10" s="20">
        <f t="shared" si="2"/>
        <v>16.673378126901387</v>
      </c>
      <c r="R10" s="59">
        <f t="shared" si="0"/>
        <v>310.00671146023473</v>
      </c>
      <c r="S10" s="59">
        <f ca="1">AVERAGE(OFFSET($R$3,0,0,'Données projet'!$E$9+1,1))-AVERAGE(OFFSET($H$3,0,0,'Données projet'!$E$9+1,1))</f>
        <v>490.7691633858222</v>
      </c>
      <c r="T10" s="59">
        <f t="shared" si="34"/>
        <v>490.82176582457072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5.75</v>
      </c>
      <c r="AI10" s="13">
        <f>IF('Données projet'!$A$62&gt;35,AI9+AH10-AQ9,IF(A10&lt;'Données projet'!$A$62,$AF$205^A10,IF(A10='Données projet'!$A$62,'Données projet'!$B$62,AI9+AH10-AQ9)))</f>
        <v>5.2631317795673525</v>
      </c>
      <c r="AJ10" s="13">
        <f>AI10*VLOOKUP('Données projet'!$B$10,Paramètres!$A$1:$I$89,3,0)*VLOOKUP('Données projet'!$B$10,Paramètres!$A$1:$I$89,5,0)</f>
        <v>2.4631456728375212</v>
      </c>
      <c r="AK10" s="13">
        <f t="shared" si="35"/>
        <v>1.0220513465701448</v>
      </c>
      <c r="AL10" s="20">
        <f t="shared" si="4"/>
        <v>6.0700514754683512</v>
      </c>
      <c r="AM10" s="59">
        <f t="shared" si="5"/>
        <v>299.40338480880166</v>
      </c>
      <c r="AN10" s="59">
        <f ca="1">AVERAGE(OFFSET($AM$3,0,0,'Données projet'!$E$10+1,1))-AVERAGE(OFFSET($H$3,0,0,'Données projet'!$E$10+1,1))</f>
        <v>165.03539937460289</v>
      </c>
      <c r="AO10" s="59">
        <f t="shared" si="36"/>
        <v>142.05625724497401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7.8</v>
      </c>
      <c r="BD10" s="12">
        <f>IF('Données projet'!$A$88&gt;35,BD9+BC10-BL9,IF(A10&lt;'Données projet'!$A$88,$BA$205^A10,IF(A10='Données projet'!$A$88,'Données projet'!$B$88,BD9+BC10-BL9)))</f>
        <v>5.8558994292070965</v>
      </c>
      <c r="BE10" s="13">
        <f>BD10*VLOOKUP('Données projet'!$B$11,Paramètres!$A$1:$I$89,3,0)*VLOOKUP('Données projet'!$B$11,Paramètres!$A$1:$I$89,5,0)</f>
        <v>2.8166876254486133</v>
      </c>
      <c r="BF10" s="13">
        <f t="shared" si="37"/>
        <v>1.1506445045864473</v>
      </c>
      <c r="BG10" s="20">
        <f t="shared" si="7"/>
        <v>6.9097701264777305</v>
      </c>
      <c r="BH10" s="59">
        <f t="shared" si="8"/>
        <v>300.24310345981104</v>
      </c>
      <c r="BI10" s="59">
        <f ca="1">AVERAGE(OFFSET($BH$3,0,0,'Données projet'!$E$11+1,1))-AVERAGE(OFFSET($H$3,0,0,'Données projet'!$E$11+1,1))</f>
        <v>402.22278907877927</v>
      </c>
      <c r="BJ10" s="59">
        <f t="shared" si="38"/>
        <v>393.06397734082458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3.7</v>
      </c>
      <c r="N11" s="13">
        <f>IF('Données projet'!$A$36&gt;35,N10+M11-V10,IF(A11&lt;'Données projet'!$A$36,$K$205^A11,IF(A11='Données projet'!$A$36,'Données projet'!$B$36,N10+M11-V10)))</f>
        <v>17.970550417308225</v>
      </c>
      <c r="O11" s="13">
        <f>N11*VLOOKUP('Données projet'!$B$9,Paramètres!$A$1:$I$89,3,0)*VLOOKUP('Données projet'!$B$9,Paramètres!$A$1:$I$89,5,0)</f>
        <v>10.045537683275297</v>
      </c>
      <c r="P11" s="13">
        <f t="shared" si="33"/>
        <v>3.5391223195015331</v>
      </c>
      <c r="Q11" s="20">
        <f t="shared" si="2"/>
        <v>23.659949504836316</v>
      </c>
      <c r="R11" s="59">
        <f t="shared" si="0"/>
        <v>316.99328283816965</v>
      </c>
      <c r="S11" s="59">
        <f ca="1">AVERAGE(OFFSET($R$3,0,0,'Données projet'!$E$9+1,1))-AVERAGE(OFFSET($H$3,0,0,'Données projet'!$E$9+1,1))</f>
        <v>490.7691633858222</v>
      </c>
      <c r="T11" s="59">
        <f t="shared" si="34"/>
        <v>490.82176582457072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5.75</v>
      </c>
      <c r="AI11" s="13">
        <f>IF('Données projet'!$A$62&gt;35,AI10+AH11-AQ10,IF(A11&lt;'Données projet'!$A$62,$AF$205^A11,IF(A11='Données projet'!$A$62,'Données projet'!$B$62,AI10+AH11-AQ10)))</f>
        <v>6.6723548683562202</v>
      </c>
      <c r="AJ11" s="13">
        <f>AI11*VLOOKUP('Données projet'!$B$10,Paramètres!$A$1:$I$89,3,0)*VLOOKUP('Données projet'!$B$10,Paramètres!$A$1:$I$89,5,0)</f>
        <v>3.1226620783907113</v>
      </c>
      <c r="AK11" s="13">
        <f t="shared" si="35"/>
        <v>1.2604172705122936</v>
      </c>
      <c r="AL11" s="20">
        <f t="shared" si="4"/>
        <v>7.6338631993393991</v>
      </c>
      <c r="AM11" s="59">
        <f t="shared" si="5"/>
        <v>300.96719653267269</v>
      </c>
      <c r="AN11" s="59">
        <f ca="1">AVERAGE(OFFSET($AM$3,0,0,'Données projet'!$E$10+1,1))-AVERAGE(OFFSET($H$3,0,0,'Données projet'!$E$10+1,1))</f>
        <v>165.03539937460289</v>
      </c>
      <c r="AO11" s="59">
        <f t="shared" si="36"/>
        <v>142.05625724497401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7.8</v>
      </c>
      <c r="BD11" s="12">
        <f>IF('Données projet'!$A$88&gt;35,BD10+BC11-BL10,IF(A11&lt;'Données projet'!$A$88,$BA$205^A11,IF(A11='Données projet'!$A$88,'Données projet'!$B$88,BD10+BC11-BL10)))</f>
        <v>7.5378907605091667</v>
      </c>
      <c r="BE11" s="13">
        <f>BD11*VLOOKUP('Données projet'!$B$11,Paramètres!$A$1:$I$89,3,0)*VLOOKUP('Données projet'!$B$11,Paramètres!$A$1:$I$89,5,0)</f>
        <v>3.6257254558049095</v>
      </c>
      <c r="BF11" s="13">
        <f t="shared" si="37"/>
        <v>1.4382467866623401</v>
      </c>
      <c r="BG11" s="20">
        <f t="shared" si="7"/>
        <v>8.8197516556304585</v>
      </c>
      <c r="BH11" s="59">
        <f t="shared" si="8"/>
        <v>302.15308498896377</v>
      </c>
      <c r="BI11" s="59">
        <f ca="1">AVERAGE(OFFSET($BH$3,0,0,'Données projet'!$E$11+1,1))-AVERAGE(OFFSET($H$3,0,0,'Données projet'!$E$11+1,1))</f>
        <v>402.22278907877927</v>
      </c>
      <c r="BJ11" s="59">
        <f t="shared" si="38"/>
        <v>393.06397734082458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3.7</v>
      </c>
      <c r="N12" s="13">
        <f>IF('Données projet'!$A$36&gt;35,N11+M12-V11,IF(A12&lt;'Données projet'!$A$36,$K$205^A12,IF(A12='Données projet'!$A$36,'Données projet'!$B$36,N11+M12-V11)))</f>
        <v>25.785855918320884</v>
      </c>
      <c r="O12" s="13">
        <f>N12*VLOOKUP('Données projet'!$B$9,Paramètres!$A$1:$I$89,3,0)*VLOOKUP('Données projet'!$B$9,Paramètres!$A$1:$I$89,5,0)</f>
        <v>14.414293458341374</v>
      </c>
      <c r="P12" s="13">
        <f t="shared" si="33"/>
        <v>4.869247807350682</v>
      </c>
      <c r="Q12" s="20">
        <f t="shared" si="2"/>
        <v>33.585501037747001</v>
      </c>
      <c r="R12" s="59">
        <f t="shared" si="0"/>
        <v>326.91883437108032</v>
      </c>
      <c r="S12" s="59">
        <f ca="1">AVERAGE(OFFSET($R$3,0,0,'Données projet'!$E$9+1,1))-AVERAGE(OFFSET($H$3,0,0,'Données projet'!$E$9+1,1))</f>
        <v>490.7691633858222</v>
      </c>
      <c r="T12" s="59">
        <f t="shared" si="34"/>
        <v>490.82176582457072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5.75</v>
      </c>
      <c r="AI12" s="13">
        <f>IF('Données projet'!$A$62&gt;35,AI11+AH12-AQ11,IF(A12&lt;'Données projet'!$A$62,$AF$205^A12,IF(A12='Données projet'!$A$62,'Données projet'!$B$62,AI11+AH12-AQ11)))</f>
        <v>8.4589026750412604</v>
      </c>
      <c r="AJ12" s="13">
        <f>AI12*VLOOKUP('Données projet'!$B$10,Paramètres!$A$1:$I$89,3,0)*VLOOKUP('Données projet'!$B$10,Paramètres!$A$1:$I$89,5,0)</f>
        <v>3.9587664519193098</v>
      </c>
      <c r="AK12" s="13">
        <f t="shared" si="35"/>
        <v>1.5543756203021926</v>
      </c>
      <c r="AL12" s="20">
        <f t="shared" si="4"/>
        <v>9.6020557757857823</v>
      </c>
      <c r="AM12" s="59">
        <f t="shared" si="5"/>
        <v>302.93538910911911</v>
      </c>
      <c r="AN12" s="59">
        <f ca="1">AVERAGE(OFFSET($AM$3,0,0,'Données projet'!$E$10+1,1))-AVERAGE(OFFSET($H$3,0,0,'Données projet'!$E$10+1,1))</f>
        <v>165.03539937460289</v>
      </c>
      <c r="AO12" s="59">
        <f t="shared" si="36"/>
        <v>142.05625724497401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7.8</v>
      </c>
      <c r="BD12" s="12">
        <f>IF('Données projet'!$A$88&gt;35,BD11+BC12-BL11,IF(A12&lt;'Données projet'!$A$88,$BA$205^A12,IF(A12='Données projet'!$A$88,'Données projet'!$B$88,BD11+BC12-BL11)))</f>
        <v>9.7030008462872477</v>
      </c>
      <c r="BE12" s="13">
        <f>BD12*VLOOKUP('Données projet'!$B$11,Paramètres!$A$1:$I$89,3,0)*VLOOKUP('Données projet'!$B$11,Paramètres!$A$1:$I$89,5,0)</f>
        <v>4.6671434070641657</v>
      </c>
      <c r="BF12" s="13">
        <f t="shared" si="37"/>
        <v>1.797734931248818</v>
      </c>
      <c r="BG12" s="20">
        <f t="shared" si="7"/>
        <v>11.259663105895113</v>
      </c>
      <c r="BH12" s="59">
        <f t="shared" si="8"/>
        <v>304.59299643922844</v>
      </c>
      <c r="BI12" s="59">
        <f ca="1">AVERAGE(OFFSET($BH$3,0,0,'Données projet'!$E$11+1,1))-AVERAGE(OFFSET($H$3,0,0,'Données projet'!$E$11+1,1))</f>
        <v>402.22278907877927</v>
      </c>
      <c r="BJ12" s="59">
        <f t="shared" si="38"/>
        <v>393.06397734082458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>
        <f>VLOOKUP(A13,'Données projet'!$A$35:$I$55,2,0)</f>
        <v>37</v>
      </c>
      <c r="L13" s="12">
        <f>VLOOKUP(A13,'Données projet'!$A$35:$I$55,9,0)</f>
        <v>3.7</v>
      </c>
      <c r="M13" s="12">
        <f t="array" ref="M13">INDEX(L:L,MIN(IF(ISNUMBER(L13:L209),ROW(L13:L209),"")))</f>
        <v>3.7</v>
      </c>
      <c r="N13" s="13">
        <f>IF('Données projet'!$A$36&gt;35,N12+M13-V12,IF(A13&lt;'Données projet'!$A$36,$K$205^A13,IF(A13='Données projet'!$A$36,'Données projet'!$B$36,N12+M13-V12)))</f>
        <v>37</v>
      </c>
      <c r="O13" s="13">
        <f>N13*VLOOKUP('Données projet'!$B$9,Paramètres!$A$1:$I$89,3,0)*VLOOKUP('Données projet'!$B$9,Paramètres!$A$1:$I$89,5,0)</f>
        <v>20.683</v>
      </c>
      <c r="P13" s="13">
        <f t="shared" si="33"/>
        <v>6.6992808015544387</v>
      </c>
      <c r="Q13" s="20">
        <f t="shared" si="2"/>
        <v>47.690805729373977</v>
      </c>
      <c r="R13" s="59">
        <f t="shared" si="0"/>
        <v>341.02413906270726</v>
      </c>
      <c r="S13" s="59">
        <f ca="1">AVERAGE(OFFSET($R$3,0,0,'Données projet'!$E$9+1,1))-AVERAGE(OFFSET($H$3,0,0,'Données projet'!$E$9+1,1))</f>
        <v>490.7691633858222</v>
      </c>
      <c r="T13" s="59">
        <f t="shared" si="34"/>
        <v>490.82176582457072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5.75</v>
      </c>
      <c r="AI13" s="13">
        <f>IF('Données projet'!$A$62&gt;35,AI12+AH13-AQ12,IF(A13&lt;'Données projet'!$A$62,$AF$205^A13,IF(A13='Données projet'!$A$62,'Données projet'!$B$62,AI12+AH13-AQ12)))</f>
        <v>10.723805294763611</v>
      </c>
      <c r="AJ13" s="13">
        <f>AI13*VLOOKUP('Données projet'!$B$10,Paramètres!$A$1:$I$89,3,0)*VLOOKUP('Données projet'!$B$10,Paramètres!$A$1:$I$89,5,0)</f>
        <v>5.0187408779493703</v>
      </c>
      <c r="AK13" s="13">
        <f t="shared" si="35"/>
        <v>1.9168918305981435</v>
      </c>
      <c r="AL13" s="20">
        <f t="shared" si="4"/>
        <v>12.079560300720253</v>
      </c>
      <c r="AM13" s="59">
        <f t="shared" si="5"/>
        <v>305.41289363405355</v>
      </c>
      <c r="AN13" s="59">
        <f ca="1">AVERAGE(OFFSET($AM$3,0,0,'Données projet'!$E$10+1,1))-AVERAGE(OFFSET($H$3,0,0,'Données projet'!$E$10+1,1))</f>
        <v>165.03539937460289</v>
      </c>
      <c r="AO13" s="59">
        <f t="shared" si="36"/>
        <v>142.05625724497401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7.8</v>
      </c>
      <c r="BD13" s="12">
        <f>IF('Données projet'!$A$88&gt;35,BD12+BC13-BL12,IF(A13&lt;'Données projet'!$A$88,$BA$205^A13,IF(A13='Données projet'!$A$88,'Données projet'!$B$88,BD12+BC13-BL12)))</f>
        <v>12.489995996796797</v>
      </c>
      <c r="BE13" s="13">
        <f>BD13*VLOOKUP('Données projet'!$B$11,Paramètres!$A$1:$I$89,3,0)*VLOOKUP('Données projet'!$B$11,Paramètres!$A$1:$I$89,5,0)</f>
        <v>6.0076880744592591</v>
      </c>
      <c r="BF13" s="13">
        <f t="shared" si="37"/>
        <v>2.247076727723599</v>
      </c>
      <c r="BG13" s="20">
        <f t="shared" si="7"/>
        <v>14.377048697135145</v>
      </c>
      <c r="BH13" s="59">
        <f t="shared" si="8"/>
        <v>307.71038203046845</v>
      </c>
      <c r="BI13" s="59">
        <f ca="1">AVERAGE(OFFSET($BH$3,0,0,'Données projet'!$E$11+1,1))-AVERAGE(OFFSET($H$3,0,0,'Données projet'!$E$11+1,1))</f>
        <v>402.22278907877927</v>
      </c>
      <c r="BJ13" s="59">
        <f t="shared" si="38"/>
        <v>393.06397734082458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22.4</v>
      </c>
      <c r="N14" s="13">
        <f>IF('Données projet'!$A$36&gt;35,N13+M14-V13,IF(A14&lt;'Données projet'!$A$36,$K$205^A14,IF(A14='Données projet'!$A$36,'Données projet'!$B$36,N13+M14-V13)))</f>
        <v>59.4</v>
      </c>
      <c r="O14" s="13">
        <f>N14*VLOOKUP('Données projet'!$B$9,Paramètres!$A$1:$I$89,3,0)*VLOOKUP('Données projet'!$B$9,Paramètres!$A$1:$I$89,5,0)</f>
        <v>33.204599999999999</v>
      </c>
      <c r="P14" s="13">
        <f t="shared" si="33"/>
        <v>10.178477972381435</v>
      </c>
      <c r="Q14" s="20">
        <f t="shared" si="2"/>
        <v>75.558860801897666</v>
      </c>
      <c r="R14" s="59">
        <f t="shared" si="0"/>
        <v>368.89219413523097</v>
      </c>
      <c r="S14" s="59">
        <f ca="1">AVERAGE(OFFSET($R$3,0,0,'Données projet'!$E$9+1,1))-AVERAGE(OFFSET($H$3,0,0,'Données projet'!$E$9+1,1))</f>
        <v>490.7691633858222</v>
      </c>
      <c r="T14" s="59">
        <f t="shared" si="34"/>
        <v>490.82176582457072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5.75</v>
      </c>
      <c r="AI14" s="13">
        <f>IF('Données projet'!$A$62&gt;35,AI13+AH14-AQ13,IF(A14&lt;'Données projet'!$A$62,$AF$205^A14,IF(A14='Données projet'!$A$62,'Données projet'!$B$62,AI13+AH14-AQ13)))</f>
        <v>13.595144006008928</v>
      </c>
      <c r="AJ14" s="13">
        <f>AI14*VLOOKUP('Données projet'!$B$10,Paramètres!$A$1:$I$89,3,0)*VLOOKUP('Données projet'!$B$10,Paramètres!$A$1:$I$89,5,0)</f>
        <v>6.3625273948121777</v>
      </c>
      <c r="AK14" s="13">
        <f t="shared" si="35"/>
        <v>2.3639551741679612</v>
      </c>
      <c r="AL14" s="20">
        <f t="shared" si="4"/>
        <v>15.198623807640407</v>
      </c>
      <c r="AM14" s="59">
        <f t="shared" si="5"/>
        <v>308.5319571409737</v>
      </c>
      <c r="AN14" s="59">
        <f ca="1">AVERAGE(OFFSET($AM$3,0,0,'Données projet'!$E$10+1,1))-AVERAGE(OFFSET($H$3,0,0,'Données projet'!$E$10+1,1))</f>
        <v>165.03539937460289</v>
      </c>
      <c r="AO14" s="59">
        <f t="shared" si="36"/>
        <v>142.05625724497401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7.8</v>
      </c>
      <c r="BD14" s="12">
        <f>IF('Données projet'!$A$88&gt;35,BD13+BC14-BL13,IF(A14&lt;'Données projet'!$A$88,$BA$205^A14,IF(A14='Données projet'!$A$88,'Données projet'!$B$88,BD13+BC14-BL13)))</f>
        <v>16.077500401300263</v>
      </c>
      <c r="BE14" s="13">
        <f>BD14*VLOOKUP('Données projet'!$B$11,Paramètres!$A$1:$I$89,3,0)*VLOOKUP('Données projet'!$B$11,Paramètres!$A$1:$I$89,5,0)</f>
        <v>7.7332776930254266</v>
      </c>
      <c r="BF14" s="13">
        <f t="shared" si="37"/>
        <v>2.8087309939343528</v>
      </c>
      <c r="BG14" s="20">
        <f t="shared" si="7"/>
        <v>18.360665129788281</v>
      </c>
      <c r="BH14" s="59">
        <f t="shared" si="8"/>
        <v>311.6939984631216</v>
      </c>
      <c r="BI14" s="59">
        <f ca="1">AVERAGE(OFFSET($BH$3,0,0,'Données projet'!$E$11+1,1))-AVERAGE(OFFSET($H$3,0,0,'Données projet'!$E$11+1,1))</f>
        <v>402.22278907877927</v>
      </c>
      <c r="BJ14" s="59">
        <f t="shared" si="38"/>
        <v>393.06397734082458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22.4</v>
      </c>
      <c r="N15" s="13">
        <f>IF('Données projet'!$A$36&gt;35,N14+M15-V14,IF(A15&lt;'Données projet'!$A$36,$K$205^A15,IF(A15='Données projet'!$A$36,'Données projet'!$B$36,N14+M15-V14)))</f>
        <v>81.8</v>
      </c>
      <c r="O15" s="13">
        <f>N15*VLOOKUP('Données projet'!$B$9,Paramètres!$A$1:$I$89,3,0)*VLOOKUP('Données projet'!$B$9,Paramètres!$A$1:$I$89,5,0)</f>
        <v>45.726199999999999</v>
      </c>
      <c r="P15" s="13">
        <f t="shared" si="33"/>
        <v>13.504358462634611</v>
      </c>
      <c r="Q15" s="20">
        <f t="shared" si="2"/>
        <v>103.15988932242193</v>
      </c>
      <c r="R15" s="59">
        <f t="shared" si="0"/>
        <v>396.49322265575523</v>
      </c>
      <c r="S15" s="59">
        <f ca="1">AVERAGE(OFFSET($R$3,0,0,'Données projet'!$E$9+1,1))-AVERAGE(OFFSET($H$3,0,0,'Données projet'!$E$9+1,1))</f>
        <v>490.7691633858222</v>
      </c>
      <c r="T15" s="59">
        <f t="shared" si="34"/>
        <v>490.82176582457072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5.75</v>
      </c>
      <c r="AI15" s="13">
        <f>IF('Données projet'!$A$62&gt;35,AI14+AH15-AQ14,IF(A15&lt;'Données projet'!$A$62,$AF$205^A15,IF(A15='Données projet'!$A$62,'Données projet'!$B$62,AI14+AH15-AQ14)))</f>
        <v>17.23529432545471</v>
      </c>
      <c r="AJ15" s="13">
        <f>AI15*VLOOKUP('Données projet'!$B$10,Paramètres!$A$1:$I$89,3,0)*VLOOKUP('Données projet'!$B$10,Paramètres!$A$1:$I$89,5,0)</f>
        <v>8.0661177443128054</v>
      </c>
      <c r="AK15" s="13">
        <f t="shared" si="35"/>
        <v>2.915283990610841</v>
      </c>
      <c r="AL15" s="20">
        <f t="shared" si="4"/>
        <v>19.125941354992019</v>
      </c>
      <c r="AM15" s="59">
        <f t="shared" si="5"/>
        <v>312.45927468832531</v>
      </c>
      <c r="AN15" s="59">
        <f ca="1">AVERAGE(OFFSET($AM$3,0,0,'Données projet'!$E$10+1,1))-AVERAGE(OFFSET($H$3,0,0,'Données projet'!$E$10+1,1))</f>
        <v>165.03539937460289</v>
      </c>
      <c r="AO15" s="59">
        <f t="shared" si="36"/>
        <v>142.05625724497401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7.8</v>
      </c>
      <c r="BD15" s="12">
        <f>IF('Données projet'!$A$88&gt;35,BD14+BC15-BL14,IF(A15&lt;'Données projet'!$A$88,$BA$205^A15,IF(A15='Données projet'!$A$88,'Données projet'!$B$88,BD14+BC15-BL14)))</f>
        <v>20.695444515762997</v>
      </c>
      <c r="BE15" s="13">
        <f>BD15*VLOOKUP('Données projet'!$B$11,Paramètres!$A$1:$I$89,3,0)*VLOOKUP('Données projet'!$B$11,Paramètres!$A$1:$I$89,5,0)</f>
        <v>9.9545088120820022</v>
      </c>
      <c r="BF15" s="13">
        <f t="shared" si="37"/>
        <v>3.51077010364456</v>
      </c>
      <c r="BG15" s="20">
        <f t="shared" si="7"/>
        <v>23.45202744489043</v>
      </c>
      <c r="BH15" s="59">
        <f t="shared" si="8"/>
        <v>316.78536077822372</v>
      </c>
      <c r="BI15" s="59">
        <f ca="1">AVERAGE(OFFSET($BH$3,0,0,'Données projet'!$E$11+1,1))-AVERAGE(OFFSET($H$3,0,0,'Données projet'!$E$11+1,1))</f>
        <v>402.22278907877927</v>
      </c>
      <c r="BJ15" s="59">
        <f t="shared" si="38"/>
        <v>393.06397734082458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22.4</v>
      </c>
      <c r="N16" s="13">
        <f>IF('Données projet'!$A$36&gt;35,N15+M16-V15,IF(A16&lt;'Données projet'!$A$36,$K$205^A16,IF(A16='Données projet'!$A$36,'Données projet'!$B$36,N15+M16-V15)))</f>
        <v>104.19999999999999</v>
      </c>
      <c r="O16" s="13">
        <f>N16*VLOOKUP('Données projet'!$B$9,Paramètres!$A$1:$I$89,3,0)*VLOOKUP('Données projet'!$B$9,Paramètres!$A$1:$I$89,5,0)</f>
        <v>58.247799999999998</v>
      </c>
      <c r="P16" s="13">
        <f t="shared" si="33"/>
        <v>16.724496608882774</v>
      </c>
      <c r="Q16" s="20">
        <f t="shared" si="2"/>
        <v>130.57674992713748</v>
      </c>
      <c r="R16" s="59">
        <f t="shared" si="0"/>
        <v>423.9100832604708</v>
      </c>
      <c r="S16" s="59">
        <f ca="1">AVERAGE(OFFSET($R$3,0,0,'Données projet'!$E$9+1,1))-AVERAGE(OFFSET($H$3,0,0,'Données projet'!$E$9+1,1))</f>
        <v>490.7691633858222</v>
      </c>
      <c r="T16" s="59">
        <f t="shared" si="34"/>
        <v>490.82176582457072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5.75</v>
      </c>
      <c r="AI16" s="13">
        <f>IF('Données projet'!$A$62&gt;35,AI15+AH16-AQ15,IF(A16&lt;'Données projet'!$A$62,$AF$205^A16,IF(A16='Données projet'!$A$62,'Données projet'!$B$62,AI15+AH16-AQ15)))</f>
        <v>21.850108417664106</v>
      </c>
      <c r="AJ16" s="13">
        <f>AI16*VLOOKUP('Données projet'!$B$10,Paramètres!$A$1:$I$89,3,0)*VLOOKUP('Données projet'!$B$10,Paramètres!$A$1:$I$89,5,0)</f>
        <v>10.225850739466802</v>
      </c>
      <c r="AK16" s="13">
        <f t="shared" si="35"/>
        <v>3.5951953906669201</v>
      </c>
      <c r="AL16" s="20">
        <f t="shared" si="4"/>
        <v>24.071655343316234</v>
      </c>
      <c r="AM16" s="59">
        <f t="shared" si="5"/>
        <v>317.40498867664957</v>
      </c>
      <c r="AN16" s="59">
        <f ca="1">AVERAGE(OFFSET($AM$3,0,0,'Données projet'!$E$10+1,1))-AVERAGE(OFFSET($H$3,0,0,'Données projet'!$E$10+1,1))</f>
        <v>165.03539937460289</v>
      </c>
      <c r="AO16" s="59">
        <f t="shared" si="36"/>
        <v>142.05625724497401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7.8</v>
      </c>
      <c r="BD16" s="12">
        <f>IF('Données projet'!$A$88&gt;35,BD15+BC16-BL15,IF(A16&lt;'Données projet'!$A$88,$BA$205^A16,IF(A16='Données projet'!$A$88,'Données projet'!$B$88,BD15+BC16-BL15)))</f>
        <v>26.639801773563384</v>
      </c>
      <c r="BE16" s="13">
        <f>BD16*VLOOKUP('Données projet'!$B$11,Paramètres!$A$1:$I$89,3,0)*VLOOKUP('Données projet'!$B$11,Paramètres!$A$1:$I$89,5,0)</f>
        <v>12.813744653083988</v>
      </c>
      <c r="BF16" s="13">
        <f t="shared" si="37"/>
        <v>4.3882830884346733</v>
      </c>
      <c r="BG16" s="20">
        <f t="shared" si="7"/>
        <v>29.960198316478341</v>
      </c>
      <c r="BH16" s="59">
        <f t="shared" si="8"/>
        <v>323.29353164981165</v>
      </c>
      <c r="BI16" s="59">
        <f ca="1">AVERAGE(OFFSET($BH$3,0,0,'Données projet'!$E$11+1,1))-AVERAGE(OFFSET($H$3,0,0,'Données projet'!$E$11+1,1))</f>
        <v>402.22278907877927</v>
      </c>
      <c r="BJ16" s="59">
        <f t="shared" si="38"/>
        <v>393.06397734082458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22.4</v>
      </c>
      <c r="N17" s="13">
        <f>IF('Données projet'!$A$36&gt;35,N16+M17-V16,IF(A17&lt;'Données projet'!$A$36,$K$205^A17,IF(A17='Données projet'!$A$36,'Données projet'!$B$36,N16+M17-V16)))</f>
        <v>126.6</v>
      </c>
      <c r="O17" s="13">
        <f>N17*VLOOKUP('Données projet'!$B$9,Paramètres!$A$1:$I$89,3,0)*VLOOKUP('Données projet'!$B$9,Paramètres!$A$1:$I$89,5,0)</f>
        <v>70.76939999999999</v>
      </c>
      <c r="P17" s="13">
        <f t="shared" si="33"/>
        <v>19.864404978352983</v>
      </c>
      <c r="Q17" s="20">
        <f t="shared" si="2"/>
        <v>157.85387700396475</v>
      </c>
      <c r="R17" s="59">
        <f t="shared" si="0"/>
        <v>451.1872103372981</v>
      </c>
      <c r="S17" s="59">
        <f ca="1">AVERAGE(OFFSET($R$3,0,0,'Données projet'!$E$9+1,1))-AVERAGE(OFFSET($H$3,0,0,'Données projet'!$E$9+1,1))</f>
        <v>490.7691633858222</v>
      </c>
      <c r="T17" s="59">
        <f t="shared" si="34"/>
        <v>490.82176582457072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5.75</v>
      </c>
      <c r="AI17" s="13">
        <f>IF('Données projet'!$A$62&gt;35,AI16+AH17-AQ16,IF(A17&lt;'Données projet'!$A$62,$AF$205^A17,IF(A17='Données projet'!$A$62,'Données projet'!$B$62,AI16+AH17-AQ16)))</f>
        <v>27.700556129091808</v>
      </c>
      <c r="AJ17" s="13">
        <f>AI17*VLOOKUP('Données projet'!$B$10,Paramètres!$A$1:$I$89,3,0)*VLOOKUP('Données projet'!$B$10,Paramètres!$A$1:$I$89,5,0)</f>
        <v>12.963860268414967</v>
      </c>
      <c r="AK17" s="13">
        <f t="shared" si="35"/>
        <v>4.4336777956113931</v>
      </c>
      <c r="AL17" s="20">
        <f t="shared" si="4"/>
        <v>30.300712128179242</v>
      </c>
      <c r="AM17" s="59">
        <f t="shared" si="5"/>
        <v>323.63404546151253</v>
      </c>
      <c r="AN17" s="59">
        <f ca="1">AVERAGE(OFFSET($AM$3,0,0,'Données projet'!$E$10+1,1))-AVERAGE(OFFSET($H$3,0,0,'Données projet'!$E$10+1,1))</f>
        <v>165.03539937460289</v>
      </c>
      <c r="AO17" s="59">
        <f t="shared" si="36"/>
        <v>142.05625724497401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7.8</v>
      </c>
      <c r="BD17" s="12">
        <f>IF('Données projet'!$A$88&gt;35,BD16+BC17-BL16,IF(A17&lt;'Données projet'!$A$88,$BA$205^A17,IF(A17='Données projet'!$A$88,'Données projet'!$B$88,BD16+BC17-BL16)))</f>
        <v>34.291558124987993</v>
      </c>
      <c r="BE17" s="13">
        <f>BD17*VLOOKUP('Données projet'!$B$11,Paramètres!$A$1:$I$89,3,0)*VLOOKUP('Données projet'!$B$11,Paramètres!$A$1:$I$89,5,0)</f>
        <v>16.494239458119225</v>
      </c>
      <c r="BF17" s="13">
        <f t="shared" si="37"/>
        <v>5.4851294433238058</v>
      </c>
      <c r="BG17" s="20">
        <f t="shared" si="7"/>
        <v>38.280734170013282</v>
      </c>
      <c r="BH17" s="59">
        <f t="shared" si="8"/>
        <v>331.61406750334658</v>
      </c>
      <c r="BI17" s="59">
        <f ca="1">AVERAGE(OFFSET($BH$3,0,0,'Données projet'!$E$11+1,1))-AVERAGE(OFFSET($H$3,0,0,'Données projet'!$E$11+1,1))</f>
        <v>402.22278907877927</v>
      </c>
      <c r="BJ17" s="59">
        <f t="shared" si="38"/>
        <v>393.06397734082458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22.4</v>
      </c>
      <c r="N18" s="13">
        <f>IF('Données projet'!$A$36&gt;35,N17+M18-V17,IF(A18&lt;'Données projet'!$A$36,$K$205^A18,IF(A18='Données projet'!$A$36,'Données projet'!$B$36,N17+M18-V17)))</f>
        <v>149</v>
      </c>
      <c r="O18" s="13">
        <f>N18*VLOOKUP('Données projet'!$B$9,Paramètres!$A$1:$I$89,3,0)*VLOOKUP('Données projet'!$B$9,Paramètres!$A$1:$I$89,5,0)</f>
        <v>83.290999999999997</v>
      </c>
      <c r="P18" s="13">
        <f t="shared" si="33"/>
        <v>22.939953069474296</v>
      </c>
      <c r="Q18" s="20">
        <f t="shared" si="2"/>
        <v>185.0189099293344</v>
      </c>
      <c r="R18" s="59">
        <f t="shared" si="0"/>
        <v>478.35224326266768</v>
      </c>
      <c r="S18" s="59">
        <f ca="1">AVERAGE(OFFSET($R$3,0,0,'Données projet'!$E$9+1,1))-AVERAGE(OFFSET($H$3,0,0,'Données projet'!$E$9+1,1))</f>
        <v>490.7691633858222</v>
      </c>
      <c r="T18" s="59">
        <f t="shared" si="34"/>
        <v>490.82176582457072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5.75</v>
      </c>
      <c r="AI18" s="13">
        <f>IF('Données projet'!$A$62&gt;35,AI17+AH18-AQ17,IF(A18&lt;'Données projet'!$A$62,$AF$205^A18,IF(A18='Données projet'!$A$62,'Données projet'!$B$62,AI17+AH18-AQ17)))</f>
        <v>35.117482952196561</v>
      </c>
      <c r="AJ18" s="13">
        <f>AI18*VLOOKUP('Données projet'!$B$10,Paramètres!$A$1:$I$89,3,0)*VLOOKUP('Données projet'!$B$10,Paramètres!$A$1:$I$89,5,0)</f>
        <v>16.434982021627992</v>
      </c>
      <c r="AK18" s="13">
        <f t="shared" si="35"/>
        <v>5.4677136175486121</v>
      </c>
      <c r="AL18" s="20">
        <f t="shared" si="4"/>
        <v>38.147194904899251</v>
      </c>
      <c r="AM18" s="59">
        <f t="shared" si="5"/>
        <v>331.48052823823258</v>
      </c>
      <c r="AN18" s="59">
        <f ca="1">AVERAGE(OFFSET($AM$3,0,0,'Données projet'!$E$10+1,1))-AVERAGE(OFFSET($H$3,0,0,'Données projet'!$E$10+1,1))</f>
        <v>165.03539937460289</v>
      </c>
      <c r="AO18" s="59">
        <f t="shared" si="36"/>
        <v>142.05625724497401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7.8</v>
      </c>
      <c r="BD18" s="12">
        <f>IF('Données projet'!$A$88&gt;35,BD17+BC18-BL17,IF(A18&lt;'Données projet'!$A$88,$BA$205^A18,IF(A18='Données projet'!$A$88,'Données projet'!$B$88,BD17+BC18-BL17)))</f>
        <v>44.141130201891073</v>
      </c>
      <c r="BE18" s="13">
        <f>BD18*VLOOKUP('Données projet'!$B$11,Paramètres!$A$1:$I$89,3,0)*VLOOKUP('Données projet'!$B$11,Paramètres!$A$1:$I$89,5,0)</f>
        <v>21.231883627109607</v>
      </c>
      <c r="BF18" s="13">
        <f t="shared" si="37"/>
        <v>6.8561312941070591</v>
      </c>
      <c r="BG18" s="20">
        <f t="shared" si="7"/>
        <v>48.919959321119023</v>
      </c>
      <c r="BH18" s="59">
        <f t="shared" si="8"/>
        <v>342.25329265445237</v>
      </c>
      <c r="BI18" s="59">
        <f ca="1">AVERAGE(OFFSET($BH$3,0,0,'Données projet'!$E$11+1,1))-AVERAGE(OFFSET($H$3,0,0,'Données projet'!$E$11+1,1))</f>
        <v>402.22278907877927</v>
      </c>
      <c r="BJ18" s="59">
        <f t="shared" si="38"/>
        <v>393.06397734082458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22.4</v>
      </c>
      <c r="N19" s="13">
        <f>IF('Données projet'!$A$36&gt;35,N18+M19-V18,IF(A19&lt;'Données projet'!$A$36,$K$205^A19,IF(A19='Données projet'!$A$36,'Données projet'!$B$36,N18+M19-V18)))</f>
        <v>171.4</v>
      </c>
      <c r="O19" s="13">
        <f>N19*VLOOKUP('Données projet'!$B$9,Paramètres!$A$1:$I$89,3,0)*VLOOKUP('Données projet'!$B$9,Paramètres!$A$1:$I$89,5,0)</f>
        <v>95.812600000000003</v>
      </c>
      <c r="P19" s="13">
        <f t="shared" si="33"/>
        <v>25.961937300460743</v>
      </c>
      <c r="Q19" s="20">
        <f t="shared" si="2"/>
        <v>212.09065246496911</v>
      </c>
      <c r="R19" s="59">
        <f t="shared" si="0"/>
        <v>505.4239857983024</v>
      </c>
      <c r="S19" s="59">
        <f ca="1">AVERAGE(OFFSET($R$3,0,0,'Données projet'!$E$9+1,1))-AVERAGE(OFFSET($H$3,0,0,'Données projet'!$E$9+1,1))</f>
        <v>490.7691633858222</v>
      </c>
      <c r="T19" s="59">
        <f t="shared" si="34"/>
        <v>490.82176582457072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5.75</v>
      </c>
      <c r="AI19" s="13">
        <f>IF('Données projet'!$A$62&gt;35,AI18+AH19-AQ18,IF(A19&lt;'Données projet'!$A$62,$AF$205^A19,IF(A19='Données projet'!$A$62,'Données projet'!$B$62,AI18+AH19-AQ18)))</f>
        <v>44.52031948927695</v>
      </c>
      <c r="AJ19" s="13">
        <f>AI19*VLOOKUP('Données projet'!$B$10,Paramètres!$A$1:$I$89,3,0)*VLOOKUP('Données projet'!$B$10,Paramètres!$A$1:$I$89,5,0)</f>
        <v>20.835509520981613</v>
      </c>
      <c r="AK19" s="13">
        <f t="shared" si="35"/>
        <v>6.7429104192276883</v>
      </c>
      <c r="AL19" s="20">
        <f t="shared" si="4"/>
        <v>48.03241472919786</v>
      </c>
      <c r="AM19" s="59">
        <f t="shared" si="5"/>
        <v>341.36574806253117</v>
      </c>
      <c r="AN19" s="59">
        <f ca="1">AVERAGE(OFFSET($AM$3,0,0,'Données projet'!$E$10+1,1))-AVERAGE(OFFSET($H$3,0,0,'Données projet'!$E$10+1,1))</f>
        <v>165.03539937460289</v>
      </c>
      <c r="AO19" s="59">
        <f t="shared" si="36"/>
        <v>142.05625724497401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7.8</v>
      </c>
      <c r="BD19" s="12">
        <f>IF('Données projet'!$A$88&gt;35,BD18+BC19-BL18,IF(A19&lt;'Données projet'!$A$88,$BA$205^A19,IF(A19='Données projet'!$A$88,'Données projet'!$B$88,BD18+BC19-BL18)))</f>
        <v>56.819797117369461</v>
      </c>
      <c r="BE19" s="13">
        <f>BD19*VLOOKUP('Données projet'!$B$11,Paramètres!$A$1:$I$89,3,0)*VLOOKUP('Données projet'!$B$11,Paramètres!$A$1:$I$89,5,0)</f>
        <v>27.330322413454709</v>
      </c>
      <c r="BF19" s="13">
        <f t="shared" si="37"/>
        <v>8.5698134944195097</v>
      </c>
      <c r="BG19" s="20">
        <f t="shared" si="7"/>
        <v>62.526070039547591</v>
      </c>
      <c r="BH19" s="59">
        <f t="shared" si="8"/>
        <v>355.85940337288093</v>
      </c>
      <c r="BI19" s="59">
        <f ca="1">AVERAGE(OFFSET($BH$3,0,0,'Données projet'!$E$11+1,1))-AVERAGE(OFFSET($H$3,0,0,'Données projet'!$E$11+1,1))</f>
        <v>402.22278907877927</v>
      </c>
      <c r="BJ19" s="59">
        <f t="shared" si="38"/>
        <v>393.06397734082458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22.4</v>
      </c>
      <c r="N20" s="13">
        <f>IF('Données projet'!$A$36&gt;35,N19+M20-V19,IF(A20&lt;'Données projet'!$A$36,$K$205^A20,IF(A20='Données projet'!$A$36,'Données projet'!$B$36,N19+M20-V19)))</f>
        <v>193.8</v>
      </c>
      <c r="O20" s="13">
        <f>N20*VLOOKUP('Données projet'!$B$9,Paramètres!$A$1:$I$89,3,0)*VLOOKUP('Données projet'!$B$9,Paramètres!$A$1:$I$89,5,0)</f>
        <v>108.33420000000001</v>
      </c>
      <c r="P20" s="13">
        <f t="shared" si="33"/>
        <v>28.938161222619996</v>
      </c>
      <c r="Q20" s="20">
        <f t="shared" si="2"/>
        <v>239.08269579606318</v>
      </c>
      <c r="R20" s="59">
        <f t="shared" si="0"/>
        <v>532.41602912939652</v>
      </c>
      <c r="S20" s="59">
        <f ca="1">AVERAGE(OFFSET($R$3,0,0,'Données projet'!$E$9+1,1))-AVERAGE(OFFSET($H$3,0,0,'Données projet'!$E$9+1,1))</f>
        <v>490.7691633858222</v>
      </c>
      <c r="T20" s="59">
        <f t="shared" si="34"/>
        <v>490.82176582457072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5.75</v>
      </c>
      <c r="AI20" s="13">
        <f>IF('Données projet'!$A$62&gt;35,AI19+AH20-AQ19,IF(A20&lt;'Données projet'!$A$62,$AF$205^A20,IF(A20='Données projet'!$A$62,'Données projet'!$B$62,AI19+AH20-AQ19)))</f>
        <v>56.440800444763006</v>
      </c>
      <c r="AJ20" s="13">
        <f>AI20*VLOOKUP('Données projet'!$B$10,Paramètres!$A$1:$I$89,3,0)*VLOOKUP('Données projet'!$B$10,Paramètres!$A$1:$I$89,5,0)</f>
        <v>26.414294608149088</v>
      </c>
      <c r="AK20" s="13">
        <f t="shared" si="35"/>
        <v>8.3155124979120405</v>
      </c>
      <c r="AL20" s="20">
        <f t="shared" si="4"/>
        <v>60.487747376389791</v>
      </c>
      <c r="AM20" s="59">
        <f t="shared" si="5"/>
        <v>353.82108070972311</v>
      </c>
      <c r="AN20" s="59">
        <f ca="1">AVERAGE(OFFSET($AM$3,0,0,'Données projet'!$E$10+1,1))-AVERAGE(OFFSET($H$3,0,0,'Données projet'!$E$10+1,1))</f>
        <v>165.03539937460289</v>
      </c>
      <c r="AO20" s="59">
        <f t="shared" si="36"/>
        <v>142.05625724497401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7.8</v>
      </c>
      <c r="BD20" s="12">
        <f>IF('Données projet'!$A$88&gt;35,BD19+BC20-BL19,IF(A20&lt;'Données projet'!$A$88,$BA$205^A20,IF(A20='Données projet'!$A$88,'Données projet'!$B$88,BD19+BC20-BL19)))</f>
        <v>73.140160428441277</v>
      </c>
      <c r="BE20" s="13">
        <f>BD20*VLOOKUP('Données projet'!$B$11,Paramètres!$A$1:$I$89,3,0)*VLOOKUP('Données projet'!$B$11,Paramètres!$A$1:$I$89,5,0)</f>
        <v>35.180417166080254</v>
      </c>
      <c r="BF20" s="13">
        <f t="shared" si="37"/>
        <v>10.711828606937402</v>
      </c>
      <c r="BG20" s="20">
        <f t="shared" si="7"/>
        <v>79.928994721339095</v>
      </c>
      <c r="BH20" s="59">
        <f t="shared" si="8"/>
        <v>373.26232805467242</v>
      </c>
      <c r="BI20" s="59">
        <f ca="1">AVERAGE(OFFSET($BH$3,0,0,'Données projet'!$E$11+1,1))-AVERAGE(OFFSET($H$3,0,0,'Données projet'!$E$11+1,1))</f>
        <v>402.22278907877927</v>
      </c>
      <c r="BJ20" s="59">
        <f t="shared" si="38"/>
        <v>393.06397734082458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22.4</v>
      </c>
      <c r="N21" s="13">
        <f>IF('Données projet'!$A$36&gt;35,N20+M21-V20,IF(A21&lt;'Données projet'!$A$36,$K$205^A21,IF(A21='Données projet'!$A$36,'Données projet'!$B$36,N20+M21-V20)))</f>
        <v>216.20000000000002</v>
      </c>
      <c r="O21" s="13">
        <f>N21*VLOOKUP('Données projet'!$B$9,Paramètres!$A$1:$I$89,3,0)*VLOOKUP('Données projet'!$B$9,Paramètres!$A$1:$I$89,5,0)</f>
        <v>120.85580000000002</v>
      </c>
      <c r="P21" s="13">
        <f t="shared" si="33"/>
        <v>31.874517962223347</v>
      </c>
      <c r="Q21" s="20">
        <f t="shared" si="2"/>
        <v>266.00530378420564</v>
      </c>
      <c r="R21" s="59">
        <f t="shared" si="0"/>
        <v>559.33863711753895</v>
      </c>
      <c r="S21" s="59">
        <f ca="1">AVERAGE(OFFSET($R$3,0,0,'Données projet'!$E$9+1,1))-AVERAGE(OFFSET($H$3,0,0,'Données projet'!$E$9+1,1))</f>
        <v>490.7691633858222</v>
      </c>
      <c r="T21" s="59">
        <f t="shared" si="34"/>
        <v>490.82176582457072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5.75</v>
      </c>
      <c r="AI21" s="13">
        <f>IF('Données projet'!$A$62&gt;35,AI20+AH21-AQ20,IF(A21&lt;'Données projet'!$A$62,$AF$205^A21,IF(A21='Données projet'!$A$62,'Données projet'!$B$62,AI20+AH21-AQ20)))</f>
        <v>71.55303446582019</v>
      </c>
      <c r="AJ21" s="13">
        <f>AI21*VLOOKUP('Données projet'!$B$10,Paramètres!$A$1:$I$89,3,0)*VLOOKUP('Données projet'!$B$10,Paramètres!$A$1:$I$89,5,0)</f>
        <v>33.486820130003849</v>
      </c>
      <c r="AK21" s="13">
        <f t="shared" si="35"/>
        <v>10.254881616957807</v>
      </c>
      <c r="AL21" s="20">
        <f t="shared" si="4"/>
        <v>76.183463875958196</v>
      </c>
      <c r="AM21" s="59">
        <f t="shared" si="5"/>
        <v>369.5167972092915</v>
      </c>
      <c r="AN21" s="59">
        <f ca="1">AVERAGE(OFFSET($AM$3,0,0,'Données projet'!$E$10+1,1))-AVERAGE(OFFSET($H$3,0,0,'Données projet'!$E$10+1,1))</f>
        <v>165.03539937460289</v>
      </c>
      <c r="AO21" s="59">
        <f t="shared" si="36"/>
        <v>142.05625724497401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7.8</v>
      </c>
      <c r="BD21" s="12">
        <f>IF('Données projet'!$A$88&gt;35,BD20+BC21-BL20,IF(A21&lt;'Données projet'!$A$88,$BA$205^A21,IF(A21='Données projet'!$A$88,'Données projet'!$B$88,BD20+BC21-BL20)))</f>
        <v>94.148225423051045</v>
      </c>
      <c r="BE21" s="13">
        <f>BD21*VLOOKUP('Données projet'!$B$11,Paramètres!$A$1:$I$89,3,0)*VLOOKUP('Données projet'!$B$11,Paramètres!$A$1:$I$89,5,0)</f>
        <v>45.285296428487548</v>
      </c>
      <c r="BF21" s="13">
        <f t="shared" si="37"/>
        <v>13.389237954725736</v>
      </c>
      <c r="BG21" s="20">
        <f t="shared" si="7"/>
        <v>102.1914807174298</v>
      </c>
      <c r="BH21" s="59">
        <f t="shared" si="8"/>
        <v>395.5248140507631</v>
      </c>
      <c r="BI21" s="59">
        <f ca="1">AVERAGE(OFFSET($BH$3,0,0,'Données projet'!$E$11+1,1))-AVERAGE(OFFSET($H$3,0,0,'Données projet'!$E$11+1,1))</f>
        <v>402.22278907877927</v>
      </c>
      <c r="BJ21" s="59">
        <f t="shared" si="38"/>
        <v>393.06397734082458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22.4</v>
      </c>
      <c r="N22" s="13">
        <f>IF('Données projet'!$A$36&gt;35,N21+M22-V21,IF(A22&lt;'Données projet'!$A$36,$K$205^A22,IF(A22='Données projet'!$A$36,'Données projet'!$B$36,N21+M22-V21)))</f>
        <v>238.60000000000002</v>
      </c>
      <c r="O22" s="13">
        <f>N22*VLOOKUP('Données projet'!$B$9,Paramètres!$A$1:$I$89,3,0)*VLOOKUP('Données projet'!$B$9,Paramètres!$A$1:$I$89,5,0)</f>
        <v>133.37740000000002</v>
      </c>
      <c r="P22" s="13">
        <f t="shared" si="33"/>
        <v>34.775608543505342</v>
      </c>
      <c r="Q22" s="20">
        <f t="shared" si="2"/>
        <v>292.86648987993851</v>
      </c>
      <c r="R22" s="59">
        <f t="shared" si="0"/>
        <v>586.19982321327188</v>
      </c>
      <c r="S22" s="59">
        <f ca="1">AVERAGE(OFFSET($R$3,0,0,'Données projet'!$E$9+1,1))-AVERAGE(OFFSET($H$3,0,0,'Données projet'!$E$9+1,1))</f>
        <v>490.7691633858222</v>
      </c>
      <c r="T22" s="59">
        <f t="shared" si="34"/>
        <v>490.82176582457072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5.75</v>
      </c>
      <c r="AI22" s="13">
        <f>IF('Données projet'!$A$62&gt;35,AI21+AH22-AQ21,IF(A22&lt;'Données projet'!$A$62,$AF$205^A22,IF(A22='Données projet'!$A$62,'Données projet'!$B$62,AI21+AH22-AQ21)))</f>
        <v>90.711625294497551</v>
      </c>
      <c r="AJ22" s="13">
        <f>AI22*VLOOKUP('Données projet'!$B$10,Paramètres!$A$1:$I$89,3,0)*VLOOKUP('Données projet'!$B$10,Paramètres!$A$1:$I$89,5,0)</f>
        <v>42.453040637824856</v>
      </c>
      <c r="AK22" s="13">
        <f t="shared" si="35"/>
        <v>12.646556301156998</v>
      </c>
      <c r="AL22" s="20">
        <f t="shared" si="4"/>
        <v>95.96513133539338</v>
      </c>
      <c r="AM22" s="59">
        <f t="shared" si="5"/>
        <v>389.29846466872669</v>
      </c>
      <c r="AN22" s="59">
        <f ca="1">AVERAGE(OFFSET($AM$3,0,0,'Données projet'!$E$10+1,1))-AVERAGE(OFFSET($H$3,0,0,'Données projet'!$E$10+1,1))</f>
        <v>165.03539937460289</v>
      </c>
      <c r="AO22" s="59">
        <f t="shared" si="36"/>
        <v>142.05625724497401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7.8</v>
      </c>
      <c r="BD22" s="12">
        <f>IF('Données projet'!$A$88&gt;35,BD21+BC22-BL21,IF(A22&lt;'Données projet'!$A$88,$BA$205^A22,IF(A22='Données projet'!$A$88,'Données projet'!$B$88,BD21+BC22-BL21)))</f>
        <v>121.19044172704366</v>
      </c>
      <c r="BE22" s="13">
        <f>BD22*VLOOKUP('Données projet'!$B$11,Paramètres!$A$1:$I$89,3,0)*VLOOKUP('Données projet'!$B$11,Paramètres!$A$1:$I$89,5,0)</f>
        <v>58.292602470708005</v>
      </c>
      <c r="BF22" s="13">
        <f t="shared" si="37"/>
        <v>16.7358627164894</v>
      </c>
      <c r="BG22" s="20">
        <f t="shared" si="7"/>
        <v>130.67457686770217</v>
      </c>
      <c r="BH22" s="59">
        <f t="shared" si="8"/>
        <v>424.00791020103549</v>
      </c>
      <c r="BI22" s="59">
        <f ca="1">AVERAGE(OFFSET($BH$3,0,0,'Données projet'!$E$11+1,1))-AVERAGE(OFFSET($H$3,0,0,'Données projet'!$E$11+1,1))</f>
        <v>402.22278907877927</v>
      </c>
      <c r="BJ22" s="59">
        <f t="shared" si="38"/>
        <v>393.06397734082458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261</v>
      </c>
      <c r="L23" s="12">
        <f>VLOOKUP(A23,'Données projet'!$A$35:$I$55,9,0)</f>
        <v>22.4</v>
      </c>
      <c r="M23" s="12">
        <f t="array" ref="M23">INDEX(L:L,MIN(IF(ISNUMBER(L23:L219),ROW(L23:L219),"")))</f>
        <v>22.4</v>
      </c>
      <c r="N23" s="13">
        <f>IF('Données projet'!$A$36&gt;35,N22+M23-V22,IF(A23&lt;'Données projet'!$A$36,$K$205^A23,IF(A23='Données projet'!$A$36,'Données projet'!$B$36,N22+M23-V22)))</f>
        <v>261</v>
      </c>
      <c r="O23" s="13">
        <f>N23*VLOOKUP('Données projet'!$B$9,Paramètres!$A$1:$I$89,3,0)*VLOOKUP('Données projet'!$B$9,Paramètres!$A$1:$I$89,5,0)</f>
        <v>145.899</v>
      </c>
      <c r="P23" s="13">
        <f t="shared" si="33"/>
        <v>37.645120410716935</v>
      </c>
      <c r="Q23" s="20">
        <f t="shared" si="2"/>
        <v>319.67267638199866</v>
      </c>
      <c r="R23" s="59">
        <f t="shared" si="0"/>
        <v>613.00600971533197</v>
      </c>
      <c r="S23" s="59">
        <f ca="1">AVERAGE(OFFSET($R$3,0,0,'Données projet'!$E$9+1,1))-AVERAGE(OFFSET($H$3,0,0,'Données projet'!$E$9+1,1))</f>
        <v>490.7691633858222</v>
      </c>
      <c r="T23" s="59">
        <f t="shared" si="34"/>
        <v>490.82176582457072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125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0.27500000000000002</v>
      </c>
      <c r="Y23" s="16">
        <f>IF(ISNA(VLOOKUP(A23,'Données projet'!$A$35:$I$55,7,0)),0%,VLOOKUP(A23,'Données projet'!$A$35:$I$55,7,0))</f>
        <v>0.5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25.390398259058404</v>
      </c>
      <c r="AB23" s="21">
        <f>EXP(-LN(2)/2)*AB22+(1-EXP(-LN(2)/2))/(LN(2)/2)*V23*Y23*VLOOKUP('Données projet'!$B$9,Paramètres!$A$1:$I$89,3,0)*0.475*44/12</f>
        <v>39.557365894830895</v>
      </c>
      <c r="AC23" s="22">
        <f t="shared" si="3"/>
        <v>64.947764153889295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115</v>
      </c>
      <c r="AG23" s="12">
        <f>VLOOKUP(A23,'Données projet'!$A$61:$I$81,9,0)</f>
        <v>5.75</v>
      </c>
      <c r="AH23" s="12">
        <f t="array" ref="AH23">INDEX(AG:AG,MIN(IF(ISNUMBER(AG23:AG219),ROW(AG23:AG219),"")))</f>
        <v>5.75</v>
      </c>
      <c r="AI23" s="13">
        <f>IF('Données projet'!$A$62&gt;35,AI22+AH23-AQ22,IF(A23&lt;'Données projet'!$A$62,$AF$205^A23,IF(A23='Données projet'!$A$62,'Données projet'!$B$62,AI22+AH23-AQ22)))</f>
        <v>115</v>
      </c>
      <c r="AJ23" s="13">
        <f>AI23*VLOOKUP('Données projet'!$B$10,Paramètres!$A$1:$I$89,3,0)*VLOOKUP('Données projet'!$B$10,Paramètres!$A$1:$I$89,5,0)</f>
        <v>53.82</v>
      </c>
      <c r="AK23" s="13">
        <f t="shared" si="35"/>
        <v>15.596024630246266</v>
      </c>
      <c r="AL23" s="20">
        <f t="shared" si="4"/>
        <v>120.89957623101225</v>
      </c>
      <c r="AM23" s="59">
        <f t="shared" si="5"/>
        <v>414.23290956434556</v>
      </c>
      <c r="AN23" s="59">
        <f ca="1">AVERAGE(OFFSET($AM$3,0,0,'Données projet'!$E$10+1,1))-AVERAGE(OFFSET($H$3,0,0,'Données projet'!$E$10+1,1))</f>
        <v>165.03539937460289</v>
      </c>
      <c r="AO23" s="59">
        <f t="shared" si="36"/>
        <v>142.05625724497401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6.9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0.27500000000000002</v>
      </c>
      <c r="AT23" s="16">
        <f>IF(ISNA(VLOOKUP(A23,'Données projet'!$A$61:$I$81,7,0)),0%,VLOOKUP(A23,'Données projet'!$A$61:$I$81,7,0))</f>
        <v>0.5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1.173390684195369</v>
      </c>
      <c r="AW23" s="21">
        <f>EXP(-LN(2)/2)*AW22+(1-EXP(-LN(2)/2))/(LN(2)/2)*AQ23*AT23*VLOOKUP('Données projet'!$B$10,Paramètres!$A$1:$I$89,3,0)*0.475*44/12</f>
        <v>1.8281022675862317</v>
      </c>
      <c r="AX23" s="21">
        <f t="shared" si="6"/>
        <v>3.0014929517816009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156</v>
      </c>
      <c r="BB23" s="12">
        <f>VLOOKUP(A23,'Données projet'!$A$87:$I$107,9,0)</f>
        <v>7.8</v>
      </c>
      <c r="BC23" s="12">
        <f t="array" ref="BC23">INDEX(BB:BB,MIN(IF(ISNUMBER(BB23:BB219),ROW(BB23:BB219),"")))</f>
        <v>7.8</v>
      </c>
      <c r="BD23" s="12">
        <f>IF('Données projet'!$A$88&gt;35,BD22+BC23-BL22,IF(A23&lt;'Données projet'!$A$88,$BA$205^A23,IF(A23='Données projet'!$A$88,'Données projet'!$B$88,BD22+BC23-BL22)))</f>
        <v>156</v>
      </c>
      <c r="BE23" s="13">
        <f>BD23*VLOOKUP('Données projet'!$B$11,Paramètres!$A$1:$I$89,3,0)*VLOOKUP('Données projet'!$B$11,Paramètres!$A$1:$I$89,5,0)</f>
        <v>75.036000000000001</v>
      </c>
      <c r="BF23" s="13">
        <f t="shared" si="37"/>
        <v>20.918972521981534</v>
      </c>
      <c r="BG23" s="20">
        <f t="shared" si="7"/>
        <v>167.12157714245117</v>
      </c>
      <c r="BH23" s="59">
        <f t="shared" si="8"/>
        <v>460.45491047578446</v>
      </c>
      <c r="BI23" s="59">
        <f ca="1">AVERAGE(OFFSET($BH$3,0,0,'Données projet'!$E$11+1,1))-AVERAGE(OFFSET($H$3,0,0,'Données projet'!$E$11+1,1))</f>
        <v>402.22278907877927</v>
      </c>
      <c r="BJ23" s="59">
        <f t="shared" si="38"/>
        <v>393.06397734082458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22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0.27500000000000002</v>
      </c>
      <c r="BO23" s="16">
        <f>IF(ISNA(VLOOKUP(A23,'Données projet'!$A$87:$I$107,7,0)),0%,VLOOKUP(A23,'Données projet'!$A$87:$I$107,7,0))</f>
        <v>0.5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3.8451691503020542</v>
      </c>
      <c r="BR23" s="21">
        <f>EXP(-LN(2)/2)*BR22+(1-EXP(-LN(2)/2))/(LN(2)/2)*BL23*BO23*VLOOKUP('Données projet'!$B$11,Paramètres!$A$1:$I$89,3,0)*0.475*44/12</f>
        <v>5.9906410862125314</v>
      </c>
      <c r="BS23" s="22">
        <f t="shared" si="9"/>
        <v>9.8358102365145861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30.1</v>
      </c>
      <c r="N24" s="13">
        <f>IF('Données projet'!$A$36&gt;35,N23+M24-V23,IF(A24&lt;'Données projet'!$A$36,$K$205^A24,IF(A24='Données projet'!$A$36,'Données projet'!$B$36,N23+M24-V23)))</f>
        <v>166.10000000000002</v>
      </c>
      <c r="O24" s="13">
        <f>N24*VLOOKUP('Données projet'!$B$9,Paramètres!$A$1:$I$89,3,0)*VLOOKUP('Données projet'!$B$9,Paramètres!$A$1:$I$89,5,0)</f>
        <v>92.849900000000005</v>
      </c>
      <c r="P24" s="13">
        <f t="shared" si="33"/>
        <v>25.251300230075429</v>
      </c>
      <c r="Q24" s="20">
        <f t="shared" si="2"/>
        <v>205.69292373404804</v>
      </c>
      <c r="R24" s="59">
        <f t="shared" si="0"/>
        <v>499.02625706738138</v>
      </c>
      <c r="S24" s="59">
        <f ca="1">AVERAGE(OFFSET($R$3,0,0,'Données projet'!$E$9+1,1))-AVERAGE(OFFSET($H$3,0,0,'Données projet'!$E$9+1,1))</f>
        <v>490.7691633858222</v>
      </c>
      <c r="T24" s="59">
        <f t="shared" si="34"/>
        <v>490.82176582457072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24.696096483441437</v>
      </c>
      <c r="AB24" s="21">
        <f>EXP(-LN(2)/2)*AB23+(1-EXP(-LN(2)/2))/(LN(2)/2)*V24*Y24*VLOOKUP('Données projet'!$B$9,Paramètres!$A$1:$I$89,3,0)*0.475*44/12</f>
        <v>27.97128167011239</v>
      </c>
      <c r="AC24" s="22">
        <f t="shared" si="3"/>
        <v>52.667378153553827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6.5</v>
      </c>
      <c r="AI24" s="13">
        <f>IF('Données projet'!$A$62&gt;35,AI23+AH24-AQ23,IF(A24&lt;'Données projet'!$A$62,$AF$205^A24,IF(A24='Données projet'!$A$62,'Données projet'!$B$62,AI23+AH24-AQ23)))</f>
        <v>114.6</v>
      </c>
      <c r="AJ24" s="13">
        <f>AI24*VLOOKUP('Données projet'!$B$10,Paramètres!$A$1:$I$89,3,0)*VLOOKUP('Données projet'!$B$10,Paramètres!$A$1:$I$89,5,0)</f>
        <v>53.632799999999996</v>
      </c>
      <c r="AK24" s="13">
        <f t="shared" si="35"/>
        <v>15.548082227939483</v>
      </c>
      <c r="AL24" s="20">
        <f t="shared" si="4"/>
        <v>120.49003654699459</v>
      </c>
      <c r="AM24" s="59">
        <f t="shared" si="5"/>
        <v>413.8233698803279</v>
      </c>
      <c r="AN24" s="59">
        <f ca="1">AVERAGE(OFFSET($AM$3,0,0,'Données projet'!$E$10+1,1))-AVERAGE(OFFSET($H$3,0,0,'Données projet'!$E$10+1,1))</f>
        <v>165.03539937460289</v>
      </c>
      <c r="AO24" s="59">
        <f t="shared" si="36"/>
        <v>142.05625724497401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1.1413042542301124</v>
      </c>
      <c r="AW24" s="21">
        <f>EXP(-LN(2)/2)*AW23+(1-EXP(-LN(2)/2))/(LN(2)/2)*AQ24*AT24*VLOOKUP('Données projet'!$B$10,Paramètres!$A$1:$I$89,3,0)*0.475*44/12</f>
        <v>1.2926635101127291</v>
      </c>
      <c r="AX24" s="21">
        <f t="shared" si="6"/>
        <v>2.4339677643428415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27.8</v>
      </c>
      <c r="BD24" s="12">
        <f>IF('Données projet'!$A$88&gt;35,BD23+BC24-BL23,IF(A24&lt;'Données projet'!$A$88,$BA$205^A24,IF(A24='Données projet'!$A$88,'Données projet'!$B$88,BD23+BC24-BL23)))</f>
        <v>161.80000000000001</v>
      </c>
      <c r="BE24" s="13">
        <f>BD24*VLOOKUP('Données projet'!$B$11,Paramètres!$A$1:$I$89,3,0)*VLOOKUP('Données projet'!$B$11,Paramètres!$A$1:$I$89,5,0)</f>
        <v>77.825800000000015</v>
      </c>
      <c r="BF24" s="13">
        <f t="shared" si="37"/>
        <v>21.604731444152915</v>
      </c>
      <c r="BG24" s="20">
        <f t="shared" si="7"/>
        <v>173.17484226523302</v>
      </c>
      <c r="BH24" s="59">
        <f t="shared" si="8"/>
        <v>466.50817559856637</v>
      </c>
      <c r="BI24" s="59">
        <f ca="1">AVERAGE(OFFSET($BH$3,0,0,'Données projet'!$E$11+1,1))-AVERAGE(OFFSET($H$3,0,0,'Données projet'!$E$11+1,1))</f>
        <v>402.22278907877927</v>
      </c>
      <c r="BJ24" s="59">
        <f t="shared" si="38"/>
        <v>393.06397734082458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3.7400227976783871</v>
      </c>
      <c r="BR24" s="21">
        <f>EXP(-LN(2)/2)*BR23+(1-EXP(-LN(2)/2))/(LN(2)/2)*BL24*BO24*VLOOKUP('Données projet'!$B$11,Paramètres!$A$1:$I$89,3,0)*0.475*44/12</f>
        <v>4.236022935715626</v>
      </c>
      <c r="BS24" s="22">
        <f t="shared" si="9"/>
        <v>7.9760457333940131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30.1</v>
      </c>
      <c r="N25" s="13">
        <f>IF('Données projet'!$A$36&gt;35,N24+M25-V24,IF(A25&lt;'Données projet'!$A$36,$K$205^A25,IF(A25='Données projet'!$A$36,'Données projet'!$B$36,N24+M25-V24)))</f>
        <v>196.20000000000002</v>
      </c>
      <c r="O25" s="13">
        <f>N25*VLOOKUP('Données projet'!$B$9,Paramètres!$A$1:$I$89,3,0)*VLOOKUP('Données projet'!$B$9,Paramètres!$A$1:$I$89,5,0)</f>
        <v>109.67580000000001</v>
      </c>
      <c r="P25" s="13">
        <f t="shared" si="33"/>
        <v>29.254587407246635</v>
      </c>
      <c r="Q25" s="20">
        <f t="shared" si="2"/>
        <v>241.97042473428789</v>
      </c>
      <c r="R25" s="59">
        <f t="shared" si="0"/>
        <v>535.30375806762117</v>
      </c>
      <c r="S25" s="59">
        <f ca="1">AVERAGE(OFFSET($R$3,0,0,'Données projet'!$E$9+1,1))-AVERAGE(OFFSET($H$3,0,0,'Données projet'!$E$9+1,1))</f>
        <v>490.7691633858222</v>
      </c>
      <c r="T25" s="59">
        <f t="shared" si="34"/>
        <v>490.82176582457072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24.020780426390459</v>
      </c>
      <c r="AB25" s="21">
        <f>EXP(-LN(2)/2)*AB24+(1-EXP(-LN(2)/2))/(LN(2)/2)*V25*Y25*VLOOKUP('Données projet'!$B$9,Paramètres!$A$1:$I$89,3,0)*0.475*44/12</f>
        <v>19.778682947415451</v>
      </c>
      <c r="AC25" s="22">
        <f t="shared" si="3"/>
        <v>43.799463373805906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6.5</v>
      </c>
      <c r="AI25" s="13">
        <f>IF('Données projet'!$A$62&gt;35,AI24+AH25-AQ24,IF(A25&lt;'Données projet'!$A$62,$AF$205^A25,IF(A25='Données projet'!$A$62,'Données projet'!$B$62,AI24+AH25-AQ24)))</f>
        <v>121.1</v>
      </c>
      <c r="AJ25" s="13">
        <f>AI25*VLOOKUP('Données projet'!$B$10,Paramètres!$A$1:$I$89,3,0)*VLOOKUP('Données projet'!$B$10,Paramètres!$A$1:$I$89,5,0)</f>
        <v>56.674799999999998</v>
      </c>
      <c r="AK25" s="13">
        <f t="shared" si="35"/>
        <v>16.32478482217585</v>
      </c>
      <c r="AL25" s="20">
        <f t="shared" si="4"/>
        <v>127.1409435652896</v>
      </c>
      <c r="AM25" s="59">
        <f t="shared" si="5"/>
        <v>420.47427689862292</v>
      </c>
      <c r="AN25" s="59">
        <f ca="1">AVERAGE(OFFSET($AM$3,0,0,'Données projet'!$E$10+1,1))-AVERAGE(OFFSET($H$3,0,0,'Données projet'!$E$10+1,1))</f>
        <v>165.03539937460289</v>
      </c>
      <c r="AO25" s="59">
        <f t="shared" si="36"/>
        <v>142.05625724497401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1.1100952293796078</v>
      </c>
      <c r="AW25" s="21">
        <f>EXP(-LN(2)/2)*AW24+(1-EXP(-LN(2)/2))/(LN(2)/2)*AQ25*AT25*VLOOKUP('Données projet'!$B$10,Paramètres!$A$1:$I$89,3,0)*0.475*44/12</f>
        <v>0.91405113379311609</v>
      </c>
      <c r="AX25" s="21">
        <f t="shared" si="6"/>
        <v>2.0241463631727239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27.8</v>
      </c>
      <c r="BD25" s="12">
        <f>IF('Données projet'!$A$88&gt;35,BD24+BC25-BL24,IF(A25&lt;'Données projet'!$A$88,$BA$205^A25,IF(A25='Données projet'!$A$88,'Données projet'!$B$88,BD24+BC25-BL24)))</f>
        <v>189.60000000000002</v>
      </c>
      <c r="BE25" s="13">
        <f>BD25*VLOOKUP('Données projet'!$B$11,Paramètres!$A$1:$I$89,3,0)*VLOOKUP('Données projet'!$B$11,Paramètres!$A$1:$I$89,5,0)</f>
        <v>91.197600000000008</v>
      </c>
      <c r="BF25" s="13">
        <f t="shared" si="37"/>
        <v>24.853834690103852</v>
      </c>
      <c r="BG25" s="20">
        <f t="shared" si="7"/>
        <v>202.12291541859756</v>
      </c>
      <c r="BH25" s="59">
        <f t="shared" si="8"/>
        <v>495.45624875193084</v>
      </c>
      <c r="BI25" s="59">
        <f ca="1">AVERAGE(OFFSET($BH$3,0,0,'Données projet'!$E$11+1,1))-AVERAGE(OFFSET($H$3,0,0,'Données projet'!$E$11+1,1))</f>
        <v>402.22278907877927</v>
      </c>
      <c r="BJ25" s="59">
        <f t="shared" si="38"/>
        <v>393.06397734082458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3.6377516775966208</v>
      </c>
      <c r="BR25" s="21">
        <f>EXP(-LN(2)/2)*BR24+(1-EXP(-LN(2)/2))/(LN(2)/2)*BL25*BO25*VLOOKUP('Données projet'!$B$11,Paramètres!$A$1:$I$89,3,0)*0.475*44/12</f>
        <v>2.9953205431062662</v>
      </c>
      <c r="BS25" s="22">
        <f t="shared" si="9"/>
        <v>6.6330722207028874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30.1</v>
      </c>
      <c r="N26" s="13">
        <f>IF('Données projet'!$A$36&gt;35,N25+M26-V25,IF(A26&lt;'Données projet'!$A$36,$K$205^A26,IF(A26='Données projet'!$A$36,'Données projet'!$B$36,N25+M26-V25)))</f>
        <v>226.3</v>
      </c>
      <c r="O26" s="13">
        <f>N26*VLOOKUP('Données projet'!$B$9,Paramètres!$A$1:$I$89,3,0)*VLOOKUP('Données projet'!$B$9,Paramètres!$A$1:$I$89,5,0)</f>
        <v>126.5017</v>
      </c>
      <c r="P26" s="13">
        <f t="shared" si="33"/>
        <v>33.186726039398856</v>
      </c>
      <c r="Q26" s="20">
        <f t="shared" si="2"/>
        <v>278.12400868528636</v>
      </c>
      <c r="R26" s="59">
        <f t="shared" si="0"/>
        <v>571.45734201861967</v>
      </c>
      <c r="S26" s="59">
        <f ca="1">AVERAGE(OFFSET($R$3,0,0,'Données projet'!$E$9+1,1))-AVERAGE(OFFSET($H$3,0,0,'Données projet'!$E$9+1,1))</f>
        <v>490.7691633858222</v>
      </c>
      <c r="T26" s="59">
        <f t="shared" si="34"/>
        <v>490.82176582457072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23.363930922432871</v>
      </c>
      <c r="AB26" s="21">
        <f>EXP(-LN(2)/2)*AB25+(1-EXP(-LN(2)/2))/(LN(2)/2)*V26*Y26*VLOOKUP('Données projet'!$B$9,Paramètres!$A$1:$I$89,3,0)*0.475*44/12</f>
        <v>13.985640835056197</v>
      </c>
      <c r="AC26" s="22">
        <f t="shared" si="3"/>
        <v>37.349571757489066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6.5</v>
      </c>
      <c r="AI26" s="13">
        <f>IF('Données projet'!$A$62&gt;35,AI25+AH26-AQ25,IF(A26&lt;'Données projet'!$A$62,$AF$205^A26,IF(A26='Données projet'!$A$62,'Données projet'!$B$62,AI25+AH26-AQ25)))</f>
        <v>127.6</v>
      </c>
      <c r="AJ26" s="13">
        <f>AI26*VLOOKUP('Données projet'!$B$10,Paramètres!$A$1:$I$89,3,0)*VLOOKUP('Données projet'!$B$10,Paramètres!$A$1:$I$89,5,0)</f>
        <v>59.716799999999992</v>
      </c>
      <c r="AK26" s="13">
        <f t="shared" si="35"/>
        <v>17.096647463151516</v>
      </c>
      <c r="AL26" s="20">
        <f t="shared" si="4"/>
        <v>133.78342099832221</v>
      </c>
      <c r="AM26" s="59">
        <f t="shared" si="5"/>
        <v>427.11675433165556</v>
      </c>
      <c r="AN26" s="59">
        <f ca="1">AVERAGE(OFFSET($AM$3,0,0,'Données projet'!$E$10+1,1))-AVERAGE(OFFSET($H$3,0,0,'Données projet'!$E$10+1,1))</f>
        <v>165.03539937460289</v>
      </c>
      <c r="AO26" s="59">
        <f t="shared" si="36"/>
        <v>142.05625724497401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1.0797396169548514</v>
      </c>
      <c r="AW26" s="21">
        <f>EXP(-LN(2)/2)*AW25+(1-EXP(-LN(2)/2))/(LN(2)/2)*AQ26*AT26*VLOOKUP('Données projet'!$B$10,Paramètres!$A$1:$I$89,3,0)*0.475*44/12</f>
        <v>0.64633175505636464</v>
      </c>
      <c r="AX26" s="21">
        <f t="shared" si="6"/>
        <v>1.7260713720112162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27.8</v>
      </c>
      <c r="BD26" s="12">
        <f>IF('Données projet'!$A$88&gt;35,BD25+BC26-BL25,IF(A26&lt;'Données projet'!$A$88,$BA$205^A26,IF(A26='Données projet'!$A$88,'Données projet'!$B$88,BD25+BC26-BL25)))</f>
        <v>217.40000000000003</v>
      </c>
      <c r="BE26" s="13">
        <f>BD26*VLOOKUP('Données projet'!$B$11,Paramètres!$A$1:$I$89,3,0)*VLOOKUP('Données projet'!$B$11,Paramètres!$A$1:$I$89,5,0)</f>
        <v>104.56940000000003</v>
      </c>
      <c r="BF26" s="13">
        <f t="shared" si="37"/>
        <v>28.047747154351427</v>
      </c>
      <c r="BG26" s="20">
        <f t="shared" si="7"/>
        <v>230.97486462716213</v>
      </c>
      <c r="BH26" s="59">
        <f t="shared" si="8"/>
        <v>524.30819796049548</v>
      </c>
      <c r="BI26" s="59">
        <f ca="1">AVERAGE(OFFSET($BH$3,0,0,'Données projet'!$E$11+1,1))-AVERAGE(OFFSET($H$3,0,0,'Données projet'!$E$11+1,1))</f>
        <v>402.22278907877927</v>
      </c>
      <c r="BJ26" s="59">
        <f t="shared" si="38"/>
        <v>393.06397734082458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3.5382771666716946</v>
      </c>
      <c r="BR26" s="21">
        <f>EXP(-LN(2)/2)*BR25+(1-EXP(-LN(2)/2))/(LN(2)/2)*BL26*BO26*VLOOKUP('Données projet'!$B$11,Paramètres!$A$1:$I$89,3,0)*0.475*44/12</f>
        <v>2.1180114678578135</v>
      </c>
      <c r="BS26" s="22">
        <f t="shared" si="9"/>
        <v>5.656288634529508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30.1</v>
      </c>
      <c r="N27" s="13">
        <f>IF('Données projet'!$A$36&gt;35,N26+M27-V26,IF(A27&lt;'Données projet'!$A$36,$K$205^A27,IF(A27='Données projet'!$A$36,'Données projet'!$B$36,N26+M27-V26)))</f>
        <v>256.40000000000003</v>
      </c>
      <c r="O27" s="13">
        <f>N27*VLOOKUP('Données projet'!$B$9,Paramètres!$A$1:$I$89,3,0)*VLOOKUP('Données projet'!$B$9,Paramètres!$A$1:$I$89,5,0)</f>
        <v>143.32760000000002</v>
      </c>
      <c r="P27" s="13">
        <f t="shared" si="33"/>
        <v>37.058266617041653</v>
      </c>
      <c r="Q27" s="20">
        <f t="shared" si="2"/>
        <v>314.17205102468091</v>
      </c>
      <c r="R27" s="59">
        <f t="shared" si="0"/>
        <v>607.50538435801423</v>
      </c>
      <c r="S27" s="59">
        <f ca="1">AVERAGE(OFFSET($R$3,0,0,'Données projet'!$E$9+1,1))-AVERAGE(OFFSET($H$3,0,0,'Données projet'!$E$9+1,1))</f>
        <v>490.7691633858222</v>
      </c>
      <c r="T27" s="59">
        <f t="shared" si="34"/>
        <v>490.82176582457072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22.725043002703217</v>
      </c>
      <c r="AB27" s="21">
        <f>EXP(-LN(2)/2)*AB26+(1-EXP(-LN(2)/2))/(LN(2)/2)*V27*Y27*VLOOKUP('Données projet'!$B$9,Paramètres!$A$1:$I$89,3,0)*0.475*44/12</f>
        <v>9.8893414737077272</v>
      </c>
      <c r="AC27" s="22">
        <f t="shared" si="3"/>
        <v>32.614384476410947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6.5</v>
      </c>
      <c r="AI27" s="13">
        <f>IF('Données projet'!$A$62&gt;35,AI26+AH27-AQ26,IF(A27&lt;'Données projet'!$A$62,$AF$205^A27,IF(A27='Données projet'!$A$62,'Données projet'!$B$62,AI26+AH27-AQ26)))</f>
        <v>134.1</v>
      </c>
      <c r="AJ27" s="13">
        <f>AI27*VLOOKUP('Données projet'!$B$10,Paramètres!$A$1:$I$89,3,0)*VLOOKUP('Données projet'!$B$10,Paramètres!$A$1:$I$89,5,0)</f>
        <v>62.758800000000001</v>
      </c>
      <c r="AK27" s="13">
        <f t="shared" si="35"/>
        <v>17.863944827559084</v>
      </c>
      <c r="AL27" s="20">
        <f t="shared" si="4"/>
        <v>140.41794724133206</v>
      </c>
      <c r="AM27" s="59">
        <f t="shared" si="5"/>
        <v>433.75128057466537</v>
      </c>
      <c r="AN27" s="59">
        <f ca="1">AVERAGE(OFFSET($AM$3,0,0,'Données projet'!$E$10+1,1))-AVERAGE(OFFSET($H$3,0,0,'Données projet'!$E$10+1,1))</f>
        <v>165.03539937460289</v>
      </c>
      <c r="AO27" s="59">
        <f t="shared" si="36"/>
        <v>142.05625724497401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1.0502140803481823</v>
      </c>
      <c r="AW27" s="21">
        <f>EXP(-LN(2)/2)*AW26+(1-EXP(-LN(2)/2))/(LN(2)/2)*AQ27*AT27*VLOOKUP('Données projet'!$B$10,Paramètres!$A$1:$I$89,3,0)*0.475*44/12</f>
        <v>0.4570255668965581</v>
      </c>
      <c r="AX27" s="21">
        <f t="shared" si="6"/>
        <v>1.5072396472447405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27.8</v>
      </c>
      <c r="BD27" s="12">
        <f>IF('Données projet'!$A$88&gt;35,BD26+BC27-BL26,IF(A27&lt;'Données projet'!$A$88,$BA$205^A27,IF(A27='Données projet'!$A$88,'Données projet'!$B$88,BD26+BC27-BL26)))</f>
        <v>245.20000000000005</v>
      </c>
      <c r="BE27" s="13">
        <f>BD27*VLOOKUP('Données projet'!$B$11,Paramètres!$A$1:$I$89,3,0)*VLOOKUP('Données projet'!$B$11,Paramètres!$A$1:$I$89,5,0)</f>
        <v>117.94120000000002</v>
      </c>
      <c r="BF27" s="13">
        <f t="shared" si="37"/>
        <v>31.194335444499696</v>
      </c>
      <c r="BG27" s="20">
        <f t="shared" si="7"/>
        <v>259.7443908991703</v>
      </c>
      <c r="BH27" s="59">
        <f t="shared" si="8"/>
        <v>553.07772423250367</v>
      </c>
      <c r="BI27" s="59">
        <f ca="1">AVERAGE(OFFSET($BH$3,0,0,'Données projet'!$E$11+1,1))-AVERAGE(OFFSET($H$3,0,0,'Données projet'!$E$11+1,1))</f>
        <v>402.22278907877927</v>
      </c>
      <c r="BJ27" s="59">
        <f t="shared" si="38"/>
        <v>393.06397734082458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3.4415227914791475</v>
      </c>
      <c r="BR27" s="21">
        <f>EXP(-LN(2)/2)*BR26+(1-EXP(-LN(2)/2))/(LN(2)/2)*BL27*BO27*VLOOKUP('Données projet'!$B$11,Paramètres!$A$1:$I$89,3,0)*0.475*44/12</f>
        <v>1.4976602715531333</v>
      </c>
      <c r="BS27" s="22">
        <f t="shared" si="9"/>
        <v>4.9391830630322806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30.1</v>
      </c>
      <c r="N28" s="13">
        <f>IF('Données projet'!$A$36&gt;35,N27+M28-V27,IF(A28&lt;'Données projet'!$A$36,$K$205^A28,IF(A28='Données projet'!$A$36,'Données projet'!$B$36,N27+M28-V27)))</f>
        <v>286.50000000000006</v>
      </c>
      <c r="O28" s="13">
        <f>N28*VLOOKUP('Données projet'!$B$9,Paramètres!$A$1:$I$89,3,0)*VLOOKUP('Données projet'!$B$9,Paramètres!$A$1:$I$89,5,0)</f>
        <v>160.15350000000004</v>
      </c>
      <c r="P28" s="13">
        <f t="shared" si="33"/>
        <v>40.877135827694609</v>
      </c>
      <c r="Q28" s="20">
        <f t="shared" si="2"/>
        <v>350.12835739990146</v>
      </c>
      <c r="R28" s="59">
        <f t="shared" si="0"/>
        <v>643.46169073323472</v>
      </c>
      <c r="S28" s="59">
        <f ca="1">AVERAGE(OFFSET($R$3,0,0,'Données projet'!$E$9+1,1))-AVERAGE(OFFSET($H$3,0,0,'Données projet'!$E$9+1,1))</f>
        <v>490.7691633858222</v>
      </c>
      <c r="T28" s="59">
        <f t="shared" si="34"/>
        <v>490.82176582457072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22.103625506736226</v>
      </c>
      <c r="AB28" s="21">
        <f>EXP(-LN(2)/2)*AB27+(1-EXP(-LN(2)/2))/(LN(2)/2)*V28*Y28*VLOOKUP('Données projet'!$B$9,Paramètres!$A$1:$I$89,3,0)*0.475*44/12</f>
        <v>6.9928204175281001</v>
      </c>
      <c r="AC28" s="22">
        <f t="shared" si="3"/>
        <v>29.096445924264327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6.5</v>
      </c>
      <c r="AI28" s="13">
        <f>IF('Données projet'!$A$62&gt;35,AI27+AH28-AQ27,IF(A28&lt;'Données projet'!$A$62,$AF$205^A28,IF(A28='Données projet'!$A$62,'Données projet'!$B$62,AI27+AH28-AQ27)))</f>
        <v>140.6</v>
      </c>
      <c r="AJ28" s="13">
        <f>AI28*VLOOKUP('Données projet'!$B$10,Paramètres!$A$1:$I$89,3,0)*VLOOKUP('Données projet'!$B$10,Paramètres!$A$1:$I$89,5,0)</f>
        <v>65.800799999999995</v>
      </c>
      <c r="AK28" s="13">
        <f t="shared" si="35"/>
        <v>18.626923459774289</v>
      </c>
      <c r="AL28" s="20">
        <f t="shared" si="4"/>
        <v>147.04495169244021</v>
      </c>
      <c r="AM28" s="59">
        <f t="shared" si="5"/>
        <v>440.37828502577349</v>
      </c>
      <c r="AN28" s="59">
        <f ca="1">AVERAGE(OFFSET($AM$3,0,0,'Données projet'!$E$10+1,1))-AVERAGE(OFFSET($H$3,0,0,'Données projet'!$E$10+1,1))</f>
        <v>165.03539937460289</v>
      </c>
      <c r="AO28" s="59">
        <f t="shared" si="36"/>
        <v>142.05625724497401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1.021495921092703</v>
      </c>
      <c r="AW28" s="21">
        <f>EXP(-LN(2)/2)*AW27+(1-EXP(-LN(2)/2))/(LN(2)/2)*AQ28*AT28*VLOOKUP('Données projet'!$B$10,Paramètres!$A$1:$I$89,3,0)*0.475*44/12</f>
        <v>0.32316587752818238</v>
      </c>
      <c r="AX28" s="21">
        <f t="shared" si="6"/>
        <v>1.3446617986208853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27.8</v>
      </c>
      <c r="BD28" s="12">
        <f>IF('Données projet'!$A$88&gt;35,BD27+BC28-BL27,IF(A28&lt;'Données projet'!$A$88,$BA$205^A28,IF(A28='Données projet'!$A$88,'Données projet'!$B$88,BD27+BC28-BL27)))</f>
        <v>273.00000000000006</v>
      </c>
      <c r="BE28" s="13">
        <f>BD28*VLOOKUP('Données projet'!$B$11,Paramètres!$A$1:$I$89,3,0)*VLOOKUP('Données projet'!$B$11,Paramètres!$A$1:$I$89,5,0)</f>
        <v>131.31300000000002</v>
      </c>
      <c r="BF28" s="13">
        <f t="shared" si="37"/>
        <v>34.299577406379022</v>
      </c>
      <c r="BG28" s="20">
        <f t="shared" si="7"/>
        <v>288.44190564944347</v>
      </c>
      <c r="BH28" s="59">
        <f t="shared" si="8"/>
        <v>581.77523898277673</v>
      </c>
      <c r="BI28" s="59">
        <f ca="1">AVERAGE(OFFSET($BH$3,0,0,'Données projet'!$E$11+1,1))-AVERAGE(OFFSET($H$3,0,0,'Données projet'!$E$11+1,1))</f>
        <v>402.22278907877927</v>
      </c>
      <c r="BJ28" s="59">
        <f t="shared" si="38"/>
        <v>393.06397734082458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3.3474141697643325</v>
      </c>
      <c r="BR28" s="21">
        <f>EXP(-LN(2)/2)*BR27+(1-EXP(-LN(2)/2))/(LN(2)/2)*BL28*BO28*VLOOKUP('Données projet'!$B$11,Paramètres!$A$1:$I$89,3,0)*0.475*44/12</f>
        <v>1.059005733928907</v>
      </c>
      <c r="BS28" s="22">
        <f t="shared" si="9"/>
        <v>4.406419903693239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30.1</v>
      </c>
      <c r="N29" s="13">
        <f>IF('Données projet'!$A$36&gt;35,N28+M29-V28,IF(A29&lt;'Données projet'!$A$36,$K$205^A29,IF(A29='Données projet'!$A$36,'Données projet'!$B$36,N28+M29-V28)))</f>
        <v>316.60000000000008</v>
      </c>
      <c r="O29" s="13">
        <f>N29*VLOOKUP('Données projet'!$B$9,Paramètres!$A$1:$I$89,3,0)*VLOOKUP('Données projet'!$B$9,Paramètres!$A$1:$I$89,5,0)</f>
        <v>176.97940000000006</v>
      </c>
      <c r="P29" s="13">
        <f t="shared" si="33"/>
        <v>44.6494978391339</v>
      </c>
      <c r="Q29" s="20">
        <f t="shared" si="2"/>
        <v>386.00366373649166</v>
      </c>
      <c r="R29" s="59">
        <f t="shared" si="0"/>
        <v>679.33699706982497</v>
      </c>
      <c r="S29" s="59">
        <f ca="1">AVERAGE(OFFSET($R$3,0,0,'Données projet'!$E$9+1,1))-AVERAGE(OFFSET($H$3,0,0,'Données projet'!$E$9+1,1))</f>
        <v>490.7691633858222</v>
      </c>
      <c r="T29" s="59">
        <f t="shared" si="34"/>
        <v>490.82176582457072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21.499200704875378</v>
      </c>
      <c r="AB29" s="21">
        <f>EXP(-LN(2)/2)*AB28+(1-EXP(-LN(2)/2))/(LN(2)/2)*V29*Y29*VLOOKUP('Données projet'!$B$9,Paramètres!$A$1:$I$89,3,0)*0.475*44/12</f>
        <v>4.9446707368538645</v>
      </c>
      <c r="AC29" s="22">
        <f t="shared" si="3"/>
        <v>26.443871441729243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6.5</v>
      </c>
      <c r="AI29" s="13">
        <f>IF('Données projet'!$A$62&gt;35,AI28+AH29-AQ28,IF(A29&lt;'Données projet'!$A$62,$AF$205^A29,IF(A29='Données projet'!$A$62,'Données projet'!$B$62,AI28+AH29-AQ28)))</f>
        <v>147.1</v>
      </c>
      <c r="AJ29" s="13">
        <f>AI29*VLOOKUP('Données projet'!$B$10,Paramètres!$A$1:$I$89,3,0)*VLOOKUP('Données projet'!$B$10,Paramètres!$A$1:$I$89,5,0)</f>
        <v>68.842799999999997</v>
      </c>
      <c r="AK29" s="13">
        <f t="shared" si="35"/>
        <v>19.385805820089459</v>
      </c>
      <c r="AL29" s="20">
        <f t="shared" si="4"/>
        <v>153.66482180332244</v>
      </c>
      <c r="AM29" s="59">
        <f t="shared" si="5"/>
        <v>446.99815513665578</v>
      </c>
      <c r="AN29" s="59">
        <f ca="1">AVERAGE(OFFSET($AM$3,0,0,'Données projet'!$E$10+1,1))-AVERAGE(OFFSET($H$3,0,0,'Données projet'!$E$10+1,1))</f>
        <v>165.03539937460289</v>
      </c>
      <c r="AO29" s="59">
        <f t="shared" si="36"/>
        <v>142.05625724497401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0.99356306141228723</v>
      </c>
      <c r="AW29" s="21">
        <f>EXP(-LN(2)/2)*AW28+(1-EXP(-LN(2)/2))/(LN(2)/2)*AQ29*AT29*VLOOKUP('Données projet'!$B$10,Paramètres!$A$1:$I$89,3,0)*0.475*44/12</f>
        <v>0.22851278344827908</v>
      </c>
      <c r="AX29" s="21">
        <f t="shared" si="6"/>
        <v>1.2220758448605662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27.8</v>
      </c>
      <c r="BD29" s="12">
        <f>IF('Données projet'!$A$88&gt;35,BD28+BC29-BL28,IF(A29&lt;'Données projet'!$A$88,$BA$205^A29,IF(A29='Données projet'!$A$88,'Données projet'!$B$88,BD28+BC29-BL28)))</f>
        <v>300.80000000000007</v>
      </c>
      <c r="BE29" s="13">
        <f>BD29*VLOOKUP('Données projet'!$B$11,Paramètres!$A$1:$I$89,3,0)*VLOOKUP('Données projet'!$B$11,Paramètres!$A$1:$I$89,5,0)</f>
        <v>144.68480000000002</v>
      </c>
      <c r="BF29" s="13">
        <f t="shared" si="37"/>
        <v>37.36816282450549</v>
      </c>
      <c r="BG29" s="20">
        <f t="shared" si="7"/>
        <v>317.07557691934716</v>
      </c>
      <c r="BH29" s="59">
        <f t="shared" si="8"/>
        <v>610.40891025268047</v>
      </c>
      <c r="BI29" s="59">
        <f ca="1">AVERAGE(OFFSET($BH$3,0,0,'Données projet'!$E$11+1,1))-AVERAGE(OFFSET($H$3,0,0,'Données projet'!$E$11+1,1))</f>
        <v>402.22278907877927</v>
      </c>
      <c r="BJ29" s="59">
        <f t="shared" si="38"/>
        <v>393.06397734082458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3.2558789532592662</v>
      </c>
      <c r="BR29" s="21">
        <f>EXP(-LN(2)/2)*BR28+(1-EXP(-LN(2)/2))/(LN(2)/2)*BL29*BO29*VLOOKUP('Données projet'!$B$11,Paramètres!$A$1:$I$89,3,0)*0.475*44/12</f>
        <v>0.74883013577656687</v>
      </c>
      <c r="BS29" s="22">
        <f t="shared" si="9"/>
        <v>4.004709089035833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30.1</v>
      </c>
      <c r="N30" s="13">
        <f>IF('Données projet'!$A$36&gt;35,N29+M30-V29,IF(A30&lt;'Données projet'!$A$36,$K$205^A30,IF(A30='Données projet'!$A$36,'Données projet'!$B$36,N29+M30-V29)))</f>
        <v>346.7000000000001</v>
      </c>
      <c r="O30" s="13">
        <f>N30*VLOOKUP('Données projet'!$B$9,Paramètres!$A$1:$I$89,3,0)*VLOOKUP('Données projet'!$B$9,Paramètres!$A$1:$I$89,5,0)</f>
        <v>193.80530000000007</v>
      </c>
      <c r="P30" s="13">
        <f t="shared" si="33"/>
        <v>48.380277248533332</v>
      </c>
      <c r="Q30" s="20">
        <f t="shared" si="2"/>
        <v>421.80654704119564</v>
      </c>
      <c r="R30" s="59">
        <f t="shared" si="0"/>
        <v>715.13988037452896</v>
      </c>
      <c r="S30" s="59">
        <f ca="1">AVERAGE(OFFSET($R$3,0,0,'Données projet'!$E$9+1,1))-AVERAGE(OFFSET($H$3,0,0,'Données projet'!$E$9+1,1))</f>
        <v>490.7691633858222</v>
      </c>
      <c r="T30" s="59">
        <f t="shared" si="34"/>
        <v>490.82176582457072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20.911303931006731</v>
      </c>
      <c r="AB30" s="21">
        <f>EXP(-LN(2)/2)*AB29+(1-EXP(-LN(2)/2))/(LN(2)/2)*V30*Y30*VLOOKUP('Données projet'!$B$9,Paramètres!$A$1:$I$89,3,0)*0.475*44/12</f>
        <v>3.4964102087640505</v>
      </c>
      <c r="AC30" s="22">
        <f t="shared" si="3"/>
        <v>24.407714139770782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6.5</v>
      </c>
      <c r="AI30" s="13">
        <f>IF('Données projet'!$A$62&gt;35,AI29+AH30-AQ29,IF(A30&lt;'Données projet'!$A$62,$AF$205^A30,IF(A30='Données projet'!$A$62,'Données projet'!$B$62,AI29+AH30-AQ29)))</f>
        <v>153.6</v>
      </c>
      <c r="AJ30" s="13">
        <f>AI30*VLOOKUP('Données projet'!$B$10,Paramètres!$A$1:$I$89,3,0)*VLOOKUP('Données projet'!$B$10,Paramètres!$A$1:$I$89,5,0)</f>
        <v>71.884799999999998</v>
      </c>
      <c r="AK30" s="13">
        <f t="shared" si="35"/>
        <v>20.140793597217179</v>
      </c>
      <c r="AL30" s="20">
        <f t="shared" si="4"/>
        <v>160.27790884848659</v>
      </c>
      <c r="AM30" s="59">
        <f t="shared" si="5"/>
        <v>453.61124218181988</v>
      </c>
      <c r="AN30" s="59">
        <f ca="1">AVERAGE(OFFSET($AM$3,0,0,'Données projet'!$E$10+1,1))-AVERAGE(OFFSET($H$3,0,0,'Données projet'!$E$10+1,1))</f>
        <v>165.03539937460289</v>
      </c>
      <c r="AO30" s="59">
        <f t="shared" si="36"/>
        <v>142.05625724497401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0.96639402724875767</v>
      </c>
      <c r="AW30" s="21">
        <f>EXP(-LN(2)/2)*AW29+(1-EXP(-LN(2)/2))/(LN(2)/2)*AQ30*AT30*VLOOKUP('Données projet'!$B$10,Paramètres!$A$1:$I$89,3,0)*0.475*44/12</f>
        <v>0.16158293876409122</v>
      </c>
      <c r="AX30" s="21">
        <f t="shared" si="6"/>
        <v>1.1279769660128489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27.8</v>
      </c>
      <c r="BD30" s="12">
        <f>IF('Données projet'!$A$88&gt;35,BD29+BC30-BL29,IF(A30&lt;'Données projet'!$A$88,$BA$205^A30,IF(A30='Données projet'!$A$88,'Données projet'!$B$88,BD29+BC30-BL29)))</f>
        <v>328.60000000000008</v>
      </c>
      <c r="BE30" s="13">
        <f>BD30*VLOOKUP('Données projet'!$B$11,Paramètres!$A$1:$I$89,3,0)*VLOOKUP('Données projet'!$B$11,Paramètres!$A$1:$I$89,5,0)</f>
        <v>158.05660000000003</v>
      </c>
      <c r="BF30" s="13">
        <f t="shared" si="37"/>
        <v>40.403864835143331</v>
      </c>
      <c r="BG30" s="20">
        <f t="shared" si="7"/>
        <v>345.65197625454135</v>
      </c>
      <c r="BH30" s="59">
        <f t="shared" si="8"/>
        <v>638.98530958787467</v>
      </c>
      <c r="BI30" s="59">
        <f ca="1">AVERAGE(OFFSET($BH$3,0,0,'Données projet'!$E$11+1,1))-AVERAGE(OFFSET($H$3,0,0,'Données projet'!$E$11+1,1))</f>
        <v>402.22278907877927</v>
      </c>
      <c r="BJ30" s="59">
        <f t="shared" si="38"/>
        <v>393.06397734082458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3.1668467720631588</v>
      </c>
      <c r="BR30" s="21">
        <f>EXP(-LN(2)/2)*BR29+(1-EXP(-LN(2)/2))/(LN(2)/2)*BL30*BO30*VLOOKUP('Données projet'!$B$11,Paramètres!$A$1:$I$89,3,0)*0.475*44/12</f>
        <v>0.52950286696445359</v>
      </c>
      <c r="BS30" s="22">
        <f t="shared" si="9"/>
        <v>3.6963496390276123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30.1</v>
      </c>
      <c r="N31" s="13">
        <f>IF('Données projet'!$A$36&gt;35,N30+M31-V30,IF(A31&lt;'Données projet'!$A$36,$K$205^A31,IF(A31='Données projet'!$A$36,'Données projet'!$B$36,N30+M31-V30)))</f>
        <v>376.80000000000013</v>
      </c>
      <c r="O31" s="13">
        <f>N31*VLOOKUP('Données projet'!$B$9,Paramètres!$A$1:$I$89,3,0)*VLOOKUP('Données projet'!$B$9,Paramètres!$A$1:$I$89,5,0)</f>
        <v>210.63120000000009</v>
      </c>
      <c r="P31" s="13">
        <f t="shared" si="33"/>
        <v>52.073494677019134</v>
      </c>
      <c r="Q31" s="20">
        <f t="shared" si="2"/>
        <v>457.54400989580841</v>
      </c>
      <c r="R31" s="59">
        <f t="shared" si="0"/>
        <v>750.87734322914173</v>
      </c>
      <c r="S31" s="59">
        <f ca="1">AVERAGE(OFFSET($R$3,0,0,'Données projet'!$E$9+1,1))-AVERAGE(OFFSET($H$3,0,0,'Données projet'!$E$9+1,1))</f>
        <v>490.7691633858222</v>
      </c>
      <c r="T31" s="59">
        <f t="shared" si="34"/>
        <v>490.82176582457072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20.339483225335673</v>
      </c>
      <c r="AB31" s="21">
        <f>EXP(-LN(2)/2)*AB30+(1-EXP(-LN(2)/2))/(LN(2)/2)*V31*Y31*VLOOKUP('Données projet'!$B$9,Paramètres!$A$1:$I$89,3,0)*0.475*44/12</f>
        <v>2.4723353684269327</v>
      </c>
      <c r="AC31" s="22">
        <f t="shared" si="3"/>
        <v>22.811818593762606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6.5</v>
      </c>
      <c r="AI31" s="13">
        <f>IF('Données projet'!$A$62&gt;35,AI30+AH31-AQ30,IF(A31&lt;'Données projet'!$A$62,$AF$205^A31,IF(A31='Données projet'!$A$62,'Données projet'!$B$62,AI30+AH31-AQ30)))</f>
        <v>160.1</v>
      </c>
      <c r="AJ31" s="13">
        <f>AI31*VLOOKUP('Données projet'!$B$10,Paramètres!$A$1:$I$89,3,0)*VLOOKUP('Données projet'!$B$10,Paramètres!$A$1:$I$89,5,0)</f>
        <v>74.9268</v>
      </c>
      <c r="AK31" s="13">
        <f t="shared" si="35"/>
        <v>20.892070444276687</v>
      </c>
      <c r="AL31" s="20">
        <f t="shared" si="4"/>
        <v>166.88453269044854</v>
      </c>
      <c r="AM31" s="59">
        <f t="shared" si="5"/>
        <v>460.21786602378188</v>
      </c>
      <c r="AN31" s="59">
        <f ca="1">AVERAGE(OFFSET($AM$3,0,0,'Données projet'!$E$10+1,1))-AVERAGE(OFFSET($H$3,0,0,'Données projet'!$E$10+1,1))</f>
        <v>165.03539937460289</v>
      </c>
      <c r="AO31" s="59">
        <f t="shared" si="36"/>
        <v>142.05625724497401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0.93996793175318727</v>
      </c>
      <c r="AW31" s="21">
        <f>EXP(-LN(2)/2)*AW30+(1-EXP(-LN(2)/2))/(LN(2)/2)*AQ31*AT31*VLOOKUP('Données projet'!$B$10,Paramètres!$A$1:$I$89,3,0)*0.475*44/12</f>
        <v>0.11425639172413957</v>
      </c>
      <c r="AX31" s="21">
        <f t="shared" si="6"/>
        <v>1.0542243234773268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27.8</v>
      </c>
      <c r="BD31" s="12">
        <f>IF('Données projet'!$A$88&gt;35,BD30+BC31-BL30,IF(A31&lt;'Données projet'!$A$88,$BA$205^A31,IF(A31='Données projet'!$A$88,'Données projet'!$B$88,BD30+BC31-BL30)))</f>
        <v>356.40000000000009</v>
      </c>
      <c r="BE31" s="13">
        <f>BD31*VLOOKUP('Données projet'!$B$11,Paramètres!$A$1:$I$89,3,0)*VLOOKUP('Données projet'!$B$11,Paramètres!$A$1:$I$89,5,0)</f>
        <v>171.42840000000004</v>
      </c>
      <c r="BF31" s="13">
        <f t="shared" si="37"/>
        <v>43.409781712258457</v>
      </c>
      <c r="BG31" s="20">
        <f t="shared" si="7"/>
        <v>374.17649981551682</v>
      </c>
      <c r="BH31" s="59">
        <f t="shared" si="8"/>
        <v>667.50983314885013</v>
      </c>
      <c r="BI31" s="59">
        <f ca="1">AVERAGE(OFFSET($BH$3,0,0,'Données projet'!$E$11+1,1))-AVERAGE(OFFSET($H$3,0,0,'Données projet'!$E$11+1,1))</f>
        <v>402.22278907877927</v>
      </c>
      <c r="BJ31" s="59">
        <f t="shared" si="38"/>
        <v>393.06397734082458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3.0802491805438579</v>
      </c>
      <c r="BR31" s="21">
        <f>EXP(-LN(2)/2)*BR30+(1-EXP(-LN(2)/2))/(LN(2)/2)*BL31*BO31*VLOOKUP('Données projet'!$B$11,Paramètres!$A$1:$I$89,3,0)*0.475*44/12</f>
        <v>0.37441506788828349</v>
      </c>
      <c r="BS31" s="22">
        <f t="shared" si="9"/>
        <v>3.4546642484321413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30.1</v>
      </c>
      <c r="N32" s="13">
        <f>IF('Données projet'!$A$36&gt;35,N31+M32-V31,IF(A32&lt;'Données projet'!$A$36,$K$205^A32,IF(A32='Données projet'!$A$36,'Données projet'!$B$36,N31+M32-V31)))</f>
        <v>406.90000000000015</v>
      </c>
      <c r="O32" s="13">
        <f>N32*VLOOKUP('Données projet'!$B$9,Paramètres!$A$1:$I$89,3,0)*VLOOKUP('Données projet'!$B$9,Paramètres!$A$1:$I$89,5,0)</f>
        <v>227.45710000000011</v>
      </c>
      <c r="P32" s="13">
        <f t="shared" si="33"/>
        <v>55.732491835099452</v>
      </c>
      <c r="Q32" s="20">
        <f t="shared" si="2"/>
        <v>493.22187244613178</v>
      </c>
      <c r="R32" s="59">
        <f t="shared" si="0"/>
        <v>786.55520577946504</v>
      </c>
      <c r="S32" s="59">
        <f ca="1">AVERAGE(OFFSET($R$3,0,0,'Données projet'!$E$9+1,1))-AVERAGE(OFFSET($H$3,0,0,'Données projet'!$E$9+1,1))</f>
        <v>490.7691633858222</v>
      </c>
      <c r="T32" s="59">
        <f t="shared" si="34"/>
        <v>490.82176582457072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19.783298986931932</v>
      </c>
      <c r="AB32" s="21">
        <f>EXP(-LN(2)/2)*AB31+(1-EXP(-LN(2)/2))/(LN(2)/2)*V32*Y32*VLOOKUP('Données projet'!$B$9,Paramètres!$A$1:$I$89,3,0)*0.475*44/12</f>
        <v>1.7482051043820255</v>
      </c>
      <c r="AC32" s="22">
        <f t="shared" si="3"/>
        <v>21.531504091313959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6.5</v>
      </c>
      <c r="AI32" s="13">
        <f>IF('Données projet'!$A$62&gt;35,AI31+AH32-AQ31,IF(A32&lt;'Données projet'!$A$62,$AF$205^A32,IF(A32='Données projet'!$A$62,'Données projet'!$B$62,AI31+AH32-AQ31)))</f>
        <v>166.6</v>
      </c>
      <c r="AJ32" s="13">
        <f>AI32*VLOOKUP('Données projet'!$B$10,Paramètres!$A$1:$I$89,3,0)*VLOOKUP('Données projet'!$B$10,Paramètres!$A$1:$I$89,5,0)</f>
        <v>77.968800000000002</v>
      </c>
      <c r="AK32" s="13">
        <f t="shared" si="35"/>
        <v>21.63980425794859</v>
      </c>
      <c r="AL32" s="20">
        <f t="shared" si="4"/>
        <v>173.48498574926046</v>
      </c>
      <c r="AM32" s="59">
        <f t="shared" si="5"/>
        <v>466.8183190825938</v>
      </c>
      <c r="AN32" s="59">
        <f ca="1">AVERAGE(OFFSET($AM$3,0,0,'Données projet'!$E$10+1,1))-AVERAGE(OFFSET($H$3,0,0,'Données projet'!$E$10+1,1))</f>
        <v>165.03539937460289</v>
      </c>
      <c r="AO32" s="59">
        <f t="shared" si="36"/>
        <v>142.05625724497401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0.9142644592286312</v>
      </c>
      <c r="AW32" s="21">
        <f>EXP(-LN(2)/2)*AW31+(1-EXP(-LN(2)/2))/(LN(2)/2)*AQ32*AT32*VLOOKUP('Données projet'!$B$10,Paramètres!$A$1:$I$89,3,0)*0.475*44/12</f>
        <v>8.0791469382045622E-2</v>
      </c>
      <c r="AX32" s="21">
        <f t="shared" si="6"/>
        <v>0.99505592861067682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27.8</v>
      </c>
      <c r="BD32" s="12">
        <f>IF('Données projet'!$A$88&gt;35,BD31+BC32-BL31,IF(A32&lt;'Données projet'!$A$88,$BA$205^A32,IF(A32='Données projet'!$A$88,'Données projet'!$B$88,BD31+BC32-BL31)))</f>
        <v>384.2000000000001</v>
      </c>
      <c r="BE32" s="13">
        <f>BD32*VLOOKUP('Données projet'!$B$11,Paramètres!$A$1:$I$89,3,0)*VLOOKUP('Données projet'!$B$11,Paramètres!$A$1:$I$89,5,0)</f>
        <v>184.80020000000005</v>
      </c>
      <c r="BF32" s="13">
        <f t="shared" si="37"/>
        <v>46.388500912292088</v>
      </c>
      <c r="BG32" s="20">
        <f t="shared" si="7"/>
        <v>402.65365408890875</v>
      </c>
      <c r="BH32" s="59">
        <f t="shared" si="8"/>
        <v>695.98698742224201</v>
      </c>
      <c r="BI32" s="59">
        <f ca="1">AVERAGE(OFFSET($BH$3,0,0,'Données projet'!$E$11+1,1))-AVERAGE(OFFSET($H$3,0,0,'Données projet'!$E$11+1,1))</f>
        <v>402.22278907877927</v>
      </c>
      <c r="BJ32" s="59">
        <f t="shared" si="38"/>
        <v>393.06397734082458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2.9960196047186218</v>
      </c>
      <c r="BR32" s="21">
        <f>EXP(-LN(2)/2)*BR31+(1-EXP(-LN(2)/2))/(LN(2)/2)*BL32*BO32*VLOOKUP('Données projet'!$B$11,Paramètres!$A$1:$I$89,3,0)*0.475*44/12</f>
        <v>0.26475143348222685</v>
      </c>
      <c r="BS32" s="22">
        <f t="shared" si="9"/>
        <v>3.2607710382008488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437</v>
      </c>
      <c r="L33" s="12">
        <f>VLOOKUP(A33,'Données projet'!$A$35:$I$55,9,0)</f>
        <v>30.1</v>
      </c>
      <c r="M33" s="12">
        <f t="array" ref="M33">INDEX(L:L,MIN(IF(ISNUMBER(L33:L229),ROW(L33:L229),"")))</f>
        <v>30.1</v>
      </c>
      <c r="N33" s="13">
        <f>IF('Données projet'!$A$36&gt;35,N32+M33-V32,IF(A33&lt;'Données projet'!$A$36,$K$205^A33,IF(A33='Données projet'!$A$36,'Données projet'!$B$36,N32+M33-V32)))</f>
        <v>437.00000000000017</v>
      </c>
      <c r="O33" s="13">
        <f>N33*VLOOKUP('Données projet'!$B$9,Paramètres!$A$1:$I$89,3,0)*VLOOKUP('Données projet'!$B$9,Paramètres!$A$1:$I$89,5,0)</f>
        <v>244.2830000000001</v>
      </c>
      <c r="P33" s="13">
        <f t="shared" si="33"/>
        <v>59.360087989308212</v>
      </c>
      <c r="Q33" s="20">
        <f t="shared" si="2"/>
        <v>528.84504491471182</v>
      </c>
      <c r="R33" s="59">
        <f t="shared" si="0"/>
        <v>822.17837824804519</v>
      </c>
      <c r="S33" s="59">
        <f ca="1">AVERAGE(OFFSET($R$3,0,0,'Données projet'!$E$9+1,1))-AVERAGE(OFFSET($H$3,0,0,'Données projet'!$E$9+1,1))</f>
        <v>490.7691633858222</v>
      </c>
      <c r="T33" s="59">
        <f t="shared" si="34"/>
        <v>490.82176582457072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154</v>
      </c>
      <c r="W33" s="16">
        <f>IF(ISNA(VLOOKUP(A33,'Données projet'!$A$35:$I$55,5,0)),0%,VLOOKUP(A33,'Données projet'!$A$35:$I$55,5,0)*VLOOKUP('Données projet'!$B$9,Paramètres!$A$1:$I$89,7,0))</f>
        <v>0.11000000000000001</v>
      </c>
      <c r="X33" s="16">
        <f>IF(ISNA(VLOOKUP(A33,'Données projet'!$A$35:$I$55,6,0)),0%,VLOOKUP(A33,'Données projet'!$A$35:$I$55,6,0)*VLOOKUP('Données projet'!$B$9,Paramètres!$A$1:$I$89,7,0))</f>
        <v>0.22000000000000003</v>
      </c>
      <c r="Y33" s="16">
        <f>IF(ISNA(VLOOKUP(A33,'Données projet'!$A$35:$I$55,7,0)),0%,VLOOKUP(A33,'Données projet'!$A$35:$I$55,7,0))</f>
        <v>0.4</v>
      </c>
      <c r="Z33" s="21">
        <f>EXP(-LN(2)/35)*Z32+(1-EXP(-LN(2)/35))/(LN(2)/35)*V33*W33*VLOOKUP('Données projet'!$B$9,Paramètres!$A$1:$I$89,3,0)*0.475*44/12</f>
        <v>12.561849048206506</v>
      </c>
      <c r="AA33" s="21">
        <f>EXP(-LN(2)/25)*AA32+(1-EXP(-LN(2)/25))/(LN(2)/25)*Calculateur!V33*Calculateur!X33*VLOOKUP('Données projet'!$B$9,Paramètres!$A$1:$I$89,3,0)*0.475*44/12</f>
        <v>44.267100159903769</v>
      </c>
      <c r="AB33" s="21">
        <f>EXP(-LN(2)/2)*AB32+(1-EXP(-LN(2)/2))/(LN(2)/2)*V33*Y33*VLOOKUP('Données projet'!$B$9,Paramètres!$A$1:$I$89,3,0)*0.475*44/12</f>
        <v>40.223907510158796</v>
      </c>
      <c r="AC33" s="22">
        <f t="shared" si="3"/>
        <v>97.052856718269069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173.1</v>
      </c>
      <c r="AG33" s="12">
        <f>VLOOKUP(A33,'Données projet'!$A$61:$I$81,9,0)</f>
        <v>6.5</v>
      </c>
      <c r="AH33" s="12">
        <f t="array" ref="AH33">INDEX(AG:AG,MIN(IF(ISNUMBER(AG33:AG229),ROW(AG33:AG229),"")))</f>
        <v>6.5</v>
      </c>
      <c r="AI33" s="13">
        <f>IF('Données projet'!$A$62&gt;35,AI32+AH33-AQ32,IF(A33&lt;'Données projet'!$A$62,$AF$205^A33,IF(A33='Données projet'!$A$62,'Données projet'!$B$62,AI32+AH33-AQ32)))</f>
        <v>173.1</v>
      </c>
      <c r="AJ33" s="13">
        <f>AI33*VLOOKUP('Données projet'!$B$10,Paramètres!$A$1:$I$89,3,0)*VLOOKUP('Données projet'!$B$10,Paramètres!$A$1:$I$89,5,0)</f>
        <v>81.010800000000003</v>
      </c>
      <c r="AK33" s="13">
        <f t="shared" si="35"/>
        <v>22.384149091932141</v>
      </c>
      <c r="AL33" s="20">
        <f t="shared" si="4"/>
        <v>180.07953633511514</v>
      </c>
      <c r="AM33" s="59">
        <f t="shared" si="5"/>
        <v>473.41286966844848</v>
      </c>
      <c r="AN33" s="59">
        <f ca="1">AVERAGE(OFFSET($AM$3,0,0,'Données projet'!$E$10+1,1))-AVERAGE(OFFSET($H$3,0,0,'Données projet'!$E$10+1,1))</f>
        <v>165.03539937460289</v>
      </c>
      <c r="AO33" s="59">
        <f t="shared" si="36"/>
        <v>142.05625724497401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25.4</v>
      </c>
      <c r="AR33" s="16">
        <f>IF(ISNA(VLOOKUP(A33,'Données projet'!$A$61:$I$81,5,0)),0%,VLOOKUP(A33,'Données projet'!$A$61:$I$81,5,0)*VLOOKUP('Données projet'!$B$10,Paramètres!$A$1:$I$89,7,0))</f>
        <v>5.5000000000000007E-2</v>
      </c>
      <c r="AS33" s="16">
        <f>IF(ISNA(VLOOKUP(A33,'Données projet'!$A$61:$I$81,6,0)),0%,VLOOKUP(A33,'Données projet'!$A$61:$I$81,6,0)*VLOOKUP('Données projet'!$B$10,Paramètres!$A$1:$I$89,7,0))</f>
        <v>0.24750000000000003</v>
      </c>
      <c r="AT33" s="16">
        <f>IF(ISNA(VLOOKUP(A33,'Données projet'!$A$61:$I$81,7,0)),0%,VLOOKUP(A33,'Données projet'!$A$61:$I$81,7,0))</f>
        <v>0.45</v>
      </c>
      <c r="AU33" s="21">
        <f>EXP(-LN(2)/35)*AU32+(1-EXP(-LN(2)/35))/(LN(2)/35)*AQ33*AR33*VLOOKUP('Données projet'!$B$10,Paramètres!$A$1:$I$89,3,0)*0.475*44/12</f>
        <v>0.86730253470854979</v>
      </c>
      <c r="AV33" s="21">
        <f>EXP(-LN(2)/25)*AV32+(1-EXP(-LN(2)/25))/(LN(2)/25)*Calculateur!AQ33*Calculateur!AS33*VLOOKUP('Données projet'!$B$10,Paramètres!$A$1:$I$89,3,0)*0.475*44/12</f>
        <v>4.7767582032374722</v>
      </c>
      <c r="AW33" s="21">
        <f>EXP(-LN(2)/2)*AW32+(1-EXP(-LN(2)/2))/(LN(2)/2)*AQ33*AT33*VLOOKUP('Données projet'!$B$10,Paramètres!$A$1:$I$89,3,0)*0.475*44/12</f>
        <v>6.1137104910825419</v>
      </c>
      <c r="AX33" s="21">
        <f t="shared" si="6"/>
        <v>11.757771229028563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412</v>
      </c>
      <c r="BB33" s="12">
        <f>VLOOKUP(A33,'Données projet'!$A$87:$I$107,9,0)</f>
        <v>27.8</v>
      </c>
      <c r="BC33" s="12">
        <f t="array" ref="BC33">INDEX(BB:BB,MIN(IF(ISNUMBER(BB33:BB229),ROW(BB33:BB229),"")))</f>
        <v>27.8</v>
      </c>
      <c r="BD33" s="12">
        <f>IF('Données projet'!$A$88&gt;35,BD32+BC33-BL32,IF(A33&lt;'Données projet'!$A$88,$BA$205^A33,IF(A33='Données projet'!$A$88,'Données projet'!$B$88,BD32+BC33-BL32)))</f>
        <v>412.00000000000011</v>
      </c>
      <c r="BE33" s="13">
        <f>BD33*VLOOKUP('Données projet'!$B$11,Paramètres!$A$1:$I$89,3,0)*VLOOKUP('Données projet'!$B$11,Paramètres!$A$1:$I$89,5,0)</f>
        <v>198.17200000000005</v>
      </c>
      <c r="BF33" s="13">
        <f t="shared" si="37"/>
        <v>49.342214218736267</v>
      </c>
      <c r="BG33" s="20">
        <f t="shared" si="7"/>
        <v>431.08725643096574</v>
      </c>
      <c r="BH33" s="59">
        <f t="shared" si="8"/>
        <v>724.42058976429905</v>
      </c>
      <c r="BI33" s="59">
        <f ca="1">AVERAGE(OFFSET($BH$3,0,0,'Données projet'!$E$11+1,1))-AVERAGE(OFFSET($H$3,0,0,'Données projet'!$E$11+1,1))</f>
        <v>402.22278907877927</v>
      </c>
      <c r="BJ33" s="59">
        <f t="shared" si="38"/>
        <v>393.06397734082458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140</v>
      </c>
      <c r="BM33" s="16">
        <f>IF(ISNA(VLOOKUP(A33,'Données projet'!$A$87:$I$107,5,0)),0%,VLOOKUP(A33,'Données projet'!$A$87:$I$107,5,0)*VLOOKUP('Données projet'!$B$11,Paramètres!$A$1:$I$89,7,0))</f>
        <v>0.11000000000000001</v>
      </c>
      <c r="BN33" s="16">
        <f>IF(ISNA(VLOOKUP(A33,'Données projet'!$A$87:$I$107,6,0)),0%,VLOOKUP(A33,'Données projet'!$A$87:$I$107,6,0)*VLOOKUP('Données projet'!$B$11,Paramètres!$A$1:$I$89,7,0))</f>
        <v>0.22000000000000003</v>
      </c>
      <c r="BO33" s="16">
        <f>IF(ISNA(VLOOKUP(A33,'Données projet'!$A$87:$I$107,7,0)),0%,VLOOKUP(A33,'Données projet'!$A$87:$I$107,7,0))</f>
        <v>0.4</v>
      </c>
      <c r="BP33" s="21">
        <f>EXP(-LN(2)/35)*BP32+(1-EXP(-LN(2)/35))/(LN(2)/35)*BL33*BM33*VLOOKUP('Données projet'!$B$11,Paramètres!$A$1:$I$89,3,0)*0.475*44/12</f>
        <v>9.8263935472228514</v>
      </c>
      <c r="BQ33" s="21">
        <f>EXP(-LN(2)/25)*BQ32+(1-EXP(-LN(2)/25))/(LN(2)/25)*Calculateur!BL33*Calculateur!BN33*VLOOKUP('Données projet'!$B$11,Paramètres!$A$1:$I$89,3,0)*0.475*44/12</f>
        <v>22.489499874429679</v>
      </c>
      <c r="BR33" s="21">
        <f>EXP(-LN(2)/2)*BR32+(1-EXP(-LN(2)/2))/(LN(2)/2)*BL33*BO33*VLOOKUP('Données projet'!$B$11,Paramètres!$A$1:$I$89,3,0)*0.475*44/12</f>
        <v>30.685016700117032</v>
      </c>
      <c r="BS33" s="22">
        <f t="shared" si="9"/>
        <v>63.000910121769564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29.2</v>
      </c>
      <c r="N34" s="13">
        <f>IF('Données projet'!$A$36&gt;35,N33+M34-V33,IF(A34&lt;'Données projet'!$A$36,$K$205^A34,IF(A34='Données projet'!$A$36,'Données projet'!$B$36,N33+M34-V33)))</f>
        <v>312.20000000000016</v>
      </c>
      <c r="O34" s="13">
        <f>N34*VLOOKUP('Données projet'!$B$9,Paramètres!$A$1:$I$89,3,0)*VLOOKUP('Données projet'!$B$9,Paramètres!$A$1:$I$89,5,0)</f>
        <v>174.51980000000009</v>
      </c>
      <c r="P34" s="13">
        <f t="shared" si="33"/>
        <v>44.100757338408926</v>
      </c>
      <c r="Q34" s="20">
        <f t="shared" si="2"/>
        <v>380.76413736439571</v>
      </c>
      <c r="R34" s="59">
        <f t="shared" si="0"/>
        <v>674.09747069772902</v>
      </c>
      <c r="S34" s="59">
        <f ca="1">AVERAGE(OFFSET($R$3,0,0,'Données projet'!$E$9+1,1))-AVERAGE(OFFSET($H$3,0,0,'Données projet'!$E$9+1,1))</f>
        <v>490.7691633858222</v>
      </c>
      <c r="T34" s="59">
        <f t="shared" si="34"/>
        <v>490.82176582457072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12.315518850342539</v>
      </c>
      <c r="AA34" s="21">
        <f>EXP(-LN(2)/25)*AA33+(1-EXP(-LN(2)/25))/(LN(2)/25)*Calculateur!V34*Calculateur!X34*VLOOKUP('Données projet'!$B$9,Paramètres!$A$1:$I$89,3,0)*0.475*44/12</f>
        <v>43.056613978125576</v>
      </c>
      <c r="AB34" s="21">
        <f>EXP(-LN(2)/2)*AB33+(1-EXP(-LN(2)/2))/(LN(2)/2)*V34*Y34*VLOOKUP('Données projet'!$B$9,Paramètres!$A$1:$I$89,3,0)*0.475*44/12</f>
        <v>28.442597766253783</v>
      </c>
      <c r="AC34" s="22">
        <f t="shared" si="3"/>
        <v>83.814730594721894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7</v>
      </c>
      <c r="AI34" s="13">
        <f>IF('Données projet'!$A$62&gt;35,AI33+AH34-AQ33,IF(A34&lt;'Données projet'!$A$62,$AF$205^A34,IF(A34='Données projet'!$A$62,'Données projet'!$B$62,AI33+AH34-AQ33)))</f>
        <v>154.69999999999999</v>
      </c>
      <c r="AJ34" s="13">
        <f>AI34*VLOOKUP('Données projet'!$B$10,Paramètres!$A$1:$I$89,3,0)*VLOOKUP('Données projet'!$B$10,Paramètres!$A$1:$I$89,5,0)</f>
        <v>72.399599999999992</v>
      </c>
      <c r="AK34" s="13">
        <f t="shared" si="35"/>
        <v>20.268188832715463</v>
      </c>
      <c r="AL34" s="20">
        <f t="shared" si="4"/>
        <v>161.3963988836461</v>
      </c>
      <c r="AM34" s="59">
        <f t="shared" si="5"/>
        <v>454.72973221697941</v>
      </c>
      <c r="AN34" s="59">
        <f ca="1">AVERAGE(OFFSET($AM$3,0,0,'Données projet'!$E$10+1,1))-AVERAGE(OFFSET($H$3,0,0,'Données projet'!$E$10+1,1))</f>
        <v>165.03539937460289</v>
      </c>
      <c r="AO34" s="59">
        <f t="shared" si="36"/>
        <v>142.05625724497401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0.85029526100522668</v>
      </c>
      <c r="AV34" s="21">
        <f>EXP(-LN(2)/25)*AV33+(1-EXP(-LN(2)/25))/(LN(2)/25)*Calculateur!AQ34*Calculateur!AS34*VLOOKUP('Données projet'!$B$10,Paramètres!$A$1:$I$89,3,0)*0.475*44/12</f>
        <v>4.6461374989711475</v>
      </c>
      <c r="AW34" s="21">
        <f>EXP(-LN(2)/2)*AW33+(1-EXP(-LN(2)/2))/(LN(2)/2)*AQ34*AT34*VLOOKUP('Données projet'!$B$10,Paramètres!$A$1:$I$89,3,0)*0.475*44/12</f>
        <v>4.3230461464558037</v>
      </c>
      <c r="AX34" s="21">
        <f t="shared" si="6"/>
        <v>9.8194789064321775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27.8</v>
      </c>
      <c r="BD34" s="12">
        <f>IF('Données projet'!$A$88&gt;35,BD33+BC34-BL33,IF(A34&lt;'Données projet'!$A$88,$BA$205^A34,IF(A34='Données projet'!$A$88,'Données projet'!$B$88,BD33+BC34-BL33)))</f>
        <v>299.80000000000013</v>
      </c>
      <c r="BE34" s="13">
        <f>BD34*VLOOKUP('Données projet'!$B$11,Paramètres!$A$1:$I$89,3,0)*VLOOKUP('Données projet'!$B$11,Paramètres!$A$1:$I$89,5,0)</f>
        <v>144.20380000000006</v>
      </c>
      <c r="BF34" s="13">
        <f t="shared" si="37"/>
        <v>37.258372581341362</v>
      </c>
      <c r="BG34" s="20">
        <f t="shared" si="7"/>
        <v>316.04661724583633</v>
      </c>
      <c r="BH34" s="59">
        <f t="shared" si="8"/>
        <v>609.37995057916964</v>
      </c>
      <c r="BI34" s="59">
        <f ca="1">AVERAGE(OFFSET($BH$3,0,0,'Données projet'!$E$11+1,1))-AVERAGE(OFFSET($H$3,0,0,'Données projet'!$E$11+1,1))</f>
        <v>402.22278907877927</v>
      </c>
      <c r="BJ34" s="59">
        <f t="shared" si="38"/>
        <v>393.06397734082458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9.6337039632700652</v>
      </c>
      <c r="BQ34" s="21">
        <f>EXP(-LN(2)/25)*BQ33+(1-EXP(-LN(2)/25))/(LN(2)/25)*Calculateur!BL34*Calculateur!BN34*VLOOKUP('Données projet'!$B$11,Paramètres!$A$1:$I$89,3,0)*0.475*44/12</f>
        <v>21.874523317692002</v>
      </c>
      <c r="BR34" s="21">
        <f>EXP(-LN(2)/2)*BR33+(1-EXP(-LN(2)/2))/(LN(2)/2)*BL34*BO34*VLOOKUP('Données projet'!$B$11,Paramètres!$A$1:$I$89,3,0)*0.475*44/12</f>
        <v>21.697583389475213</v>
      </c>
      <c r="BS34" s="22">
        <f t="shared" si="9"/>
        <v>53.20581067043728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29.2</v>
      </c>
      <c r="N35" s="13">
        <f>IF('Données projet'!$A$36&gt;35,N34+M35-V34,IF(A35&lt;'Données projet'!$A$36,$K$205^A35,IF(A35='Données projet'!$A$36,'Données projet'!$B$36,N34+M35-V34)))</f>
        <v>341.40000000000015</v>
      </c>
      <c r="O35" s="13">
        <f>N35*VLOOKUP('Données projet'!$B$9,Paramètres!$A$1:$I$89,3,0)*VLOOKUP('Données projet'!$B$9,Paramètres!$A$1:$I$89,5,0)</f>
        <v>190.84260000000006</v>
      </c>
      <c r="P35" s="13">
        <f t="shared" si="33"/>
        <v>47.726191746014173</v>
      </c>
      <c r="Q35" s="20">
        <f t="shared" ref="Q35:Q66" si="53">(O35+P35)*0.475*44/12</f>
        <v>415.50731229097477</v>
      </c>
      <c r="R35" s="59">
        <f t="shared" si="0"/>
        <v>708.84064562430808</v>
      </c>
      <c r="S35" s="59">
        <f ca="1">AVERAGE(OFFSET($R$3,0,0,'Données projet'!$E$9+1,1))-AVERAGE(OFFSET($H$3,0,0,'Données projet'!$E$9+1,1))</f>
        <v>490.7691633858222</v>
      </c>
      <c r="T35" s="59">
        <f t="shared" si="34"/>
        <v>490.82176582457072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12.074019037412098</v>
      </c>
      <c r="AA35" s="21">
        <f>EXP(-LN(2)/25)*AA34+(1-EXP(-LN(2)/25))/(LN(2)/25)*Calculateur!V35*Calculateur!X35*VLOOKUP('Données projet'!$B$9,Paramètres!$A$1:$I$89,3,0)*0.475*44/12</f>
        <v>41.879228604644808</v>
      </c>
      <c r="AB35" s="21">
        <f>EXP(-LN(2)/2)*AB34+(1-EXP(-LN(2)/2))/(LN(2)/2)*V35*Y35*VLOOKUP('Données projet'!$B$9,Paramètres!$A$1:$I$89,3,0)*0.475*44/12</f>
        <v>20.111953755079401</v>
      </c>
      <c r="AC35" s="22">
        <f t="shared" si="3"/>
        <v>74.065201397136306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7</v>
      </c>
      <c r="AI35" s="13">
        <f>IF('Données projet'!$A$62&gt;35,AI34+AH35-AQ34,IF(A35&lt;'Données projet'!$A$62,$AF$205^A35,IF(A35='Données projet'!$A$62,'Données projet'!$B$62,AI34+AH35-AQ34)))</f>
        <v>161.69999999999999</v>
      </c>
      <c r="AJ35" s="13">
        <f>AI35*VLOOKUP('Données projet'!$B$10,Paramètres!$A$1:$I$89,3,0)*VLOOKUP('Données projet'!$B$10,Paramètres!$A$1:$I$89,5,0)</f>
        <v>75.675600000000003</v>
      </c>
      <c r="AK35" s="13">
        <f t="shared" si="35"/>
        <v>21.076450566911173</v>
      </c>
      <c r="AL35" s="20">
        <f t="shared" si="4"/>
        <v>168.50982140403696</v>
      </c>
      <c r="AM35" s="59">
        <f t="shared" si="5"/>
        <v>461.84315473737024</v>
      </c>
      <c r="AN35" s="59">
        <f ca="1">AVERAGE(OFFSET($AM$3,0,0,'Données projet'!$E$10+1,1))-AVERAGE(OFFSET($H$3,0,0,'Données projet'!$E$10+1,1))</f>
        <v>165.03539937460289</v>
      </c>
      <c r="AO35" s="59">
        <f t="shared" si="36"/>
        <v>142.05625724497401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0.83362148956581306</v>
      </c>
      <c r="AV35" s="21">
        <f>EXP(-LN(2)/25)*AV34+(1-EXP(-LN(2)/25))/(LN(2)/25)*Calculateur!AQ35*Calculateur!AS35*VLOOKUP('Données projet'!$B$10,Paramètres!$A$1:$I$89,3,0)*0.475*44/12</f>
        <v>4.5190886247320297</v>
      </c>
      <c r="AW35" s="21">
        <f>EXP(-LN(2)/2)*AW34+(1-EXP(-LN(2)/2))/(LN(2)/2)*AQ35*AT35*VLOOKUP('Données projet'!$B$10,Paramètres!$A$1:$I$89,3,0)*0.475*44/12</f>
        <v>3.0568552455412719</v>
      </c>
      <c r="AX35" s="21">
        <f t="shared" si="6"/>
        <v>8.4095653598391138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27.8</v>
      </c>
      <c r="BD35" s="12">
        <f>IF('Données projet'!$A$88&gt;35,BD34+BC35-BL34,IF(A35&lt;'Données projet'!$A$88,$BA$205^A35,IF(A35='Données projet'!$A$88,'Données projet'!$B$88,BD34+BC35-BL34)))</f>
        <v>327.60000000000014</v>
      </c>
      <c r="BE35" s="13">
        <f>BD35*VLOOKUP('Données projet'!$B$11,Paramètres!$A$1:$I$89,3,0)*VLOOKUP('Données projet'!$B$11,Paramètres!$A$1:$I$89,5,0)</f>
        <v>157.57560000000007</v>
      </c>
      <c r="BF35" s="13">
        <f t="shared" si="37"/>
        <v>40.295200242024428</v>
      </c>
      <c r="BG35" s="20">
        <f t="shared" si="7"/>
        <v>344.62497708819268</v>
      </c>
      <c r="BH35" s="59">
        <f t="shared" si="8"/>
        <v>637.95831042152599</v>
      </c>
      <c r="BI35" s="59">
        <f ca="1">AVERAGE(OFFSET($BH$3,0,0,'Données projet'!$E$11+1,1))-AVERAGE(OFFSET($H$3,0,0,'Données projet'!$E$11+1,1))</f>
        <v>402.22278907877927</v>
      </c>
      <c r="BJ35" s="59">
        <f t="shared" si="38"/>
        <v>393.06397734082458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9.4447929045295513</v>
      </c>
      <c r="BQ35" s="21">
        <f>EXP(-LN(2)/25)*BQ34+(1-EXP(-LN(2)/25))/(LN(2)/25)*Calculateur!BL35*Calculateur!BN35*VLOOKUP('Données projet'!$B$11,Paramètres!$A$1:$I$89,3,0)*0.475*44/12</f>
        <v>21.276363327238528</v>
      </c>
      <c r="BR35" s="21">
        <f>EXP(-LN(2)/2)*BR34+(1-EXP(-LN(2)/2))/(LN(2)/2)*BL35*BO35*VLOOKUP('Données projet'!$B$11,Paramètres!$A$1:$I$89,3,0)*0.475*44/12</f>
        <v>15.342508350058518</v>
      </c>
      <c r="BS35" s="22">
        <f t="shared" si="9"/>
        <v>46.063664581826593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29.2</v>
      </c>
      <c r="N36" s="13">
        <f>IF('Données projet'!$A$36&gt;35,N35+M36-V35,IF(A36&lt;'Données projet'!$A$36,$K$205^A36,IF(A36='Données projet'!$A$36,'Données projet'!$B$36,N35+M36-V35)))</f>
        <v>370.60000000000014</v>
      </c>
      <c r="O36" s="13">
        <f>N36*VLOOKUP('Données projet'!$B$9,Paramètres!$A$1:$I$89,3,0)*VLOOKUP('Données projet'!$B$9,Paramètres!$A$1:$I$89,5,0)</f>
        <v>207.16540000000009</v>
      </c>
      <c r="P36" s="13">
        <f t="shared" si="33"/>
        <v>51.315665200272925</v>
      </c>
      <c r="Q36" s="20">
        <f t="shared" si="53"/>
        <v>450.18785522380881</v>
      </c>
      <c r="R36" s="59">
        <f t="shared" si="0"/>
        <v>743.52118855714207</v>
      </c>
      <c r="S36" s="59">
        <f ca="1">AVERAGE(OFFSET($R$3,0,0,'Données projet'!$E$9+1,1))-AVERAGE(OFFSET($H$3,0,0,'Données projet'!$E$9+1,1))</f>
        <v>490.7691633858222</v>
      </c>
      <c r="T36" s="59">
        <f t="shared" si="34"/>
        <v>490.82176582457072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11.837254888512883</v>
      </c>
      <c r="AA36" s="21">
        <f>EXP(-LN(2)/25)*AA35+(1-EXP(-LN(2)/25))/(LN(2)/25)*Calculateur!V36*Calculateur!X36*VLOOKUP('Données projet'!$B$9,Paramètres!$A$1:$I$89,3,0)*0.475*44/12</f>
        <v>40.73403889611788</v>
      </c>
      <c r="AB36" s="21">
        <f>EXP(-LN(2)/2)*AB35+(1-EXP(-LN(2)/2))/(LN(2)/2)*V36*Y36*VLOOKUP('Données projet'!$B$9,Paramètres!$A$1:$I$89,3,0)*0.475*44/12</f>
        <v>14.221298883126893</v>
      </c>
      <c r="AC36" s="22">
        <f t="shared" si="3"/>
        <v>66.79259266775766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7</v>
      </c>
      <c r="AI36" s="13">
        <f>IF('Données projet'!$A$62&gt;35,AI35+AH36-AQ35,IF(A36&lt;'Données projet'!$A$62,$AF$205^A36,IF(A36='Données projet'!$A$62,'Données projet'!$B$62,AI35+AH36-AQ35)))</f>
        <v>168.7</v>
      </c>
      <c r="AJ36" s="13">
        <f>AI36*VLOOKUP('Données projet'!$B$10,Paramètres!$A$1:$I$89,3,0)*VLOOKUP('Données projet'!$B$10,Paramètres!$A$1:$I$89,5,0)</f>
        <v>78.951599999999999</v>
      </c>
      <c r="AK36" s="13">
        <f t="shared" si="35"/>
        <v>21.880648405433348</v>
      </c>
      <c r="AL36" s="20">
        <f t="shared" si="4"/>
        <v>175.61616597279638</v>
      </c>
      <c r="AM36" s="59">
        <f t="shared" si="5"/>
        <v>468.94949930612972</v>
      </c>
      <c r="AN36" s="59">
        <f ca="1">AVERAGE(OFFSET($AM$3,0,0,'Données projet'!$E$10+1,1))-AVERAGE(OFFSET($H$3,0,0,'Données projet'!$E$10+1,1))</f>
        <v>165.03539937460289</v>
      </c>
      <c r="AO36" s="59">
        <f t="shared" si="36"/>
        <v>142.05625724497401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0.81727468061432995</v>
      </c>
      <c r="AV36" s="21">
        <f>EXP(-LN(2)/25)*AV35+(1-EXP(-LN(2)/25))/(LN(2)/25)*Calculateur!AQ36*Calculateur!AS36*VLOOKUP('Données projet'!$B$10,Paramètres!$A$1:$I$89,3,0)*0.475*44/12</f>
        <v>4.39551390864019</v>
      </c>
      <c r="AW36" s="21">
        <f>EXP(-LN(2)/2)*AW35+(1-EXP(-LN(2)/2))/(LN(2)/2)*AQ36*AT36*VLOOKUP('Données projet'!$B$10,Paramètres!$A$1:$I$89,3,0)*0.475*44/12</f>
        <v>2.1615230732279023</v>
      </c>
      <c r="AX36" s="21">
        <f t="shared" si="6"/>
        <v>7.3743116624824214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27.8</v>
      </c>
      <c r="BD36" s="12">
        <f>IF('Données projet'!$A$88&gt;35,BD35+BC36-BL35,IF(A36&lt;'Données projet'!$A$88,$BA$205^A36,IF(A36='Données projet'!$A$88,'Données projet'!$B$88,BD35+BC36-BL35)))</f>
        <v>355.40000000000015</v>
      </c>
      <c r="BE36" s="13">
        <f>BD36*VLOOKUP('Données projet'!$B$11,Paramètres!$A$1:$I$89,3,0)*VLOOKUP('Données projet'!$B$11,Paramètres!$A$1:$I$89,5,0)</f>
        <v>170.94740000000007</v>
      </c>
      <c r="BF36" s="13">
        <f t="shared" si="37"/>
        <v>43.302140990213147</v>
      </c>
      <c r="BG36" s="20">
        <f t="shared" si="7"/>
        <v>373.15128389128796</v>
      </c>
      <c r="BH36" s="59">
        <f t="shared" si="8"/>
        <v>666.48461722462127</v>
      </c>
      <c r="BI36" s="59">
        <f ca="1">AVERAGE(OFFSET($BH$3,0,0,'Données projet'!$E$11+1,1))-AVERAGE(OFFSET($H$3,0,0,'Données projet'!$E$11+1,1))</f>
        <v>402.22278907877927</v>
      </c>
      <c r="BJ36" s="59">
        <f t="shared" si="38"/>
        <v>393.06397734082458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9.2595862764265711</v>
      </c>
      <c r="BQ36" s="21">
        <f>EXP(-LN(2)/25)*BQ35+(1-EXP(-LN(2)/25))/(LN(2)/25)*Calculateur!BL36*Calculateur!BN36*VLOOKUP('Données projet'!$B$11,Paramètres!$A$1:$I$89,3,0)*0.475*44/12</f>
        <v>20.69456005317987</v>
      </c>
      <c r="BR36" s="21">
        <f>EXP(-LN(2)/2)*BR35+(1-EXP(-LN(2)/2))/(LN(2)/2)*BL36*BO36*VLOOKUP('Données projet'!$B$11,Paramètres!$A$1:$I$89,3,0)*0.475*44/12</f>
        <v>10.848791694737608</v>
      </c>
      <c r="BS36" s="22">
        <f t="shared" si="9"/>
        <v>40.802938024344051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29.2</v>
      </c>
      <c r="N37" s="13">
        <f>IF('Données projet'!$A$36&gt;35,N36+M37-V36,IF(A37&lt;'Données projet'!$A$36,$K$205^A37,IF(A37='Données projet'!$A$36,'Données projet'!$B$36,N36+M37-V36)))</f>
        <v>399.80000000000013</v>
      </c>
      <c r="O37" s="13">
        <f>N37*VLOOKUP('Données projet'!$B$9,Paramètres!$A$1:$I$89,3,0)*VLOOKUP('Données projet'!$B$9,Paramètres!$A$1:$I$89,5,0)</f>
        <v>223.48820000000006</v>
      </c>
      <c r="P37" s="13">
        <f t="shared" si="33"/>
        <v>54.872333244813134</v>
      </c>
      <c r="Q37" s="20">
        <f t="shared" si="53"/>
        <v>484.8112620680497</v>
      </c>
      <c r="R37" s="59">
        <f t="shared" si="0"/>
        <v>778.14459540138296</v>
      </c>
      <c r="S37" s="59">
        <f ca="1">AVERAGE(OFFSET($R$3,0,0,'Données projet'!$E$9+1,1))-AVERAGE(OFFSET($H$3,0,0,'Données projet'!$E$9+1,1))</f>
        <v>490.7691633858222</v>
      </c>
      <c r="T37" s="59">
        <f t="shared" si="34"/>
        <v>490.82176582457072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11.60513354016171</v>
      </c>
      <c r="AA37" s="21">
        <f>EXP(-LN(2)/25)*AA36+(1-EXP(-LN(2)/25))/(LN(2)/25)*Calculateur!V37*Calculateur!X37*VLOOKUP('Données projet'!$B$9,Paramètres!$A$1:$I$89,3,0)*0.475*44/12</f>
        <v>39.620164460393532</v>
      </c>
      <c r="AB37" s="21">
        <f>EXP(-LN(2)/2)*AB36+(1-EXP(-LN(2)/2))/(LN(2)/2)*V37*Y37*VLOOKUP('Données projet'!$B$9,Paramètres!$A$1:$I$89,3,0)*0.475*44/12</f>
        <v>10.055976877539701</v>
      </c>
      <c r="AC37" s="22">
        <f t="shared" si="3"/>
        <v>61.281274878094941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7</v>
      </c>
      <c r="AI37" s="13">
        <f>IF('Données projet'!$A$62&gt;35,AI36+AH37-AQ36,IF(A37&lt;'Données projet'!$A$62,$AF$205^A37,IF(A37='Données projet'!$A$62,'Données projet'!$B$62,AI36+AH37-AQ36)))</f>
        <v>175.7</v>
      </c>
      <c r="AJ37" s="13">
        <f>AI37*VLOOKUP('Données projet'!$B$10,Paramètres!$A$1:$I$89,3,0)*VLOOKUP('Données projet'!$B$10,Paramètres!$A$1:$I$89,5,0)</f>
        <v>82.227599999999995</v>
      </c>
      <c r="AK37" s="13">
        <f t="shared" si="35"/>
        <v>22.68097025884375</v>
      </c>
      <c r="AL37" s="20">
        <f t="shared" si="4"/>
        <v>182.71575986748618</v>
      </c>
      <c r="AM37" s="59">
        <f t="shared" si="5"/>
        <v>476.04909320081947</v>
      </c>
      <c r="AN37" s="59">
        <f ca="1">AVERAGE(OFFSET($AM$3,0,0,'Données projet'!$E$10+1,1))-AVERAGE(OFFSET($H$3,0,0,'Données projet'!$E$10+1,1))</f>
        <v>165.03539937460289</v>
      </c>
      <c r="AO37" s="59">
        <f t="shared" si="36"/>
        <v>142.05625724497401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0.80124842261581652</v>
      </c>
      <c r="AV37" s="21">
        <f>EXP(-LN(2)/25)*AV36+(1-EXP(-LN(2)/25))/(LN(2)/25)*Calculateur!AQ37*Calculateur!AS37*VLOOKUP('Données projet'!$B$10,Paramètres!$A$1:$I$89,3,0)*0.475*44/12</f>
        <v>4.2753183496583933</v>
      </c>
      <c r="AW37" s="21">
        <f>EXP(-LN(2)/2)*AW36+(1-EXP(-LN(2)/2))/(LN(2)/2)*AQ37*AT37*VLOOKUP('Données projet'!$B$10,Paramètres!$A$1:$I$89,3,0)*0.475*44/12</f>
        <v>1.5284276227706362</v>
      </c>
      <c r="AX37" s="21">
        <f t="shared" si="6"/>
        <v>6.6049943950448462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27.8</v>
      </c>
      <c r="BD37" s="12">
        <f>IF('Données projet'!$A$88&gt;35,BD36+BC37-BL36,IF(A37&lt;'Données projet'!$A$88,$BA$205^A37,IF(A37='Données projet'!$A$88,'Données projet'!$B$88,BD36+BC37-BL36)))</f>
        <v>383.20000000000016</v>
      </c>
      <c r="BE37" s="13">
        <f>BD37*VLOOKUP('Données projet'!$B$11,Paramètres!$A$1:$I$89,3,0)*VLOOKUP('Données projet'!$B$11,Paramètres!$A$1:$I$89,5,0)</f>
        <v>184.31920000000008</v>
      </c>
      <c r="BF37" s="13">
        <f t="shared" si="37"/>
        <v>46.281798427722528</v>
      </c>
      <c r="BG37" s="20">
        <f t="shared" si="7"/>
        <v>401.63007226161682</v>
      </c>
      <c r="BH37" s="59">
        <f t="shared" si="8"/>
        <v>694.96340559495013</v>
      </c>
      <c r="BI37" s="59">
        <f ca="1">AVERAGE(OFFSET($BH$3,0,0,'Données projet'!$E$11+1,1))-AVERAGE(OFFSET($H$3,0,0,'Données projet'!$E$11+1,1))</f>
        <v>402.22278907877927</v>
      </c>
      <c r="BJ37" s="59">
        <f t="shared" si="38"/>
        <v>393.06397734082458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9.0780114373358014</v>
      </c>
      <c r="BQ37" s="21">
        <f>EXP(-LN(2)/25)*BQ36+(1-EXP(-LN(2)/25))/(LN(2)/25)*Calculateur!BL37*Calculateur!BN37*VLOOKUP('Données projet'!$B$11,Paramètres!$A$1:$I$89,3,0)*0.475*44/12</f>
        <v>20.128666220246053</v>
      </c>
      <c r="BR37" s="21">
        <f>EXP(-LN(2)/2)*BR36+(1-EXP(-LN(2)/2))/(LN(2)/2)*BL37*BO37*VLOOKUP('Données projet'!$B$11,Paramètres!$A$1:$I$89,3,0)*0.475*44/12</f>
        <v>7.6712541750292607</v>
      </c>
      <c r="BS37" s="22">
        <f t="shared" si="9"/>
        <v>36.877931832611118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29.2</v>
      </c>
      <c r="N38" s="13">
        <f>IF('Données projet'!$A$36&gt;35,N37+M38-V37,IF(A38&lt;'Données projet'!$A$36,$K$205^A38,IF(A38='Données projet'!$A$36,'Données projet'!$B$36,N37+M38-V37)))</f>
        <v>429.00000000000011</v>
      </c>
      <c r="O38" s="13">
        <f>N38*VLOOKUP('Données projet'!$B$9,Paramètres!$A$1:$I$89,3,0)*VLOOKUP('Données projet'!$B$9,Paramètres!$A$1:$I$89,5,0)</f>
        <v>239.81100000000009</v>
      </c>
      <c r="P38" s="13">
        <f t="shared" si="33"/>
        <v>58.398864347229853</v>
      </c>
      <c r="Q38" s="20">
        <f t="shared" si="53"/>
        <v>519.38218040475874</v>
      </c>
      <c r="R38" s="59">
        <f t="shared" si="0"/>
        <v>812.71551373809211</v>
      </c>
      <c r="S38" s="59">
        <f ca="1">AVERAGE(OFFSET($R$3,0,0,'Données projet'!$E$9+1,1))-AVERAGE(OFFSET($H$3,0,0,'Données projet'!$E$9+1,1))</f>
        <v>490.7691633858222</v>
      </c>
      <c r="T38" s="59">
        <f t="shared" si="34"/>
        <v>490.82176582457072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11.377563949871661</v>
      </c>
      <c r="AA38" s="21">
        <f>EXP(-LN(2)/25)*AA37+(1-EXP(-LN(2)/25))/(LN(2)/25)*Calculateur!V38*Calculateur!X38*VLOOKUP('Données projet'!$B$9,Paramètres!$A$1:$I$89,3,0)*0.475*44/12</f>
        <v>38.536748979690174</v>
      </c>
      <c r="AB38" s="21">
        <f>EXP(-LN(2)/2)*AB37+(1-EXP(-LN(2)/2))/(LN(2)/2)*V38*Y38*VLOOKUP('Données projet'!$B$9,Paramètres!$A$1:$I$89,3,0)*0.475*44/12</f>
        <v>7.1106494415634467</v>
      </c>
      <c r="AC38" s="22">
        <f t="shared" si="3"/>
        <v>57.024962371125277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7</v>
      </c>
      <c r="AI38" s="13">
        <f>IF('Données projet'!$A$62&gt;35,AI37+AH38-AQ37,IF(A38&lt;'Données projet'!$A$62,$AF$205^A38,IF(A38='Données projet'!$A$62,'Données projet'!$B$62,AI37+AH38-AQ37)))</f>
        <v>182.7</v>
      </c>
      <c r="AJ38" s="13">
        <f>AI38*VLOOKUP('Données projet'!$B$10,Paramètres!$A$1:$I$89,3,0)*VLOOKUP('Données projet'!$B$10,Paramètres!$A$1:$I$89,5,0)</f>
        <v>85.503599999999992</v>
      </c>
      <c r="AK38" s="13">
        <f t="shared" si="35"/>
        <v>23.477588217192526</v>
      </c>
      <c r="AL38" s="20">
        <f t="shared" si="4"/>
        <v>189.8089028116103</v>
      </c>
      <c r="AM38" s="59">
        <f t="shared" si="5"/>
        <v>483.14223614494358</v>
      </c>
      <c r="AN38" s="59">
        <f ca="1">AVERAGE(OFFSET($AM$3,0,0,'Données projet'!$E$10+1,1))-AVERAGE(OFFSET($H$3,0,0,'Données projet'!$E$10+1,1))</f>
        <v>165.03539937460289</v>
      </c>
      <c r="AO38" s="59">
        <f t="shared" si="36"/>
        <v>142.05625724497401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0.78553642976160176</v>
      </c>
      <c r="AV38" s="21">
        <f>EXP(-LN(2)/25)*AV37+(1-EXP(-LN(2)/25))/(LN(2)/25)*Calculateur!AQ38*Calculateur!AS38*VLOOKUP('Données projet'!$B$10,Paramètres!$A$1:$I$89,3,0)*0.475*44/12</f>
        <v>4.158409544557764</v>
      </c>
      <c r="AW38" s="21">
        <f>EXP(-LN(2)/2)*AW37+(1-EXP(-LN(2)/2))/(LN(2)/2)*AQ38*AT38*VLOOKUP('Données projet'!$B$10,Paramètres!$A$1:$I$89,3,0)*0.475*44/12</f>
        <v>1.0807615366139514</v>
      </c>
      <c r="AX38" s="21">
        <f t="shared" si="6"/>
        <v>6.0247075109333172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27.8</v>
      </c>
      <c r="BD38" s="12">
        <f>IF('Données projet'!$A$88&gt;35,BD37+BC38-BL37,IF(A38&lt;'Données projet'!$A$88,$BA$205^A38,IF(A38='Données projet'!$A$88,'Données projet'!$B$88,BD37+BC38-BL37)))</f>
        <v>411.00000000000017</v>
      </c>
      <c r="BE38" s="13">
        <f>BD38*VLOOKUP('Données projet'!$B$11,Paramètres!$A$1:$I$89,3,0)*VLOOKUP('Données projet'!$B$11,Paramètres!$A$1:$I$89,5,0)</f>
        <v>197.69100000000006</v>
      </c>
      <c r="BF38" s="13">
        <f t="shared" si="37"/>
        <v>49.236376973807687</v>
      </c>
      <c r="BG38" s="20">
        <f t="shared" si="7"/>
        <v>430.06518156271517</v>
      </c>
      <c r="BH38" s="59">
        <f t="shared" si="8"/>
        <v>723.39851489604848</v>
      </c>
      <c r="BI38" s="59">
        <f ca="1">AVERAGE(OFFSET($BH$3,0,0,'Données projet'!$E$11+1,1))-AVERAGE(OFFSET($H$3,0,0,'Données projet'!$E$11+1,1))</f>
        <v>402.22278907877927</v>
      </c>
      <c r="BJ38" s="59">
        <f t="shared" si="38"/>
        <v>393.06397734082458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8.8999971700898861</v>
      </c>
      <c r="BQ38" s="21">
        <f>EXP(-LN(2)/25)*BQ37+(1-EXP(-LN(2)/25))/(LN(2)/25)*Calculateur!BL38*Calculateur!BN38*VLOOKUP('Données projet'!$B$11,Paramètres!$A$1:$I$89,3,0)*0.475*44/12</f>
        <v>19.578246783932872</v>
      </c>
      <c r="BR38" s="21">
        <f>EXP(-LN(2)/2)*BR37+(1-EXP(-LN(2)/2))/(LN(2)/2)*BL38*BO38*VLOOKUP('Données projet'!$B$11,Paramètres!$A$1:$I$89,3,0)*0.475*44/12</f>
        <v>5.424395847368805</v>
      </c>
      <c r="BS38" s="22">
        <f t="shared" si="9"/>
        <v>33.902639801391565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29.2</v>
      </c>
      <c r="N39" s="13">
        <f>IF('Données projet'!$A$36&gt;35,N38+M39-V38,IF(A39&lt;'Données projet'!$A$36,$K$205^A39,IF(A39='Données projet'!$A$36,'Données projet'!$B$36,N38+M39-V38)))</f>
        <v>458.2000000000001</v>
      </c>
      <c r="O39" s="13">
        <f>N39*VLOOKUP('Données projet'!$B$9,Paramètres!$A$1:$I$89,3,0)*VLOOKUP('Données projet'!$B$9,Paramètres!$A$1:$I$89,5,0)</f>
        <v>256.13380000000006</v>
      </c>
      <c r="P39" s="13">
        <f t="shared" si="33"/>
        <v>61.897543155419733</v>
      </c>
      <c r="Q39" s="20">
        <f t="shared" si="53"/>
        <v>553.90458932902277</v>
      </c>
      <c r="R39" s="59">
        <f t="shared" si="0"/>
        <v>847.23792266235614</v>
      </c>
      <c r="S39" s="59">
        <f ca="1">AVERAGE(OFFSET($R$3,0,0,'Données projet'!$E$9+1,1))-AVERAGE(OFFSET($H$3,0,0,'Données projet'!$E$9+1,1))</f>
        <v>490.7691633858222</v>
      </c>
      <c r="T39" s="59">
        <f t="shared" si="34"/>
        <v>490.82176582457072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11.154456860443455</v>
      </c>
      <c r="AA39" s="21">
        <f>EXP(-LN(2)/25)*AA38+(1-EXP(-LN(2)/25))/(LN(2)/25)*Calculateur!V39*Calculateur!X39*VLOOKUP('Données projet'!$B$9,Paramètres!$A$1:$I$89,3,0)*0.475*44/12</f>
        <v>37.482959552280995</v>
      </c>
      <c r="AB39" s="21">
        <f>EXP(-LN(2)/2)*AB38+(1-EXP(-LN(2)/2))/(LN(2)/2)*V39*Y39*VLOOKUP('Données projet'!$B$9,Paramètres!$A$1:$I$89,3,0)*0.475*44/12</f>
        <v>5.0279884387698504</v>
      </c>
      <c r="AC39" s="22">
        <f t="shared" si="3"/>
        <v>53.665404851494301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7</v>
      </c>
      <c r="AI39" s="13">
        <f>IF('Données projet'!$A$62&gt;35,AI38+AH39-AQ38,IF(A39&lt;'Données projet'!$A$62,$AF$205^A39,IF(A39='Données projet'!$A$62,'Données projet'!$B$62,AI38+AH39-AQ38)))</f>
        <v>189.7</v>
      </c>
      <c r="AJ39" s="13">
        <f>AI39*VLOOKUP('Données projet'!$B$10,Paramètres!$A$1:$I$89,3,0)*VLOOKUP('Données projet'!$B$10,Paramètres!$A$1:$I$89,5,0)</f>
        <v>88.779599999999988</v>
      </c>
      <c r="AK39" s="13">
        <f t="shared" si="35"/>
        <v>24.270660436720163</v>
      </c>
      <c r="AL39" s="20">
        <f t="shared" si="4"/>
        <v>196.89587026062091</v>
      </c>
      <c r="AM39" s="59">
        <f t="shared" si="5"/>
        <v>490.22920359395425</v>
      </c>
      <c r="AN39" s="59">
        <f ca="1">AVERAGE(OFFSET($AM$3,0,0,'Données projet'!$E$10+1,1))-AVERAGE(OFFSET($H$3,0,0,'Données projet'!$E$10+1,1))</f>
        <v>165.03539937460289</v>
      </c>
      <c r="AO39" s="59">
        <f t="shared" si="36"/>
        <v>142.05625724497401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0.77013253950388871</v>
      </c>
      <c r="AV39" s="21">
        <f>EXP(-LN(2)/25)*AV38+(1-EXP(-LN(2)/25))/(LN(2)/25)*Calculateur!AQ39*Calculateur!AS39*VLOOKUP('Données projet'!$B$10,Paramètres!$A$1:$I$89,3,0)*0.475*44/12</f>
        <v>4.0446976168805779</v>
      </c>
      <c r="AW39" s="21">
        <f>EXP(-LN(2)/2)*AW38+(1-EXP(-LN(2)/2))/(LN(2)/2)*AQ39*AT39*VLOOKUP('Données projet'!$B$10,Paramètres!$A$1:$I$89,3,0)*0.475*44/12</f>
        <v>0.76421381138531819</v>
      </c>
      <c r="AX39" s="21">
        <f t="shared" si="6"/>
        <v>5.5790439677697847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27.8</v>
      </c>
      <c r="BD39" s="12">
        <f>IF('Données projet'!$A$88&gt;35,BD38+BC39-BL38,IF(A39&lt;'Données projet'!$A$88,$BA$205^A39,IF(A39='Données projet'!$A$88,'Données projet'!$B$88,BD38+BC39-BL38)))</f>
        <v>438.80000000000018</v>
      </c>
      <c r="BE39" s="13">
        <f>BD39*VLOOKUP('Données projet'!$B$11,Paramètres!$A$1:$I$89,3,0)*VLOOKUP('Données projet'!$B$11,Paramètres!$A$1:$I$89,5,0)</f>
        <v>211.06280000000007</v>
      </c>
      <c r="BF39" s="13">
        <f t="shared" si="37"/>
        <v>52.167765958241851</v>
      </c>
      <c r="BG39" s="20">
        <f t="shared" si="7"/>
        <v>458.45990237727136</v>
      </c>
      <c r="BH39" s="59">
        <f t="shared" si="8"/>
        <v>751.79323571060468</v>
      </c>
      <c r="BI39" s="59">
        <f ca="1">AVERAGE(OFFSET($BH$3,0,0,'Données projet'!$E$11+1,1))-AVERAGE(OFFSET($H$3,0,0,'Données projet'!$E$11+1,1))</f>
        <v>402.22278907877927</v>
      </c>
      <c r="BJ39" s="59">
        <f t="shared" si="38"/>
        <v>393.06397734082458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8.7254736540466808</v>
      </c>
      <c r="BQ39" s="21">
        <f>EXP(-LN(2)/25)*BQ38+(1-EXP(-LN(2)/25))/(LN(2)/25)*Calculateur!BL39*Calculateur!BN39*VLOOKUP('Données projet'!$B$11,Paramètres!$A$1:$I$89,3,0)*0.475*44/12</f>
        <v>19.042878596050976</v>
      </c>
      <c r="BR39" s="21">
        <f>EXP(-LN(2)/2)*BR38+(1-EXP(-LN(2)/2))/(LN(2)/2)*BL39*BO39*VLOOKUP('Données projet'!$B$11,Paramètres!$A$1:$I$89,3,0)*0.475*44/12</f>
        <v>3.8356270875146308</v>
      </c>
      <c r="BS39" s="22">
        <f t="shared" si="9"/>
        <v>31.603979337612287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29.2</v>
      </c>
      <c r="N40" s="13">
        <f>IF('Données projet'!$A$36&gt;35,N39+M40-V39,IF(A40&lt;'Données projet'!$A$36,$K$205^A40,IF(A40='Données projet'!$A$36,'Données projet'!$B$36,N39+M40-V39)))</f>
        <v>487.40000000000009</v>
      </c>
      <c r="O40" s="13">
        <f>N40*VLOOKUP('Données projet'!$B$9,Paramètres!$A$1:$I$89,3,0)*VLOOKUP('Données projet'!$B$9,Paramètres!$A$1:$I$89,5,0)</f>
        <v>272.45660000000004</v>
      </c>
      <c r="P40" s="13">
        <f t="shared" si="33"/>
        <v>65.370346664765705</v>
      </c>
      <c r="Q40" s="20">
        <f t="shared" si="53"/>
        <v>588.38193210780025</v>
      </c>
      <c r="R40" s="59">
        <f t="shared" si="0"/>
        <v>881.71526544113362</v>
      </c>
      <c r="S40" s="59">
        <f ca="1">AVERAGE(OFFSET($R$3,0,0,'Données projet'!$E$9+1,1))-AVERAGE(OFFSET($H$3,0,0,'Données projet'!$E$9+1,1))</f>
        <v>490.7691633858222</v>
      </c>
      <c r="T40" s="59">
        <f t="shared" si="34"/>
        <v>490.82176582457072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10.935724764957049</v>
      </c>
      <c r="AA40" s="21">
        <f>EXP(-LN(2)/25)*AA39+(1-EXP(-LN(2)/25))/(LN(2)/25)*Calculateur!V40*Calculateur!X40*VLOOKUP('Données projet'!$B$9,Paramètres!$A$1:$I$89,3,0)*0.475*44/12</f>
        <v>36.457986052180694</v>
      </c>
      <c r="AB40" s="21">
        <f>EXP(-LN(2)/2)*AB39+(1-EXP(-LN(2)/2))/(LN(2)/2)*V40*Y40*VLOOKUP('Données projet'!$B$9,Paramètres!$A$1:$I$89,3,0)*0.475*44/12</f>
        <v>3.5553247207817233</v>
      </c>
      <c r="AC40" s="22">
        <f t="shared" si="3"/>
        <v>50.949035537919471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7</v>
      </c>
      <c r="AI40" s="13">
        <f>IF('Données projet'!$A$62&gt;35,AI39+AH40-AQ39,IF(A40&lt;'Données projet'!$A$62,$AF$205^A40,IF(A40='Données projet'!$A$62,'Données projet'!$B$62,AI39+AH40-AQ39)))</f>
        <v>196.7</v>
      </c>
      <c r="AJ40" s="13">
        <f>AI40*VLOOKUP('Données projet'!$B$10,Paramètres!$A$1:$I$89,3,0)*VLOOKUP('Données projet'!$B$10,Paramètres!$A$1:$I$89,5,0)</f>
        <v>92.055599999999998</v>
      </c>
      <c r="AK40" s="13">
        <f t="shared" si="35"/>
        <v>25.060332740251528</v>
      </c>
      <c r="AL40" s="20">
        <f t="shared" si="4"/>
        <v>203.97691618927138</v>
      </c>
      <c r="AM40" s="59">
        <f t="shared" si="5"/>
        <v>497.31024952260469</v>
      </c>
      <c r="AN40" s="59">
        <f ca="1">AVERAGE(OFFSET($AM$3,0,0,'Données projet'!$E$10+1,1))-AVERAGE(OFFSET($H$3,0,0,'Données projet'!$E$10+1,1))</f>
        <v>165.03539937460289</v>
      </c>
      <c r="AO40" s="59">
        <f t="shared" si="36"/>
        <v>142.05625724497401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0.75503071013868417</v>
      </c>
      <c r="AV40" s="21">
        <f>EXP(-LN(2)/25)*AV39+(1-EXP(-LN(2)/25))/(LN(2)/25)*Calculateur!AQ40*Calculateur!AS40*VLOOKUP('Données projet'!$B$10,Paramètres!$A$1:$I$89,3,0)*0.475*44/12</f>
        <v>3.934095147845575</v>
      </c>
      <c r="AW40" s="21">
        <f>EXP(-LN(2)/2)*AW39+(1-EXP(-LN(2)/2))/(LN(2)/2)*AQ40*AT40*VLOOKUP('Données projet'!$B$10,Paramètres!$A$1:$I$89,3,0)*0.475*44/12</f>
        <v>0.54038076830697568</v>
      </c>
      <c r="AX40" s="21">
        <f t="shared" si="6"/>
        <v>5.2295066262912346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27.8</v>
      </c>
      <c r="BD40" s="12">
        <f>IF('Données projet'!$A$88&gt;35,BD39+BC40-BL39,IF(A40&lt;'Données projet'!$A$88,$BA$205^A40,IF(A40='Données projet'!$A$88,'Données projet'!$B$88,BD39+BC40-BL39)))</f>
        <v>466.60000000000019</v>
      </c>
      <c r="BE40" s="13">
        <f>BD40*VLOOKUP('Données projet'!$B$11,Paramètres!$A$1:$I$89,3,0)*VLOOKUP('Données projet'!$B$11,Paramètres!$A$1:$I$89,5,0)</f>
        <v>224.4346000000001</v>
      </c>
      <c r="BF40" s="13">
        <f t="shared" si="37"/>
        <v>55.077601782411648</v>
      </c>
      <c r="BG40" s="20">
        <f t="shared" si="7"/>
        <v>486.81708477103376</v>
      </c>
      <c r="BH40" s="59">
        <f t="shared" si="8"/>
        <v>780.15041810436708</v>
      </c>
      <c r="BI40" s="59">
        <f ca="1">AVERAGE(OFFSET($BH$3,0,0,'Données projet'!$E$11+1,1))-AVERAGE(OFFSET($H$3,0,0,'Données projet'!$E$11+1,1))</f>
        <v>402.22278907877927</v>
      </c>
      <c r="BJ40" s="59">
        <f t="shared" si="38"/>
        <v>393.06397734082458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8.5543724377042487</v>
      </c>
      <c r="BQ40" s="21">
        <f>EXP(-LN(2)/25)*BQ39+(1-EXP(-LN(2)/25))/(LN(2)/25)*Calculateur!BL40*Calculateur!BN40*VLOOKUP('Données projet'!$B$11,Paramètres!$A$1:$I$89,3,0)*0.475*44/12</f>
        <v>18.522150079420499</v>
      </c>
      <c r="BR40" s="21">
        <f>EXP(-LN(2)/2)*BR39+(1-EXP(-LN(2)/2))/(LN(2)/2)*BL40*BO40*VLOOKUP('Données projet'!$B$11,Paramètres!$A$1:$I$89,3,0)*0.475*44/12</f>
        <v>2.7121979236844029</v>
      </c>
      <c r="BS40" s="22">
        <f t="shared" si="9"/>
        <v>29.788720440809151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29.2</v>
      </c>
      <c r="N41" s="13">
        <f>IF('Données projet'!$A$36&gt;35,N40+M41-V40,IF(A41&lt;'Données projet'!$A$36,$K$205^A41,IF(A41='Données projet'!$A$36,'Données projet'!$B$36,N40+M41-V40)))</f>
        <v>516.60000000000014</v>
      </c>
      <c r="O41" s="13">
        <f>N41*VLOOKUP('Données projet'!$B$9,Paramètres!$A$1:$I$89,3,0)*VLOOKUP('Données projet'!$B$9,Paramètres!$A$1:$I$89,5,0)</f>
        <v>288.77940000000007</v>
      </c>
      <c r="P41" s="13">
        <f t="shared" si="33"/>
        <v>68.819001604850271</v>
      </c>
      <c r="Q41" s="20">
        <f t="shared" si="53"/>
        <v>622.81721612844763</v>
      </c>
      <c r="R41" s="59">
        <f t="shared" si="0"/>
        <v>916.15054946178088</v>
      </c>
      <c r="S41" s="59">
        <f ca="1">AVERAGE(OFFSET($R$3,0,0,'Données projet'!$E$9+1,1))-AVERAGE(OFFSET($H$3,0,0,'Données projet'!$E$9+1,1))</f>
        <v>490.7691633858222</v>
      </c>
      <c r="T41" s="59">
        <f t="shared" si="34"/>
        <v>490.82176582457072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10.721281872449728</v>
      </c>
      <c r="AA41" s="21">
        <f>EXP(-LN(2)/25)*AA40+(1-EXP(-LN(2)/25))/(LN(2)/25)*Calculateur!V41*Calculateur!X41*VLOOKUP('Données projet'!$B$9,Paramètres!$A$1:$I$89,3,0)*0.475*44/12</f>
        <v>35.461040506341654</v>
      </c>
      <c r="AB41" s="21">
        <f>EXP(-LN(2)/2)*AB40+(1-EXP(-LN(2)/2))/(LN(2)/2)*V41*Y41*VLOOKUP('Données projet'!$B$9,Paramètres!$A$1:$I$89,3,0)*0.475*44/12</f>
        <v>2.5139942193849252</v>
      </c>
      <c r="AC41" s="22">
        <f t="shared" si="3"/>
        <v>48.69631659817631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7</v>
      </c>
      <c r="AI41" s="13">
        <f>IF('Données projet'!$A$62&gt;35,AI40+AH41-AQ40,IF(A41&lt;'Données projet'!$A$62,$AF$205^A41,IF(A41='Données projet'!$A$62,'Données projet'!$B$62,AI40+AH41-AQ40)))</f>
        <v>203.7</v>
      </c>
      <c r="AJ41" s="13">
        <f>AI41*VLOOKUP('Données projet'!$B$10,Paramètres!$A$1:$I$89,3,0)*VLOOKUP('Données projet'!$B$10,Paramètres!$A$1:$I$89,5,0)</f>
        <v>95.331599999999995</v>
      </c>
      <c r="AK41" s="13">
        <f t="shared" si="35"/>
        <v>25.84673998337389</v>
      </c>
      <c r="AL41" s="20">
        <f t="shared" si="4"/>
        <v>211.05227547104286</v>
      </c>
      <c r="AM41" s="59">
        <f t="shared" si="5"/>
        <v>504.38560880437615</v>
      </c>
      <c r="AN41" s="59">
        <f ca="1">AVERAGE(OFFSET($AM$3,0,0,'Données projet'!$E$10+1,1))-AVERAGE(OFFSET($H$3,0,0,'Données projet'!$E$10+1,1))</f>
        <v>165.03539937460289</v>
      </c>
      <c r="AO41" s="59">
        <f t="shared" si="36"/>
        <v>142.05625724497401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0.74022501843612487</v>
      </c>
      <c r="AV41" s="21">
        <f>EXP(-LN(2)/25)*AV40+(1-EXP(-LN(2)/25))/(LN(2)/25)*Calculateur!AQ41*Calculateur!AS41*VLOOKUP('Données projet'!$B$10,Paramètres!$A$1:$I$89,3,0)*0.475*44/12</f>
        <v>3.8265171091426655</v>
      </c>
      <c r="AW41" s="21">
        <f>EXP(-LN(2)/2)*AW40+(1-EXP(-LN(2)/2))/(LN(2)/2)*AQ41*AT41*VLOOKUP('Données projet'!$B$10,Paramètres!$A$1:$I$89,3,0)*0.475*44/12</f>
        <v>0.38210690569265909</v>
      </c>
      <c r="AX41" s="21">
        <f t="shared" si="6"/>
        <v>4.9488490332714496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27.8</v>
      </c>
      <c r="BD41" s="12">
        <f>IF('Données projet'!$A$88&gt;35,BD40+BC41-BL40,IF(A41&lt;'Données projet'!$A$88,$BA$205^A41,IF(A41='Données projet'!$A$88,'Données projet'!$B$88,BD40+BC41-BL40)))</f>
        <v>494.4000000000002</v>
      </c>
      <c r="BE41" s="13">
        <f>BD41*VLOOKUP('Données projet'!$B$11,Paramètres!$A$1:$I$89,3,0)*VLOOKUP('Données projet'!$B$11,Paramètres!$A$1:$I$89,5,0)</f>
        <v>237.80640000000011</v>
      </c>
      <c r="BF41" s="13">
        <f t="shared" si="37"/>
        <v>57.967314838085144</v>
      </c>
      <c r="BG41" s="20">
        <f t="shared" si="7"/>
        <v>515.13922000966511</v>
      </c>
      <c r="BH41" s="59">
        <f t="shared" si="8"/>
        <v>808.47255334299848</v>
      </c>
      <c r="BI41" s="59">
        <f ca="1">AVERAGE(OFFSET($BH$3,0,0,'Données projet'!$E$11+1,1))-AVERAGE(OFFSET($H$3,0,0,'Données projet'!$E$11+1,1))</f>
        <v>402.22278907877927</v>
      </c>
      <c r="BJ41" s="59">
        <f t="shared" si="38"/>
        <v>393.06397734082458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8.3866264118528555</v>
      </c>
      <c r="BQ41" s="21">
        <f>EXP(-LN(2)/25)*BQ40+(1-EXP(-LN(2)/25))/(LN(2)/25)*Calculateur!BL41*Calculateur!BN41*VLOOKUP('Données projet'!$B$11,Paramètres!$A$1:$I$89,3,0)*0.475*44/12</f>
        <v>18.015660911461204</v>
      </c>
      <c r="BR41" s="21">
        <f>EXP(-LN(2)/2)*BR40+(1-EXP(-LN(2)/2))/(LN(2)/2)*BL41*BO41*VLOOKUP('Données projet'!$B$11,Paramètres!$A$1:$I$89,3,0)*0.475*44/12</f>
        <v>1.9178135437573158</v>
      </c>
      <c r="BS41" s="22">
        <f t="shared" si="9"/>
        <v>28.320100867071375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29.2</v>
      </c>
      <c r="N42" s="13">
        <f>IF('Données projet'!$A$36&gt;35,N41+M42-V41,IF(A42&lt;'Données projet'!$A$36,$K$205^A42,IF(A42='Données projet'!$A$36,'Données projet'!$B$36,N41+M42-V41)))</f>
        <v>545.80000000000018</v>
      </c>
      <c r="O42" s="13">
        <f>N42*VLOOKUP('Données projet'!$B$9,Paramètres!$A$1:$I$89,3,0)*VLOOKUP('Données projet'!$B$9,Paramètres!$A$1:$I$89,5,0)</f>
        <v>305.1022000000001</v>
      </c>
      <c r="P42" s="13">
        <f t="shared" si="33"/>
        <v>72.245028478751408</v>
      </c>
      <c r="Q42" s="20">
        <f t="shared" si="53"/>
        <v>657.21308960049214</v>
      </c>
      <c r="R42" s="59">
        <f t="shared" si="0"/>
        <v>950.5464229338254</v>
      </c>
      <c r="S42" s="59">
        <f ca="1">AVERAGE(OFFSET($R$3,0,0,'Données projet'!$E$9+1,1))-AVERAGE(OFFSET($H$3,0,0,'Données projet'!$E$9+1,1))</f>
        <v>490.7691633858222</v>
      </c>
      <c r="T42" s="59">
        <f t="shared" si="34"/>
        <v>490.82176582457072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10.511044074267225</v>
      </c>
      <c r="AA42" s="21">
        <f>EXP(-LN(2)/25)*AA41+(1-EXP(-LN(2)/25))/(LN(2)/25)*Calculateur!V42*Calculateur!X42*VLOOKUP('Données projet'!$B$9,Paramètres!$A$1:$I$89,3,0)*0.475*44/12</f>
        <v>34.491356488880669</v>
      </c>
      <c r="AB42" s="21">
        <f>EXP(-LN(2)/2)*AB41+(1-EXP(-LN(2)/2))/(LN(2)/2)*V42*Y42*VLOOKUP('Données projet'!$B$9,Paramètres!$A$1:$I$89,3,0)*0.475*44/12</f>
        <v>1.7776623603908617</v>
      </c>
      <c r="AC42" s="22">
        <f t="shared" si="3"/>
        <v>46.780062923538758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7</v>
      </c>
      <c r="AI42" s="13">
        <f>IF('Données projet'!$A$62&gt;35,AI41+AH42-AQ41,IF(A42&lt;'Données projet'!$A$62,$AF$205^A42,IF(A42='Données projet'!$A$62,'Données projet'!$B$62,AI41+AH42-AQ41)))</f>
        <v>210.7</v>
      </c>
      <c r="AJ42" s="13">
        <f>AI42*VLOOKUP('Données projet'!$B$10,Paramètres!$A$1:$I$89,3,0)*VLOOKUP('Données projet'!$B$10,Paramètres!$A$1:$I$89,5,0)</f>
        <v>98.607599999999991</v>
      </c>
      <c r="AK42" s="13">
        <f t="shared" si="35"/>
        <v>26.630007227548578</v>
      </c>
      <c r="AL42" s="20">
        <f t="shared" si="4"/>
        <v>218.12216592131372</v>
      </c>
      <c r="AM42" s="59">
        <f t="shared" si="5"/>
        <v>511.45549925464707</v>
      </c>
      <c r="AN42" s="59">
        <f ca="1">AVERAGE(OFFSET($AM$3,0,0,'Données projet'!$E$10+1,1))-AVERAGE(OFFSET($H$3,0,0,'Données projet'!$E$10+1,1))</f>
        <v>165.03539937460289</v>
      </c>
      <c r="AO42" s="59">
        <f t="shared" si="36"/>
        <v>142.05625724497401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0.72570965731727255</v>
      </c>
      <c r="AV42" s="21">
        <f>EXP(-LN(2)/25)*AV41+(1-EXP(-LN(2)/25))/(LN(2)/25)*Calculateur!AQ42*Calculateur!AS42*VLOOKUP('Données projet'!$B$10,Paramètres!$A$1:$I$89,3,0)*0.475*44/12</f>
        <v>3.7218807975653703</v>
      </c>
      <c r="AW42" s="21">
        <f>EXP(-LN(2)/2)*AW41+(1-EXP(-LN(2)/2))/(LN(2)/2)*AQ42*AT42*VLOOKUP('Données projet'!$B$10,Paramètres!$A$1:$I$89,3,0)*0.475*44/12</f>
        <v>0.27019038415348784</v>
      </c>
      <c r="AX42" s="21">
        <f t="shared" si="6"/>
        <v>4.7177808390361307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27.8</v>
      </c>
      <c r="BD42" s="12">
        <f>IF('Données projet'!$A$88&gt;35,BD41+BC42-BL41,IF(A42&lt;'Données projet'!$A$88,$BA$205^A42,IF(A42='Données projet'!$A$88,'Données projet'!$B$88,BD41+BC42-BL41)))</f>
        <v>522.20000000000016</v>
      </c>
      <c r="BE42" s="13">
        <f>BD42*VLOOKUP('Données projet'!$B$11,Paramètres!$A$1:$I$89,3,0)*VLOOKUP('Données projet'!$B$11,Paramètres!$A$1:$I$89,5,0)</f>
        <v>251.17820000000009</v>
      </c>
      <c r="BF42" s="13">
        <f t="shared" si="37"/>
        <v>60.83816557033434</v>
      </c>
      <c r="BG42" s="20">
        <f t="shared" si="7"/>
        <v>543.42850336833237</v>
      </c>
      <c r="BH42" s="59">
        <f t="shared" si="8"/>
        <v>836.76183670166574</v>
      </c>
      <c r="BI42" s="59">
        <f ca="1">AVERAGE(OFFSET($BH$3,0,0,'Données projet'!$E$11+1,1))-AVERAGE(OFFSET($H$3,0,0,'Données projet'!$E$11+1,1))</f>
        <v>402.22278907877927</v>
      </c>
      <c r="BJ42" s="59">
        <f t="shared" si="38"/>
        <v>393.06397734082458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8.2221697832534346</v>
      </c>
      <c r="BQ42" s="21">
        <f>EXP(-LN(2)/25)*BQ41+(1-EXP(-LN(2)/25))/(LN(2)/25)*Calculateur!BL42*Calculateur!BN42*VLOOKUP('Données projet'!$B$11,Paramètres!$A$1:$I$89,3,0)*0.475*44/12</f>
        <v>17.523021716434865</v>
      </c>
      <c r="BR42" s="21">
        <f>EXP(-LN(2)/2)*BR41+(1-EXP(-LN(2)/2))/(LN(2)/2)*BL42*BO42*VLOOKUP('Données projet'!$B$11,Paramètres!$A$1:$I$89,3,0)*0.475*44/12</f>
        <v>1.3560989618422017</v>
      </c>
      <c r="BS42" s="22">
        <f t="shared" si="9"/>
        <v>27.101290461530503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575</v>
      </c>
      <c r="L43" s="12">
        <f>VLOOKUP(A43,'Données projet'!$A$35:$I$55,9,0)</f>
        <v>29.2</v>
      </c>
      <c r="M43" s="12">
        <f t="array" ref="M43">INDEX(L:L,MIN(IF(ISNUMBER(L43:L239),ROW(L43:L239),"")))</f>
        <v>29.2</v>
      </c>
      <c r="N43" s="13">
        <f>IF('Données projet'!$A$36&gt;35,N42+M43-V42,IF(A43&lt;'Données projet'!$A$36,$K$205^A43,IF(A43='Données projet'!$A$36,'Données projet'!$B$36,N42+M43-V42)))</f>
        <v>575.00000000000023</v>
      </c>
      <c r="O43" s="13">
        <f>N43*VLOOKUP('Données projet'!$B$9,Paramètres!$A$1:$I$89,3,0)*VLOOKUP('Données projet'!$B$9,Paramètres!$A$1:$I$89,5,0)</f>
        <v>321.42500000000013</v>
      </c>
      <c r="P43" s="13">
        <f t="shared" si="33"/>
        <v>75.649775908797736</v>
      </c>
      <c r="Q43" s="20">
        <f t="shared" si="53"/>
        <v>691.57190137448958</v>
      </c>
      <c r="R43" s="59">
        <f t="shared" si="0"/>
        <v>984.90523470782296</v>
      </c>
      <c r="S43" s="59">
        <f ca="1">AVERAGE(OFFSET($R$3,0,0,'Données projet'!$E$9+1,1))-AVERAGE(OFFSET($H$3,0,0,'Données projet'!$E$9+1,1))</f>
        <v>490.7691633858222</v>
      </c>
      <c r="T43" s="59">
        <f t="shared" si="34"/>
        <v>490.82176582457072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154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10.304928911074686</v>
      </c>
      <c r="AA43" s="21">
        <f>EXP(-LN(2)/25)*AA42+(1-EXP(-LN(2)/25))/(LN(2)/25)*Calculateur!V43*Calculateur!X43*VLOOKUP('Données projet'!$B$9,Paramètres!$A$1:$I$89,3,0)*0.475*44/12</f>
        <v>33.548188531870622</v>
      </c>
      <c r="AB43" s="21">
        <f>EXP(-LN(2)/2)*AB42+(1-EXP(-LN(2)/2))/(LN(2)/2)*V43*Y43*VLOOKUP('Données projet'!$B$9,Paramètres!$A$1:$I$89,3,0)*0.475*44/12</f>
        <v>1.2569971096924626</v>
      </c>
      <c r="AC43" s="22">
        <f t="shared" si="3"/>
        <v>45.110114552637768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217.7</v>
      </c>
      <c r="AG43" s="12">
        <f>VLOOKUP(A43,'Données projet'!$A$61:$I$81,9,0)</f>
        <v>7</v>
      </c>
      <c r="AH43" s="12">
        <f t="array" ref="AH43">INDEX(AG:AG,MIN(IF(ISNUMBER(AG43:AG239),ROW(AG43:AG239),"")))</f>
        <v>7</v>
      </c>
      <c r="AI43" s="13">
        <f>IF('Données projet'!$A$62&gt;35,AI42+AH43-AQ42,IF(A43&lt;'Données projet'!$A$62,$AF$205^A43,IF(A43='Données projet'!$A$62,'Données projet'!$B$62,AI42+AH43-AQ42)))</f>
        <v>217.7</v>
      </c>
      <c r="AJ43" s="13">
        <f>AI43*VLOOKUP('Données projet'!$B$10,Paramètres!$A$1:$I$89,3,0)*VLOOKUP('Données projet'!$B$10,Paramètres!$A$1:$I$89,5,0)</f>
        <v>101.8836</v>
      </c>
      <c r="AK43" s="13">
        <f t="shared" si="35"/>
        <v>27.410250752947974</v>
      </c>
      <c r="AL43" s="20">
        <f t="shared" si="4"/>
        <v>225.18679006138439</v>
      </c>
      <c r="AM43" s="59">
        <f t="shared" si="5"/>
        <v>518.52012339471776</v>
      </c>
      <c r="AN43" s="59">
        <f ca="1">AVERAGE(OFFSET($AM$3,0,0,'Données projet'!$E$10+1,1))-AVERAGE(OFFSET($H$3,0,0,'Données projet'!$E$10+1,1))</f>
        <v>165.03539937460289</v>
      </c>
      <c r="AO43" s="59">
        <f t="shared" si="36"/>
        <v>142.05625724497401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46.3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0.71147893357646486</v>
      </c>
      <c r="AV43" s="21">
        <f>EXP(-LN(2)/25)*AV42+(1-EXP(-LN(2)/25))/(LN(2)/25)*Calculateur!AQ43*Calculateur!AS43*VLOOKUP('Données projet'!$B$10,Paramètres!$A$1:$I$89,3,0)*0.475*44/12</f>
        <v>3.6201057714307407</v>
      </c>
      <c r="AW43" s="21">
        <f>EXP(-LN(2)/2)*AW42+(1-EXP(-LN(2)/2))/(LN(2)/2)*AQ43*AT43*VLOOKUP('Données projet'!$B$10,Paramètres!$A$1:$I$89,3,0)*0.475*44/12</f>
        <v>0.19105345284632955</v>
      </c>
      <c r="AX43" s="21">
        <f t="shared" si="6"/>
        <v>4.5226381578535353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550</v>
      </c>
      <c r="BB43" s="12">
        <f>VLOOKUP(A43,'Données projet'!$A$87:$I$107,9,0)</f>
        <v>27.8</v>
      </c>
      <c r="BC43" s="12">
        <f t="array" ref="BC43">INDEX(BB:BB,MIN(IF(ISNUMBER(BB43:BB239),ROW(BB43:BB239),"")))</f>
        <v>27.8</v>
      </c>
      <c r="BD43" s="12">
        <f>IF('Données projet'!$A$88&gt;35,BD42+BC43-BL42,IF(A43&lt;'Données projet'!$A$88,$BA$205^A43,IF(A43='Données projet'!$A$88,'Données projet'!$B$88,BD42+BC43-BL42)))</f>
        <v>550.00000000000011</v>
      </c>
      <c r="BE43" s="13">
        <f>BD43*VLOOKUP('Données projet'!$B$11,Paramètres!$A$1:$I$89,3,0)*VLOOKUP('Données projet'!$B$11,Paramètres!$A$1:$I$89,5,0)</f>
        <v>264.55000000000007</v>
      </c>
      <c r="BF43" s="13">
        <f t="shared" si="37"/>
        <v>63.691272641742856</v>
      </c>
      <c r="BG43" s="20">
        <f t="shared" si="7"/>
        <v>571.68688318436887</v>
      </c>
      <c r="BH43" s="59">
        <f t="shared" si="8"/>
        <v>865.02021651770224</v>
      </c>
      <c r="BI43" s="59">
        <f ca="1">AVERAGE(OFFSET($BH$3,0,0,'Données projet'!$E$11+1,1))-AVERAGE(OFFSET($H$3,0,0,'Données projet'!$E$11+1,1))</f>
        <v>402.22278907877927</v>
      </c>
      <c r="BJ43" s="59">
        <f t="shared" si="38"/>
        <v>393.06397734082458</v>
      </c>
      <c r="BK43" s="15">
        <f>IF(ISNA(VLOOKUP(A43,'Données projet'!$A$87:$I$107,3,0)),0,VLOOKUP(A43,'Données projet'!$A$87:$I$107,3,0))</f>
        <v>4</v>
      </c>
      <c r="BL43" s="15">
        <f>IF(ISNA(VLOOKUP(A43,'Données projet'!$A$87:$I$107,4,0)),0,VLOOKUP(A43,'Données projet'!$A$87:$I$107,4,0))</f>
        <v>140</v>
      </c>
      <c r="BM43" s="16">
        <f>IF(ISNA(VLOOKUP(A43,'Données projet'!$A$87:$I$107,5,0)),0%,VLOOKUP(A43,'Données projet'!$A$87:$I$107,5,0)*VLOOKUP('Données projet'!$B$11,Paramètres!$A$1:$I$89,7,0))</f>
        <v>0.16500000000000001</v>
      </c>
      <c r="BN43" s="16">
        <f>IF(ISNA(VLOOKUP(A43,'Données projet'!$A$87:$I$107,6,0)),0%,VLOOKUP(A43,'Données projet'!$A$87:$I$107,6,0)*VLOOKUP('Données projet'!$B$11,Paramètres!$A$1:$I$89,7,0))</f>
        <v>0.1925</v>
      </c>
      <c r="BO43" s="16">
        <f>IF(ISNA(VLOOKUP(A43,'Données projet'!$A$87:$I$107,7,0)),0%,VLOOKUP(A43,'Données projet'!$A$87:$I$107,7,0))</f>
        <v>0.35</v>
      </c>
      <c r="BP43" s="21">
        <f>EXP(-LN(2)/35)*BP42+(1-EXP(-LN(2)/35))/(LN(2)/35)*BL43*BM43*VLOOKUP('Données projet'!$B$11,Paramètres!$A$1:$I$89,3,0)*0.475*44/12</f>
        <v>22.800528369666484</v>
      </c>
      <c r="BQ43" s="21">
        <f>EXP(-LN(2)/25)*BQ42+(1-EXP(-LN(2)/25))/(LN(2)/25)*Calculateur!BL43*Calculateur!BN43*VLOOKUP('Données projet'!$B$11,Paramètres!$A$1:$I$89,3,0)*0.475*44/12</f>
        <v>34.172334526539714</v>
      </c>
      <c r="BR43" s="21">
        <f>EXP(-LN(2)/2)*BR42+(1-EXP(-LN(2)/2))/(LN(2)/2)*BL43*BO43*VLOOKUP('Données projet'!$B$11,Paramètres!$A$1:$I$89,3,0)*0.475*44/12</f>
        <v>27.644489792279931</v>
      </c>
      <c r="BS43" s="22">
        <f t="shared" si="9"/>
        <v>84.617352688486122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24.6</v>
      </c>
      <c r="N44" s="13">
        <f>IF('Données projet'!$A$36&gt;35,N43+M44-V43,IF(A44&lt;'Données projet'!$A$36,$K$205^A44,IF(A44='Données projet'!$A$36,'Données projet'!$B$36,N43+M44-V43)))</f>
        <v>445.60000000000025</v>
      </c>
      <c r="O44" s="13">
        <f>N44*VLOOKUP('Données projet'!$B$9,Paramètres!$A$1:$I$89,3,0)*VLOOKUP('Données projet'!$B$9,Paramètres!$A$1:$I$89,5,0)</f>
        <v>249.09040000000016</v>
      </c>
      <c r="P44" s="13">
        <f t="shared" si="33"/>
        <v>60.391122401453096</v>
      </c>
      <c r="Q44" s="20">
        <f t="shared" si="53"/>
        <v>539.01365151586447</v>
      </c>
      <c r="R44" s="59">
        <f t="shared" si="0"/>
        <v>832.34698484919772</v>
      </c>
      <c r="S44" s="59">
        <f ca="1">AVERAGE(OFFSET($R$3,0,0,'Données projet'!$E$9+1,1))-AVERAGE(OFFSET($H$3,0,0,'Données projet'!$E$9+1,1))</f>
        <v>490.7691633858222</v>
      </c>
      <c r="T44" s="59">
        <f t="shared" si="34"/>
        <v>490.82176582457072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10.102855540514517</v>
      </c>
      <c r="AA44" s="21">
        <f>EXP(-LN(2)/25)*AA43+(1-EXP(-LN(2)/25))/(LN(2)/25)*Calculateur!V44*Calculateur!X44*VLOOKUP('Données projet'!$B$9,Paramètres!$A$1:$I$89,3,0)*0.475*44/12</f>
        <v>32.630811552244062</v>
      </c>
      <c r="AB44" s="21">
        <f>EXP(-LN(2)/2)*AB43+(1-EXP(-LN(2)/2))/(LN(2)/2)*V44*Y44*VLOOKUP('Données projet'!$B$9,Paramètres!$A$1:$I$89,3,0)*0.475*44/12</f>
        <v>0.88883118019543084</v>
      </c>
      <c r="AC44" s="22">
        <f t="shared" si="3"/>
        <v>43.622498272954012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7.0000000000000027</v>
      </c>
      <c r="AI44" s="13">
        <f>IF('Données projet'!$A$62&gt;35,AI43+AH44-AQ43,IF(A44&lt;'Données projet'!$A$62,$AF$205^A44,IF(A44='Données projet'!$A$62,'Données projet'!$B$62,AI43+AH44-AQ43)))</f>
        <v>178.39999999999998</v>
      </c>
      <c r="AJ44" s="13">
        <f>AI44*VLOOKUP('Données projet'!$B$10,Paramètres!$A$1:$I$89,3,0)*VLOOKUP('Données projet'!$B$10,Paramètres!$A$1:$I$89,5,0)</f>
        <v>83.491199999999992</v>
      </c>
      <c r="AK44" s="13">
        <f t="shared" si="35"/>
        <v>22.988667039592098</v>
      </c>
      <c r="AL44" s="20">
        <f t="shared" si="4"/>
        <v>185.45243509395621</v>
      </c>
      <c r="AM44" s="59">
        <f t="shared" si="5"/>
        <v>478.78576842728955</v>
      </c>
      <c r="AN44" s="59">
        <f ca="1">AVERAGE(OFFSET($AM$3,0,0,'Données projet'!$E$10+1,1))-AVERAGE(OFFSET($H$3,0,0,'Données projet'!$E$10+1,1))</f>
        <v>165.03539937460289</v>
      </c>
      <c r="AO44" s="59">
        <f t="shared" si="36"/>
        <v>142.05625724497401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0.6975272656483299</v>
      </c>
      <c r="AV44" s="21">
        <f>EXP(-LN(2)/25)*AV43+(1-EXP(-LN(2)/25))/(LN(2)/25)*Calculateur!AQ44*Calculateur!AS44*VLOOKUP('Données projet'!$B$10,Paramètres!$A$1:$I$89,3,0)*0.475*44/12</f>
        <v>3.5211137887378783</v>
      </c>
      <c r="AW44" s="21">
        <f>EXP(-LN(2)/2)*AW43+(1-EXP(-LN(2)/2))/(LN(2)/2)*AQ44*AT44*VLOOKUP('Données projet'!$B$10,Paramètres!$A$1:$I$89,3,0)*0.475*44/12</f>
        <v>0.13509519207674392</v>
      </c>
      <c r="AX44" s="21">
        <f t="shared" si="6"/>
        <v>4.3537362464629519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25.3</v>
      </c>
      <c r="BD44" s="12">
        <f>IF('Données projet'!$A$88&gt;35,BD43+BC44-BL43,IF(A44&lt;'Données projet'!$A$88,$BA$205^A44,IF(A44='Données projet'!$A$88,'Données projet'!$B$88,BD43+BC44-BL43)))</f>
        <v>435.30000000000007</v>
      </c>
      <c r="BE44" s="13">
        <f>BD44*VLOOKUP('Données projet'!$B$11,Paramètres!$A$1:$I$89,3,0)*VLOOKUP('Données projet'!$B$11,Paramètres!$A$1:$I$89,5,0)</f>
        <v>209.37930000000006</v>
      </c>
      <c r="BF44" s="13">
        <f t="shared" si="37"/>
        <v>51.79992377311698</v>
      </c>
      <c r="BG44" s="20">
        <f t="shared" si="7"/>
        <v>454.88714807151217</v>
      </c>
      <c r="BH44" s="59">
        <f t="shared" si="8"/>
        <v>748.22048140484549</v>
      </c>
      <c r="BI44" s="59">
        <f ca="1">AVERAGE(OFFSET($BH$3,0,0,'Données projet'!$E$11+1,1))-AVERAGE(OFFSET($H$3,0,0,'Données projet'!$E$11+1,1))</f>
        <v>402.22278907877927</v>
      </c>
      <c r="BJ44" s="59">
        <f t="shared" si="38"/>
        <v>393.06397734082458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22.353423915286431</v>
      </c>
      <c r="BQ44" s="21">
        <f>EXP(-LN(2)/25)*BQ43+(1-EXP(-LN(2)/25))/(LN(2)/25)*Calculateur!BL44*Calculateur!BN44*VLOOKUP('Données projet'!$B$11,Paramètres!$A$1:$I$89,3,0)*0.475*44/12</f>
        <v>33.237890241866516</v>
      </c>
      <c r="BR44" s="21">
        <f>EXP(-LN(2)/2)*BR43+(1-EXP(-LN(2)/2))/(LN(2)/2)*BL44*BO44*VLOOKUP('Données projet'!$B$11,Paramètres!$A$1:$I$89,3,0)*0.475*44/12</f>
        <v>19.547606194563432</v>
      </c>
      <c r="BS44" s="22">
        <f t="shared" si="9"/>
        <v>75.138920351716379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24.6</v>
      </c>
      <c r="N45" s="13">
        <f>IF('Données projet'!$A$36&gt;35,N44+M45-V44,IF(A45&lt;'Données projet'!$A$36,$K$205^A45,IF(A45='Données projet'!$A$36,'Données projet'!$B$36,N44+M45-V44)))</f>
        <v>470.20000000000027</v>
      </c>
      <c r="O45" s="13">
        <f>N45*VLOOKUP('Données projet'!$B$9,Paramètres!$A$1:$I$89,3,0)*VLOOKUP('Données projet'!$B$9,Paramètres!$A$1:$I$89,5,0)</f>
        <v>262.84180000000015</v>
      </c>
      <c r="P45" s="13">
        <f t="shared" si="33"/>
        <v>63.327751097024091</v>
      </c>
      <c r="Q45" s="20">
        <f t="shared" si="53"/>
        <v>568.07863482731716</v>
      </c>
      <c r="R45" s="59">
        <f t="shared" si="0"/>
        <v>861.41196816065053</v>
      </c>
      <c r="S45" s="59">
        <f ca="1">AVERAGE(OFFSET($R$3,0,0,'Données projet'!$E$9+1,1))-AVERAGE(OFFSET($H$3,0,0,'Données projet'!$E$9+1,1))</f>
        <v>490.7691633858222</v>
      </c>
      <c r="T45" s="59">
        <f t="shared" si="34"/>
        <v>490.82176582457072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9.9047447054984463</v>
      </c>
      <c r="AA45" s="21">
        <f>EXP(-LN(2)/25)*AA44+(1-EXP(-LN(2)/25))/(LN(2)/25)*Calculateur!V45*Calculateur!X45*VLOOKUP('Données projet'!$B$9,Paramètres!$A$1:$I$89,3,0)*0.475*44/12</f>
        <v>31.738520294368147</v>
      </c>
      <c r="AB45" s="21">
        <f>EXP(-LN(2)/2)*AB44+(1-EXP(-LN(2)/2))/(LN(2)/2)*V45*Y45*VLOOKUP('Données projet'!$B$9,Paramètres!$A$1:$I$89,3,0)*0.475*44/12</f>
        <v>0.62849855484623129</v>
      </c>
      <c r="AC45" s="22">
        <f t="shared" si="3"/>
        <v>42.271763554712827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7.0000000000000027</v>
      </c>
      <c r="AI45" s="13">
        <f>IF('Données projet'!$A$62&gt;35,AI44+AH45-AQ44,IF(A45&lt;'Données projet'!$A$62,$AF$205^A45,IF(A45='Données projet'!$A$62,'Données projet'!$B$62,AI44+AH45-AQ44)))</f>
        <v>185.39999999999998</v>
      </c>
      <c r="AJ45" s="13">
        <f>AI45*VLOOKUP('Données projet'!$B$10,Paramètres!$A$1:$I$89,3,0)*VLOOKUP('Données projet'!$B$10,Paramètres!$A$1:$I$89,5,0)</f>
        <v>86.767199999999988</v>
      </c>
      <c r="AK45" s="13">
        <f t="shared" si="35"/>
        <v>23.783899326718451</v>
      </c>
      <c r="AL45" s="20">
        <f t="shared" si="4"/>
        <v>192.54316466070131</v>
      </c>
      <c r="AM45" s="59">
        <f t="shared" si="5"/>
        <v>485.87649799403459</v>
      </c>
      <c r="AN45" s="59">
        <f ca="1">AVERAGE(OFFSET($AM$3,0,0,'Données projet'!$E$10+1,1))-AVERAGE(OFFSET($H$3,0,0,'Données projet'!$E$10+1,1))</f>
        <v>165.03539937460289</v>
      </c>
      <c r="AO45" s="59">
        <f t="shared" si="36"/>
        <v>142.05625724497401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0.68384918141858853</v>
      </c>
      <c r="AV45" s="21">
        <f>EXP(-LN(2)/25)*AV44+(1-EXP(-LN(2)/25))/(LN(2)/25)*Calculateur!AQ45*Calculateur!AS45*VLOOKUP('Données projet'!$B$10,Paramètres!$A$1:$I$89,3,0)*0.475*44/12</f>
        <v>3.4248287470175143</v>
      </c>
      <c r="AW45" s="21">
        <f>EXP(-LN(2)/2)*AW44+(1-EXP(-LN(2)/2))/(LN(2)/2)*AQ45*AT45*VLOOKUP('Données projet'!$B$10,Paramètres!$A$1:$I$89,3,0)*0.475*44/12</f>
        <v>9.5526726423164773E-2</v>
      </c>
      <c r="AX45" s="21">
        <f t="shared" si="6"/>
        <v>4.204204654859268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25.3</v>
      </c>
      <c r="BD45" s="12">
        <f>IF('Données projet'!$A$88&gt;35,BD44+BC45-BL44,IF(A45&lt;'Données projet'!$A$88,$BA$205^A45,IF(A45='Données projet'!$A$88,'Données projet'!$B$88,BD44+BC45-BL44)))</f>
        <v>460.60000000000008</v>
      </c>
      <c r="BE45" s="13">
        <f>BD45*VLOOKUP('Données projet'!$B$11,Paramètres!$A$1:$I$89,3,0)*VLOOKUP('Données projet'!$B$11,Paramètres!$A$1:$I$89,5,0)</f>
        <v>221.54860000000005</v>
      </c>
      <c r="BF45" s="13">
        <f t="shared" si="37"/>
        <v>54.451328750450429</v>
      </c>
      <c r="BG45" s="20">
        <f t="shared" si="7"/>
        <v>480.6998759070346</v>
      </c>
      <c r="BH45" s="59">
        <f t="shared" si="8"/>
        <v>774.03320924036791</v>
      </c>
      <c r="BI45" s="59">
        <f ca="1">AVERAGE(OFFSET($BH$3,0,0,'Données projet'!$E$11+1,1))-AVERAGE(OFFSET($H$3,0,0,'Données projet'!$E$11+1,1))</f>
        <v>402.22278907877927</v>
      </c>
      <c r="BJ45" s="59">
        <f t="shared" si="38"/>
        <v>393.06397734082458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21.915086906549984</v>
      </c>
      <c r="BQ45" s="21">
        <f>EXP(-LN(2)/25)*BQ44+(1-EXP(-LN(2)/25))/(LN(2)/25)*Calculateur!BL45*Calculateur!BN45*VLOOKUP('Données projet'!$B$11,Paramètres!$A$1:$I$89,3,0)*0.475*44/12</f>
        <v>32.328998385297993</v>
      </c>
      <c r="BR45" s="21">
        <f>EXP(-LN(2)/2)*BR44+(1-EXP(-LN(2)/2))/(LN(2)/2)*BL45*BO45*VLOOKUP('Données projet'!$B$11,Paramètres!$A$1:$I$89,3,0)*0.475*44/12</f>
        <v>13.822244896139967</v>
      </c>
      <c r="BS45" s="22">
        <f t="shared" si="9"/>
        <v>68.066330187987944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24.6</v>
      </c>
      <c r="N46" s="13">
        <f>IF('Données projet'!$A$36&gt;35,N45+M46-V45,IF(A46&lt;'Données projet'!$A$36,$K$205^A46,IF(A46='Données projet'!$A$36,'Données projet'!$B$36,N45+M46-V45)))</f>
        <v>494.8000000000003</v>
      </c>
      <c r="O46" s="13">
        <f>N46*VLOOKUP('Données projet'!$B$9,Paramètres!$A$1:$I$89,3,0)*VLOOKUP('Données projet'!$B$9,Paramètres!$A$1:$I$89,5,0)</f>
        <v>276.59320000000019</v>
      </c>
      <c r="P46" s="13">
        <f t="shared" si="33"/>
        <v>66.246541963934263</v>
      </c>
      <c r="Q46" s="20">
        <f t="shared" si="53"/>
        <v>597.11255058718575</v>
      </c>
      <c r="R46" s="59">
        <f t="shared" si="0"/>
        <v>890.44588392051901</v>
      </c>
      <c r="S46" s="59">
        <f ca="1">AVERAGE(OFFSET($R$3,0,0,'Données projet'!$E$9+1,1))-AVERAGE(OFFSET($H$3,0,0,'Données projet'!$E$9+1,1))</f>
        <v>490.7691633858222</v>
      </c>
      <c r="T46" s="59">
        <f t="shared" si="34"/>
        <v>490.82176582457072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9.7105187031213642</v>
      </c>
      <c r="AA46" s="21">
        <f>EXP(-LN(2)/25)*AA45+(1-EXP(-LN(2)/25))/(LN(2)/25)*Calculateur!V46*Calculateur!X46*VLOOKUP('Données projet'!$B$9,Paramètres!$A$1:$I$89,3,0)*0.475*44/12</f>
        <v>30.870628787862408</v>
      </c>
      <c r="AB46" s="21">
        <f>EXP(-LN(2)/2)*AB45+(1-EXP(-LN(2)/2))/(LN(2)/2)*V46*Y46*VLOOKUP('Données projet'!$B$9,Paramètres!$A$1:$I$89,3,0)*0.475*44/12</f>
        <v>0.44441559009771542</v>
      </c>
      <c r="AC46" s="22">
        <f t="shared" si="3"/>
        <v>41.025563081081486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7.0000000000000027</v>
      </c>
      <c r="AI46" s="13">
        <f>IF('Données projet'!$A$62&gt;35,AI45+AH46-AQ45,IF(A46&lt;'Données projet'!$A$62,$AF$205^A46,IF(A46='Données projet'!$A$62,'Données projet'!$B$62,AI45+AH46-AQ45)))</f>
        <v>192.39999999999998</v>
      </c>
      <c r="AJ46" s="13">
        <f>AI46*VLOOKUP('Données projet'!$B$10,Paramètres!$A$1:$I$89,3,0)*VLOOKUP('Données projet'!$B$10,Paramètres!$A$1:$I$89,5,0)</f>
        <v>90.043199999999999</v>
      </c>
      <c r="AK46" s="13">
        <f t="shared" si="35"/>
        <v>24.575643502648031</v>
      </c>
      <c r="AL46" s="20">
        <f t="shared" si="4"/>
        <v>199.62781910044532</v>
      </c>
      <c r="AM46" s="59">
        <f t="shared" si="5"/>
        <v>492.96115243377864</v>
      </c>
      <c r="AN46" s="59">
        <f ca="1">AVERAGE(OFFSET($AM$3,0,0,'Données projet'!$E$10+1,1))-AVERAGE(OFFSET($H$3,0,0,'Données projet'!$E$10+1,1))</f>
        <v>165.03539937460289</v>
      </c>
      <c r="AO46" s="59">
        <f t="shared" si="36"/>
        <v>142.05625724497401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0.67043931607778484</v>
      </c>
      <c r="AV46" s="21">
        <f>EXP(-LN(2)/25)*AV45+(1-EXP(-LN(2)/25))/(LN(2)/25)*Calculateur!AQ46*Calculateur!AS46*VLOOKUP('Données projet'!$B$10,Paramètres!$A$1:$I$89,3,0)*0.475*44/12</f>
        <v>3.3311766248264041</v>
      </c>
      <c r="AW46" s="21">
        <f>EXP(-LN(2)/2)*AW45+(1-EXP(-LN(2)/2))/(LN(2)/2)*AQ46*AT46*VLOOKUP('Données projet'!$B$10,Paramètres!$A$1:$I$89,3,0)*0.475*44/12</f>
        <v>6.754759603837196E-2</v>
      </c>
      <c r="AX46" s="21">
        <f t="shared" si="6"/>
        <v>4.0691635369425612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25.3</v>
      </c>
      <c r="BD46" s="12">
        <f>IF('Données projet'!$A$88&gt;35,BD45+BC46-BL45,IF(A46&lt;'Données projet'!$A$88,$BA$205^A46,IF(A46='Données projet'!$A$88,'Données projet'!$B$88,BD45+BC46-BL45)))</f>
        <v>485.90000000000009</v>
      </c>
      <c r="BE46" s="13">
        <f>BD46*VLOOKUP('Données projet'!$B$11,Paramètres!$A$1:$I$89,3,0)*VLOOKUP('Données projet'!$B$11,Paramètres!$A$1:$I$89,5,0)</f>
        <v>233.71790000000007</v>
      </c>
      <c r="BF46" s="13">
        <f t="shared" si="37"/>
        <v>57.085826648165302</v>
      </c>
      <c r="BG46" s="20">
        <f t="shared" si="7"/>
        <v>506.48315724555465</v>
      </c>
      <c r="BH46" s="59">
        <f t="shared" si="8"/>
        <v>799.81649057888797</v>
      </c>
      <c r="BI46" s="59">
        <f ca="1">AVERAGE(OFFSET($BH$3,0,0,'Données projet'!$E$11+1,1))-AVERAGE(OFFSET($H$3,0,0,'Données projet'!$E$11+1,1))</f>
        <v>402.22278907877927</v>
      </c>
      <c r="BJ46" s="59">
        <f t="shared" si="38"/>
        <v>393.06397734082458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21.485345419195681</v>
      </c>
      <c r="BQ46" s="21">
        <f>EXP(-LN(2)/25)*BQ45+(1-EXP(-LN(2)/25))/(LN(2)/25)*Calculateur!BL46*Calculateur!BN46*VLOOKUP('Données projet'!$B$11,Paramètres!$A$1:$I$89,3,0)*0.475*44/12</f>
        <v>31.444960224343884</v>
      </c>
      <c r="BR46" s="21">
        <f>EXP(-LN(2)/2)*BR45+(1-EXP(-LN(2)/2))/(LN(2)/2)*BL46*BO46*VLOOKUP('Données projet'!$B$11,Paramètres!$A$1:$I$89,3,0)*0.475*44/12</f>
        <v>9.7738030972817178</v>
      </c>
      <c r="BS46" s="22">
        <f t="shared" si="9"/>
        <v>62.704108740821283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24.6</v>
      </c>
      <c r="N47" s="13">
        <f>IF('Données projet'!$A$36&gt;35,N46+M47-V46,IF(A47&lt;'Données projet'!$A$36,$K$205^A47,IF(A47='Données projet'!$A$36,'Données projet'!$B$36,N46+M47-V46)))</f>
        <v>519.40000000000032</v>
      </c>
      <c r="O47" s="13">
        <f>N47*VLOOKUP('Données projet'!$B$9,Paramètres!$A$1:$I$89,3,0)*VLOOKUP('Données projet'!$B$9,Paramètres!$A$1:$I$89,5,0)</f>
        <v>290.34460000000018</v>
      </c>
      <c r="P47" s="13">
        <f t="shared" si="33"/>
        <v>69.148483049501678</v>
      </c>
      <c r="Q47" s="20">
        <f t="shared" si="53"/>
        <v>626.11711964454901</v>
      </c>
      <c r="R47" s="59">
        <f t="shared" si="0"/>
        <v>919.45045297788238</v>
      </c>
      <c r="S47" s="59">
        <f ca="1">AVERAGE(OFFSET($R$3,0,0,'Données projet'!$E$9+1,1))-AVERAGE(OFFSET($H$3,0,0,'Données projet'!$E$9+1,1))</f>
        <v>490.7691633858222</v>
      </c>
      <c r="T47" s="59">
        <f t="shared" si="34"/>
        <v>490.82176582457072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9.5201013541847317</v>
      </c>
      <c r="AA47" s="21">
        <f>EXP(-LN(2)/25)*AA46+(1-EXP(-LN(2)/25))/(LN(2)/25)*Calculateur!V47*Calculateur!X47*VLOOKUP('Données projet'!$B$9,Paramètres!$A$1:$I$89,3,0)*0.475*44/12</f>
        <v>30.026469820242497</v>
      </c>
      <c r="AB47" s="21">
        <f>EXP(-LN(2)/2)*AB46+(1-EXP(-LN(2)/2))/(LN(2)/2)*V47*Y47*VLOOKUP('Données projet'!$B$9,Paramètres!$A$1:$I$89,3,0)*0.475*44/12</f>
        <v>0.31424927742311565</v>
      </c>
      <c r="AC47" s="22">
        <f t="shared" si="3"/>
        <v>39.860820451850344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7.0000000000000027</v>
      </c>
      <c r="AI47" s="13">
        <f>IF('Données projet'!$A$62&gt;35,AI46+AH47-AQ46,IF(A47&lt;'Données projet'!$A$62,$AF$205^A47,IF(A47='Données projet'!$A$62,'Données projet'!$B$62,AI46+AH47-AQ46)))</f>
        <v>199.39999999999998</v>
      </c>
      <c r="AJ47" s="13">
        <f>AI47*VLOOKUP('Données projet'!$B$10,Paramètres!$A$1:$I$89,3,0)*VLOOKUP('Données projet'!$B$10,Paramètres!$A$1:$I$89,5,0)</f>
        <v>93.319199999999995</v>
      </c>
      <c r="AK47" s="13">
        <f t="shared" si="35"/>
        <v>25.364041009510686</v>
      </c>
      <c r="AL47" s="20">
        <f t="shared" si="4"/>
        <v>206.70664475823108</v>
      </c>
      <c r="AM47" s="59">
        <f t="shared" si="5"/>
        <v>500.03997809156442</v>
      </c>
      <c r="AN47" s="59">
        <f ca="1">AVERAGE(OFFSET($AM$3,0,0,'Données projet'!$E$10+1,1))-AVERAGE(OFFSET($H$3,0,0,'Données projet'!$E$10+1,1))</f>
        <v>165.03539937460289</v>
      </c>
      <c r="AO47" s="59">
        <f t="shared" si="36"/>
        <v>142.05625724497401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0.65729241001710403</v>
      </c>
      <c r="AV47" s="21">
        <f>EXP(-LN(2)/25)*AV46+(1-EXP(-LN(2)/25))/(LN(2)/25)*Calculateur!AQ47*Calculateur!AS47*VLOOKUP('Données projet'!$B$10,Paramètres!$A$1:$I$89,3,0)*0.475*44/12</f>
        <v>3.2400854248415607</v>
      </c>
      <c r="AW47" s="21">
        <f>EXP(-LN(2)/2)*AW46+(1-EXP(-LN(2)/2))/(LN(2)/2)*AQ47*AT47*VLOOKUP('Données projet'!$B$10,Paramètres!$A$1:$I$89,3,0)*0.475*44/12</f>
        <v>4.7763363211582387E-2</v>
      </c>
      <c r="AX47" s="21">
        <f t="shared" si="6"/>
        <v>3.9451411980702469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25.3</v>
      </c>
      <c r="BD47" s="12">
        <f>IF('Données projet'!$A$88&gt;35,BD46+BC47-BL46,IF(A47&lt;'Données projet'!$A$88,$BA$205^A47,IF(A47='Données projet'!$A$88,'Données projet'!$B$88,BD46+BC47-BL46)))</f>
        <v>511.2000000000001</v>
      </c>
      <c r="BE47" s="13">
        <f>BD47*VLOOKUP('Données projet'!$B$11,Paramètres!$A$1:$I$89,3,0)*VLOOKUP('Données projet'!$B$11,Paramètres!$A$1:$I$89,5,0)</f>
        <v>245.88720000000006</v>
      </c>
      <c r="BF47" s="13">
        <f t="shared" si="37"/>
        <v>59.704398195633559</v>
      </c>
      <c r="BG47" s="20">
        <f t="shared" si="7"/>
        <v>532.23870019072854</v>
      </c>
      <c r="BH47" s="59">
        <f t="shared" si="8"/>
        <v>825.57203352406191</v>
      </c>
      <c r="BI47" s="59">
        <f ca="1">AVERAGE(OFFSET($BH$3,0,0,'Données projet'!$E$11+1,1))-AVERAGE(OFFSET($H$3,0,0,'Données projet'!$E$11+1,1))</f>
        <v>402.22278907877927</v>
      </c>
      <c r="BJ47" s="59">
        <f t="shared" si="38"/>
        <v>393.06397734082458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21.064030900291971</v>
      </c>
      <c r="BQ47" s="21">
        <f>EXP(-LN(2)/25)*BQ46+(1-EXP(-LN(2)/25))/(LN(2)/25)*Calculateur!BL47*Calculateur!BN47*VLOOKUP('Données projet'!$B$11,Paramètres!$A$1:$I$89,3,0)*0.475*44/12</f>
        <v>30.585096133390611</v>
      </c>
      <c r="BR47" s="21">
        <f>EXP(-LN(2)/2)*BR46+(1-EXP(-LN(2)/2))/(LN(2)/2)*BL47*BO47*VLOOKUP('Données projet'!$B$11,Paramètres!$A$1:$I$89,3,0)*0.475*44/12</f>
        <v>6.9111224480699844</v>
      </c>
      <c r="BS47" s="22">
        <f t="shared" si="9"/>
        <v>58.560249481752564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24.6</v>
      </c>
      <c r="N48" s="13">
        <f>IF('Données projet'!$A$36&gt;35,N47+M48-V47,IF(A48&lt;'Données projet'!$A$36,$K$205^A48,IF(A48='Données projet'!$A$36,'Données projet'!$B$36,N47+M48-V47)))</f>
        <v>544.00000000000034</v>
      </c>
      <c r="O48" s="13">
        <f>N48*VLOOKUP('Données projet'!$B$9,Paramètres!$A$1:$I$89,3,0)*VLOOKUP('Données projet'!$B$9,Paramètres!$A$1:$I$89,5,0)</f>
        <v>304.09600000000017</v>
      </c>
      <c r="P48" s="13">
        <f t="shared" si="33"/>
        <v>72.03446351987327</v>
      </c>
      <c r="Q48" s="20">
        <f t="shared" si="53"/>
        <v>655.09389063044625</v>
      </c>
      <c r="R48" s="59">
        <f t="shared" si="0"/>
        <v>948.42722396377962</v>
      </c>
      <c r="S48" s="59">
        <f ca="1">AVERAGE(OFFSET($R$3,0,0,'Données projet'!$E$9+1,1))-AVERAGE(OFFSET($H$3,0,0,'Données projet'!$E$9+1,1))</f>
        <v>490.7691633858222</v>
      </c>
      <c r="T48" s="59">
        <f t="shared" si="34"/>
        <v>490.82176582457072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9.3334179733176317</v>
      </c>
      <c r="AA48" s="21">
        <f>EXP(-LN(2)/25)*AA47+(1-EXP(-LN(2)/25))/(LN(2)/25)*Calculateur!V48*Calculateur!X48*VLOOKUP('Données projet'!$B$9,Paramètres!$A$1:$I$89,3,0)*0.475*44/12</f>
        <v>29.205394423984544</v>
      </c>
      <c r="AB48" s="21">
        <f>EXP(-LN(2)/2)*AB47+(1-EXP(-LN(2)/2))/(LN(2)/2)*V48*Y48*VLOOKUP('Données projet'!$B$9,Paramètres!$A$1:$I$89,3,0)*0.475*44/12</f>
        <v>0.22220779504885771</v>
      </c>
      <c r="AC48" s="22">
        <f t="shared" si="3"/>
        <v>38.761020192351033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7.0000000000000027</v>
      </c>
      <c r="AI48" s="13">
        <f>IF('Données projet'!$A$62&gt;35,AI47+AH48-AQ47,IF(A48&lt;'Données projet'!$A$62,$AF$205^A48,IF(A48='Données projet'!$A$62,'Données projet'!$B$62,AI47+AH48-AQ47)))</f>
        <v>206.39999999999998</v>
      </c>
      <c r="AJ48" s="13">
        <f>AI48*VLOOKUP('Données projet'!$B$10,Paramètres!$A$1:$I$89,3,0)*VLOOKUP('Données projet'!$B$10,Paramètres!$A$1:$I$89,5,0)</f>
        <v>96.595199999999991</v>
      </c>
      <c r="AK48" s="13">
        <f t="shared" si="35"/>
        <v>26.149222795600728</v>
      </c>
      <c r="AL48" s="20">
        <f t="shared" si="4"/>
        <v>213.77986970233792</v>
      </c>
      <c r="AM48" s="59">
        <f t="shared" si="5"/>
        <v>507.11320303567123</v>
      </c>
      <c r="AN48" s="59">
        <f ca="1">AVERAGE(OFFSET($AM$3,0,0,'Données projet'!$E$10+1,1))-AVERAGE(OFFSET($H$3,0,0,'Données projet'!$E$10+1,1))</f>
        <v>165.03539937460289</v>
      </c>
      <c r="AO48" s="59">
        <f t="shared" si="36"/>
        <v>142.05625724497401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0.64440330676545232</v>
      </c>
      <c r="AV48" s="21">
        <f>EXP(-LN(2)/25)*AV47+(1-EXP(-LN(2)/25))/(LN(2)/25)*Calculateur!AQ48*Calculateur!AS48*VLOOKUP('Données projet'!$B$10,Paramètres!$A$1:$I$89,3,0)*0.475*44/12</f>
        <v>3.151485118510581</v>
      </c>
      <c r="AW48" s="21">
        <f>EXP(-LN(2)/2)*AW47+(1-EXP(-LN(2)/2))/(LN(2)/2)*AQ48*AT48*VLOOKUP('Données projet'!$B$10,Paramètres!$A$1:$I$89,3,0)*0.475*44/12</f>
        <v>3.377379801918598E-2</v>
      </c>
      <c r="AX48" s="21">
        <f t="shared" si="6"/>
        <v>3.8296622232952191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25.3</v>
      </c>
      <c r="BD48" s="12">
        <f>IF('Données projet'!$A$88&gt;35,BD47+BC48-BL47,IF(A48&lt;'Données projet'!$A$88,$BA$205^A48,IF(A48='Données projet'!$A$88,'Données projet'!$B$88,BD47+BC48-BL47)))</f>
        <v>536.50000000000011</v>
      </c>
      <c r="BE48" s="13">
        <f>BD48*VLOOKUP('Données projet'!$B$11,Paramètres!$A$1:$I$89,3,0)*VLOOKUP('Données projet'!$B$11,Paramètres!$A$1:$I$89,5,0)</f>
        <v>258.05650000000009</v>
      </c>
      <c r="BF48" s="13">
        <f t="shared" si="37"/>
        <v>62.307921562887884</v>
      </c>
      <c r="BG48" s="20">
        <f t="shared" si="7"/>
        <v>557.96803422202993</v>
      </c>
      <c r="BH48" s="59">
        <f t="shared" si="8"/>
        <v>851.30136755536319</v>
      </c>
      <c r="BI48" s="59">
        <f ca="1">AVERAGE(OFFSET($BH$3,0,0,'Données projet'!$E$11+1,1))-AVERAGE(OFFSET($H$3,0,0,'Données projet'!$E$11+1,1))</f>
        <v>402.22278907877927</v>
      </c>
      <c r="BJ48" s="59">
        <f t="shared" si="38"/>
        <v>393.06397734082458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20.650978102127482</v>
      </c>
      <c r="BQ48" s="21">
        <f>EXP(-LN(2)/25)*BQ47+(1-EXP(-LN(2)/25))/(LN(2)/25)*Calculateur!BL48*Calculateur!BN48*VLOOKUP('Données projet'!$B$11,Paramètres!$A$1:$I$89,3,0)*0.475*44/12</f>
        <v>29.748745071222743</v>
      </c>
      <c r="BR48" s="21">
        <f>EXP(-LN(2)/2)*BR47+(1-EXP(-LN(2)/2))/(LN(2)/2)*BL48*BO48*VLOOKUP('Données projet'!$B$11,Paramètres!$A$1:$I$89,3,0)*0.475*44/12</f>
        <v>4.8869015486408598</v>
      </c>
      <c r="BS48" s="22">
        <f t="shared" si="9"/>
        <v>55.286624721991082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24.6</v>
      </c>
      <c r="N49" s="13">
        <f>IF('Données projet'!$A$36&gt;35,N48+M49-V48,IF(A49&lt;'Données projet'!$A$36,$K$205^A49,IF(A49='Données projet'!$A$36,'Données projet'!$B$36,N48+M49-V48)))</f>
        <v>568.60000000000036</v>
      </c>
      <c r="O49" s="13">
        <f>N49*VLOOKUP('Données projet'!$B$9,Paramètres!$A$1:$I$89,3,0)*VLOOKUP('Données projet'!$B$9,Paramètres!$A$1:$I$89,5,0)</f>
        <v>317.84740000000022</v>
      </c>
      <c r="P49" s="13">
        <f t="shared" si="33"/>
        <v>74.905287578070485</v>
      </c>
      <c r="Q49" s="20">
        <f t="shared" si="53"/>
        <v>684.04426419847312</v>
      </c>
      <c r="R49" s="59">
        <f t="shared" si="0"/>
        <v>977.37759753180649</v>
      </c>
      <c r="S49" s="59">
        <f ca="1">AVERAGE(OFFSET($R$3,0,0,'Données projet'!$E$9+1,1))-AVERAGE(OFFSET($H$3,0,0,'Données projet'!$E$9+1,1))</f>
        <v>490.7691633858222</v>
      </c>
      <c r="T49" s="59">
        <f t="shared" si="34"/>
        <v>490.82176582457072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9.1503953396837172</v>
      </c>
      <c r="AA49" s="21">
        <f>EXP(-LN(2)/25)*AA48+(1-EXP(-LN(2)/25))/(LN(2)/25)*Calculateur!V49*Calculateur!X49*VLOOKUP('Données projet'!$B$9,Paramètres!$A$1:$I$89,3,0)*0.475*44/12</f>
        <v>28.406771377615744</v>
      </c>
      <c r="AB49" s="21">
        <f>EXP(-LN(2)/2)*AB48+(1-EXP(-LN(2)/2))/(LN(2)/2)*V49*Y49*VLOOKUP('Données projet'!$B$9,Paramètres!$A$1:$I$89,3,0)*0.475*44/12</f>
        <v>0.15712463871155782</v>
      </c>
      <c r="AC49" s="22">
        <f t="shared" si="3"/>
        <v>37.714291356011017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7.0000000000000027</v>
      </c>
      <c r="AI49" s="13">
        <f>IF('Données projet'!$A$62&gt;35,AI48+AH49-AQ48,IF(A49&lt;'Données projet'!$A$62,$AF$205^A49,IF(A49='Données projet'!$A$62,'Données projet'!$B$62,AI48+AH49-AQ48)))</f>
        <v>213.39999999999998</v>
      </c>
      <c r="AJ49" s="13">
        <f>AI49*VLOOKUP('Données projet'!$B$10,Paramètres!$A$1:$I$89,3,0)*VLOOKUP('Données projet'!$B$10,Paramètres!$A$1:$I$89,5,0)</f>
        <v>99.871199999999988</v>
      </c>
      <c r="AK49" s="13">
        <f t="shared" si="35"/>
        <v>26.931310423172796</v>
      </c>
      <c r="AL49" s="20">
        <f t="shared" si="4"/>
        <v>220.8477056536926</v>
      </c>
      <c r="AM49" s="59">
        <f t="shared" si="5"/>
        <v>514.18103898702589</v>
      </c>
      <c r="AN49" s="59">
        <f ca="1">AVERAGE(OFFSET($AM$3,0,0,'Données projet'!$E$10+1,1))-AVERAGE(OFFSET($H$3,0,0,'Données projet'!$E$10+1,1))</f>
        <v>165.03539937460289</v>
      </c>
      <c r="AO49" s="59">
        <f t="shared" si="36"/>
        <v>142.05625724497401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0.63176695096698876</v>
      </c>
      <c r="AV49" s="21">
        <f>EXP(-LN(2)/25)*AV48+(1-EXP(-LN(2)/25))/(LN(2)/25)*Calculateur!AQ49*Calculateur!AS49*VLOOKUP('Données projet'!$B$10,Paramètres!$A$1:$I$89,3,0)*0.475*44/12</f>
        <v>3.0653075922155097</v>
      </c>
      <c r="AW49" s="21">
        <f>EXP(-LN(2)/2)*AW48+(1-EXP(-LN(2)/2))/(LN(2)/2)*AQ49*AT49*VLOOKUP('Données projet'!$B$10,Paramètres!$A$1:$I$89,3,0)*0.475*44/12</f>
        <v>2.3881681605791193E-2</v>
      </c>
      <c r="AX49" s="21">
        <f t="shared" si="6"/>
        <v>3.7209562247882899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25.3</v>
      </c>
      <c r="BD49" s="12">
        <f>IF('Données projet'!$A$88&gt;35,BD48+BC49-BL48,IF(A49&lt;'Données projet'!$A$88,$BA$205^A49,IF(A49='Données projet'!$A$88,'Données projet'!$B$88,BD48+BC49-BL48)))</f>
        <v>561.80000000000007</v>
      </c>
      <c r="BE49" s="13">
        <f>BD49*VLOOKUP('Données projet'!$B$11,Paramètres!$A$1:$I$89,3,0)*VLOOKUP('Données projet'!$B$11,Paramètres!$A$1:$I$89,5,0)</f>
        <v>270.22580000000005</v>
      </c>
      <c r="BF49" s="13">
        <f t="shared" si="37"/>
        <v>64.89718741496803</v>
      </c>
      <c r="BG49" s="20">
        <f t="shared" si="7"/>
        <v>583.67253641440277</v>
      </c>
      <c r="BH49" s="59">
        <f t="shared" si="8"/>
        <v>877.00586974773614</v>
      </c>
      <c r="BI49" s="59">
        <f ca="1">AVERAGE(OFFSET($BH$3,0,0,'Données projet'!$E$11+1,1))-AVERAGE(OFFSET($H$3,0,0,'Données projet'!$E$11+1,1))</f>
        <v>402.22278907877927</v>
      </c>
      <c r="BJ49" s="59">
        <f t="shared" si="38"/>
        <v>393.06397734082458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20.246025017397667</v>
      </c>
      <c r="BQ49" s="21">
        <f>EXP(-LN(2)/25)*BQ48+(1-EXP(-LN(2)/25))/(LN(2)/25)*Calculateur!BL49*Calculateur!BN49*VLOOKUP('Données projet'!$B$11,Paramètres!$A$1:$I$89,3,0)*0.475*44/12</f>
        <v>28.935264072831647</v>
      </c>
      <c r="BR49" s="21">
        <f>EXP(-LN(2)/2)*BR48+(1-EXP(-LN(2)/2))/(LN(2)/2)*BL49*BO49*VLOOKUP('Données projet'!$B$11,Paramètres!$A$1:$I$89,3,0)*0.475*44/12</f>
        <v>3.4555612240349931</v>
      </c>
      <c r="BS49" s="22">
        <f t="shared" si="9"/>
        <v>52.636850314264308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24.6</v>
      </c>
      <c r="N50" s="13">
        <f>IF('Données projet'!$A$36&gt;35,N49+M50-V49,IF(A50&lt;'Données projet'!$A$36,$K$205^A50,IF(A50='Données projet'!$A$36,'Données projet'!$B$36,N49+M50-V49)))</f>
        <v>593.20000000000039</v>
      </c>
      <c r="O50" s="13">
        <f>N50*VLOOKUP('Données projet'!$B$9,Paramètres!$A$1:$I$89,3,0)*VLOOKUP('Données projet'!$B$9,Paramètres!$A$1:$I$89,5,0)</f>
        <v>331.59880000000021</v>
      </c>
      <c r="P50" s="13">
        <f t="shared" si="33"/>
        <v>77.761685905473513</v>
      </c>
      <c r="Q50" s="20">
        <f t="shared" si="53"/>
        <v>712.96951295203337</v>
      </c>
      <c r="R50" s="59">
        <f t="shared" si="0"/>
        <v>1006.3028462853667</v>
      </c>
      <c r="S50" s="59">
        <f ca="1">AVERAGE(OFFSET($R$3,0,0,'Données projet'!$E$9+1,1))-AVERAGE(OFFSET($H$3,0,0,'Données projet'!$E$9+1,1))</f>
        <v>490.7691633858222</v>
      </c>
      <c r="T50" s="59">
        <f t="shared" si="34"/>
        <v>490.82176582457072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8.9709616682625803</v>
      </c>
      <c r="AA50" s="21">
        <f>EXP(-LN(2)/25)*AA49+(1-EXP(-LN(2)/25))/(LN(2)/25)*Calculateur!V50*Calculateur!X50*VLOOKUP('Données projet'!$B$9,Paramètres!$A$1:$I$89,3,0)*0.475*44/12</f>
        <v>27.629986720447658</v>
      </c>
      <c r="AB50" s="21">
        <f>EXP(-LN(2)/2)*AB49+(1-EXP(-LN(2)/2))/(LN(2)/2)*V50*Y50*VLOOKUP('Données projet'!$B$9,Paramètres!$A$1:$I$89,3,0)*0.475*44/12</f>
        <v>0.11110389752442885</v>
      </c>
      <c r="AC50" s="22">
        <f t="shared" si="3"/>
        <v>36.712052286234666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7.0000000000000027</v>
      </c>
      <c r="AI50" s="13">
        <f>IF('Données projet'!$A$62&gt;35,AI49+AH50-AQ49,IF(A50&lt;'Données projet'!$A$62,$AF$205^A50,IF(A50='Données projet'!$A$62,'Données projet'!$B$62,AI49+AH50-AQ49)))</f>
        <v>220.39999999999998</v>
      </c>
      <c r="AJ50" s="13">
        <f>AI50*VLOOKUP('Données projet'!$B$10,Paramètres!$A$1:$I$89,3,0)*VLOOKUP('Données projet'!$B$10,Paramètres!$A$1:$I$89,5,0)</f>
        <v>103.1472</v>
      </c>
      <c r="AK50" s="13">
        <f t="shared" si="35"/>
        <v>27.710417026801451</v>
      </c>
      <c r="AL50" s="20">
        <f t="shared" si="4"/>
        <v>227.91034965501251</v>
      </c>
      <c r="AM50" s="59">
        <f t="shared" si="5"/>
        <v>521.24368298834588</v>
      </c>
      <c r="AN50" s="59">
        <f ca="1">AVERAGE(OFFSET($AM$3,0,0,'Données projet'!$E$10+1,1))-AVERAGE(OFFSET($H$3,0,0,'Données projet'!$E$10+1,1))</f>
        <v>165.03539937460289</v>
      </c>
      <c r="AO50" s="59">
        <f t="shared" si="36"/>
        <v>142.05625724497401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0.6193783863983171</v>
      </c>
      <c r="AV50" s="21">
        <f>EXP(-LN(2)/25)*AV49+(1-EXP(-LN(2)/25))/(LN(2)/25)*Calculateur!AQ50*Calculateur!AS50*VLOOKUP('Données projet'!$B$10,Paramètres!$A$1:$I$89,3,0)*0.475*44/12</f>
        <v>2.9814865949088563</v>
      </c>
      <c r="AW50" s="21">
        <f>EXP(-LN(2)/2)*AW49+(1-EXP(-LN(2)/2))/(LN(2)/2)*AQ50*AT50*VLOOKUP('Données projet'!$B$10,Paramètres!$A$1:$I$89,3,0)*0.475*44/12</f>
        <v>1.688689900959299E-2</v>
      </c>
      <c r="AX50" s="21">
        <f t="shared" si="6"/>
        <v>3.6177518803167663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25.3</v>
      </c>
      <c r="BD50" s="12">
        <f>IF('Données projet'!$A$88&gt;35,BD49+BC50-BL49,IF(A50&lt;'Données projet'!$A$88,$BA$205^A50,IF(A50='Données projet'!$A$88,'Données projet'!$B$88,BD49+BC50-BL49)))</f>
        <v>587.1</v>
      </c>
      <c r="BE50" s="13">
        <f>BD50*VLOOKUP('Données projet'!$B$11,Paramètres!$A$1:$I$89,3,0)*VLOOKUP('Données projet'!$B$11,Paramètres!$A$1:$I$89,5,0)</f>
        <v>282.39510000000001</v>
      </c>
      <c r="BF50" s="13">
        <f t="shared" si="37"/>
        <v>67.472911177823008</v>
      </c>
      <c r="BG50" s="20">
        <f t="shared" si="7"/>
        <v>609.35345280137506</v>
      </c>
      <c r="BH50" s="59">
        <f t="shared" si="8"/>
        <v>902.68678613470843</v>
      </c>
      <c r="BI50" s="59">
        <f ca="1">AVERAGE(OFFSET($BH$3,0,0,'Données projet'!$E$11+1,1))-AVERAGE(OFFSET($H$3,0,0,'Données projet'!$E$11+1,1))</f>
        <v>402.22278907877927</v>
      </c>
      <c r="BJ50" s="59">
        <f t="shared" si="38"/>
        <v>393.06397734082458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19.849012815662412</v>
      </c>
      <c r="BQ50" s="21">
        <f>EXP(-LN(2)/25)*BQ49+(1-EXP(-LN(2)/25))/(LN(2)/25)*Calculateur!BL50*Calculateur!BN50*VLOOKUP('Données projet'!$B$11,Paramètres!$A$1:$I$89,3,0)*0.475*44/12</f>
        <v>28.144027755120661</v>
      </c>
      <c r="BR50" s="21">
        <f>EXP(-LN(2)/2)*BR49+(1-EXP(-LN(2)/2))/(LN(2)/2)*BL50*BO50*VLOOKUP('Données projet'!$B$11,Paramètres!$A$1:$I$89,3,0)*0.475*44/12</f>
        <v>2.4434507743204303</v>
      </c>
      <c r="BS50" s="22">
        <f t="shared" si="9"/>
        <v>50.436491345103505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24.6</v>
      </c>
      <c r="N51" s="13">
        <f>IF('Données projet'!$A$36&gt;35,N50+M51-V50,IF(A51&lt;'Données projet'!$A$36,$K$205^A51,IF(A51='Données projet'!$A$36,'Données projet'!$B$36,N50+M51-V50)))</f>
        <v>617.80000000000041</v>
      </c>
      <c r="O51" s="13">
        <f>N51*VLOOKUP('Données projet'!$B$9,Paramètres!$A$1:$I$89,3,0)*VLOOKUP('Données projet'!$B$9,Paramètres!$A$1:$I$89,5,0)</f>
        <v>345.35020000000026</v>
      </c>
      <c r="P51" s="13">
        <f t="shared" si="33"/>
        <v>80.604325151919511</v>
      </c>
      <c r="Q51" s="20">
        <f t="shared" si="53"/>
        <v>741.87079797292688</v>
      </c>
      <c r="R51" s="59">
        <f t="shared" si="0"/>
        <v>1035.2041313062603</v>
      </c>
      <c r="S51" s="59">
        <f ca="1">AVERAGE(OFFSET($R$3,0,0,'Données projet'!$E$9+1,1))-AVERAGE(OFFSET($H$3,0,0,'Données projet'!$E$9+1,1))</f>
        <v>490.7691633858222</v>
      </c>
      <c r="T51" s="59">
        <f t="shared" si="34"/>
        <v>490.82176582457072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8.7950465816942796</v>
      </c>
      <c r="AA51" s="21">
        <f>EXP(-LN(2)/25)*AA50+(1-EXP(-LN(2)/25))/(LN(2)/25)*Calculateur!V51*Calculateur!X51*VLOOKUP('Données projet'!$B$9,Paramètres!$A$1:$I$89,3,0)*0.475*44/12</f>
        <v>26.874443280579165</v>
      </c>
      <c r="AB51" s="21">
        <f>EXP(-LN(2)/2)*AB50+(1-EXP(-LN(2)/2))/(LN(2)/2)*V51*Y51*VLOOKUP('Données projet'!$B$9,Paramètres!$A$1:$I$89,3,0)*0.475*44/12</f>
        <v>7.8562319355778912E-2</v>
      </c>
      <c r="AC51" s="22">
        <f t="shared" si="3"/>
        <v>35.74805218162922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7.0000000000000027</v>
      </c>
      <c r="AI51" s="13">
        <f>IF('Données projet'!$A$62&gt;35,AI50+AH51-AQ50,IF(A51&lt;'Données projet'!$A$62,$AF$205^A51,IF(A51='Données projet'!$A$62,'Données projet'!$B$62,AI50+AH51-AQ50)))</f>
        <v>227.39999999999998</v>
      </c>
      <c r="AJ51" s="13">
        <f>AI51*VLOOKUP('Données projet'!$B$10,Paramètres!$A$1:$I$89,3,0)*VLOOKUP('Données projet'!$B$10,Paramètres!$A$1:$I$89,5,0)</f>
        <v>106.42319999999999</v>
      </c>
      <c r="AK51" s="13">
        <f t="shared" si="35"/>
        <v>28.486648146569141</v>
      </c>
      <c r="AL51" s="20">
        <f t="shared" si="4"/>
        <v>234.96798552194124</v>
      </c>
      <c r="AM51" s="59">
        <f t="shared" si="5"/>
        <v>528.30131885527453</v>
      </c>
      <c r="AN51" s="59">
        <f ca="1">AVERAGE(OFFSET($AM$3,0,0,'Données projet'!$E$10+1,1))-AVERAGE(OFFSET($H$3,0,0,'Données projet'!$E$10+1,1))</f>
        <v>165.03539937460289</v>
      </c>
      <c r="AO51" s="59">
        <f t="shared" si="36"/>
        <v>142.05625724497401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0.60723275402455879</v>
      </c>
      <c r="AV51" s="21">
        <f>EXP(-LN(2)/25)*AV50+(1-EXP(-LN(2)/25))/(LN(2)/25)*Calculateur!AQ51*Calculateur!AS51*VLOOKUP('Données projet'!$B$10,Paramètres!$A$1:$I$89,3,0)*0.475*44/12</f>
        <v>2.8999576871815078</v>
      </c>
      <c r="AW51" s="21">
        <f>EXP(-LN(2)/2)*AW50+(1-EXP(-LN(2)/2))/(LN(2)/2)*AQ51*AT51*VLOOKUP('Données projet'!$B$10,Paramètres!$A$1:$I$89,3,0)*0.475*44/12</f>
        <v>1.1940840802895597E-2</v>
      </c>
      <c r="AX51" s="21">
        <f t="shared" si="6"/>
        <v>3.5191312820089626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25.3</v>
      </c>
      <c r="BD51" s="12">
        <f>IF('Données projet'!$A$88&gt;35,BD50+BC51-BL50,IF(A51&lt;'Données projet'!$A$88,$BA$205^A51,IF(A51='Données projet'!$A$88,'Données projet'!$B$88,BD50+BC51-BL50)))</f>
        <v>612.4</v>
      </c>
      <c r="BE51" s="13">
        <f>BD51*VLOOKUP('Données projet'!$B$11,Paramètres!$A$1:$I$89,3,0)*VLOOKUP('Données projet'!$B$11,Paramètres!$A$1:$I$89,5,0)</f>
        <v>294.56439999999998</v>
      </c>
      <c r="BF51" s="13">
        <f t="shared" si="37"/>
        <v>70.035743130266553</v>
      </c>
      <c r="BG51" s="20">
        <f t="shared" si="7"/>
        <v>635.01191595188084</v>
      </c>
      <c r="BH51" s="59">
        <f t="shared" si="8"/>
        <v>928.34524928521409</v>
      </c>
      <c r="BI51" s="59">
        <f ca="1">AVERAGE(OFFSET($BH$3,0,0,'Données projet'!$E$11+1,1))-AVERAGE(OFFSET($H$3,0,0,'Données projet'!$E$11+1,1))</f>
        <v>402.22278907877927</v>
      </c>
      <c r="BJ51" s="59">
        <f t="shared" si="38"/>
        <v>393.06397734082458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19.459785781049654</v>
      </c>
      <c r="BQ51" s="21">
        <f>EXP(-LN(2)/25)*BQ50+(1-EXP(-LN(2)/25))/(LN(2)/25)*Calculateur!BL51*Calculateur!BN51*VLOOKUP('Données projet'!$B$11,Paramètres!$A$1:$I$89,3,0)*0.475*44/12</f>
        <v>27.374427836126792</v>
      </c>
      <c r="BR51" s="21">
        <f>EXP(-LN(2)/2)*BR50+(1-EXP(-LN(2)/2))/(LN(2)/2)*BL51*BO51*VLOOKUP('Données projet'!$B$11,Paramètres!$A$1:$I$89,3,0)*0.475*44/12</f>
        <v>1.7277806120174968</v>
      </c>
      <c r="BS51" s="22">
        <f t="shared" si="9"/>
        <v>48.561994229193942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24.6</v>
      </c>
      <c r="N52" s="13">
        <f>IF('Données projet'!$A$36&gt;35,N51+M52-V51,IF(A52&lt;'Données projet'!$A$36,$K$205^A52,IF(A52='Données projet'!$A$36,'Données projet'!$B$36,N51+M52-V51)))</f>
        <v>642.40000000000043</v>
      </c>
      <c r="O52" s="13">
        <f>N52*VLOOKUP('Données projet'!$B$9,Paramètres!$A$1:$I$89,3,0)*VLOOKUP('Données projet'!$B$9,Paramètres!$A$1:$I$89,5,0)</f>
        <v>359.10160000000025</v>
      </c>
      <c r="P52" s="13">
        <f t="shared" si="33"/>
        <v>83.43381587172361</v>
      </c>
      <c r="Q52" s="20">
        <f t="shared" si="53"/>
        <v>770.74918264325231</v>
      </c>
      <c r="R52" s="59">
        <f t="shared" si="0"/>
        <v>1064.0825159765857</v>
      </c>
      <c r="S52" s="59">
        <f ca="1">AVERAGE(OFFSET($R$3,0,0,'Données projet'!$E$9+1,1))-AVERAGE(OFFSET($H$3,0,0,'Données projet'!$E$9+1,1))</f>
        <v>490.7691633858222</v>
      </c>
      <c r="T52" s="59">
        <f t="shared" si="34"/>
        <v>490.82176582457072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8.6225810826759748</v>
      </c>
      <c r="AA52" s="21">
        <f>EXP(-LN(2)/25)*AA51+(1-EXP(-LN(2)/25))/(LN(2)/25)*Calculateur!V52*Calculateur!X52*VLOOKUP('Données projet'!$B$9,Paramètres!$A$1:$I$89,3,0)*0.475*44/12</f>
        <v>26.139560215806178</v>
      </c>
      <c r="AB52" s="21">
        <f>EXP(-LN(2)/2)*AB51+(1-EXP(-LN(2)/2))/(LN(2)/2)*V52*Y52*VLOOKUP('Données projet'!$B$9,Paramètres!$A$1:$I$89,3,0)*0.475*44/12</f>
        <v>5.5551948762214427E-2</v>
      </c>
      <c r="AC52" s="22">
        <f t="shared" si="3"/>
        <v>34.817693247244364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7.0000000000000027</v>
      </c>
      <c r="AI52" s="13">
        <f>IF('Données projet'!$A$62&gt;35,AI51+AH52-AQ51,IF(A52&lt;'Données projet'!$A$62,$AF$205^A52,IF(A52='Données projet'!$A$62,'Données projet'!$B$62,AI51+AH52-AQ51)))</f>
        <v>234.39999999999998</v>
      </c>
      <c r="AJ52" s="13">
        <f>AI52*VLOOKUP('Données projet'!$B$10,Paramètres!$A$1:$I$89,3,0)*VLOOKUP('Données projet'!$B$10,Paramètres!$A$1:$I$89,5,0)</f>
        <v>109.69919999999999</v>
      </c>
      <c r="AK52" s="13">
        <f t="shared" si="35"/>
        <v>29.260102455780586</v>
      </c>
      <c r="AL52" s="20">
        <f t="shared" si="4"/>
        <v>242.02078511048447</v>
      </c>
      <c r="AM52" s="59">
        <f t="shared" si="5"/>
        <v>535.35411844381781</v>
      </c>
      <c r="AN52" s="59">
        <f ca="1">AVERAGE(OFFSET($AM$3,0,0,'Données projet'!$E$10+1,1))-AVERAGE(OFFSET($H$3,0,0,'Données projet'!$E$10+1,1))</f>
        <v>165.03539937460289</v>
      </c>
      <c r="AO52" s="59">
        <f t="shared" si="36"/>
        <v>142.05625724497401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0.59532529009354562</v>
      </c>
      <c r="AV52" s="21">
        <f>EXP(-LN(2)/25)*AV51+(1-EXP(-LN(2)/25))/(LN(2)/25)*Calculateur!AQ52*Calculateur!AS52*VLOOKUP('Données projet'!$B$10,Paramètres!$A$1:$I$89,3,0)*0.475*44/12</f>
        <v>2.8206581917233828</v>
      </c>
      <c r="AW52" s="21">
        <f>EXP(-LN(2)/2)*AW51+(1-EXP(-LN(2)/2))/(LN(2)/2)*AQ52*AT52*VLOOKUP('Données projet'!$B$10,Paramètres!$A$1:$I$89,3,0)*0.475*44/12</f>
        <v>8.443449504796495E-3</v>
      </c>
      <c r="AX52" s="21">
        <f t="shared" si="6"/>
        <v>3.424426931321725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25.3</v>
      </c>
      <c r="BD52" s="12">
        <f>IF('Données projet'!$A$88&gt;35,BD51+BC52-BL51,IF(A52&lt;'Données projet'!$A$88,$BA$205^A52,IF(A52='Données projet'!$A$88,'Données projet'!$B$88,BD51+BC52-BL51)))</f>
        <v>637.69999999999993</v>
      </c>
      <c r="BE52" s="13">
        <f>BD52*VLOOKUP('Données projet'!$B$11,Paramètres!$A$1:$I$89,3,0)*VLOOKUP('Données projet'!$B$11,Paramètres!$A$1:$I$89,5,0)</f>
        <v>306.7337</v>
      </c>
      <c r="BF52" s="13">
        <f t="shared" si="37"/>
        <v>72.586276781239746</v>
      </c>
      <c r="BG52" s="20">
        <f t="shared" si="7"/>
        <v>660.64895956065914</v>
      </c>
      <c r="BH52" s="59">
        <f t="shared" si="8"/>
        <v>953.98229289399251</v>
      </c>
      <c r="BI52" s="59">
        <f ca="1">AVERAGE(OFFSET($BH$3,0,0,'Données projet'!$E$11+1,1))-AVERAGE(OFFSET($H$3,0,0,'Données projet'!$E$11+1,1))</f>
        <v>402.22278907877927</v>
      </c>
      <c r="BJ52" s="59">
        <f t="shared" si="38"/>
        <v>393.06397734082458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19.078191251180602</v>
      </c>
      <c r="BQ52" s="21">
        <f>EXP(-LN(2)/25)*BQ51+(1-EXP(-LN(2)/25))/(LN(2)/25)*Calculateur!BL52*Calculateur!BN52*VLOOKUP('Données projet'!$B$11,Paramètres!$A$1:$I$89,3,0)*0.475*44/12</f>
        <v>26.625872667389309</v>
      </c>
      <c r="BR52" s="21">
        <f>EXP(-LN(2)/2)*BR51+(1-EXP(-LN(2)/2))/(LN(2)/2)*BL52*BO52*VLOOKUP('Données projet'!$B$11,Paramètres!$A$1:$I$89,3,0)*0.475*44/12</f>
        <v>1.2217253871602154</v>
      </c>
      <c r="BS52" s="22">
        <f t="shared" si="9"/>
        <v>46.925789305730127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667</v>
      </c>
      <c r="L53" s="12">
        <f>VLOOKUP(A53,'Données projet'!$A$35:$I$55,9,0)</f>
        <v>24.6</v>
      </c>
      <c r="M53" s="12">
        <f t="array" ref="M53">INDEX(L:L,MIN(IF(ISNUMBER(L53:L249),ROW(L53:L249),"")))</f>
        <v>24.6</v>
      </c>
      <c r="N53" s="13">
        <f>IF('Données projet'!$A$36&gt;35,N52+M53-V52,IF(A53&lt;'Données projet'!$A$36,$K$205^A53,IF(A53='Données projet'!$A$36,'Données projet'!$B$36,N52+M53-V52)))</f>
        <v>667.00000000000045</v>
      </c>
      <c r="O53" s="13">
        <f>N53*VLOOKUP('Données projet'!$B$9,Paramètres!$A$1:$I$89,3,0)*VLOOKUP('Données projet'!$B$9,Paramètres!$A$1:$I$89,5,0)</f>
        <v>372.85300000000024</v>
      </c>
      <c r="P53" s="13">
        <f t="shared" si="33"/>
        <v>86.250719209905597</v>
      </c>
      <c r="Q53" s="20">
        <f t="shared" si="53"/>
        <v>799.60564429058593</v>
      </c>
      <c r="R53" s="59">
        <f t="shared" si="0"/>
        <v>1092.9389776239193</v>
      </c>
      <c r="S53" s="59">
        <f ca="1">AVERAGE(OFFSET($R$3,0,0,'Données projet'!$E$9+1,1))-AVERAGE(OFFSET($H$3,0,0,'Données projet'!$E$9+1,1))</f>
        <v>490.7691633858222</v>
      </c>
      <c r="T53" s="59">
        <f t="shared" si="34"/>
        <v>490.82176582457072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138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8.4534975268998505</v>
      </c>
      <c r="AA53" s="21">
        <f>EXP(-LN(2)/25)*AA52+(1-EXP(-LN(2)/25))/(LN(2)/25)*Calculateur!V53*Calculateur!X53*VLOOKUP('Données projet'!$B$9,Paramètres!$A$1:$I$89,3,0)*0.475*44/12</f>
        <v>25.424772567085228</v>
      </c>
      <c r="AB53" s="21">
        <f>EXP(-LN(2)/2)*AB52+(1-EXP(-LN(2)/2))/(LN(2)/2)*V53*Y53*VLOOKUP('Données projet'!$B$9,Paramètres!$A$1:$I$89,3,0)*0.475*44/12</f>
        <v>3.9281159677889456E-2</v>
      </c>
      <c r="AC53" s="22">
        <f t="shared" si="3"/>
        <v>33.917551253662971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241.4</v>
      </c>
      <c r="AG53" s="12">
        <f>VLOOKUP(A53,'Données projet'!$A$61:$I$81,9,0)</f>
        <v>7.0000000000000027</v>
      </c>
      <c r="AH53" s="12">
        <f t="array" ref="AH53">INDEX(AG:AG,MIN(IF(ISNUMBER(AG53:AG249),ROW(AG53:AG249),"")))</f>
        <v>7.0000000000000027</v>
      </c>
      <c r="AI53" s="13">
        <f>IF('Données projet'!$A$62&gt;35,AI52+AH53-AQ52,IF(A53&lt;'Données projet'!$A$62,$AF$205^A53,IF(A53='Données projet'!$A$62,'Données projet'!$B$62,AI52+AH53-AQ52)))</f>
        <v>241.39999999999998</v>
      </c>
      <c r="AJ53" s="13">
        <f>AI53*VLOOKUP('Données projet'!$B$10,Paramètres!$A$1:$I$89,3,0)*VLOOKUP('Données projet'!$B$10,Paramètres!$A$1:$I$89,5,0)</f>
        <v>112.97519999999999</v>
      </c>
      <c r="AK53" s="13">
        <f t="shared" si="35"/>
        <v>30.030872399306435</v>
      </c>
      <c r="AL53" s="20">
        <f t="shared" si="4"/>
        <v>249.06890942879204</v>
      </c>
      <c r="AM53" s="59">
        <f t="shared" si="5"/>
        <v>542.4022427621253</v>
      </c>
      <c r="AN53" s="59">
        <f ca="1">AVERAGE(OFFSET($AM$3,0,0,'Données projet'!$E$10+1,1))-AVERAGE(OFFSET($H$3,0,0,'Données projet'!$E$10+1,1))</f>
        <v>165.03539937460289</v>
      </c>
      <c r="AO53" s="59">
        <f t="shared" si="36"/>
        <v>142.05625724497401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46.3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0.58365132426738375</v>
      </c>
      <c r="AV53" s="21">
        <f>EXP(-LN(2)/25)*AV52+(1-EXP(-LN(2)/25))/(LN(2)/25)*Calculateur!AQ53*Calculateur!AS53*VLOOKUP('Données projet'!$B$10,Paramètres!$A$1:$I$89,3,0)*0.475*44/12</f>
        <v>2.7435271451387395</v>
      </c>
      <c r="AW53" s="21">
        <f>EXP(-LN(2)/2)*AW52+(1-EXP(-LN(2)/2))/(LN(2)/2)*AQ53*AT53*VLOOKUP('Données projet'!$B$10,Paramètres!$A$1:$I$89,3,0)*0.475*44/12</f>
        <v>5.9704204014477983E-3</v>
      </c>
      <c r="AX53" s="21">
        <f t="shared" si="6"/>
        <v>3.3331488898075712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663</v>
      </c>
      <c r="BB53" s="12">
        <f>VLOOKUP(A53,'Données projet'!$A$87:$I$107,9,0)</f>
        <v>25.3</v>
      </c>
      <c r="BC53" s="12">
        <f t="array" ref="BC53">INDEX(BB:BB,MIN(IF(ISNUMBER(BB53:BB249),ROW(BB53:BB249),"")))</f>
        <v>25.3</v>
      </c>
      <c r="BD53" s="12">
        <f>IF('Données projet'!$A$88&gt;35,BD52+BC53-BL52,IF(A53&lt;'Données projet'!$A$88,$BA$205^A53,IF(A53='Données projet'!$A$88,'Données projet'!$B$88,BD52+BC53-BL52)))</f>
        <v>662.99999999999989</v>
      </c>
      <c r="BE53" s="13">
        <f>BD53*VLOOKUP('Données projet'!$B$11,Paramètres!$A$1:$I$89,3,0)*VLOOKUP('Données projet'!$B$11,Paramètres!$A$1:$I$89,5,0)</f>
        <v>318.90299999999996</v>
      </c>
      <c r="BF53" s="13">
        <f t="shared" si="37"/>
        <v>75.125055880226313</v>
      </c>
      <c r="BG53" s="20">
        <f t="shared" si="7"/>
        <v>686.26553065806058</v>
      </c>
      <c r="BH53" s="59">
        <f t="shared" si="8"/>
        <v>979.59886399139396</v>
      </c>
      <c r="BI53" s="59">
        <f ca="1">AVERAGE(OFFSET($BH$3,0,0,'Données projet'!$E$11+1,1))-AVERAGE(OFFSET($H$3,0,0,'Données projet'!$E$11+1,1))</f>
        <v>402.22278907877927</v>
      </c>
      <c r="BJ53" s="59">
        <f t="shared" si="38"/>
        <v>393.06397734082458</v>
      </c>
      <c r="BK53" s="15">
        <f>IF(ISNA(VLOOKUP(A53,'Données projet'!$A$87:$I$107,3,0)),0,VLOOKUP(A53,'Données projet'!$A$87:$I$107,3,0))</f>
        <v>5</v>
      </c>
      <c r="BL53" s="15">
        <f>IF(ISNA(VLOOKUP(A53,'Données projet'!$A$87:$I$107,4,0)),0,VLOOKUP(A53,'Données projet'!$A$87:$I$107,4,0))</f>
        <v>140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18.704079557292602</v>
      </c>
      <c r="BQ53" s="21">
        <f>EXP(-LN(2)/25)*BQ52+(1-EXP(-LN(2)/25))/(LN(2)/25)*Calculateur!BL53*Calculateur!BN53*VLOOKUP('Données projet'!$B$11,Paramètres!$A$1:$I$89,3,0)*0.475*44/12</f>
        <v>25.897786779105758</v>
      </c>
      <c r="BR53" s="21">
        <f>EXP(-LN(2)/2)*BR52+(1-EXP(-LN(2)/2))/(LN(2)/2)*BL53*BO53*VLOOKUP('Données projet'!$B$11,Paramètres!$A$1:$I$89,3,0)*0.475*44/12</f>
        <v>0.8638903060087485</v>
      </c>
      <c r="BS53" s="22">
        <f t="shared" si="9"/>
        <v>45.465756642407108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20.6</v>
      </c>
      <c r="N54" s="13">
        <f>IF('Données projet'!$A$36&gt;35,N53+M54-V53,IF(A54&lt;'Données projet'!$A$36,$K$205^A54,IF(A54='Données projet'!$A$36,'Données projet'!$B$36,N53+M54-V53)))</f>
        <v>549.60000000000048</v>
      </c>
      <c r="O54" s="13">
        <f>N54*VLOOKUP('Données projet'!$B$9,Paramètres!$A$1:$I$89,3,0)*VLOOKUP('Données projet'!$B$9,Paramètres!$A$1:$I$89,5,0)</f>
        <v>307.2264000000003</v>
      </c>
      <c r="P54" s="13">
        <f t="shared" si="33"/>
        <v>72.689289468980533</v>
      </c>
      <c r="Q54" s="20">
        <f t="shared" si="53"/>
        <v>661.68649249180817</v>
      </c>
      <c r="R54" s="59">
        <f t="shared" si="0"/>
        <v>955.01982582514142</v>
      </c>
      <c r="S54" s="59">
        <f ca="1">AVERAGE(OFFSET($R$3,0,0,'Données projet'!$E$9+1,1))-AVERAGE(OFFSET($H$3,0,0,'Données projet'!$E$9+1,1))</f>
        <v>490.7691633858222</v>
      </c>
      <c r="T54" s="59">
        <f t="shared" si="34"/>
        <v>490.82176582457072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8.2877295965217108</v>
      </c>
      <c r="AA54" s="21">
        <f>EXP(-LN(2)/25)*AA53+(1-EXP(-LN(2)/25))/(LN(2)/25)*Calculateur!V54*Calculateur!X54*VLOOKUP('Données projet'!$B$9,Paramètres!$A$1:$I$89,3,0)*0.475*44/12</f>
        <v>24.7295308242076</v>
      </c>
      <c r="AB54" s="21">
        <f>EXP(-LN(2)/2)*AB53+(1-EXP(-LN(2)/2))/(LN(2)/2)*V54*Y54*VLOOKUP('Données projet'!$B$9,Paramètres!$A$1:$I$89,3,0)*0.475*44/12</f>
        <v>2.7775974381107214E-2</v>
      </c>
      <c r="AC54" s="22">
        <f t="shared" si="3"/>
        <v>33.045036395110422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</v>
      </c>
      <c r="AI54" s="13">
        <f>IF('Données projet'!$A$62&gt;35,AI53+AH54-AQ53,IF(A54&lt;'Données projet'!$A$62,$AF$205^A54,IF(A54='Données projet'!$A$62,'Données projet'!$B$62,AI53+AH54-AQ53)))</f>
        <v>203.09999999999997</v>
      </c>
      <c r="AJ54" s="13">
        <f>AI54*VLOOKUP('Données projet'!$B$10,Paramètres!$A$1:$I$89,3,0)*VLOOKUP('Données projet'!$B$10,Paramètres!$A$1:$I$89,5,0)</f>
        <v>95.050799999999981</v>
      </c>
      <c r="AK54" s="13">
        <f t="shared" si="35"/>
        <v>25.779458396145792</v>
      </c>
      <c r="AL54" s="20">
        <f t="shared" si="4"/>
        <v>210.44603337328724</v>
      </c>
      <c r="AM54" s="59">
        <f t="shared" si="5"/>
        <v>503.77936670662052</v>
      </c>
      <c r="AN54" s="59">
        <f ca="1">AVERAGE(OFFSET($AM$3,0,0,'Données projet'!$E$10+1,1))-AVERAGE(OFFSET($H$3,0,0,'Données projet'!$E$10+1,1))</f>
        <v>165.03539937460289</v>
      </c>
      <c r="AO54" s="59">
        <f t="shared" si="36"/>
        <v>142.05625724497401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0.5722062777906568</v>
      </c>
      <c r="AV54" s="21">
        <f>EXP(-LN(2)/25)*AV53+(1-EXP(-LN(2)/25))/(LN(2)/25)*Calculateur!AQ54*Calculateur!AS54*VLOOKUP('Données projet'!$B$10,Paramètres!$A$1:$I$89,3,0)*0.475*44/12</f>
        <v>2.6685052510790985</v>
      </c>
      <c r="AW54" s="21">
        <f>EXP(-LN(2)/2)*AW53+(1-EXP(-LN(2)/2))/(LN(2)/2)*AQ54*AT54*VLOOKUP('Données projet'!$B$10,Paramètres!$A$1:$I$89,3,0)*0.475*44/12</f>
        <v>4.2217247523982475E-3</v>
      </c>
      <c r="AX54" s="21">
        <f t="shared" si="6"/>
        <v>3.2449332536221536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22.9</v>
      </c>
      <c r="BD54" s="12">
        <f>IF('Données projet'!$A$88&gt;35,BD53+BC54-BL53,IF(A54&lt;'Données projet'!$A$88,$BA$205^A54,IF(A54='Données projet'!$A$88,'Données projet'!$B$88,BD53+BC54-BL53)))</f>
        <v>545.89999999999986</v>
      </c>
      <c r="BE54" s="13">
        <f>BD54*VLOOKUP('Données projet'!$B$11,Paramètres!$A$1:$I$89,3,0)*VLOOKUP('Données projet'!$B$11,Paramètres!$A$1:$I$89,5,0)</f>
        <v>262.57789999999994</v>
      </c>
      <c r="BF54" s="13">
        <f t="shared" si="37"/>
        <v>63.271566131751015</v>
      </c>
      <c r="BG54" s="20">
        <f t="shared" si="7"/>
        <v>567.52115351279951</v>
      </c>
      <c r="BH54" s="59">
        <f t="shared" si="8"/>
        <v>860.85448684613289</v>
      </c>
      <c r="BI54" s="59">
        <f ca="1">AVERAGE(OFFSET($BH$3,0,0,'Données projet'!$E$11+1,1))-AVERAGE(OFFSET($H$3,0,0,'Données projet'!$E$11+1,1))</f>
        <v>402.22278907877927</v>
      </c>
      <c r="BJ54" s="59">
        <f t="shared" si="38"/>
        <v>393.06397734082458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18.33730396553614</v>
      </c>
      <c r="BQ54" s="21">
        <f>EXP(-LN(2)/25)*BQ53+(1-EXP(-LN(2)/25))/(LN(2)/25)*Calculateur!BL54*Calculateur!BN54*VLOOKUP('Données projet'!$B$11,Paramètres!$A$1:$I$89,3,0)*0.475*44/12</f>
        <v>25.189610437725694</v>
      </c>
      <c r="BR54" s="21">
        <f>EXP(-LN(2)/2)*BR53+(1-EXP(-LN(2)/2))/(LN(2)/2)*BL54*BO54*VLOOKUP('Données projet'!$B$11,Paramètres!$A$1:$I$89,3,0)*0.475*44/12</f>
        <v>0.6108626935801077</v>
      </c>
      <c r="BS54" s="22">
        <f t="shared" si="9"/>
        <v>44.137777096841944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20.6</v>
      </c>
      <c r="N55" s="13">
        <f>IF('Données projet'!$A$36&gt;35,N54+M55-V54,IF(A55&lt;'Données projet'!$A$36,$K$205^A55,IF(A55='Données projet'!$A$36,'Données projet'!$B$36,N54+M55-V54)))</f>
        <v>570.2000000000005</v>
      </c>
      <c r="O55" s="13">
        <f>N55*VLOOKUP('Données projet'!$B$9,Paramètres!$A$1:$I$89,3,0)*VLOOKUP('Données projet'!$B$9,Paramètres!$A$1:$I$89,5,0)</f>
        <v>318.7418000000003</v>
      </c>
      <c r="P55" s="13">
        <f t="shared" si="33"/>
        <v>75.091500688337987</v>
      </c>
      <c r="Q55" s="20">
        <f t="shared" si="53"/>
        <v>685.92633203218918</v>
      </c>
      <c r="R55" s="59">
        <f t="shared" si="0"/>
        <v>979.25966536552255</v>
      </c>
      <c r="S55" s="59">
        <f ca="1">AVERAGE(OFFSET($R$3,0,0,'Données projet'!$E$9+1,1))-AVERAGE(OFFSET($H$3,0,0,'Données projet'!$E$9+1,1))</f>
        <v>490.7691633858222</v>
      </c>
      <c r="T55" s="59">
        <f t="shared" si="34"/>
        <v>490.82176582457072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8.1252122741498329</v>
      </c>
      <c r="AA55" s="21">
        <f>EXP(-LN(2)/25)*AA54+(1-EXP(-LN(2)/25))/(LN(2)/25)*Calculateur!V55*Calculateur!X55*VLOOKUP('Données projet'!$B$9,Paramètres!$A$1:$I$89,3,0)*0.475*44/12</f>
        <v>24.053300503350137</v>
      </c>
      <c r="AB55" s="21">
        <f>EXP(-LN(2)/2)*AB54+(1-EXP(-LN(2)/2))/(LN(2)/2)*V55*Y55*VLOOKUP('Données projet'!$B$9,Paramètres!$A$1:$I$89,3,0)*0.475*44/12</f>
        <v>1.9640579838944728E-2</v>
      </c>
      <c r="AC55" s="22">
        <f t="shared" si="3"/>
        <v>32.19815335733891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</v>
      </c>
      <c r="AI55" s="13">
        <f>IF('Données projet'!$A$62&gt;35,AI54+AH55-AQ54,IF(A55&lt;'Données projet'!$A$62,$AF$205^A55,IF(A55='Données projet'!$A$62,'Données projet'!$B$62,AI54+AH55-AQ54)))</f>
        <v>211.09999999999997</v>
      </c>
      <c r="AJ55" s="13">
        <f>AI55*VLOOKUP('Données projet'!$B$10,Paramètres!$A$1:$I$89,3,0)*VLOOKUP('Données projet'!$B$10,Paramètres!$A$1:$I$89,5,0)</f>
        <v>98.794799999999981</v>
      </c>
      <c r="AK55" s="13">
        <f t="shared" si="35"/>
        <v>26.674672963454121</v>
      </c>
      <c r="AL55" s="20">
        <f t="shared" si="4"/>
        <v>218.52599874468254</v>
      </c>
      <c r="AM55" s="59">
        <f t="shared" si="5"/>
        <v>511.85933207801588</v>
      </c>
      <c r="AN55" s="59">
        <f ca="1">AVERAGE(OFFSET($AM$3,0,0,'Données projet'!$E$10+1,1))-AVERAGE(OFFSET($H$3,0,0,'Données projet'!$E$10+1,1))</f>
        <v>165.03539937460289</v>
      </c>
      <c r="AO55" s="59">
        <f t="shared" si="36"/>
        <v>142.05625724497401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0.56098566169454944</v>
      </c>
      <c r="AV55" s="21">
        <f>EXP(-LN(2)/25)*AV54+(1-EXP(-LN(2)/25))/(LN(2)/25)*Calculateur!AQ55*Calculateur!AS55*VLOOKUP('Données projet'!$B$10,Paramètres!$A$1:$I$89,3,0)*0.475*44/12</f>
        <v>2.5955348346577485</v>
      </c>
      <c r="AW55" s="21">
        <f>EXP(-LN(2)/2)*AW54+(1-EXP(-LN(2)/2))/(LN(2)/2)*AQ55*AT55*VLOOKUP('Données projet'!$B$10,Paramètres!$A$1:$I$89,3,0)*0.475*44/12</f>
        <v>2.9852102007238992E-3</v>
      </c>
      <c r="AX55" s="21">
        <f t="shared" si="6"/>
        <v>3.1595057065530217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22.9</v>
      </c>
      <c r="BD55" s="12">
        <f>IF('Données projet'!$A$88&gt;35,BD54+BC55-BL54,IF(A55&lt;'Données projet'!$A$88,$BA$205^A55,IF(A55='Données projet'!$A$88,'Données projet'!$B$88,BD54+BC55-BL54)))</f>
        <v>568.79999999999984</v>
      </c>
      <c r="BE55" s="13">
        <f>BD55*VLOOKUP('Données projet'!$B$11,Paramètres!$A$1:$I$89,3,0)*VLOOKUP('Données projet'!$B$11,Paramètres!$A$1:$I$89,5,0)</f>
        <v>273.5927999999999</v>
      </c>
      <c r="BF55" s="13">
        <f t="shared" si="37"/>
        <v>65.61116452438678</v>
      </c>
      <c r="BG55" s="20">
        <f t="shared" si="7"/>
        <v>590.78023821330669</v>
      </c>
      <c r="BH55" s="59">
        <f t="shared" si="8"/>
        <v>884.11357154664006</v>
      </c>
      <c r="BI55" s="59">
        <f ca="1">AVERAGE(OFFSET($BH$3,0,0,'Données projet'!$E$11+1,1))-AVERAGE(OFFSET($H$3,0,0,'Données projet'!$E$11+1,1))</f>
        <v>402.22278907877927</v>
      </c>
      <c r="BJ55" s="59">
        <f t="shared" si="38"/>
        <v>393.06397734082458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17.977720619423003</v>
      </c>
      <c r="BQ55" s="21">
        <f>EXP(-LN(2)/25)*BQ54+(1-EXP(-LN(2)/25))/(LN(2)/25)*Calculateur!BL55*Calculateur!BN55*VLOOKUP('Données projet'!$B$11,Paramètres!$A$1:$I$89,3,0)*0.475*44/12</f>
        <v>24.500799215642044</v>
      </c>
      <c r="BR55" s="21">
        <f>EXP(-LN(2)/2)*BR54+(1-EXP(-LN(2)/2))/(LN(2)/2)*BL55*BO55*VLOOKUP('Données projet'!$B$11,Paramètres!$A$1:$I$89,3,0)*0.475*44/12</f>
        <v>0.43194515300437425</v>
      </c>
      <c r="BS55" s="22">
        <f t="shared" si="9"/>
        <v>42.910464988069414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20.6</v>
      </c>
      <c r="N56" s="13">
        <f>IF('Données projet'!$A$36&gt;35,N55+M56-V55,IF(A56&lt;'Données projet'!$A$36,$K$205^A56,IF(A56='Données projet'!$A$36,'Données projet'!$B$36,N55+M56-V55)))</f>
        <v>590.80000000000052</v>
      </c>
      <c r="O56" s="13">
        <f>N56*VLOOKUP('Données projet'!$B$9,Paramètres!$A$1:$I$89,3,0)*VLOOKUP('Données projet'!$B$9,Paramètres!$A$1:$I$89,5,0)</f>
        <v>330.2572000000003</v>
      </c>
      <c r="P56" s="13">
        <f t="shared" si="33"/>
        <v>77.483628875744813</v>
      </c>
      <c r="Q56" s="20">
        <f t="shared" si="53"/>
        <v>710.14861029192286</v>
      </c>
      <c r="R56" s="59">
        <f t="shared" si="0"/>
        <v>1003.4819436252562</v>
      </c>
      <c r="S56" s="59">
        <f ca="1">AVERAGE(OFFSET($R$3,0,0,'Données projet'!$E$9+1,1))-AVERAGE(OFFSET($H$3,0,0,'Données projet'!$E$9+1,1))</f>
        <v>490.7691633858222</v>
      </c>
      <c r="T56" s="59">
        <f t="shared" si="34"/>
        <v>490.82176582457072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7.9658818173438881</v>
      </c>
      <c r="AA56" s="21">
        <f>EXP(-LN(2)/25)*AA55+(1-EXP(-LN(2)/25))/(LN(2)/25)*Calculateur!V56*Calculateur!X56*VLOOKUP('Données projet'!$B$9,Paramètres!$A$1:$I$89,3,0)*0.475*44/12</f>
        <v>23.395561736177928</v>
      </c>
      <c r="AB56" s="21">
        <f>EXP(-LN(2)/2)*AB55+(1-EXP(-LN(2)/2))/(LN(2)/2)*V56*Y56*VLOOKUP('Données projet'!$B$9,Paramètres!$A$1:$I$89,3,0)*0.475*44/12</f>
        <v>1.3887987190553607E-2</v>
      </c>
      <c r="AC56" s="22">
        <f t="shared" si="3"/>
        <v>31.37533154071237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</v>
      </c>
      <c r="AI56" s="13">
        <f>IF('Données projet'!$A$62&gt;35,AI55+AH56-AQ55,IF(A56&lt;'Données projet'!$A$62,$AF$205^A56,IF(A56='Données projet'!$A$62,'Données projet'!$B$62,AI55+AH56-AQ55)))</f>
        <v>219.09999999999997</v>
      </c>
      <c r="AJ56" s="13">
        <f>AI56*VLOOKUP('Données projet'!$B$10,Paramètres!$A$1:$I$89,3,0)*VLOOKUP('Données projet'!$B$10,Paramètres!$A$1:$I$89,5,0)</f>
        <v>102.53879999999999</v>
      </c>
      <c r="AK56" s="13">
        <f t="shared" si="35"/>
        <v>27.565946279127903</v>
      </c>
      <c r="AL56" s="20">
        <f t="shared" si="4"/>
        <v>226.59909976948109</v>
      </c>
      <c r="AM56" s="59">
        <f t="shared" si="5"/>
        <v>519.93243310281446</v>
      </c>
      <c r="AN56" s="59">
        <f ca="1">AVERAGE(OFFSET($AM$3,0,0,'Données projet'!$E$10+1,1))-AVERAGE(OFFSET($H$3,0,0,'Données projet'!$E$10+1,1))</f>
        <v>165.03539937460289</v>
      </c>
      <c r="AO56" s="59">
        <f t="shared" si="36"/>
        <v>142.05625724497401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0.54998507503618677</v>
      </c>
      <c r="AV56" s="21">
        <f>EXP(-LN(2)/25)*AV55+(1-EXP(-LN(2)/25))/(LN(2)/25)*Calculateur!AQ56*Calculateur!AS56*VLOOKUP('Données projet'!$B$10,Paramètres!$A$1:$I$89,3,0)*0.475*44/12</f>
        <v>2.5245597981107877</v>
      </c>
      <c r="AW56" s="21">
        <f>EXP(-LN(2)/2)*AW55+(1-EXP(-LN(2)/2))/(LN(2)/2)*AQ56*AT56*VLOOKUP('Données projet'!$B$10,Paramètres!$A$1:$I$89,3,0)*0.475*44/12</f>
        <v>2.1108623761991237E-3</v>
      </c>
      <c r="AX56" s="21">
        <f t="shared" si="6"/>
        <v>3.0766557355231736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22.9</v>
      </c>
      <c r="BD56" s="12">
        <f>IF('Données projet'!$A$88&gt;35,BD55+BC56-BL55,IF(A56&lt;'Données projet'!$A$88,$BA$205^A56,IF(A56='Données projet'!$A$88,'Données projet'!$B$88,BD55+BC56-BL55)))</f>
        <v>591.69999999999982</v>
      </c>
      <c r="BE56" s="13">
        <f>BD56*VLOOKUP('Données projet'!$B$11,Paramètres!$A$1:$I$89,3,0)*VLOOKUP('Données projet'!$B$11,Paramètres!$A$1:$I$89,5,0)</f>
        <v>284.60769999999991</v>
      </c>
      <c r="BF56" s="13">
        <f t="shared" si="37"/>
        <v>67.939821416139026</v>
      </c>
      <c r="BG56" s="20">
        <f t="shared" si="7"/>
        <v>614.02026646644197</v>
      </c>
      <c r="BH56" s="59">
        <f t="shared" si="8"/>
        <v>907.35359979977534</v>
      </c>
      <c r="BI56" s="59">
        <f ca="1">AVERAGE(OFFSET($BH$3,0,0,'Données projet'!$E$11+1,1))-AVERAGE(OFFSET($H$3,0,0,'Données projet'!$E$11+1,1))</f>
        <v>402.22278907877927</v>
      </c>
      <c r="BJ56" s="59">
        <f t="shared" si="38"/>
        <v>393.06397734082458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17.625188483402958</v>
      </c>
      <c r="BQ56" s="21">
        <f>EXP(-LN(2)/25)*BQ55+(1-EXP(-LN(2)/25))/(LN(2)/25)*Calculateur!BL56*Calculateur!BN56*VLOOKUP('Données projet'!$B$11,Paramètres!$A$1:$I$89,3,0)*0.475*44/12</f>
        <v>23.83082357264928</v>
      </c>
      <c r="BR56" s="21">
        <f>EXP(-LN(2)/2)*BR55+(1-EXP(-LN(2)/2))/(LN(2)/2)*BL56*BO56*VLOOKUP('Données projet'!$B$11,Paramètres!$A$1:$I$89,3,0)*0.475*44/12</f>
        <v>0.30543134679005385</v>
      </c>
      <c r="BS56" s="22">
        <f t="shared" si="9"/>
        <v>41.761443402842289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20.6</v>
      </c>
      <c r="N57" s="13">
        <f>IF('Données projet'!$A$36&gt;35,N56+M57-V56,IF(A57&lt;'Données projet'!$A$36,$K$205^A57,IF(A57='Données projet'!$A$36,'Données projet'!$B$36,N56+M57-V56)))</f>
        <v>611.40000000000055</v>
      </c>
      <c r="O57" s="13">
        <f>N57*VLOOKUP('Données projet'!$B$9,Paramètres!$A$1:$I$89,3,0)*VLOOKUP('Données projet'!$B$9,Paramètres!$A$1:$I$89,5,0)</f>
        <v>341.7726000000003</v>
      </c>
      <c r="P57" s="13">
        <f t="shared" si="33"/>
        <v>79.866065895408255</v>
      </c>
      <c r="Q57" s="20">
        <f t="shared" si="53"/>
        <v>734.35400976783649</v>
      </c>
      <c r="R57" s="59">
        <f t="shared" si="0"/>
        <v>1027.6873431011697</v>
      </c>
      <c r="S57" s="59">
        <f ca="1">AVERAGE(OFFSET($R$3,0,0,'Données projet'!$E$9+1,1))-AVERAGE(OFFSET($H$3,0,0,'Données projet'!$E$9+1,1))</f>
        <v>490.7691633858222</v>
      </c>
      <c r="T57" s="59">
        <f t="shared" si="34"/>
        <v>490.82176582457072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7.8096757336139255</v>
      </c>
      <c r="AA57" s="21">
        <f>EXP(-LN(2)/25)*AA56+(1-EXP(-LN(2)/25))/(LN(2)/25)*Calculateur!V57*Calculateur!X57*VLOOKUP('Données projet'!$B$9,Paramètres!$A$1:$I$89,3,0)*0.475*44/12</f>
        <v>22.755808870183021</v>
      </c>
      <c r="AB57" s="21">
        <f>EXP(-LN(2)/2)*AB56+(1-EXP(-LN(2)/2))/(LN(2)/2)*V57*Y57*VLOOKUP('Données projet'!$B$9,Paramètres!$A$1:$I$89,3,0)*0.475*44/12</f>
        <v>9.820289919472364E-3</v>
      </c>
      <c r="AC57" s="22">
        <f t="shared" si="3"/>
        <v>30.575304893716417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</v>
      </c>
      <c r="AI57" s="13">
        <f>IF('Données projet'!$A$62&gt;35,AI56+AH57-AQ56,IF(A57&lt;'Données projet'!$A$62,$AF$205^A57,IF(A57='Données projet'!$A$62,'Données projet'!$B$62,AI56+AH57-AQ56)))</f>
        <v>227.09999999999997</v>
      </c>
      <c r="AJ57" s="13">
        <f>AI57*VLOOKUP('Données projet'!$B$10,Paramètres!$A$1:$I$89,3,0)*VLOOKUP('Données projet'!$B$10,Paramètres!$A$1:$I$89,5,0)</f>
        <v>106.28279999999998</v>
      </c>
      <c r="AK57" s="13">
        <f t="shared" si="35"/>
        <v>28.453438732464605</v>
      </c>
      <c r="AL57" s="20">
        <f t="shared" si="4"/>
        <v>234.6656157923758</v>
      </c>
      <c r="AM57" s="59">
        <f t="shared" si="5"/>
        <v>527.99894912570915</v>
      </c>
      <c r="AN57" s="59">
        <f ca="1">AVERAGE(OFFSET($AM$3,0,0,'Données projet'!$E$10+1,1))-AVERAGE(OFFSET($H$3,0,0,'Données projet'!$E$10+1,1))</f>
        <v>165.03539937460289</v>
      </c>
      <c r="AO57" s="59">
        <f t="shared" si="36"/>
        <v>142.05625724497401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0.53920020317249917</v>
      </c>
      <c r="AV57" s="21">
        <f>EXP(-LN(2)/25)*AV56+(1-EXP(-LN(2)/25))/(LN(2)/25)*Calculateur!AQ57*Calculateur!AS57*VLOOKUP('Données projet'!$B$10,Paramètres!$A$1:$I$89,3,0)*0.475*44/12</f>
        <v>2.4555255776706182</v>
      </c>
      <c r="AW57" s="21">
        <f>EXP(-LN(2)/2)*AW56+(1-EXP(-LN(2)/2))/(LN(2)/2)*AQ57*AT57*VLOOKUP('Données projet'!$B$10,Paramètres!$A$1:$I$89,3,0)*0.475*44/12</f>
        <v>1.4926051003619496E-3</v>
      </c>
      <c r="AX57" s="21">
        <f t="shared" si="6"/>
        <v>2.9962183859434792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22.9</v>
      </c>
      <c r="BD57" s="12">
        <f>IF('Données projet'!$A$88&gt;35,BD56+BC57-BL56,IF(A57&lt;'Données projet'!$A$88,$BA$205^A57,IF(A57='Données projet'!$A$88,'Données projet'!$B$88,BD56+BC57-BL56)))</f>
        <v>614.5999999999998</v>
      </c>
      <c r="BE57" s="13">
        <f>BD57*VLOOKUP('Données projet'!$B$11,Paramètres!$A$1:$I$89,3,0)*VLOOKUP('Données projet'!$B$11,Paramètres!$A$1:$I$89,5,0)</f>
        <v>295.62259999999992</v>
      </c>
      <c r="BF57" s="13">
        <f t="shared" si="37"/>
        <v>70.258008732709285</v>
      </c>
      <c r="BG57" s="20">
        <f t="shared" si="7"/>
        <v>637.2420602094686</v>
      </c>
      <c r="BH57" s="59">
        <f t="shared" si="8"/>
        <v>930.57539354280198</v>
      </c>
      <c r="BI57" s="59">
        <f ca="1">AVERAGE(OFFSET($BH$3,0,0,'Données projet'!$E$11+1,1))-AVERAGE(OFFSET($H$3,0,0,'Données projet'!$E$11+1,1))</f>
        <v>402.22278907877927</v>
      </c>
      <c r="BJ57" s="59">
        <f t="shared" si="38"/>
        <v>393.06397734082458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17.279569287546895</v>
      </c>
      <c r="BQ57" s="21">
        <f>EXP(-LN(2)/25)*BQ56+(1-EXP(-LN(2)/25))/(LN(2)/25)*Calculateur!BL57*Calculateur!BN57*VLOOKUP('Données projet'!$B$11,Paramètres!$A$1:$I$89,3,0)*0.475*44/12</f>
        <v>23.179168448846639</v>
      </c>
      <c r="BR57" s="21">
        <f>EXP(-LN(2)/2)*BR56+(1-EXP(-LN(2)/2))/(LN(2)/2)*BL57*BO57*VLOOKUP('Données projet'!$B$11,Paramètres!$A$1:$I$89,3,0)*0.475*44/12</f>
        <v>0.21597257650218712</v>
      </c>
      <c r="BS57" s="22">
        <f t="shared" si="9"/>
        <v>40.674710312895719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20.6</v>
      </c>
      <c r="N58" s="13">
        <f>IF('Données projet'!$A$36&gt;35,N57+M58-V57,IF(A58&lt;'Données projet'!$A$36,$K$205^A58,IF(A58='Données projet'!$A$36,'Données projet'!$B$36,N57+M58-V57)))</f>
        <v>632.00000000000057</v>
      </c>
      <c r="O58" s="13">
        <f>N58*VLOOKUP('Données projet'!$B$9,Paramètres!$A$1:$I$89,3,0)*VLOOKUP('Données projet'!$B$9,Paramètres!$A$1:$I$89,5,0)</f>
        <v>353.2880000000003</v>
      </c>
      <c r="P58" s="13">
        <f t="shared" si="33"/>
        <v>82.239175707062913</v>
      </c>
      <c r="Q58" s="20">
        <f t="shared" si="53"/>
        <v>758.54316435646831</v>
      </c>
      <c r="R58" s="59">
        <f t="shared" si="0"/>
        <v>1051.8764976898017</v>
      </c>
      <c r="S58" s="59">
        <f ca="1">AVERAGE(OFFSET($R$3,0,0,'Données projet'!$E$9+1,1))-AVERAGE(OFFSET($H$3,0,0,'Données projet'!$E$9+1,1))</f>
        <v>490.7691633858222</v>
      </c>
      <c r="T58" s="59">
        <f t="shared" si="34"/>
        <v>490.82176582457072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7.6565327559096037</v>
      </c>
      <c r="AA58" s="21">
        <f>EXP(-LN(2)/25)*AA57+(1-EXP(-LN(2)/25))/(LN(2)/25)*Calculateur!V58*Calculateur!X58*VLOOKUP('Données projet'!$B$9,Paramètres!$A$1:$I$89,3,0)*0.475*44/12</f>
        <v>22.133550079951888</v>
      </c>
      <c r="AB58" s="21">
        <f>EXP(-LN(2)/2)*AB57+(1-EXP(-LN(2)/2))/(LN(2)/2)*V58*Y58*VLOOKUP('Données projet'!$B$9,Paramètres!$A$1:$I$89,3,0)*0.475*44/12</f>
        <v>6.9439935952768034E-3</v>
      </c>
      <c r="AC58" s="22">
        <f t="shared" si="3"/>
        <v>29.797026829456765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8</v>
      </c>
      <c r="AI58" s="13">
        <f>IF('Données projet'!$A$62&gt;35,AI57+AH58-AQ57,IF(A58&lt;'Données projet'!$A$62,$AF$205^A58,IF(A58='Données projet'!$A$62,'Données projet'!$B$62,AI57+AH58-AQ57)))</f>
        <v>235.09999999999997</v>
      </c>
      <c r="AJ58" s="13">
        <f>AI58*VLOOKUP('Données projet'!$B$10,Paramètres!$A$1:$I$89,3,0)*VLOOKUP('Données projet'!$B$10,Paramètres!$A$1:$I$89,5,0)</f>
        <v>110.02679999999998</v>
      </c>
      <c r="AK58" s="13">
        <f t="shared" si="35"/>
        <v>29.337298772065111</v>
      </c>
      <c r="AL58" s="20">
        <f t="shared" si="4"/>
        <v>242.72580536134669</v>
      </c>
      <c r="AM58" s="59">
        <f t="shared" si="5"/>
        <v>536.05913869467997</v>
      </c>
      <c r="AN58" s="59">
        <f ca="1">AVERAGE(OFFSET($AM$3,0,0,'Données projet'!$E$10+1,1))-AVERAGE(OFFSET($H$3,0,0,'Données projet'!$E$10+1,1))</f>
        <v>165.03539937460289</v>
      </c>
      <c r="AO58" s="59">
        <f t="shared" si="36"/>
        <v>142.05625724497401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0.52862681606793627</v>
      </c>
      <c r="AV58" s="21">
        <f>EXP(-LN(2)/25)*AV57+(1-EXP(-LN(2)/25))/(LN(2)/25)*Calculateur!AQ58*Calculateur!AS58*VLOOKUP('Données projet'!$B$10,Paramètres!$A$1:$I$89,3,0)*0.475*44/12</f>
        <v>2.388379101618737</v>
      </c>
      <c r="AW58" s="21">
        <f>EXP(-LN(2)/2)*AW57+(1-EXP(-LN(2)/2))/(LN(2)/2)*AQ58*AT58*VLOOKUP('Données projet'!$B$10,Paramètres!$A$1:$I$89,3,0)*0.475*44/12</f>
        <v>1.0554311880995619E-3</v>
      </c>
      <c r="AX58" s="21">
        <f t="shared" si="6"/>
        <v>2.9180613488747729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22.9</v>
      </c>
      <c r="BD58" s="12">
        <f>IF('Données projet'!$A$88&gt;35,BD57+BC58-BL57,IF(A58&lt;'Données projet'!$A$88,$BA$205^A58,IF(A58='Données projet'!$A$88,'Données projet'!$B$88,BD57+BC58-BL57)))</f>
        <v>637.49999999999977</v>
      </c>
      <c r="BE58" s="13">
        <f>BD58*VLOOKUP('Données projet'!$B$11,Paramètres!$A$1:$I$89,3,0)*VLOOKUP('Données projet'!$B$11,Paramètres!$A$1:$I$89,5,0)</f>
        <v>306.63749999999987</v>
      </c>
      <c r="BF58" s="13">
        <f t="shared" si="37"/>
        <v>72.56616123944778</v>
      </c>
      <c r="BG58" s="20">
        <f t="shared" si="7"/>
        <v>660.44637665870471</v>
      </c>
      <c r="BH58" s="59">
        <f t="shared" si="8"/>
        <v>953.77970999203808</v>
      </c>
      <c r="BI58" s="59">
        <f ca="1">AVERAGE(OFFSET($BH$3,0,0,'Données projet'!$E$11+1,1))-AVERAGE(OFFSET($H$3,0,0,'Données projet'!$E$11+1,1))</f>
        <v>402.22278907877927</v>
      </c>
      <c r="BJ58" s="59">
        <f t="shared" si="38"/>
        <v>393.06397734082458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16.940727473314677</v>
      </c>
      <c r="BQ58" s="21">
        <f>EXP(-LN(2)/25)*BQ57+(1-EXP(-LN(2)/25))/(LN(2)/25)*Calculateur!BL58*Calculateur!BN58*VLOOKUP('Données projet'!$B$11,Paramètres!$A$1:$I$89,3,0)*0.475*44/12</f>
        <v>22.545332868673434</v>
      </c>
      <c r="BR58" s="21">
        <f>EXP(-LN(2)/2)*BR57+(1-EXP(-LN(2)/2))/(LN(2)/2)*BL58*BO58*VLOOKUP('Données projet'!$B$11,Paramètres!$A$1:$I$89,3,0)*0.475*44/12</f>
        <v>0.15271567339502692</v>
      </c>
      <c r="BS58" s="22">
        <f t="shared" si="9"/>
        <v>39.638776015383137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20.6</v>
      </c>
      <c r="N59" s="13">
        <f>IF('Données projet'!$A$36&gt;35,N58+M59-V58,IF(A59&lt;'Données projet'!$A$36,$K$205^A59,IF(A59='Données projet'!$A$36,'Données projet'!$B$36,N58+M59-V58)))</f>
        <v>652.60000000000059</v>
      </c>
      <c r="O59" s="13">
        <f>N59*VLOOKUP('Données projet'!$B$9,Paramètres!$A$1:$I$89,3,0)*VLOOKUP('Données projet'!$B$9,Paramètres!$A$1:$I$89,5,0)</f>
        <v>364.80340000000029</v>
      </c>
      <c r="P59" s="13">
        <f t="shared" si="33"/>
        <v>84.603297197151761</v>
      </c>
      <c r="Q59" s="20">
        <f t="shared" si="53"/>
        <v>782.71666428503977</v>
      </c>
      <c r="R59" s="59">
        <f t="shared" si="0"/>
        <v>1076.049997618373</v>
      </c>
      <c r="S59" s="59">
        <f ca="1">AVERAGE(OFFSET($R$3,0,0,'Données projet'!$E$9+1,1))-AVERAGE(OFFSET($H$3,0,0,'Données projet'!$E$9+1,1))</f>
        <v>490.7691633858222</v>
      </c>
      <c r="T59" s="59">
        <f t="shared" si="34"/>
        <v>490.82176582457072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7.5063928185900712</v>
      </c>
      <c r="AA59" s="21">
        <f>EXP(-LN(2)/25)*AA58+(1-EXP(-LN(2)/25))/(LN(2)/25)*Calculateur!V59*Calculateur!X59*VLOOKUP('Données projet'!$B$9,Paramètres!$A$1:$I$89,3,0)*0.475*44/12</f>
        <v>21.528306989062791</v>
      </c>
      <c r="AB59" s="21">
        <f>EXP(-LN(2)/2)*AB58+(1-EXP(-LN(2)/2))/(LN(2)/2)*V59*Y59*VLOOKUP('Données projet'!$B$9,Paramètres!$A$1:$I$89,3,0)*0.475*44/12</f>
        <v>4.910144959736182E-3</v>
      </c>
      <c r="AC59" s="22">
        <f t="shared" si="3"/>
        <v>29.039609952612601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8</v>
      </c>
      <c r="AI59" s="13">
        <f>IF('Données projet'!$A$62&gt;35,AI58+AH59-AQ58,IF(A59&lt;'Données projet'!$A$62,$AF$205^A59,IF(A59='Données projet'!$A$62,'Données projet'!$B$62,AI58+AH59-AQ58)))</f>
        <v>243.09999999999997</v>
      </c>
      <c r="AJ59" s="13">
        <f>AI59*VLOOKUP('Données projet'!$B$10,Paramètres!$A$1:$I$89,3,0)*VLOOKUP('Données projet'!$B$10,Paramètres!$A$1:$I$89,5,0)</f>
        <v>113.77079999999999</v>
      </c>
      <c r="AK59" s="13">
        <f t="shared" si="35"/>
        <v>30.217664170580228</v>
      </c>
      <c r="AL59" s="20">
        <f t="shared" si="4"/>
        <v>250.77990843042718</v>
      </c>
      <c r="AM59" s="59">
        <f t="shared" si="5"/>
        <v>544.11324176376047</v>
      </c>
      <c r="AN59" s="59">
        <f ca="1">AVERAGE(OFFSET($AM$3,0,0,'Données projet'!$E$10+1,1))-AVERAGE(OFFSET($H$3,0,0,'Données projet'!$E$10+1,1))</f>
        <v>165.03539937460289</v>
      </c>
      <c r="AO59" s="59">
        <f t="shared" si="36"/>
        <v>142.05625724497401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0.51826076663536447</v>
      </c>
      <c r="AV59" s="21">
        <f>EXP(-LN(2)/25)*AV58+(1-EXP(-LN(2)/25))/(LN(2)/25)*Calculateur!AQ59*Calculateur!AS59*VLOOKUP('Données projet'!$B$10,Paramètres!$A$1:$I$89,3,0)*0.475*44/12</f>
        <v>2.3230687494855746</v>
      </c>
      <c r="AW59" s="21">
        <f>EXP(-LN(2)/2)*AW58+(1-EXP(-LN(2)/2))/(LN(2)/2)*AQ59*AT59*VLOOKUP('Données projet'!$B$10,Paramètres!$A$1:$I$89,3,0)*0.475*44/12</f>
        <v>7.4630255018097479E-4</v>
      </c>
      <c r="AX59" s="21">
        <f t="shared" si="6"/>
        <v>2.8420758186711197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22.9</v>
      </c>
      <c r="BD59" s="12">
        <f>IF('Données projet'!$A$88&gt;35,BD58+BC59-BL58,IF(A59&lt;'Données projet'!$A$88,$BA$205^A59,IF(A59='Données projet'!$A$88,'Données projet'!$B$88,BD58+BC59-BL58)))</f>
        <v>660.39999999999975</v>
      </c>
      <c r="BE59" s="13">
        <f>BD59*VLOOKUP('Données projet'!$B$11,Paramètres!$A$1:$I$89,3,0)*VLOOKUP('Données projet'!$B$11,Paramètres!$A$1:$I$89,5,0)</f>
        <v>317.65239999999989</v>
      </c>
      <c r="BF59" s="13">
        <f t="shared" si="37"/>
        <v>74.864680696288232</v>
      </c>
      <c r="BG59" s="20">
        <f t="shared" si="7"/>
        <v>683.63391554603504</v>
      </c>
      <c r="BH59" s="59">
        <f t="shared" si="8"/>
        <v>976.9672488793683</v>
      </c>
      <c r="BI59" s="59">
        <f ca="1">AVERAGE(OFFSET($BH$3,0,0,'Données projet'!$E$11+1,1))-AVERAGE(OFFSET($H$3,0,0,'Données projet'!$E$11+1,1))</f>
        <v>402.22278907877927</v>
      </c>
      <c r="BJ59" s="59">
        <f t="shared" si="38"/>
        <v>393.06397734082458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16.608530140386453</v>
      </c>
      <c r="BQ59" s="21">
        <f>EXP(-LN(2)/25)*BQ58+(1-EXP(-LN(2)/25))/(LN(2)/25)*Calculateur!BL59*Calculateur!BN59*VLOOKUP('Données projet'!$B$11,Paramètres!$A$1:$I$89,3,0)*0.475*44/12</f>
        <v>21.92882955577203</v>
      </c>
      <c r="BR59" s="21">
        <f>EXP(-LN(2)/2)*BR58+(1-EXP(-LN(2)/2))/(LN(2)/2)*BL59*BO59*VLOOKUP('Données projet'!$B$11,Paramètres!$A$1:$I$89,3,0)*0.475*44/12</f>
        <v>0.10798628825109356</v>
      </c>
      <c r="BS59" s="22">
        <f t="shared" si="9"/>
        <v>38.645345984409573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20.6</v>
      </c>
      <c r="N60" s="13">
        <f>IF('Données projet'!$A$36&gt;35,N59+M60-V59,IF(A60&lt;'Données projet'!$A$36,$K$205^A60,IF(A60='Données projet'!$A$36,'Données projet'!$B$36,N59+M60-V59)))</f>
        <v>673.20000000000061</v>
      </c>
      <c r="O60" s="13">
        <f>N60*VLOOKUP('Données projet'!$B$9,Paramètres!$A$1:$I$89,3,0)*VLOOKUP('Données projet'!$B$9,Paramètres!$A$1:$I$89,5,0)</f>
        <v>376.31880000000041</v>
      </c>
      <c r="P60" s="13">
        <f t="shared" si="33"/>
        <v>86.958746642488421</v>
      </c>
      <c r="Q60" s="20">
        <f t="shared" si="53"/>
        <v>806.87506040233473</v>
      </c>
      <c r="R60" s="59">
        <f t="shared" si="0"/>
        <v>1100.2083937356681</v>
      </c>
      <c r="S60" s="59">
        <f ca="1">AVERAGE(OFFSET($R$3,0,0,'Données projet'!$E$9+1,1))-AVERAGE(OFFSET($H$3,0,0,'Données projet'!$E$9+1,1))</f>
        <v>490.7691633858222</v>
      </c>
      <c r="T60" s="59">
        <f t="shared" si="34"/>
        <v>490.82176582457072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7.3591970338650547</v>
      </c>
      <c r="AA60" s="21">
        <f>EXP(-LN(2)/25)*AA59+(1-EXP(-LN(2)/25))/(LN(2)/25)*Calculateur!V60*Calculateur!X60*VLOOKUP('Données projet'!$B$9,Paramètres!$A$1:$I$89,3,0)*0.475*44/12</f>
        <v>20.939614302322408</v>
      </c>
      <c r="AB60" s="21">
        <f>EXP(-LN(2)/2)*AB59+(1-EXP(-LN(2)/2))/(LN(2)/2)*V60*Y60*VLOOKUP('Données projet'!$B$9,Paramètres!$A$1:$I$89,3,0)*0.475*44/12</f>
        <v>3.4719967976384017E-3</v>
      </c>
      <c r="AC60" s="22">
        <f t="shared" si="3"/>
        <v>28.302283332985102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8</v>
      </c>
      <c r="AI60" s="13">
        <f>IF('Données projet'!$A$62&gt;35,AI59+AH60-AQ59,IF(A60&lt;'Données projet'!$A$62,$AF$205^A60,IF(A60='Données projet'!$A$62,'Données projet'!$B$62,AI59+AH60-AQ59)))</f>
        <v>251.09999999999997</v>
      </c>
      <c r="AJ60" s="13">
        <f>AI60*VLOOKUP('Données projet'!$B$10,Paramètres!$A$1:$I$89,3,0)*VLOOKUP('Données projet'!$B$10,Paramètres!$A$1:$I$89,5,0)</f>
        <v>117.51479999999998</v>
      </c>
      <c r="AK60" s="13">
        <f t="shared" si="35"/>
        <v>31.094663118298477</v>
      </c>
      <c r="AL60" s="20">
        <f t="shared" si="4"/>
        <v>258.82814826436976</v>
      </c>
      <c r="AM60" s="59">
        <f t="shared" si="5"/>
        <v>552.16148159770307</v>
      </c>
      <c r="AN60" s="59">
        <f ca="1">AVERAGE(OFFSET($AM$3,0,0,'Données projet'!$E$10+1,1))-AVERAGE(OFFSET($H$3,0,0,'Données projet'!$E$10+1,1))</f>
        <v>165.03539937460289</v>
      </c>
      <c r="AO60" s="59">
        <f t="shared" si="36"/>
        <v>142.05625724497401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0.50809798910949955</v>
      </c>
      <c r="AV60" s="21">
        <f>EXP(-LN(2)/25)*AV59+(1-EXP(-LN(2)/25))/(LN(2)/25)*Calculateur!AQ60*Calculateur!AS60*VLOOKUP('Données projet'!$B$10,Paramètres!$A$1:$I$89,3,0)*0.475*44/12</f>
        <v>2.2595443123660157</v>
      </c>
      <c r="AW60" s="21">
        <f>EXP(-LN(2)/2)*AW59+(1-EXP(-LN(2)/2))/(LN(2)/2)*AQ60*AT60*VLOOKUP('Données projet'!$B$10,Paramètres!$A$1:$I$89,3,0)*0.475*44/12</f>
        <v>5.2771559404978094E-4</v>
      </c>
      <c r="AX60" s="21">
        <f t="shared" si="6"/>
        <v>2.7681700170695649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22.9</v>
      </c>
      <c r="BD60" s="12">
        <f>IF('Données projet'!$A$88&gt;35,BD59+BC60-BL59,IF(A60&lt;'Données projet'!$A$88,$BA$205^A60,IF(A60='Données projet'!$A$88,'Données projet'!$B$88,BD59+BC60-BL59)))</f>
        <v>683.29999999999973</v>
      </c>
      <c r="BE60" s="13">
        <f>BD60*VLOOKUP('Données projet'!$B$11,Paramètres!$A$1:$I$89,3,0)*VLOOKUP('Données projet'!$B$11,Paramètres!$A$1:$I$89,5,0)</f>
        <v>328.66729999999984</v>
      </c>
      <c r="BF60" s="13">
        <f t="shared" si="37"/>
        <v>77.153939420187015</v>
      </c>
      <c r="BG60" s="20">
        <f t="shared" si="7"/>
        <v>706.80532532349207</v>
      </c>
      <c r="BH60" s="59">
        <f t="shared" si="8"/>
        <v>1000.1386586568253</v>
      </c>
      <c r="BI60" s="59">
        <f ca="1">AVERAGE(OFFSET($BH$3,0,0,'Données projet'!$E$11+1,1))-AVERAGE(OFFSET($H$3,0,0,'Données projet'!$E$11+1,1))</f>
        <v>402.22278907877927</v>
      </c>
      <c r="BJ60" s="59">
        <f t="shared" si="38"/>
        <v>393.06397734082458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16.282846994536584</v>
      </c>
      <c r="BQ60" s="21">
        <f>EXP(-LN(2)/25)*BQ59+(1-EXP(-LN(2)/25))/(LN(2)/25)*Calculateur!BL60*Calculateur!BN60*VLOOKUP('Données projet'!$B$11,Paramètres!$A$1:$I$89,3,0)*0.475*44/12</f>
        <v>21.329184558382416</v>
      </c>
      <c r="BR60" s="21">
        <f>EXP(-LN(2)/2)*BR59+(1-EXP(-LN(2)/2))/(LN(2)/2)*BL60*BO60*VLOOKUP('Données projet'!$B$11,Paramètres!$A$1:$I$89,3,0)*0.475*44/12</f>
        <v>7.6357836697513462E-2</v>
      </c>
      <c r="BS60" s="22">
        <f t="shared" si="9"/>
        <v>37.688389389616511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20.6</v>
      </c>
      <c r="N61" s="13">
        <f>IF('Données projet'!$A$36&gt;35,N60+M61-V60,IF(A61&lt;'Données projet'!$A$36,$K$205^A61,IF(A61='Données projet'!$A$36,'Données projet'!$B$36,N60+M61-V60)))</f>
        <v>693.80000000000064</v>
      </c>
      <c r="O61" s="13">
        <f>N61*VLOOKUP('Données projet'!$B$9,Paramètres!$A$1:$I$89,3,0)*VLOOKUP('Données projet'!$B$9,Paramètres!$A$1:$I$89,5,0)</f>
        <v>387.83420000000041</v>
      </c>
      <c r="P61" s="13">
        <f t="shared" si="33"/>
        <v>89.30581986389376</v>
      </c>
      <c r="Q61" s="20">
        <f t="shared" si="53"/>
        <v>831.01886792961568</v>
      </c>
      <c r="R61" s="59">
        <f t="shared" si="0"/>
        <v>1124.3522012629489</v>
      </c>
      <c r="S61" s="59">
        <f ca="1">AVERAGE(OFFSET($R$3,0,0,'Données projet'!$E$9+1,1))-AVERAGE(OFFSET($H$3,0,0,'Données projet'!$E$9+1,1))</f>
        <v>490.7691633858222</v>
      </c>
      <c r="T61" s="59">
        <f t="shared" si="34"/>
        <v>490.82176582457072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7.2148876686979326</v>
      </c>
      <c r="AA61" s="21">
        <f>EXP(-LN(2)/25)*AA60+(1-EXP(-LN(2)/25))/(LN(2)/25)*Calculateur!V61*Calculateur!X61*VLOOKUP('Données projet'!$B$9,Paramètres!$A$1:$I$89,3,0)*0.475*44/12</f>
        <v>20.367019448058944</v>
      </c>
      <c r="AB61" s="21">
        <f>EXP(-LN(2)/2)*AB60+(1-EXP(-LN(2)/2))/(LN(2)/2)*V61*Y61*VLOOKUP('Données projet'!$B$9,Paramètres!$A$1:$I$89,3,0)*0.475*44/12</f>
        <v>2.455072479868091E-3</v>
      </c>
      <c r="AC61" s="22">
        <f t="shared" si="3"/>
        <v>27.584362189236746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8</v>
      </c>
      <c r="AI61" s="13">
        <f>IF('Données projet'!$A$62&gt;35,AI60+AH61-AQ60,IF(A61&lt;'Données projet'!$A$62,$AF$205^A61,IF(A61='Données projet'!$A$62,'Données projet'!$B$62,AI60+AH61-AQ60)))</f>
        <v>259.09999999999997</v>
      </c>
      <c r="AJ61" s="13">
        <f>AI61*VLOOKUP('Données projet'!$B$10,Paramètres!$A$1:$I$89,3,0)*VLOOKUP('Données projet'!$B$10,Paramètres!$A$1:$I$89,5,0)</f>
        <v>121.25879999999998</v>
      </c>
      <c r="AK61" s="13">
        <f t="shared" si="35"/>
        <v>31.968415173452456</v>
      </c>
      <c r="AL61" s="20">
        <f t="shared" si="4"/>
        <v>266.87073309376296</v>
      </c>
      <c r="AM61" s="59">
        <f t="shared" si="5"/>
        <v>560.20406642709622</v>
      </c>
      <c r="AN61" s="59">
        <f ca="1">AVERAGE(OFFSET($AM$3,0,0,'Données projet'!$E$10+1,1))-AVERAGE(OFFSET($H$3,0,0,'Données projet'!$E$10+1,1))</f>
        <v>165.03539937460289</v>
      </c>
      <c r="AO61" s="59">
        <f t="shared" si="36"/>
        <v>142.05625724497401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0.49813449745223465</v>
      </c>
      <c r="AV61" s="21">
        <f>EXP(-LN(2)/25)*AV60+(1-EXP(-LN(2)/25))/(LN(2)/25)*Calculateur!AQ61*Calculateur!AS61*VLOOKUP('Données projet'!$B$10,Paramètres!$A$1:$I$89,3,0)*0.475*44/12</f>
        <v>2.1977569543200959</v>
      </c>
      <c r="AW61" s="21">
        <f>EXP(-LN(2)/2)*AW60+(1-EXP(-LN(2)/2))/(LN(2)/2)*AQ61*AT61*VLOOKUP('Données projet'!$B$10,Paramètres!$A$1:$I$89,3,0)*0.475*44/12</f>
        <v>3.731512750904874E-4</v>
      </c>
      <c r="AX61" s="21">
        <f t="shared" si="6"/>
        <v>2.6962646030474211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22.9</v>
      </c>
      <c r="BD61" s="12">
        <f>IF('Données projet'!$A$88&gt;35,BD60+BC61-BL60,IF(A61&lt;'Données projet'!$A$88,$BA$205^A61,IF(A61='Données projet'!$A$88,'Données projet'!$B$88,BD60+BC61-BL60)))</f>
        <v>706.1999999999997</v>
      </c>
      <c r="BE61" s="13">
        <f>BD61*VLOOKUP('Données projet'!$B$11,Paramètres!$A$1:$I$89,3,0)*VLOOKUP('Données projet'!$B$11,Paramètres!$A$1:$I$89,5,0)</f>
        <v>339.68219999999985</v>
      </c>
      <c r="BF61" s="13">
        <f t="shared" si="37"/>
        <v>79.434283356581332</v>
      </c>
      <c r="BG61" s="20">
        <f t="shared" si="7"/>
        <v>729.96120851271223</v>
      </c>
      <c r="BH61" s="59">
        <f t="shared" si="8"/>
        <v>1023.2945418460456</v>
      </c>
      <c r="BI61" s="59">
        <f ca="1">AVERAGE(OFFSET($BH$3,0,0,'Données projet'!$E$11+1,1))-AVERAGE(OFFSET($H$3,0,0,'Données projet'!$E$11+1,1))</f>
        <v>402.22278907877927</v>
      </c>
      <c r="BJ61" s="59">
        <f t="shared" si="38"/>
        <v>393.06397734082458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15.963550296529728</v>
      </c>
      <c r="BQ61" s="21">
        <f>EXP(-LN(2)/25)*BQ60+(1-EXP(-LN(2)/25))/(LN(2)/25)*Calculateur!BL61*Calculateur!BN61*VLOOKUP('Données projet'!$B$11,Paramètres!$A$1:$I$89,3,0)*0.475*44/12</f>
        <v>20.745936884980381</v>
      </c>
      <c r="BR61" s="21">
        <f>EXP(-LN(2)/2)*BR60+(1-EXP(-LN(2)/2))/(LN(2)/2)*BL61*BO61*VLOOKUP('Données projet'!$B$11,Paramètres!$A$1:$I$89,3,0)*0.475*44/12</f>
        <v>5.3993144125546781E-2</v>
      </c>
      <c r="BS61" s="22">
        <f t="shared" si="9"/>
        <v>36.763480325635662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20.6</v>
      </c>
      <c r="N62" s="13">
        <f>IF('Données projet'!$A$36&gt;35,N61+M62-V61,IF(A62&lt;'Données projet'!$A$36,$K$205^A62,IF(A62='Données projet'!$A$36,'Données projet'!$B$36,N61+M62-V61)))</f>
        <v>714.40000000000066</v>
      </c>
      <c r="O62" s="13">
        <f>N62*VLOOKUP('Données projet'!$B$9,Paramètres!$A$1:$I$89,3,0)*VLOOKUP('Données projet'!$B$9,Paramètres!$A$1:$I$89,5,0)</f>
        <v>399.34960000000041</v>
      </c>
      <c r="P62" s="13">
        <f t="shared" si="33"/>
        <v>91.644794116866422</v>
      </c>
      <c r="Q62" s="20">
        <f t="shared" si="53"/>
        <v>855.14856975354303</v>
      </c>
      <c r="R62" s="59">
        <f t="shared" si="0"/>
        <v>1148.4819030868764</v>
      </c>
      <c r="S62" s="59">
        <f ca="1">AVERAGE(OFFSET($R$3,0,0,'Données projet'!$E$9+1,1))-AVERAGE(OFFSET($H$3,0,0,'Données projet'!$E$9+1,1))</f>
        <v>490.7691633858222</v>
      </c>
      <c r="T62" s="59">
        <f t="shared" si="34"/>
        <v>490.82176582457072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7.073408122161716</v>
      </c>
      <c r="AA62" s="21">
        <f>EXP(-LN(2)/25)*AA61+(1-EXP(-LN(2)/25))/(LN(2)/25)*Calculateur!V62*Calculateur!X62*VLOOKUP('Données projet'!$B$9,Paramètres!$A$1:$I$89,3,0)*0.475*44/12</f>
        <v>19.81008223019677</v>
      </c>
      <c r="AB62" s="21">
        <f>EXP(-LN(2)/2)*AB61+(1-EXP(-LN(2)/2))/(LN(2)/2)*V62*Y62*VLOOKUP('Données projet'!$B$9,Paramètres!$A$1:$I$89,3,0)*0.475*44/12</f>
        <v>1.7359983988192009E-3</v>
      </c>
      <c r="AC62" s="22">
        <f t="shared" si="3"/>
        <v>26.885226350757303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8</v>
      </c>
      <c r="AI62" s="13">
        <f>IF('Données projet'!$A$62&gt;35,AI61+AH62-AQ61,IF(A62&lt;'Données projet'!$A$62,$AF$205^A62,IF(A62='Données projet'!$A$62,'Données projet'!$B$62,AI61+AH62-AQ61)))</f>
        <v>267.09999999999997</v>
      </c>
      <c r="AJ62" s="13">
        <f>AI62*VLOOKUP('Données projet'!$B$10,Paramètres!$A$1:$I$89,3,0)*VLOOKUP('Données projet'!$B$10,Paramètres!$A$1:$I$89,5,0)</f>
        <v>125.00279999999998</v>
      </c>
      <c r="AK62" s="13">
        <f t="shared" si="35"/>
        <v>32.839032091861341</v>
      </c>
      <c r="AL62" s="20">
        <f t="shared" si="4"/>
        <v>274.90785755999178</v>
      </c>
      <c r="AM62" s="59">
        <f t="shared" si="5"/>
        <v>568.2411908933251</v>
      </c>
      <c r="AN62" s="59">
        <f ca="1">AVERAGE(OFFSET($AM$3,0,0,'Données projet'!$E$10+1,1))-AVERAGE(OFFSET($H$3,0,0,'Données projet'!$E$10+1,1))</f>
        <v>165.03539937460289</v>
      </c>
      <c r="AO62" s="59">
        <f t="shared" si="36"/>
        <v>142.05625724497401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0.48836638378923886</v>
      </c>
      <c r="AV62" s="21">
        <f>EXP(-LN(2)/25)*AV61+(1-EXP(-LN(2)/25))/(LN(2)/25)*Calculateur!AQ62*Calculateur!AS62*VLOOKUP('Données projet'!$B$10,Paramètres!$A$1:$I$89,3,0)*0.475*44/12</f>
        <v>2.1376591748291975</v>
      </c>
      <c r="AW62" s="21">
        <f>EXP(-LN(2)/2)*AW61+(1-EXP(-LN(2)/2))/(LN(2)/2)*AQ62*AT62*VLOOKUP('Données projet'!$B$10,Paramètres!$A$1:$I$89,3,0)*0.475*44/12</f>
        <v>2.6385779702489047E-4</v>
      </c>
      <c r="AX62" s="21">
        <f t="shared" si="6"/>
        <v>2.6262894164154611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22.9</v>
      </c>
      <c r="BD62" s="12">
        <f>IF('Données projet'!$A$88&gt;35,BD61+BC62-BL61,IF(A62&lt;'Données projet'!$A$88,$BA$205^A62,IF(A62='Données projet'!$A$88,'Données projet'!$B$88,BD61+BC62-BL61)))</f>
        <v>729.09999999999968</v>
      </c>
      <c r="BE62" s="13">
        <f>BD62*VLOOKUP('Données projet'!$B$11,Paramètres!$A$1:$I$89,3,0)*VLOOKUP('Données projet'!$B$11,Paramètres!$A$1:$I$89,5,0)</f>
        <v>350.69709999999986</v>
      </c>
      <c r="BF62" s="13">
        <f t="shared" si="37"/>
        <v>81.706034741264361</v>
      </c>
      <c r="BG62" s="20">
        <f t="shared" si="7"/>
        <v>753.10212634103527</v>
      </c>
      <c r="BH62" s="59">
        <f t="shared" si="8"/>
        <v>1046.4354596743685</v>
      </c>
      <c r="BI62" s="59">
        <f ca="1">AVERAGE(OFFSET($BH$3,0,0,'Données projet'!$E$11+1,1))-AVERAGE(OFFSET($H$3,0,0,'Données projet'!$E$11+1,1))</f>
        <v>402.22278907877927</v>
      </c>
      <c r="BJ62" s="59">
        <f t="shared" si="38"/>
        <v>393.06397734082458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15.650514812019031</v>
      </c>
      <c r="BQ62" s="21">
        <f>EXP(-LN(2)/25)*BQ61+(1-EXP(-LN(2)/25))/(LN(2)/25)*Calculateur!BL62*Calculateur!BN62*VLOOKUP('Données projet'!$B$11,Paramètres!$A$1:$I$89,3,0)*0.475*44/12</f>
        <v>20.178638149879188</v>
      </c>
      <c r="BR62" s="21">
        <f>EXP(-LN(2)/2)*BR61+(1-EXP(-LN(2)/2))/(LN(2)/2)*BL62*BO62*VLOOKUP('Données projet'!$B$11,Paramètres!$A$1:$I$89,3,0)*0.475*44/12</f>
        <v>3.8178918348756731E-2</v>
      </c>
      <c r="BS62" s="22">
        <f t="shared" si="9"/>
        <v>35.867331880246972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735</v>
      </c>
      <c r="L63" s="12">
        <f>VLOOKUP(A63,'Données projet'!$A$35:$I$55,9,0)</f>
        <v>20.6</v>
      </c>
      <c r="M63" s="12">
        <f t="array" ref="M63">INDEX(L:L,MIN(IF(ISNUMBER(L63:L259),ROW(L63:L259),"")))</f>
        <v>20.6</v>
      </c>
      <c r="N63" s="13">
        <f>IF('Données projet'!$A$36&gt;35,N62+M63-V62,IF(A63&lt;'Données projet'!$A$36,$K$205^A63,IF(A63='Données projet'!$A$36,'Données projet'!$B$36,N62+M63-V62)))</f>
        <v>735.00000000000068</v>
      </c>
      <c r="O63" s="13">
        <f>N63*VLOOKUP('Données projet'!$B$9,Paramètres!$A$1:$I$89,3,0)*VLOOKUP('Données projet'!$B$9,Paramètres!$A$1:$I$89,5,0)</f>
        <v>410.86500000000041</v>
      </c>
      <c r="P63" s="13">
        <f t="shared" si="33"/>
        <v>93.975929758051123</v>
      </c>
      <c r="Q63" s="20">
        <f t="shared" si="53"/>
        <v>879.26461932860639</v>
      </c>
      <c r="R63" s="59">
        <f t="shared" si="0"/>
        <v>1172.5979526619396</v>
      </c>
      <c r="S63" s="59">
        <f ca="1">AVERAGE(OFFSET($R$3,0,0,'Données projet'!$E$9+1,1))-AVERAGE(OFFSET($H$3,0,0,'Données projet'!$E$9+1,1))</f>
        <v>490.7691633858222</v>
      </c>
      <c r="T63" s="59">
        <f t="shared" si="34"/>
        <v>490.82176582457072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101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6.9347029032390726</v>
      </c>
      <c r="AA63" s="21">
        <f>EXP(-LN(2)/25)*AA62+(1-EXP(-LN(2)/25))/(LN(2)/25)*Calculateur!V63*Calculateur!X63*VLOOKUP('Données projet'!$B$9,Paramètres!$A$1:$I$89,3,0)*0.475*44/12</f>
        <v>19.26837448984509</v>
      </c>
      <c r="AB63" s="21">
        <f>EXP(-LN(2)/2)*AB62+(1-EXP(-LN(2)/2))/(LN(2)/2)*V63*Y63*VLOOKUP('Données projet'!$B$9,Paramètres!$A$1:$I$89,3,0)*0.475*44/12</f>
        <v>1.2275362399340455E-3</v>
      </c>
      <c r="AC63" s="22">
        <f t="shared" si="3"/>
        <v>26.204304929324099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275.10000000000002</v>
      </c>
      <c r="AG63" s="12">
        <f>VLOOKUP(A63,'Données projet'!$A$61:$I$81,9,0)</f>
        <v>8</v>
      </c>
      <c r="AH63" s="12">
        <f t="array" ref="AH63">INDEX(AG:AG,MIN(IF(ISNUMBER(AG63:AG259),ROW(AG63:AG259),"")))</f>
        <v>8</v>
      </c>
      <c r="AI63" s="13">
        <f>IF('Données projet'!$A$62&gt;35,AI62+AH63-AQ62,IF(A63&lt;'Données projet'!$A$62,$AF$205^A63,IF(A63='Données projet'!$A$62,'Données projet'!$B$62,AI62+AH63-AQ62)))</f>
        <v>275.09999999999997</v>
      </c>
      <c r="AJ63" s="13">
        <f>AI63*VLOOKUP('Données projet'!$B$10,Paramètres!$A$1:$I$89,3,0)*VLOOKUP('Données projet'!$B$10,Paramètres!$A$1:$I$89,5,0)</f>
        <v>128.74679999999998</v>
      </c>
      <c r="AK63" s="13">
        <f t="shared" si="35"/>
        <v>33.706618554384562</v>
      </c>
      <c r="AL63" s="20">
        <f t="shared" si="4"/>
        <v>282.93970398221973</v>
      </c>
      <c r="AM63" s="59">
        <f t="shared" si="5"/>
        <v>576.27303731555298</v>
      </c>
      <c r="AN63" s="59">
        <f ca="1">AVERAGE(OFFSET($AM$3,0,0,'Données projet'!$E$10+1,1))-AVERAGE(OFFSET($H$3,0,0,'Données projet'!$E$10+1,1))</f>
        <v>165.03539937460289</v>
      </c>
      <c r="AO63" s="59">
        <f t="shared" si="36"/>
        <v>142.05625724497401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46.3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0.47878981687721339</v>
      </c>
      <c r="AV63" s="21">
        <f>EXP(-LN(2)/25)*AV62+(1-EXP(-LN(2)/25))/(LN(2)/25)*Calculateur!AQ63*Calculateur!AS63*VLOOKUP('Données projet'!$B$10,Paramètres!$A$1:$I$89,3,0)*0.475*44/12</f>
        <v>2.0792047722788829</v>
      </c>
      <c r="AW63" s="21">
        <f>EXP(-LN(2)/2)*AW62+(1-EXP(-LN(2)/2))/(LN(2)/2)*AQ63*AT63*VLOOKUP('Données projet'!$B$10,Paramètres!$A$1:$I$89,3,0)*0.475*44/12</f>
        <v>1.865756375452437E-4</v>
      </c>
      <c r="AX63" s="21">
        <f t="shared" si="6"/>
        <v>2.5581811647936417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752</v>
      </c>
      <c r="BB63" s="12">
        <f>VLOOKUP(A63,'Données projet'!$A$87:$I$107,9,0)</f>
        <v>22.9</v>
      </c>
      <c r="BC63" s="12">
        <f t="array" ref="BC63">INDEX(BB:BB,MIN(IF(ISNUMBER(BB63:BB259),ROW(BB63:BB259),"")))</f>
        <v>22.9</v>
      </c>
      <c r="BD63" s="12">
        <f>IF('Données projet'!$A$88&gt;35,BD62+BC63-BL62,IF(A63&lt;'Données projet'!$A$88,$BA$205^A63,IF(A63='Données projet'!$A$88,'Données projet'!$B$88,BD62+BC63-BL62)))</f>
        <v>751.99999999999966</v>
      </c>
      <c r="BE63" s="13">
        <f>BD63*VLOOKUP('Données projet'!$B$11,Paramètres!$A$1:$I$89,3,0)*VLOOKUP('Données projet'!$B$11,Paramètres!$A$1:$I$89,5,0)</f>
        <v>361.71199999999988</v>
      </c>
      <c r="BF63" s="13">
        <f t="shared" si="37"/>
        <v>83.969494418440931</v>
      </c>
      <c r="BG63" s="20">
        <f t="shared" si="7"/>
        <v>776.22860277878442</v>
      </c>
      <c r="BH63" s="59">
        <f t="shared" si="8"/>
        <v>1069.5619361121178</v>
      </c>
      <c r="BI63" s="59">
        <f ca="1">AVERAGE(OFFSET($BH$3,0,0,'Données projet'!$E$11+1,1))-AVERAGE(OFFSET($H$3,0,0,'Données projet'!$E$11+1,1))</f>
        <v>402.22278907877927</v>
      </c>
      <c r="BJ63" s="59">
        <f t="shared" si="38"/>
        <v>393.06397734082458</v>
      </c>
      <c r="BK63" s="15">
        <f>IF(ISNA(VLOOKUP(A63,'Données projet'!$A$87:$I$107,3,0)),0,VLOOKUP(A63,'Données projet'!$A$87:$I$107,3,0))</f>
        <v>6</v>
      </c>
      <c r="BL63" s="15">
        <f>IF(ISNA(VLOOKUP(A63,'Données projet'!$A$87:$I$107,4,0)),0,VLOOKUP(A63,'Données projet'!$A$87:$I$107,4,0))</f>
        <v>128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15.343617762426797</v>
      </c>
      <c r="BQ63" s="21">
        <f>EXP(-LN(2)/25)*BQ62+(1-EXP(-LN(2)/25))/(LN(2)/25)*Calculateur!BL63*Calculateur!BN63*VLOOKUP('Données projet'!$B$11,Paramètres!$A$1:$I$89,3,0)*0.475*44/12</f>
        <v>19.626852228522282</v>
      </c>
      <c r="BR63" s="21">
        <f>EXP(-LN(2)/2)*BR62+(1-EXP(-LN(2)/2))/(LN(2)/2)*BL63*BO63*VLOOKUP('Données projet'!$B$11,Paramètres!$A$1:$I$89,3,0)*0.475*44/12</f>
        <v>2.6996572062773391E-2</v>
      </c>
      <c r="BS63" s="22">
        <f t="shared" si="9"/>
        <v>34.997466563011848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17.100000000000001</v>
      </c>
      <c r="N64" s="13">
        <f>IF('Données projet'!$A$36&gt;35,N63+M64-V63,IF(A64&lt;'Données projet'!$A$36,$K$205^A64,IF(A64='Données projet'!$A$36,'Données projet'!$B$36,N63+M64-V63)))</f>
        <v>651.1000000000007</v>
      </c>
      <c r="O64" s="13">
        <f>N64*VLOOKUP('Données projet'!$B$9,Paramètres!$A$1:$I$89,3,0)*VLOOKUP('Données projet'!$B$9,Paramètres!$A$1:$I$89,5,0)</f>
        <v>363.9649000000004</v>
      </c>
      <c r="P64" s="13">
        <f t="shared" si="33"/>
        <v>84.431448862333326</v>
      </c>
      <c r="Q64" s="20">
        <f t="shared" si="53"/>
        <v>780.95697426856452</v>
      </c>
      <c r="R64" s="59">
        <f t="shared" si="0"/>
        <v>1074.2903076018979</v>
      </c>
      <c r="S64" s="59">
        <f ca="1">AVERAGE(OFFSET($R$3,0,0,'Données projet'!$E$9+1,1))-AVERAGE(OFFSET($H$3,0,0,'Données projet'!$E$9+1,1))</f>
        <v>490.7691633858222</v>
      </c>
      <c r="T64" s="59">
        <f t="shared" si="34"/>
        <v>490.82176582457072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6.7987176090576718</v>
      </c>
      <c r="AA64" s="21">
        <f>EXP(-LN(2)/25)*AA63+(1-EXP(-LN(2)/25))/(LN(2)/25)*Calculateur!V64*Calculateur!X64*VLOOKUP('Données projet'!$B$9,Paramètres!$A$1:$I$89,3,0)*0.475*44/12</f>
        <v>18.741479776140501</v>
      </c>
      <c r="AB64" s="21">
        <f>EXP(-LN(2)/2)*AB63+(1-EXP(-LN(2)/2))/(LN(2)/2)*V64*Y64*VLOOKUP('Données projet'!$B$9,Paramètres!$A$1:$I$89,3,0)*0.475*44/12</f>
        <v>8.6799919940960043E-4</v>
      </c>
      <c r="AC64" s="22">
        <f t="shared" si="3"/>
        <v>25.541065384397584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7.5</v>
      </c>
      <c r="AI64" s="13">
        <f>IF('Données projet'!$A$62&gt;35,AI63+AH64-AQ63,IF(A64&lt;'Données projet'!$A$62,$AF$205^A64,IF(A64='Données projet'!$A$62,'Données projet'!$B$62,AI63+AH64-AQ63)))</f>
        <v>236.29999999999995</v>
      </c>
      <c r="AJ64" s="13">
        <f>AI64*VLOOKUP('Données projet'!$B$10,Paramètres!$A$1:$I$89,3,0)*VLOOKUP('Données projet'!$B$10,Paramètres!$A$1:$I$89,5,0)</f>
        <v>110.58839999999998</v>
      </c>
      <c r="AK64" s="13">
        <f t="shared" si="35"/>
        <v>29.469573129181672</v>
      </c>
      <c r="AL64" s="20">
        <f t="shared" si="4"/>
        <v>243.93430319999138</v>
      </c>
      <c r="AM64" s="59">
        <f t="shared" si="5"/>
        <v>537.26763653332466</v>
      </c>
      <c r="AN64" s="59">
        <f ca="1">AVERAGE(OFFSET($AM$3,0,0,'Données projet'!$E$10+1,1))-AVERAGE(OFFSET($H$3,0,0,'Données projet'!$E$10+1,1))</f>
        <v>165.03539937460289</v>
      </c>
      <c r="AO64" s="59">
        <f t="shared" si="36"/>
        <v>142.05625724497401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0.46940104060120369</v>
      </c>
      <c r="AV64" s="21">
        <f>EXP(-LN(2)/25)*AV63+(1-EXP(-LN(2)/25))/(LN(2)/25)*Calculateur!AQ64*Calculateur!AS64*VLOOKUP('Données projet'!$B$10,Paramètres!$A$1:$I$89,3,0)*0.475*44/12</f>
        <v>2.0223488084402899</v>
      </c>
      <c r="AW64" s="21">
        <f>EXP(-LN(2)/2)*AW63+(1-EXP(-LN(2)/2))/(LN(2)/2)*AQ64*AT64*VLOOKUP('Données projet'!$B$10,Paramètres!$A$1:$I$89,3,0)*0.475*44/12</f>
        <v>1.3192889851244523E-4</v>
      </c>
      <c r="AX64" s="21">
        <f t="shared" si="6"/>
        <v>2.491881777940006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20.3</v>
      </c>
      <c r="BD64" s="12">
        <f>IF('Données projet'!$A$88&gt;35,BD63+BC64-BL63,IF(A64&lt;'Données projet'!$A$88,$BA$205^A64,IF(A64='Données projet'!$A$88,'Données projet'!$B$88,BD63+BC64-BL63)))</f>
        <v>644.29999999999961</v>
      </c>
      <c r="BE64" s="13">
        <f>BD64*VLOOKUP('Données projet'!$B$11,Paramètres!$A$1:$I$89,3,0)*VLOOKUP('Données projet'!$B$11,Paramètres!$A$1:$I$89,5,0)</f>
        <v>309.90829999999983</v>
      </c>
      <c r="BF64" s="13">
        <f t="shared" si="37"/>
        <v>73.24967923228823</v>
      </c>
      <c r="BG64" s="20">
        <f t="shared" si="7"/>
        <v>667.33348049623498</v>
      </c>
      <c r="BH64" s="59">
        <f t="shared" si="8"/>
        <v>960.66681382956835</v>
      </c>
      <c r="BI64" s="59">
        <f ca="1">AVERAGE(OFFSET($BH$3,0,0,'Données projet'!$E$11+1,1))-AVERAGE(OFFSET($H$3,0,0,'Données projet'!$E$11+1,1))</f>
        <v>402.22278907877927</v>
      </c>
      <c r="BJ64" s="59">
        <f t="shared" si="38"/>
        <v>393.06397734082458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15.042738776788349</v>
      </c>
      <c r="BQ64" s="21">
        <f>EXP(-LN(2)/25)*BQ63+(1-EXP(-LN(2)/25))/(LN(2)/25)*Calculateur!BL64*Calculateur!BN64*VLOOKUP('Données projet'!$B$11,Paramètres!$A$1:$I$89,3,0)*0.475*44/12</f>
        <v>19.090154922202039</v>
      </c>
      <c r="BR64" s="21">
        <f>EXP(-LN(2)/2)*BR63+(1-EXP(-LN(2)/2))/(LN(2)/2)*BL64*BO64*VLOOKUP('Données projet'!$B$11,Paramètres!$A$1:$I$89,3,0)*0.475*44/12</f>
        <v>1.9089459174378366E-2</v>
      </c>
      <c r="BS64" s="22">
        <f t="shared" si="9"/>
        <v>34.151983158164768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17.100000000000001</v>
      </c>
      <c r="N65" s="13">
        <f>IF('Données projet'!$A$36&gt;35,N64+M65-V64,IF(A65&lt;'Données projet'!$A$36,$K$205^A65,IF(A65='Données projet'!$A$36,'Données projet'!$B$36,N64+M65-V64)))</f>
        <v>668.20000000000073</v>
      </c>
      <c r="O65" s="13">
        <f>N65*VLOOKUP('Données projet'!$B$9,Paramètres!$A$1:$I$89,3,0)*VLOOKUP('Données projet'!$B$9,Paramètres!$A$1:$I$89,5,0)</f>
        <v>373.52380000000039</v>
      </c>
      <c r="P65" s="13">
        <f t="shared" si="33"/>
        <v>86.387816351032043</v>
      </c>
      <c r="Q65" s="20">
        <f t="shared" si="53"/>
        <v>801.0127318113814</v>
      </c>
      <c r="R65" s="59">
        <f t="shared" si="0"/>
        <v>1094.3460651447147</v>
      </c>
      <c r="S65" s="59">
        <f ca="1">AVERAGE(OFFSET($R$3,0,0,'Données projet'!$E$9+1,1))-AVERAGE(OFFSET($H$3,0,0,'Données projet'!$E$9+1,1))</f>
        <v>490.7691633858222</v>
      </c>
      <c r="T65" s="59">
        <f t="shared" si="34"/>
        <v>490.82176582457072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6.6653989035523287</v>
      </c>
      <c r="AA65" s="21">
        <f>EXP(-LN(2)/25)*AA64+(1-EXP(-LN(2)/25))/(LN(2)/25)*Calculateur!V65*Calculateur!X65*VLOOKUP('Données projet'!$B$9,Paramètres!$A$1:$I$89,3,0)*0.475*44/12</f>
        <v>18.22899302609035</v>
      </c>
      <c r="AB65" s="21">
        <f>EXP(-LN(2)/2)*AB64+(1-EXP(-LN(2)/2))/(LN(2)/2)*V65*Y65*VLOOKUP('Données projet'!$B$9,Paramètres!$A$1:$I$89,3,0)*0.475*44/12</f>
        <v>6.1376811996702275E-4</v>
      </c>
      <c r="AC65" s="22">
        <f t="shared" si="3"/>
        <v>24.895005697762645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7.5</v>
      </c>
      <c r="AI65" s="13">
        <f>IF('Données projet'!$A$62&gt;35,AI64+AH65-AQ64,IF(A65&lt;'Données projet'!$A$62,$AF$205^A65,IF(A65='Données projet'!$A$62,'Données projet'!$B$62,AI64+AH65-AQ64)))</f>
        <v>243.79999999999995</v>
      </c>
      <c r="AJ65" s="13">
        <f>AI65*VLOOKUP('Données projet'!$B$10,Paramètres!$A$1:$I$89,3,0)*VLOOKUP('Données projet'!$B$10,Paramètres!$A$1:$I$89,5,0)</f>
        <v>114.09839999999998</v>
      </c>
      <c r="AK65" s="13">
        <f t="shared" si="35"/>
        <v>30.294534186150837</v>
      </c>
      <c r="AL65" s="20">
        <f t="shared" si="4"/>
        <v>251.48436037421268</v>
      </c>
      <c r="AM65" s="59">
        <f t="shared" si="5"/>
        <v>544.81769370754603</v>
      </c>
      <c r="AN65" s="59">
        <f ca="1">AVERAGE(OFFSET($AM$3,0,0,'Données projet'!$E$10+1,1))-AVERAGE(OFFSET($H$3,0,0,'Données projet'!$E$10+1,1))</f>
        <v>165.03539937460289</v>
      </c>
      <c r="AO65" s="59">
        <f t="shared" si="36"/>
        <v>142.05625724497401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0.46019637250137846</v>
      </c>
      <c r="AV65" s="21">
        <f>EXP(-LN(2)/25)*AV64+(1-EXP(-LN(2)/25))/(LN(2)/25)*Calculateur!AQ65*Calculateur!AS65*VLOOKUP('Données projet'!$B$10,Paramètres!$A$1:$I$89,3,0)*0.475*44/12</f>
        <v>1.9670475739227884</v>
      </c>
      <c r="AW65" s="21">
        <f>EXP(-LN(2)/2)*AW64+(1-EXP(-LN(2)/2))/(LN(2)/2)*AQ65*AT65*VLOOKUP('Données projet'!$B$10,Paramètres!$A$1:$I$89,3,0)*0.475*44/12</f>
        <v>9.3287818772621849E-5</v>
      </c>
      <c r="AX65" s="21">
        <f t="shared" si="6"/>
        <v>2.4273372342429393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20.3</v>
      </c>
      <c r="BD65" s="12">
        <f>IF('Données projet'!$A$88&gt;35,BD64+BC65-BL64,IF(A65&lt;'Données projet'!$A$88,$BA$205^A65,IF(A65='Données projet'!$A$88,'Données projet'!$B$88,BD64+BC65-BL64)))</f>
        <v>664.59999999999957</v>
      </c>
      <c r="BE65" s="13">
        <f>BD65*VLOOKUP('Données projet'!$B$11,Paramètres!$A$1:$I$89,3,0)*VLOOKUP('Données projet'!$B$11,Paramètres!$A$1:$I$89,5,0)</f>
        <v>319.67259999999982</v>
      </c>
      <c r="BF65" s="13">
        <f t="shared" si="37"/>
        <v>75.285227667693263</v>
      </c>
      <c r="BG65" s="20">
        <f t="shared" si="7"/>
        <v>687.88488318789871</v>
      </c>
      <c r="BH65" s="59">
        <f t="shared" si="8"/>
        <v>981.21821652123208</v>
      </c>
      <c r="BI65" s="59">
        <f ca="1">AVERAGE(OFFSET($BH$3,0,0,'Données projet'!$E$11+1,1))-AVERAGE(OFFSET($H$3,0,0,'Données projet'!$E$11+1,1))</f>
        <v>402.22278907877927</v>
      </c>
      <c r="BJ65" s="59">
        <f t="shared" si="38"/>
        <v>393.06397734082458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14.74775984454021</v>
      </c>
      <c r="BQ65" s="21">
        <f>EXP(-LN(2)/25)*BQ64+(1-EXP(-LN(2)/25))/(LN(2)/25)*Calculateur!BL65*Calculateur!BN65*VLOOKUP('Données projet'!$B$11,Paramètres!$A$1:$I$89,3,0)*0.475*44/12</f>
        <v>18.568133631946807</v>
      </c>
      <c r="BR65" s="21">
        <f>EXP(-LN(2)/2)*BR64+(1-EXP(-LN(2)/2))/(LN(2)/2)*BL65*BO65*VLOOKUP('Données projet'!$B$11,Paramètres!$A$1:$I$89,3,0)*0.475*44/12</f>
        <v>1.3498286031386695E-2</v>
      </c>
      <c r="BS65" s="22">
        <f t="shared" si="9"/>
        <v>33.329391762518405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17.100000000000001</v>
      </c>
      <c r="N66" s="13">
        <f>IF('Données projet'!$A$36&gt;35,N65+M66-V65,IF(A66&lt;'Données projet'!$A$36,$K$205^A66,IF(A66='Données projet'!$A$36,'Données projet'!$B$36,N65+M66-V65)))</f>
        <v>685.30000000000075</v>
      </c>
      <c r="O66" s="13">
        <f>N66*VLOOKUP('Données projet'!$B$9,Paramètres!$A$1:$I$89,3,0)*VLOOKUP('Données projet'!$B$9,Paramètres!$A$1:$I$89,5,0)</f>
        <v>383.08270000000044</v>
      </c>
      <c r="P66" s="13">
        <f t="shared" si="33"/>
        <v>88.338364194968037</v>
      </c>
      <c r="Q66" s="20">
        <f t="shared" si="53"/>
        <v>821.05835347290338</v>
      </c>
      <c r="R66" s="59">
        <f t="shared" si="0"/>
        <v>1114.3916868062367</v>
      </c>
      <c r="S66" s="59">
        <f ca="1">AVERAGE(OFFSET($R$3,0,0,'Données projet'!$E$9+1,1))-AVERAGE(OFFSET($H$3,0,0,'Données projet'!$E$9+1,1))</f>
        <v>490.7691633858222</v>
      </c>
      <c r="T66" s="59">
        <f t="shared" si="34"/>
        <v>490.82176582457072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6.5346944965455647</v>
      </c>
      <c r="AA66" s="21">
        <f>EXP(-LN(2)/25)*AA65+(1-EXP(-LN(2)/25))/(LN(2)/25)*Calculateur!V66*Calculateur!X66*VLOOKUP('Données projet'!$B$9,Paramètres!$A$1:$I$89,3,0)*0.475*44/12</f>
        <v>17.73052025317083</v>
      </c>
      <c r="AB66" s="21">
        <f>EXP(-LN(2)/2)*AB65+(1-EXP(-LN(2)/2))/(LN(2)/2)*V66*Y66*VLOOKUP('Données projet'!$B$9,Paramètres!$A$1:$I$89,3,0)*0.475*44/12</f>
        <v>4.3399959970480021E-4</v>
      </c>
      <c r="AC66" s="22">
        <f t="shared" si="3"/>
        <v>24.265648749316099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7.5</v>
      </c>
      <c r="AI66" s="13">
        <f>IF('Données projet'!$A$62&gt;35,AI65+AH66-AQ65,IF(A66&lt;'Données projet'!$A$62,$AF$205^A66,IF(A66='Données projet'!$A$62,'Données projet'!$B$62,AI65+AH66-AQ65)))</f>
        <v>251.29999999999995</v>
      </c>
      <c r="AJ66" s="13">
        <f>AI66*VLOOKUP('Données projet'!$B$10,Paramètres!$A$1:$I$89,3,0)*VLOOKUP('Données projet'!$B$10,Paramètres!$A$1:$I$89,5,0)</f>
        <v>117.60839999999997</v>
      </c>
      <c r="AK66" s="13">
        <f t="shared" si="35"/>
        <v>31.11654601042537</v>
      </c>
      <c r="AL66" s="20">
        <f t="shared" si="4"/>
        <v>259.02928096815748</v>
      </c>
      <c r="AM66" s="59">
        <f t="shared" si="5"/>
        <v>552.36261430149079</v>
      </c>
      <c r="AN66" s="59">
        <f ca="1">AVERAGE(OFFSET($AM$3,0,0,'Données projet'!$E$10+1,1))-AVERAGE(OFFSET($H$3,0,0,'Données projet'!$E$10+1,1))</f>
        <v>165.03539937460289</v>
      </c>
      <c r="AO66" s="59">
        <f t="shared" si="36"/>
        <v>142.05625724497401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0.45117220232869759</v>
      </c>
      <c r="AV66" s="21">
        <f>EXP(-LN(2)/25)*AV65+(1-EXP(-LN(2)/25))/(LN(2)/25)*Calculateur!AQ66*Calculateur!AS66*VLOOKUP('Données projet'!$B$10,Paramètres!$A$1:$I$89,3,0)*0.475*44/12</f>
        <v>1.9132585545713336</v>
      </c>
      <c r="AW66" s="21">
        <f>EXP(-LN(2)/2)*AW65+(1-EXP(-LN(2)/2))/(LN(2)/2)*AQ66*AT66*VLOOKUP('Données projet'!$B$10,Paramètres!$A$1:$I$89,3,0)*0.475*44/12</f>
        <v>6.5964449256222617E-5</v>
      </c>
      <c r="AX66" s="21">
        <f t="shared" si="6"/>
        <v>2.3644967213492873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20.3</v>
      </c>
      <c r="BD66" s="12">
        <f>IF('Données projet'!$A$88&gt;35,BD65+BC66-BL65,IF(A66&lt;'Données projet'!$A$88,$BA$205^A66,IF(A66='Données projet'!$A$88,'Données projet'!$B$88,BD65+BC66-BL65)))</f>
        <v>684.89999999999952</v>
      </c>
      <c r="BE66" s="13">
        <f>BD66*VLOOKUP('Données projet'!$B$11,Paramètres!$A$1:$I$89,3,0)*VLOOKUP('Données projet'!$B$11,Paramètres!$A$1:$I$89,5,0)</f>
        <v>329.43689999999975</v>
      </c>
      <c r="BF66" s="13">
        <f t="shared" si="37"/>
        <v>77.313550573877905</v>
      </c>
      <c r="BG66" s="20">
        <f t="shared" si="7"/>
        <v>708.42370141617005</v>
      </c>
      <c r="BH66" s="59">
        <f t="shared" si="8"/>
        <v>1001.7570347495034</v>
      </c>
      <c r="BI66" s="59">
        <f ca="1">AVERAGE(OFFSET($BH$3,0,0,'Données projet'!$E$11+1,1))-AVERAGE(OFFSET($H$3,0,0,'Données projet'!$E$11+1,1))</f>
        <v>402.22278907877927</v>
      </c>
      <c r="BJ66" s="59">
        <f t="shared" si="38"/>
        <v>393.06397734082458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14.458565269234075</v>
      </c>
      <c r="BQ66" s="21">
        <f>EXP(-LN(2)/25)*BQ65+(1-EXP(-LN(2)/25))/(LN(2)/25)*Calculateur!BL66*Calculateur!BN66*VLOOKUP('Données projet'!$B$11,Paramètres!$A$1:$I$89,3,0)*0.475*44/12</f>
        <v>18.060387041325512</v>
      </c>
      <c r="BR66" s="21">
        <f>EXP(-LN(2)/2)*BR65+(1-EXP(-LN(2)/2))/(LN(2)/2)*BL66*BO66*VLOOKUP('Données projet'!$B$11,Paramètres!$A$1:$I$89,3,0)*0.475*44/12</f>
        <v>9.5447295871891828E-3</v>
      </c>
      <c r="BS66" s="22">
        <f t="shared" si="9"/>
        <v>32.528497040146775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17.100000000000001</v>
      </c>
      <c r="N67" s="13">
        <f>IF('Données projet'!$A$36&gt;35,N66+M67-V66,IF(A67&lt;'Données projet'!$A$36,$K$205^A67,IF(A67='Données projet'!$A$36,'Données projet'!$B$36,N66+M67-V66)))</f>
        <v>702.40000000000077</v>
      </c>
      <c r="O67" s="13">
        <f>N67*VLOOKUP('Données projet'!$B$9,Paramètres!$A$1:$I$89,3,0)*VLOOKUP('Données projet'!$B$9,Paramètres!$A$1:$I$89,5,0)</f>
        <v>392.64160000000044</v>
      </c>
      <c r="P67" s="13">
        <f t="shared" si="33"/>
        <v>90.283254311091525</v>
      </c>
      <c r="Q67" s="20">
        <f t="shared" ref="Q67:Q98" si="54">(O67+P67)*0.475*44/12</f>
        <v>841.09412125848519</v>
      </c>
      <c r="R67" s="59">
        <f t="shared" ref="R67:R130" si="55">Q67+(I67+J67)*44/12</f>
        <v>1134.4274545918186</v>
      </c>
      <c r="S67" s="59">
        <f ca="1">AVERAGE(OFFSET($R$3,0,0,'Données projet'!$E$9+1,1))-AVERAGE(OFFSET($H$3,0,0,'Données projet'!$E$9+1,1))</f>
        <v>490.7691633858222</v>
      </c>
      <c r="T67" s="59">
        <f t="shared" si="34"/>
        <v>490.82176582457072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6.4065531232383872</v>
      </c>
      <c r="AA67" s="21">
        <f>EXP(-LN(2)/25)*AA66+(1-EXP(-LN(2)/25))/(LN(2)/25)*Calculateur!V67*Calculateur!X67*VLOOKUP('Données projet'!$B$9,Paramètres!$A$1:$I$89,3,0)*0.475*44/12</f>
        <v>17.245678244440338</v>
      </c>
      <c r="AB67" s="21">
        <f>EXP(-LN(2)/2)*AB66+(1-EXP(-LN(2)/2))/(LN(2)/2)*V67*Y67*VLOOKUP('Données projet'!$B$9,Paramètres!$A$1:$I$89,3,0)*0.475*44/12</f>
        <v>3.0688405998351137E-4</v>
      </c>
      <c r="AC67" s="22">
        <f t="shared" si="3"/>
        <v>23.652538251738708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7.5</v>
      </c>
      <c r="AI67" s="13">
        <f>IF('Données projet'!$A$62&gt;35,AI66+AH67-AQ66,IF(A67&lt;'Données projet'!$A$62,$AF$205^A67,IF(A67='Données projet'!$A$62,'Données projet'!$B$62,AI66+AH67-AQ66)))</f>
        <v>258.79999999999995</v>
      </c>
      <c r="AJ67" s="13">
        <f>AI67*VLOOKUP('Données projet'!$B$10,Paramètres!$A$1:$I$89,3,0)*VLOOKUP('Données projet'!$B$10,Paramètres!$A$1:$I$89,5,0)</f>
        <v>121.11839999999998</v>
      </c>
      <c r="AK67" s="13">
        <f t="shared" si="35"/>
        <v>31.935706725782151</v>
      </c>
      <c r="AL67" s="20">
        <f t="shared" si="4"/>
        <v>266.56923588073721</v>
      </c>
      <c r="AM67" s="59">
        <f t="shared" si="5"/>
        <v>559.90256921407058</v>
      </c>
      <c r="AN67" s="59">
        <f ca="1">AVERAGE(OFFSET($AM$3,0,0,'Données projet'!$E$10+1,1))-AVERAGE(OFFSET($H$3,0,0,'Données projet'!$E$10+1,1))</f>
        <v>165.03539937460289</v>
      </c>
      <c r="AO67" s="59">
        <f t="shared" si="36"/>
        <v>142.05625724497401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0.44232499062890268</v>
      </c>
      <c r="AV67" s="21">
        <f>EXP(-LN(2)/25)*AV66+(1-EXP(-LN(2)/25))/(LN(2)/25)*Calculateur!AQ67*Calculateur!AS67*VLOOKUP('Données projet'!$B$10,Paramètres!$A$1:$I$89,3,0)*0.475*44/12</f>
        <v>1.860940398782686</v>
      </c>
      <c r="AW67" s="21">
        <f>EXP(-LN(2)/2)*AW66+(1-EXP(-LN(2)/2))/(LN(2)/2)*AQ67*AT67*VLOOKUP('Données projet'!$B$10,Paramètres!$A$1:$I$89,3,0)*0.475*44/12</f>
        <v>4.6643909386310924E-5</v>
      </c>
      <c r="AX67" s="21">
        <f t="shared" si="6"/>
        <v>2.3033120333209753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20.3</v>
      </c>
      <c r="BD67" s="12">
        <f>IF('Données projet'!$A$88&gt;35,BD66+BC67-BL66,IF(A67&lt;'Données projet'!$A$88,$BA$205^A67,IF(A67='Données projet'!$A$88,'Données projet'!$B$88,BD66+BC67-BL66)))</f>
        <v>705.19999999999948</v>
      </c>
      <c r="BE67" s="13">
        <f>BD67*VLOOKUP('Données projet'!$B$11,Paramètres!$A$1:$I$89,3,0)*VLOOKUP('Données projet'!$B$11,Paramètres!$A$1:$I$89,5,0)</f>
        <v>339.20119999999974</v>
      </c>
      <c r="BF67" s="13">
        <f t="shared" si="37"/>
        <v>79.334886698081149</v>
      </c>
      <c r="BG67" s="20">
        <f t="shared" si="7"/>
        <v>728.95035099915742</v>
      </c>
      <c r="BH67" s="59">
        <f t="shared" si="8"/>
        <v>1022.2836843324908</v>
      </c>
      <c r="BI67" s="59">
        <f ca="1">AVERAGE(OFFSET($BH$3,0,0,'Données projet'!$E$11+1,1))-AVERAGE(OFFSET($H$3,0,0,'Données projet'!$E$11+1,1))</f>
        <v>402.22278907877927</v>
      </c>
      <c r="BJ67" s="59">
        <f t="shared" si="38"/>
        <v>393.06397734082458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14.175041623158419</v>
      </c>
      <c r="BQ67" s="21">
        <f>EXP(-LN(2)/25)*BQ66+(1-EXP(-LN(2)/25))/(LN(2)/25)*Calculateur!BL67*Calculateur!BN67*VLOOKUP('Données projet'!$B$11,Paramètres!$A$1:$I$89,3,0)*0.475*44/12</f>
        <v>17.56652480792599</v>
      </c>
      <c r="BR67" s="21">
        <f>EXP(-LN(2)/2)*BR66+(1-EXP(-LN(2)/2))/(LN(2)/2)*BL67*BO67*VLOOKUP('Données projet'!$B$11,Paramètres!$A$1:$I$89,3,0)*0.475*44/12</f>
        <v>6.7491430156933476E-3</v>
      </c>
      <c r="BS67" s="22">
        <f t="shared" si="9"/>
        <v>31.748315574100101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17.100000000000001</v>
      </c>
      <c r="N68" s="13">
        <f>IF('Données projet'!$A$36&gt;35,N67+M68-V67,IF(A68&lt;'Données projet'!$A$36,$K$205^A68,IF(A68='Données projet'!$A$36,'Données projet'!$B$36,N67+M68-V67)))</f>
        <v>719.5000000000008</v>
      </c>
      <c r="O68" s="13">
        <f>N68*VLOOKUP('Données projet'!$B$9,Paramètres!$A$1:$I$89,3,0)*VLOOKUP('Données projet'!$B$9,Paramètres!$A$1:$I$89,5,0)</f>
        <v>402.20050000000043</v>
      </c>
      <c r="P68" s="13">
        <f t="shared" si="33"/>
        <v>92.222640283077013</v>
      </c>
      <c r="Q68" s="20">
        <f t="shared" si="54"/>
        <v>861.12030265969315</v>
      </c>
      <c r="R68" s="59">
        <f t="shared" si="55"/>
        <v>1154.4536359930264</v>
      </c>
      <c r="S68" s="59">
        <f ca="1">AVERAGE(OFFSET($R$3,0,0,'Données projet'!$E$9+1,1))-AVERAGE(OFFSET($H$3,0,0,'Données projet'!$E$9+1,1))</f>
        <v>490.7691633858222</v>
      </c>
      <c r="T68" s="59">
        <f t="shared" si="34"/>
        <v>490.82176582457072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6.2809245241032432</v>
      </c>
      <c r="AA68" s="21">
        <f>EXP(-LN(2)/25)*AA67+(1-EXP(-LN(2)/25))/(LN(2)/25)*Calculateur!V68*Calculateur!X68*VLOOKUP('Données projet'!$B$9,Paramètres!$A$1:$I$89,3,0)*0.475*44/12</f>
        <v>16.774094265935314</v>
      </c>
      <c r="AB68" s="21">
        <f>EXP(-LN(2)/2)*AB67+(1-EXP(-LN(2)/2))/(LN(2)/2)*V68*Y68*VLOOKUP('Données projet'!$B$9,Paramètres!$A$1:$I$89,3,0)*0.475*44/12</f>
        <v>2.1699979985240011E-4</v>
      </c>
      <c r="AC68" s="22">
        <f t="shared" ref="AC68:AC131" si="57">SUM(Z68:AB68)</f>
        <v>23.055235789838413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7.5</v>
      </c>
      <c r="AI68" s="13">
        <f>IF('Données projet'!$A$62&gt;35,AI67+AH68-AQ67,IF(A68&lt;'Données projet'!$A$62,$AF$205^A68,IF(A68='Données projet'!$A$62,'Données projet'!$B$62,AI67+AH68-AQ67)))</f>
        <v>266.29999999999995</v>
      </c>
      <c r="AJ68" s="13">
        <f>AI68*VLOOKUP('Données projet'!$B$10,Paramètres!$A$1:$I$89,3,0)*VLOOKUP('Données projet'!$B$10,Paramètres!$A$1:$I$89,5,0)</f>
        <v>124.62839999999998</v>
      </c>
      <c r="AK68" s="13">
        <f t="shared" si="35"/>
        <v>32.752108445357337</v>
      </c>
      <c r="AL68" s="20">
        <f t="shared" ref="AL68:AL131" si="58">(AJ68+AK68)*0.475*44/12</f>
        <v>274.10438554233065</v>
      </c>
      <c r="AM68" s="59">
        <f t="shared" ref="AM68:AM131" si="59">AL68+(AD68+AE68)*44/12</f>
        <v>567.4377188756639</v>
      </c>
      <c r="AN68" s="59">
        <f ca="1">AVERAGE(OFFSET($AM$3,0,0,'Données projet'!$E$10+1,1))-AVERAGE(OFFSET($H$3,0,0,'Données projet'!$E$10+1,1))</f>
        <v>165.03539937460289</v>
      </c>
      <c r="AO68" s="59">
        <f t="shared" si="36"/>
        <v>142.05625724497401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0.43365126735427445</v>
      </c>
      <c r="AV68" s="21">
        <f>EXP(-LN(2)/25)*AV67+(1-EXP(-LN(2)/25))/(LN(2)/25)*Calculateur!AQ68*Calculateur!AS68*VLOOKUP('Données projet'!$B$10,Paramètres!$A$1:$I$89,3,0)*0.475*44/12</f>
        <v>1.810052885715371</v>
      </c>
      <c r="AW68" s="21">
        <f>EXP(-LN(2)/2)*AW67+(1-EXP(-LN(2)/2))/(LN(2)/2)*AQ68*AT68*VLOOKUP('Données projet'!$B$10,Paramètres!$A$1:$I$89,3,0)*0.475*44/12</f>
        <v>3.2982224628111308E-5</v>
      </c>
      <c r="AX68" s="21">
        <f t="shared" ref="AX68:AX131" si="60">SUM(AU68:AW68)</f>
        <v>2.2437371352942739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20.3</v>
      </c>
      <c r="BD68" s="12">
        <f>IF('Données projet'!$A$88&gt;35,BD67+BC68-BL67,IF(A68&lt;'Données projet'!$A$88,$BA$205^A68,IF(A68='Données projet'!$A$88,'Données projet'!$B$88,BD67+BC68-BL67)))</f>
        <v>725.49999999999943</v>
      </c>
      <c r="BE68" s="13">
        <f>BD68*VLOOKUP('Données projet'!$B$11,Paramètres!$A$1:$I$89,3,0)*VLOOKUP('Données projet'!$B$11,Paramètres!$A$1:$I$89,5,0)</f>
        <v>348.96549999999974</v>
      </c>
      <c r="BF68" s="13">
        <f t="shared" si="37"/>
        <v>81.349460260606179</v>
      </c>
      <c r="BG68" s="20">
        <f t="shared" ref="BG68:BG131" si="61">(BE68+BF68)*0.475*44/12</f>
        <v>749.4652224538886</v>
      </c>
      <c r="BH68" s="59">
        <f t="shared" ref="BH68:BH131" si="62">BG68+(AY68+AZ68)*44/12</f>
        <v>1042.7985557872219</v>
      </c>
      <c r="BI68" s="59">
        <f ca="1">AVERAGE(OFFSET($BH$3,0,0,'Données projet'!$E$11+1,1))-AVERAGE(OFFSET($H$3,0,0,'Données projet'!$E$11+1,1))</f>
        <v>402.22278907877927</v>
      </c>
      <c r="BJ68" s="59">
        <f t="shared" si="38"/>
        <v>393.06397734082458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13.897077702849959</v>
      </c>
      <c r="BQ68" s="21">
        <f>EXP(-LN(2)/25)*BQ67+(1-EXP(-LN(2)/25))/(LN(2)/25)*Calculateur!BL68*Calculateur!BN68*VLOOKUP('Données projet'!$B$11,Paramètres!$A$1:$I$89,3,0)*0.475*44/12</f>
        <v>17.086167263269864</v>
      </c>
      <c r="BR68" s="21">
        <f>EXP(-LN(2)/2)*BR67+(1-EXP(-LN(2)/2))/(LN(2)/2)*BL68*BO68*VLOOKUP('Données projet'!$B$11,Paramètres!$A$1:$I$89,3,0)*0.475*44/12</f>
        <v>4.7723647935945914E-3</v>
      </c>
      <c r="BS68" s="22">
        <f t="shared" ref="BS68:BS131" si="63">SUM(BP68:BR68)</f>
        <v>30.988017330913419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17.100000000000001</v>
      </c>
      <c r="N69" s="13">
        <f>IF('Données projet'!$A$36&gt;35,N68+M69-V68,IF(A69&lt;'Données projet'!$A$36,$K$205^A69,IF(A69='Données projet'!$A$36,'Données projet'!$B$36,N68+M69-V68)))</f>
        <v>736.60000000000082</v>
      </c>
      <c r="O69" s="13">
        <f>N69*VLOOKUP('Données projet'!$B$9,Paramètres!$A$1:$I$89,3,0)*VLOOKUP('Données projet'!$B$9,Paramètres!$A$1:$I$89,5,0)</f>
        <v>411.75940000000048</v>
      </c>
      <c r="P69" s="13">
        <f t="shared" ref="P69:P132" si="87">EXP(-1.0587+0.8836*LN(O69)+0.284)</f>
        <v>94.156667977916328</v>
      </c>
      <c r="Q69" s="20">
        <f t="shared" si="54"/>
        <v>881.13715172820503</v>
      </c>
      <c r="R69" s="59">
        <f t="shared" si="55"/>
        <v>1174.4704850615383</v>
      </c>
      <c r="S69" s="59">
        <f ca="1">AVERAGE(OFFSET($R$3,0,0,'Données projet'!$E$9+1,1))-AVERAGE(OFFSET($H$3,0,0,'Données projet'!$E$9+1,1))</f>
        <v>490.7691633858222</v>
      </c>
      <c r="T69" s="59">
        <f t="shared" ref="T69:T132" si="88">$T$3</f>
        <v>490.82176582457072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6.1577594251712595</v>
      </c>
      <c r="AA69" s="21">
        <f>EXP(-LN(2)/25)*AA68+(1-EXP(-LN(2)/25))/(LN(2)/25)*Calculateur!V69*Calculateur!X69*VLOOKUP('Données projet'!$B$9,Paramètres!$A$1:$I$89,3,0)*0.475*44/12</f>
        <v>16.315405776122034</v>
      </c>
      <c r="AB69" s="21">
        <f>EXP(-LN(2)/2)*AB68+(1-EXP(-LN(2)/2))/(LN(2)/2)*V69*Y69*VLOOKUP('Données projet'!$B$9,Paramètres!$A$1:$I$89,3,0)*0.475*44/12</f>
        <v>1.5344202999175569E-4</v>
      </c>
      <c r="AC69" s="22">
        <f t="shared" si="57"/>
        <v>22.473318643323285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7.5</v>
      </c>
      <c r="AI69" s="13">
        <f>IF('Données projet'!$A$62&gt;35,AI68+AH69-AQ68,IF(A69&lt;'Données projet'!$A$62,$AF$205^A69,IF(A69='Données projet'!$A$62,'Données projet'!$B$62,AI68+AH69-AQ68)))</f>
        <v>273.79999999999995</v>
      </c>
      <c r="AJ69" s="13">
        <f>AI69*VLOOKUP('Données projet'!$B$10,Paramètres!$A$1:$I$89,3,0)*VLOOKUP('Données projet'!$B$10,Paramètres!$A$1:$I$89,5,0)</f>
        <v>128.13839999999999</v>
      </c>
      <c r="AK69" s="13">
        <f t="shared" ref="AK69:AK132" si="89">EXP(-1.0587+0.8836*LN(AJ69)+0.284)</f>
        <v>33.565837798615647</v>
      </c>
      <c r="AL69" s="20">
        <f t="shared" si="58"/>
        <v>281.63488083258886</v>
      </c>
      <c r="AM69" s="59">
        <f t="shared" si="59"/>
        <v>574.96821416592218</v>
      </c>
      <c r="AN69" s="59">
        <f ca="1">AVERAGE(OFFSET($AM$3,0,0,'Données projet'!$E$10+1,1))-AVERAGE(OFFSET($H$3,0,0,'Données projet'!$E$10+1,1))</f>
        <v>165.03539937460289</v>
      </c>
      <c r="AO69" s="59">
        <f t="shared" ref="AO69:AO132" si="90">$AO$3</f>
        <v>142.05625724497401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0.42514763050261289</v>
      </c>
      <c r="AV69" s="21">
        <f>EXP(-LN(2)/25)*AV68+(1-EXP(-LN(2)/25))/(LN(2)/25)*Calculateur!AQ69*Calculateur!AS69*VLOOKUP('Données projet'!$B$10,Paramètres!$A$1:$I$89,3,0)*0.475*44/12</f>
        <v>1.7605568943689398</v>
      </c>
      <c r="AW69" s="21">
        <f>EXP(-LN(2)/2)*AW68+(1-EXP(-LN(2)/2))/(LN(2)/2)*AQ69*AT69*VLOOKUP('Données projet'!$B$10,Paramètres!$A$1:$I$89,3,0)*0.475*44/12</f>
        <v>2.3321954693155462E-5</v>
      </c>
      <c r="AX69" s="21">
        <f t="shared" si="60"/>
        <v>2.185727846826246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20.3</v>
      </c>
      <c r="BD69" s="12">
        <f>IF('Données projet'!$A$88&gt;35,BD68+BC69-BL68,IF(A69&lt;'Données projet'!$A$88,$BA$205^A69,IF(A69='Données projet'!$A$88,'Données projet'!$B$88,BD68+BC69-BL68)))</f>
        <v>745.79999999999939</v>
      </c>
      <c r="BE69" s="13">
        <f>BD69*VLOOKUP('Données projet'!$B$11,Paramètres!$A$1:$I$89,3,0)*VLOOKUP('Données projet'!$B$11,Paramètres!$A$1:$I$89,5,0)</f>
        <v>358.72979999999967</v>
      </c>
      <c r="BF69" s="13">
        <f t="shared" ref="BF69:BF132" si="91">EXP(-1.0587+0.8836*LN(BE69)+0.284)</f>
        <v>83.357482220164229</v>
      </c>
      <c r="BG69" s="20">
        <f t="shared" si="61"/>
        <v>769.96868320011879</v>
      </c>
      <c r="BH69" s="59">
        <f t="shared" si="62"/>
        <v>1063.3020165334522</v>
      </c>
      <c r="BI69" s="59">
        <f ca="1">AVERAGE(OFFSET($BH$3,0,0,'Données projet'!$E$11+1,1))-AVERAGE(OFFSET($H$3,0,0,'Données projet'!$E$11+1,1))</f>
        <v>402.22278907877927</v>
      </c>
      <c r="BJ69" s="59">
        <f t="shared" ref="BJ69:BJ132" si="92">$BJ$3</f>
        <v>393.06397734082458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13.624564485477498</v>
      </c>
      <c r="BQ69" s="21">
        <f>EXP(-LN(2)/25)*BQ68+(1-EXP(-LN(2)/25))/(LN(2)/25)*Calculateur!BL69*Calculateur!BN69*VLOOKUP('Données projet'!$B$11,Paramètres!$A$1:$I$89,3,0)*0.475*44/12</f>
        <v>16.618945120933265</v>
      </c>
      <c r="BR69" s="21">
        <f>EXP(-LN(2)/2)*BR68+(1-EXP(-LN(2)/2))/(LN(2)/2)*BL69*BO69*VLOOKUP('Données projet'!$B$11,Paramètres!$A$1:$I$89,3,0)*0.475*44/12</f>
        <v>3.3745715078466738E-3</v>
      </c>
      <c r="BS69" s="22">
        <f t="shared" si="63"/>
        <v>30.246884177918609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17.100000000000001</v>
      </c>
      <c r="N70" s="13">
        <f>IF('Données projet'!$A$36&gt;35,N69+M70-V69,IF(A70&lt;'Données projet'!$A$36,$K$205^A70,IF(A70='Données projet'!$A$36,'Données projet'!$B$36,N69+M70-V69)))</f>
        <v>753.70000000000084</v>
      </c>
      <c r="O70" s="13">
        <f>N70*VLOOKUP('Données projet'!$B$9,Paramètres!$A$1:$I$89,3,0)*VLOOKUP('Données projet'!$B$9,Paramètres!$A$1:$I$89,5,0)</f>
        <v>421.31830000000048</v>
      </c>
      <c r="P70" s="13">
        <f t="shared" si="87"/>
        <v>96.085476103641199</v>
      </c>
      <c r="Q70" s="20">
        <f t="shared" si="54"/>
        <v>901.14491004717593</v>
      </c>
      <c r="R70" s="59">
        <f t="shared" si="55"/>
        <v>1194.4782433805092</v>
      </c>
      <c r="S70" s="59">
        <f ca="1">AVERAGE(OFFSET($R$3,0,0,'Données projet'!$E$9+1,1))-AVERAGE(OFFSET($H$3,0,0,'Données projet'!$E$9+1,1))</f>
        <v>490.7691633858222</v>
      </c>
      <c r="T70" s="59">
        <f t="shared" si="88"/>
        <v>490.82176582457072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6.0370095187060402</v>
      </c>
      <c r="AA70" s="21">
        <f>EXP(-LN(2)/25)*AA69+(1-EXP(-LN(2)/25))/(LN(2)/25)*Calculateur!V70*Calculateur!X70*VLOOKUP('Données projet'!$B$9,Paramètres!$A$1:$I$89,3,0)*0.475*44/12</f>
        <v>15.869260147184077</v>
      </c>
      <c r="AB70" s="21">
        <f>EXP(-LN(2)/2)*AB69+(1-EXP(-LN(2)/2))/(LN(2)/2)*V70*Y70*VLOOKUP('Données projet'!$B$9,Paramètres!$A$1:$I$89,3,0)*0.475*44/12</f>
        <v>1.0849989992620005E-4</v>
      </c>
      <c r="AC70" s="22">
        <f t="shared" si="57"/>
        <v>21.906378165790045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7.5</v>
      </c>
      <c r="AI70" s="13">
        <f>IF('Données projet'!$A$62&gt;35,AI69+AH70-AQ69,IF(A70&lt;'Données projet'!$A$62,$AF$205^A70,IF(A70='Données projet'!$A$62,'Données projet'!$B$62,AI69+AH70-AQ69)))</f>
        <v>281.29999999999995</v>
      </c>
      <c r="AJ70" s="13">
        <f>AI70*VLOOKUP('Données projet'!$B$10,Paramètres!$A$1:$I$89,3,0)*VLOOKUP('Données projet'!$B$10,Paramètres!$A$1:$I$89,5,0)</f>
        <v>131.64839999999998</v>
      </c>
      <c r="AK70" s="13">
        <f t="shared" si="89"/>
        <v>34.376976398956401</v>
      </c>
      <c r="AL70" s="20">
        <f t="shared" si="58"/>
        <v>289.160863894849</v>
      </c>
      <c r="AM70" s="59">
        <f t="shared" si="59"/>
        <v>582.49419722818232</v>
      </c>
      <c r="AN70" s="59">
        <f ca="1">AVERAGE(OFFSET($AM$3,0,0,'Données projet'!$E$10+1,1))-AVERAGE(OFFSET($H$3,0,0,'Données projet'!$E$10+1,1))</f>
        <v>165.03539937460289</v>
      </c>
      <c r="AO70" s="59">
        <f t="shared" si="90"/>
        <v>142.05625724497401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0.41681074478290608</v>
      </c>
      <c r="AV70" s="21">
        <f>EXP(-LN(2)/25)*AV69+(1-EXP(-LN(2)/25))/(LN(2)/25)*Calculateur!AQ70*Calculateur!AS70*VLOOKUP('Données projet'!$B$10,Paramètres!$A$1:$I$89,3,0)*0.475*44/12</f>
        <v>1.7124143735087578</v>
      </c>
      <c r="AW70" s="21">
        <f>EXP(-LN(2)/2)*AW69+(1-EXP(-LN(2)/2))/(LN(2)/2)*AQ70*AT70*VLOOKUP('Données projet'!$B$10,Paramètres!$A$1:$I$89,3,0)*0.475*44/12</f>
        <v>1.6491112314055654E-5</v>
      </c>
      <c r="AX70" s="21">
        <f t="shared" si="60"/>
        <v>2.1292416094039779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20.3</v>
      </c>
      <c r="BD70" s="12">
        <f>IF('Données projet'!$A$88&gt;35,BD69+BC70-BL69,IF(A70&lt;'Données projet'!$A$88,$BA$205^A70,IF(A70='Données projet'!$A$88,'Données projet'!$B$88,BD69+BC70-BL69)))</f>
        <v>766.09999999999934</v>
      </c>
      <c r="BE70" s="13">
        <f>BD70*VLOOKUP('Données projet'!$B$11,Paramètres!$A$1:$I$89,3,0)*VLOOKUP('Données projet'!$B$11,Paramètres!$A$1:$I$89,5,0)</f>
        <v>368.49409999999972</v>
      </c>
      <c r="BF70" s="13">
        <f t="shared" si="91"/>
        <v>85.359151397578415</v>
      </c>
      <c r="BG70" s="20">
        <f t="shared" si="61"/>
        <v>790.46107951744852</v>
      </c>
      <c r="BH70" s="59">
        <f t="shared" si="62"/>
        <v>1083.7944128507818</v>
      </c>
      <c r="BI70" s="59">
        <f ca="1">AVERAGE(OFFSET($BH$3,0,0,'Données projet'!$E$11+1,1))-AVERAGE(OFFSET($H$3,0,0,'Données projet'!$E$11+1,1))</f>
        <v>402.22278907877927</v>
      </c>
      <c r="BJ70" s="59">
        <f t="shared" si="92"/>
        <v>393.06397734082458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13.357395086081059</v>
      </c>
      <c r="BQ70" s="21">
        <f>EXP(-LN(2)/25)*BQ69+(1-EXP(-LN(2)/25))/(LN(2)/25)*Calculateur!BL70*Calculateur!BN70*VLOOKUP('Données projet'!$B$11,Paramètres!$A$1:$I$89,3,0)*0.475*44/12</f>
        <v>16.164499192649004</v>
      </c>
      <c r="BR70" s="21">
        <f>EXP(-LN(2)/2)*BR69+(1-EXP(-LN(2)/2))/(LN(2)/2)*BL70*BO70*VLOOKUP('Données projet'!$B$11,Paramètres!$A$1:$I$89,3,0)*0.475*44/12</f>
        <v>2.3861823967972957E-3</v>
      </c>
      <c r="BS70" s="22">
        <f t="shared" si="63"/>
        <v>29.52428046112686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17.100000000000001</v>
      </c>
      <c r="N71" s="13">
        <f>IF('Données projet'!$A$36&gt;35,N70+M71-V70,IF(A71&lt;'Données projet'!$A$36,$K$205^A71,IF(A71='Données projet'!$A$36,'Données projet'!$B$36,N70+M71-V70)))</f>
        <v>770.80000000000086</v>
      </c>
      <c r="O71" s="13">
        <f>N71*VLOOKUP('Données projet'!$B$9,Paramètres!$A$1:$I$89,3,0)*VLOOKUP('Données projet'!$B$9,Paramètres!$A$1:$I$89,5,0)</f>
        <v>430.87720000000047</v>
      </c>
      <c r="P71" s="13">
        <f t="shared" si="87"/>
        <v>98.009196715005118</v>
      </c>
      <c r="Q71" s="20">
        <f t="shared" si="54"/>
        <v>921.14380761196799</v>
      </c>
      <c r="R71" s="59">
        <f t="shared" si="55"/>
        <v>1214.4771409453012</v>
      </c>
      <c r="S71" s="59">
        <f ca="1">AVERAGE(OFFSET($R$3,0,0,'Données projet'!$E$9+1,1))-AVERAGE(OFFSET($H$3,0,0,'Données projet'!$E$9+1,1))</f>
        <v>490.7691633858222</v>
      </c>
      <c r="T71" s="59">
        <f t="shared" si="88"/>
        <v>490.82176582457072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5.9186274442564333</v>
      </c>
      <c r="AA71" s="21">
        <f>EXP(-LN(2)/25)*AA70+(1-EXP(-LN(2)/25))/(LN(2)/25)*Calculateur!V71*Calculateur!X71*VLOOKUP('Données projet'!$B$9,Paramètres!$A$1:$I$89,3,0)*0.475*44/12</f>
        <v>15.435314393931208</v>
      </c>
      <c r="AB71" s="21">
        <f>EXP(-LN(2)/2)*AB70+(1-EXP(-LN(2)/2))/(LN(2)/2)*V71*Y71*VLOOKUP('Données projet'!$B$9,Paramètres!$A$1:$I$89,3,0)*0.475*44/12</f>
        <v>7.6721014995877844E-5</v>
      </c>
      <c r="AC71" s="22">
        <f t="shared" si="57"/>
        <v>21.354018559202636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7.5</v>
      </c>
      <c r="AI71" s="13">
        <f>IF('Données projet'!$A$62&gt;35,AI70+AH71-AQ70,IF(A71&lt;'Données projet'!$A$62,$AF$205^A71,IF(A71='Données projet'!$A$62,'Données projet'!$B$62,AI70+AH71-AQ70)))</f>
        <v>288.79999999999995</v>
      </c>
      <c r="AJ71" s="13">
        <f>AI71*VLOOKUP('Données projet'!$B$10,Paramètres!$A$1:$I$89,3,0)*VLOOKUP('Données projet'!$B$10,Paramètres!$A$1:$I$89,5,0)</f>
        <v>135.15839999999997</v>
      </c>
      <c r="AK71" s="13">
        <f t="shared" si="89"/>
        <v>35.185601260047996</v>
      </c>
      <c r="AL71" s="20">
        <f t="shared" si="58"/>
        <v>296.68246886125024</v>
      </c>
      <c r="AM71" s="59">
        <f t="shared" si="59"/>
        <v>590.01580219458356</v>
      </c>
      <c r="AN71" s="59">
        <f ca="1">AVERAGE(OFFSET($AM$3,0,0,'Données projet'!$E$10+1,1))-AVERAGE(OFFSET($H$3,0,0,'Données projet'!$E$10+1,1))</f>
        <v>165.03539937460289</v>
      </c>
      <c r="AO71" s="59">
        <f t="shared" si="90"/>
        <v>142.05625724497401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0.40863734030716453</v>
      </c>
      <c r="AV71" s="21">
        <f>EXP(-LN(2)/25)*AV70+(1-EXP(-LN(2)/25))/(LN(2)/25)*Calculateur!AQ71*Calculateur!AS71*VLOOKUP('Données projet'!$B$10,Paramètres!$A$1:$I$89,3,0)*0.475*44/12</f>
        <v>1.6655883124132027</v>
      </c>
      <c r="AW71" s="21">
        <f>EXP(-LN(2)/2)*AW70+(1-EXP(-LN(2)/2))/(LN(2)/2)*AQ71*AT71*VLOOKUP('Données projet'!$B$10,Paramètres!$A$1:$I$89,3,0)*0.475*44/12</f>
        <v>1.1660977346577731E-5</v>
      </c>
      <c r="AX71" s="21">
        <f t="shared" si="60"/>
        <v>2.0742373136977137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20.3</v>
      </c>
      <c r="BD71" s="12">
        <f>IF('Données projet'!$A$88&gt;35,BD70+BC71-BL70,IF(A71&lt;'Données projet'!$A$88,$BA$205^A71,IF(A71='Données projet'!$A$88,'Données projet'!$B$88,BD70+BC71-BL70)))</f>
        <v>786.3999999999993</v>
      </c>
      <c r="BE71" s="13">
        <f>BD71*VLOOKUP('Données projet'!$B$11,Paramètres!$A$1:$I$89,3,0)*VLOOKUP('Données projet'!$B$11,Paramètres!$A$1:$I$89,5,0)</f>
        <v>378.25839999999965</v>
      </c>
      <c r="BF71" s="13">
        <f t="shared" si="91"/>
        <v>87.354655477034314</v>
      </c>
      <c r="BG71" s="20">
        <f t="shared" si="61"/>
        <v>810.94273828916755</v>
      </c>
      <c r="BH71" s="59">
        <f t="shared" si="62"/>
        <v>1104.2760716225009</v>
      </c>
      <c r="BI71" s="59">
        <f ca="1">AVERAGE(OFFSET($BH$3,0,0,'Données projet'!$E$11+1,1))-AVERAGE(OFFSET($H$3,0,0,'Données projet'!$E$11+1,1))</f>
        <v>402.22278907877927</v>
      </c>
      <c r="BJ71" s="59">
        <f t="shared" si="92"/>
        <v>393.06397734082458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13.095464715649543</v>
      </c>
      <c r="BQ71" s="21">
        <f>EXP(-LN(2)/25)*BQ70+(1-EXP(-LN(2)/25))/(LN(2)/25)*Calculateur!BL71*Calculateur!BN71*VLOOKUP('Données projet'!$B$11,Paramètres!$A$1:$I$89,3,0)*0.475*44/12</f>
        <v>15.722480112171949</v>
      </c>
      <c r="BR71" s="21">
        <f>EXP(-LN(2)/2)*BR70+(1-EXP(-LN(2)/2))/(LN(2)/2)*BL71*BO71*VLOOKUP('Données projet'!$B$11,Paramètres!$A$1:$I$89,3,0)*0.475*44/12</f>
        <v>1.6872857539233369E-3</v>
      </c>
      <c r="BS71" s="22">
        <f t="shared" si="63"/>
        <v>28.819632113575416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17.100000000000001</v>
      </c>
      <c r="N72" s="13">
        <f>IF('Données projet'!$A$36&gt;35,N71+M72-V71,IF(A72&lt;'Données projet'!$A$36,$K$205^A72,IF(A72='Données projet'!$A$36,'Données projet'!$B$36,N71+M72-V71)))</f>
        <v>787.90000000000089</v>
      </c>
      <c r="O72" s="13">
        <f>N72*VLOOKUP('Données projet'!$B$9,Paramètres!$A$1:$I$89,3,0)*VLOOKUP('Données projet'!$B$9,Paramètres!$A$1:$I$89,5,0)</f>
        <v>440.43610000000047</v>
      </c>
      <c r="P72" s="13">
        <f t="shared" si="87"/>
        <v>99.92795567302565</v>
      </c>
      <c r="Q72" s="20">
        <f t="shared" si="54"/>
        <v>941.13406363052036</v>
      </c>
      <c r="R72" s="59">
        <f t="shared" si="55"/>
        <v>1234.4673969638536</v>
      </c>
      <c r="S72" s="59">
        <f ca="1">AVERAGE(OFFSET($R$3,0,0,'Données projet'!$E$9+1,1))-AVERAGE(OFFSET($H$3,0,0,'Données projet'!$E$9+1,1))</f>
        <v>490.7691633858222</v>
      </c>
      <c r="T72" s="59">
        <f t="shared" si="88"/>
        <v>490.82176582457072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5.8025667700808468</v>
      </c>
      <c r="AA72" s="21">
        <f>EXP(-LN(2)/25)*AA71+(1-EXP(-LN(2)/25))/(LN(2)/25)*Calculateur!V72*Calculateur!X72*VLOOKUP('Données projet'!$B$9,Paramètres!$A$1:$I$89,3,0)*0.475*44/12</f>
        <v>15.013234910121252</v>
      </c>
      <c r="AB72" s="21">
        <f>EXP(-LN(2)/2)*AB71+(1-EXP(-LN(2)/2))/(LN(2)/2)*V72*Y72*VLOOKUP('Données projet'!$B$9,Paramètres!$A$1:$I$89,3,0)*0.475*44/12</f>
        <v>5.4249949963100027E-5</v>
      </c>
      <c r="AC72" s="22">
        <f t="shared" si="57"/>
        <v>20.815855930152061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7.5</v>
      </c>
      <c r="AI72" s="13">
        <f>IF('Données projet'!$A$62&gt;35,AI71+AH72-AQ71,IF(A72&lt;'Données projet'!$A$62,$AF$205^A72,IF(A72='Données projet'!$A$62,'Données projet'!$B$62,AI71+AH72-AQ71)))</f>
        <v>296.29999999999995</v>
      </c>
      <c r="AJ72" s="13">
        <f>AI72*VLOOKUP('Données projet'!$B$10,Paramètres!$A$1:$I$89,3,0)*VLOOKUP('Données projet'!$B$10,Paramètres!$A$1:$I$89,5,0)</f>
        <v>138.66839999999996</v>
      </c>
      <c r="AK72" s="13">
        <f t="shared" si="89"/>
        <v>35.991785167697529</v>
      </c>
      <c r="AL72" s="20">
        <f t="shared" si="58"/>
        <v>304.19982250040647</v>
      </c>
      <c r="AM72" s="59">
        <f t="shared" si="59"/>
        <v>597.53315583373978</v>
      </c>
      <c r="AN72" s="59">
        <f ca="1">AVERAGE(OFFSET($AM$3,0,0,'Données projet'!$E$10+1,1))-AVERAGE(OFFSET($H$3,0,0,'Données projet'!$E$10+1,1))</f>
        <v>165.03539937460289</v>
      </c>
      <c r="AO72" s="59">
        <f t="shared" si="90"/>
        <v>142.05625724497401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0.40062421130790782</v>
      </c>
      <c r="AV72" s="21">
        <f>EXP(-LN(2)/25)*AV71+(1-EXP(-LN(2)/25))/(LN(2)/25)*Calculateur!AQ72*Calculateur!AS72*VLOOKUP('Données projet'!$B$10,Paramètres!$A$1:$I$89,3,0)*0.475*44/12</f>
        <v>1.620042712420781</v>
      </c>
      <c r="AW72" s="21">
        <f>EXP(-LN(2)/2)*AW71+(1-EXP(-LN(2)/2))/(LN(2)/2)*AQ72*AT72*VLOOKUP('Données projet'!$B$10,Paramètres!$A$1:$I$89,3,0)*0.475*44/12</f>
        <v>8.2455561570278271E-6</v>
      </c>
      <c r="AX72" s="21">
        <f t="shared" si="60"/>
        <v>2.0206751692848459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20.3</v>
      </c>
      <c r="BD72" s="12">
        <f>IF('Données projet'!$A$88&gt;35,BD71+BC72-BL71,IF(A72&lt;'Données projet'!$A$88,$BA$205^A72,IF(A72='Données projet'!$A$88,'Données projet'!$B$88,BD71+BC72-BL71)))</f>
        <v>806.69999999999925</v>
      </c>
      <c r="BE72" s="13">
        <f>BD72*VLOOKUP('Données projet'!$B$11,Paramètres!$A$1:$I$89,3,0)*VLOOKUP('Données projet'!$B$11,Paramètres!$A$1:$I$89,5,0)</f>
        <v>388.02269999999965</v>
      </c>
      <c r="BF72" s="13">
        <f t="shared" si="91"/>
        <v>89.344171901036972</v>
      </c>
      <c r="BG72" s="20">
        <f t="shared" si="61"/>
        <v>831.41396856097208</v>
      </c>
      <c r="BH72" s="59">
        <f t="shared" si="62"/>
        <v>1124.7473018943053</v>
      </c>
      <c r="BI72" s="59">
        <f ca="1">AVERAGE(OFFSET($BH$3,0,0,'Données projet'!$E$11+1,1))-AVERAGE(OFFSET($H$3,0,0,'Données projet'!$E$11+1,1))</f>
        <v>402.22278907877927</v>
      </c>
      <c r="BJ72" s="59">
        <f t="shared" si="92"/>
        <v>393.06397734082458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12.838670640020437</v>
      </c>
      <c r="BQ72" s="21">
        <f>EXP(-LN(2)/25)*BQ71+(1-EXP(-LN(2)/25))/(LN(2)/25)*Calculateur!BL72*Calculateur!BN72*VLOOKUP('Données projet'!$B$11,Paramètres!$A$1:$I$89,3,0)*0.475*44/12</f>
        <v>15.292548066695312</v>
      </c>
      <c r="BR72" s="21">
        <f>EXP(-LN(2)/2)*BR71+(1-EXP(-LN(2)/2))/(LN(2)/2)*BL72*BO72*VLOOKUP('Données projet'!$B$11,Paramètres!$A$1:$I$89,3,0)*0.475*44/12</f>
        <v>1.1930911983986478E-3</v>
      </c>
      <c r="BS72" s="22">
        <f t="shared" si="63"/>
        <v>28.132411797914148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805</v>
      </c>
      <c r="L73" s="12">
        <f>VLOOKUP(A73,'Données projet'!$A$35:$I$55,9,0)</f>
        <v>17.100000000000001</v>
      </c>
      <c r="M73" s="12">
        <f t="array" ref="M73">INDEX(L:L,MIN(IF(ISNUMBER(L73:L269),ROW(L73:L269),"")))</f>
        <v>17.100000000000001</v>
      </c>
      <c r="N73" s="13">
        <f>IF('Données projet'!$A$36&gt;35,N72+M73-V72,IF(A73&lt;'Données projet'!$A$36,$K$205^A73,IF(A73='Données projet'!$A$36,'Données projet'!$B$36,N72+M73-V72)))</f>
        <v>805.00000000000091</v>
      </c>
      <c r="O73" s="13">
        <f>N73*VLOOKUP('Données projet'!$B$9,Paramètres!$A$1:$I$89,3,0)*VLOOKUP('Données projet'!$B$9,Paramètres!$A$1:$I$89,5,0)</f>
        <v>449.99500000000052</v>
      </c>
      <c r="P73" s="13">
        <f t="shared" si="87"/>
        <v>101.84187306350728</v>
      </c>
      <c r="Q73" s="20">
        <f t="shared" si="54"/>
        <v>961.11588725227614</v>
      </c>
      <c r="R73" s="59">
        <f t="shared" si="55"/>
        <v>1254.4492205856095</v>
      </c>
      <c r="S73" s="59">
        <f ca="1">AVERAGE(OFFSET($R$3,0,0,'Données projet'!$E$9+1,1))-AVERAGE(OFFSET($H$3,0,0,'Données projet'!$E$9+1,1))</f>
        <v>490.7691633858222</v>
      </c>
      <c r="T73" s="59">
        <f t="shared" si="88"/>
        <v>490.82176582457072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86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5.6887819749358224</v>
      </c>
      <c r="AA73" s="21">
        <f>EXP(-LN(2)/25)*AA72+(1-EXP(-LN(2)/25))/(LN(2)/25)*Calculateur!V73*Calculateur!X73*VLOOKUP('Données projet'!$B$9,Paramètres!$A$1:$I$89,3,0)*0.475*44/12</f>
        <v>14.602697211992275</v>
      </c>
      <c r="AB73" s="21">
        <f>EXP(-LN(2)/2)*AB72+(1-EXP(-LN(2)/2))/(LN(2)/2)*V73*Y73*VLOOKUP('Données projet'!$B$9,Paramètres!$A$1:$I$89,3,0)*0.475*44/12</f>
        <v>3.8360507497938922E-5</v>
      </c>
      <c r="AC73" s="22">
        <f t="shared" si="57"/>
        <v>20.291517547435596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303.8</v>
      </c>
      <c r="AG73" s="12">
        <f>VLOOKUP(A73,'Données projet'!$A$61:$I$81,9,0)</f>
        <v>7.5</v>
      </c>
      <c r="AH73" s="12">
        <f t="array" ref="AH73">INDEX(AG:AG,MIN(IF(ISNUMBER(AG73:AG269),ROW(AG73:AG269),"")))</f>
        <v>7.5</v>
      </c>
      <c r="AI73" s="13">
        <f>IF('Données projet'!$A$62&gt;35,AI72+AH73-AQ72,IF(A73&lt;'Données projet'!$A$62,$AF$205^A73,IF(A73='Données projet'!$A$62,'Données projet'!$B$62,AI72+AH73-AQ72)))</f>
        <v>303.79999999999995</v>
      </c>
      <c r="AJ73" s="13">
        <f>AI73*VLOOKUP('Données projet'!$B$10,Paramètres!$A$1:$I$89,3,0)*VLOOKUP('Données projet'!$B$10,Paramètres!$A$1:$I$89,5,0)</f>
        <v>142.17839999999998</v>
      </c>
      <c r="AK73" s="13">
        <f t="shared" si="89"/>
        <v>36.795597013009356</v>
      </c>
      <c r="AL73" s="20">
        <f t="shared" si="58"/>
        <v>311.71304479765791</v>
      </c>
      <c r="AM73" s="59">
        <f t="shared" si="59"/>
        <v>605.04637813099123</v>
      </c>
      <c r="AN73" s="59">
        <f ca="1">AVERAGE(OFFSET($AM$3,0,0,'Données projet'!$E$10+1,1))-AVERAGE(OFFSET($H$3,0,0,'Données projet'!$E$10+1,1))</f>
        <v>165.03539937460289</v>
      </c>
      <c r="AO73" s="59">
        <f t="shared" si="90"/>
        <v>142.05625724497401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46.3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0.39276821488080044</v>
      </c>
      <c r="AV73" s="21">
        <f>EXP(-LN(2)/25)*AV72+(1-EXP(-LN(2)/25))/(LN(2)/25)*Calculateur!AQ73*Calculateur!AS73*VLOOKUP('Données projet'!$B$10,Paramètres!$A$1:$I$89,3,0)*0.475*44/12</f>
        <v>1.5757425592552912</v>
      </c>
      <c r="AW73" s="21">
        <f>EXP(-LN(2)/2)*AW72+(1-EXP(-LN(2)/2))/(LN(2)/2)*AQ73*AT73*VLOOKUP('Données projet'!$B$10,Paramètres!$A$1:$I$89,3,0)*0.475*44/12</f>
        <v>5.8304886732888656E-6</v>
      </c>
      <c r="AX73" s="21">
        <f t="shared" si="60"/>
        <v>1.9685166046247649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827</v>
      </c>
      <c r="BB73" s="12">
        <f>VLOOKUP(A73,'Données projet'!$A$87:$I$107,9,0)</f>
        <v>20.3</v>
      </c>
      <c r="BC73" s="12">
        <f t="array" ref="BC73">INDEX(BB:BB,MIN(IF(ISNUMBER(BB73:BB269),ROW(BB73:BB269),"")))</f>
        <v>20.3</v>
      </c>
      <c r="BD73" s="12">
        <f>IF('Données projet'!$A$88&gt;35,BD72+BC73-BL72,IF(A73&lt;'Données projet'!$A$88,$BA$205^A73,IF(A73='Données projet'!$A$88,'Données projet'!$B$88,BD72+BC73-BL72)))</f>
        <v>826.9999999999992</v>
      </c>
      <c r="BE73" s="13">
        <f>BD73*VLOOKUP('Données projet'!$B$11,Paramètres!$A$1:$I$89,3,0)*VLOOKUP('Données projet'!$B$11,Paramètres!$A$1:$I$89,5,0)</f>
        <v>397.78699999999964</v>
      </c>
      <c r="BF73" s="13">
        <f t="shared" si="91"/>
        <v>91.327868672749759</v>
      </c>
      <c r="BG73" s="20">
        <f t="shared" si="61"/>
        <v>851.87506293837168</v>
      </c>
      <c r="BH73" s="59">
        <f t="shared" si="62"/>
        <v>1145.2083962717049</v>
      </c>
      <c r="BI73" s="59">
        <f ca="1">AVERAGE(OFFSET($BH$3,0,0,'Données projet'!$E$11+1,1))-AVERAGE(OFFSET($H$3,0,0,'Données projet'!$E$11+1,1))</f>
        <v>402.22278907877927</v>
      </c>
      <c r="BJ73" s="59">
        <f t="shared" si="92"/>
        <v>393.06397734082458</v>
      </c>
      <c r="BK73" s="15">
        <f>IF(ISNA(VLOOKUP(A73,'Données projet'!$A$87:$I$107,3,0)),0,VLOOKUP(A73,'Données projet'!$A$87:$I$107,3,0))</f>
        <v>7</v>
      </c>
      <c r="BL73" s="15">
        <f>IF(ISNA(VLOOKUP(A73,'Données projet'!$A$87:$I$107,4,0)),0,VLOOKUP(A73,'Données projet'!$A$87:$I$107,4,0))</f>
        <v>110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12.586912139585499</v>
      </c>
      <c r="BQ73" s="21">
        <f>EXP(-LN(2)/25)*BQ72+(1-EXP(-LN(2)/25))/(LN(2)/25)*Calculateur!BL73*Calculateur!BN73*VLOOKUP('Données projet'!$B$11,Paramètres!$A$1:$I$89,3,0)*0.475*44/12</f>
        <v>14.874372535611379</v>
      </c>
      <c r="BR73" s="21">
        <f>EXP(-LN(2)/2)*BR72+(1-EXP(-LN(2)/2))/(LN(2)/2)*BL73*BO73*VLOOKUP('Données projet'!$B$11,Paramètres!$A$1:$I$89,3,0)*0.475*44/12</f>
        <v>8.4364287696166846E-4</v>
      </c>
      <c r="BS73" s="22">
        <f t="shared" si="63"/>
        <v>27.462128318073841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14.1</v>
      </c>
      <c r="N74" s="13">
        <f>IF('Données projet'!$A$36&gt;35,N73+M74-V73,IF(A74&lt;'Données projet'!$A$36,$K$205^A74,IF(A74='Données projet'!$A$36,'Données projet'!$B$36,N73+M74-V73)))</f>
        <v>733.10000000000093</v>
      </c>
      <c r="O74" s="13">
        <f>N74*VLOOKUP('Données projet'!$B$9,Paramètres!$A$1:$I$89,3,0)*VLOOKUP('Données projet'!$B$9,Paramètres!$A$1:$I$89,5,0)</f>
        <v>409.80290000000053</v>
      </c>
      <c r="P74" s="13">
        <f t="shared" si="87"/>
        <v>93.761243623087253</v>
      </c>
      <c r="Q74" s="20">
        <f t="shared" si="54"/>
        <v>877.04088347687787</v>
      </c>
      <c r="R74" s="59">
        <f t="shared" si="55"/>
        <v>1170.3742168102112</v>
      </c>
      <c r="S74" s="59">
        <f ca="1">AVERAGE(OFFSET($R$3,0,0,'Données projet'!$E$9+1,1))-AVERAGE(OFFSET($H$3,0,0,'Données projet'!$E$9+1,1))</f>
        <v>490.7691633858222</v>
      </c>
      <c r="T74" s="59">
        <f t="shared" si="88"/>
        <v>490.82176582457072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5.5772284302217203</v>
      </c>
      <c r="AA74" s="21">
        <f>EXP(-LN(2)/25)*AA73+(1-EXP(-LN(2)/25))/(LN(2)/25)*Calculateur!V74*Calculateur!X74*VLOOKUP('Données projet'!$B$9,Paramètres!$A$1:$I$89,3,0)*0.475*44/12</f>
        <v>14.203385688807876</v>
      </c>
      <c r="AB74" s="21">
        <f>EXP(-LN(2)/2)*AB73+(1-EXP(-LN(2)/2))/(LN(2)/2)*V74*Y74*VLOOKUP('Données projet'!$B$9,Paramètres!$A$1:$I$89,3,0)*0.475*44/12</f>
        <v>2.7124974981550013E-5</v>
      </c>
      <c r="AC74" s="22">
        <f t="shared" si="57"/>
        <v>19.780641244004578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7.7</v>
      </c>
      <c r="AI74" s="13">
        <f>IF('Données projet'!$A$62&gt;35,AI73+AH74-AQ73,IF(A74&lt;'Données projet'!$A$62,$AF$205^A74,IF(A74='Données projet'!$A$62,'Données projet'!$B$62,AI73+AH74-AQ73)))</f>
        <v>265.19999999999993</v>
      </c>
      <c r="AJ74" s="13">
        <f>AI74*VLOOKUP('Données projet'!$B$10,Paramètres!$A$1:$I$89,3,0)*VLOOKUP('Données projet'!$B$10,Paramètres!$A$1:$I$89,5,0)</f>
        <v>124.11359999999996</v>
      </c>
      <c r="AK74" s="13">
        <f t="shared" si="89"/>
        <v>32.632538771598028</v>
      </c>
      <c r="AL74" s="20">
        <f t="shared" si="58"/>
        <v>272.99952502719981</v>
      </c>
      <c r="AM74" s="59">
        <f t="shared" si="59"/>
        <v>566.33285836053312</v>
      </c>
      <c r="AN74" s="59">
        <f ca="1">AVERAGE(OFFSET($AM$3,0,0,'Données projet'!$E$10+1,1))-AVERAGE(OFFSET($H$3,0,0,'Données projet'!$E$10+1,1))</f>
        <v>165.03539937460289</v>
      </c>
      <c r="AO74" s="59">
        <f t="shared" si="90"/>
        <v>142.05625724497401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0.38506626975194397</v>
      </c>
      <c r="AV74" s="21">
        <f>EXP(-LN(2)/25)*AV73+(1-EXP(-LN(2)/25))/(LN(2)/25)*Calculateur!AQ74*Calculateur!AS74*VLOOKUP('Données projet'!$B$10,Paramètres!$A$1:$I$89,3,0)*0.475*44/12</f>
        <v>1.5326537961077555</v>
      </c>
      <c r="AW74" s="21">
        <f>EXP(-LN(2)/2)*AW73+(1-EXP(-LN(2)/2))/(LN(2)/2)*AQ74*AT74*VLOOKUP('Données projet'!$B$10,Paramètres!$A$1:$I$89,3,0)*0.475*44/12</f>
        <v>4.1227780785139136E-6</v>
      </c>
      <c r="AX74" s="21">
        <f t="shared" si="60"/>
        <v>1.917724188637778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17.5</v>
      </c>
      <c r="BD74" s="12">
        <f>IF('Données projet'!$A$88&gt;35,BD73+BC74-BL73,IF(A74&lt;'Données projet'!$A$88,$BA$205^A74,IF(A74='Données projet'!$A$88,'Données projet'!$B$88,BD73+BC74-BL73)))</f>
        <v>734.4999999999992</v>
      </c>
      <c r="BE74" s="13">
        <f>BD74*VLOOKUP('Données projet'!$B$11,Paramètres!$A$1:$I$89,3,0)*VLOOKUP('Données projet'!$B$11,Paramètres!$A$1:$I$89,5,0)</f>
        <v>353.29449999999963</v>
      </c>
      <c r="BF74" s="13">
        <f t="shared" si="91"/>
        <v>82.240512667208606</v>
      </c>
      <c r="BG74" s="20">
        <f t="shared" si="61"/>
        <v>758.55681372872095</v>
      </c>
      <c r="BH74" s="59">
        <f t="shared" si="62"/>
        <v>1051.8901470620542</v>
      </c>
      <c r="BI74" s="59">
        <f ca="1">AVERAGE(OFFSET($BH$3,0,0,'Données projet'!$E$11+1,1))-AVERAGE(OFFSET($H$3,0,0,'Données projet'!$E$11+1,1))</f>
        <v>402.22278907877927</v>
      </c>
      <c r="BJ74" s="59">
        <f t="shared" si="92"/>
        <v>393.06397734082458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12.340090469786565</v>
      </c>
      <c r="BQ74" s="21">
        <f>EXP(-LN(2)/25)*BQ73+(1-EXP(-LN(2)/25))/(LN(2)/25)*Calculateur!BL74*Calculateur!BN74*VLOOKUP('Données projet'!$B$11,Paramètres!$A$1:$I$89,3,0)*0.475*44/12</f>
        <v>14.46763203641583</v>
      </c>
      <c r="BR74" s="21">
        <f>EXP(-LN(2)/2)*BR73+(1-EXP(-LN(2)/2))/(LN(2)/2)*BL74*BO74*VLOOKUP('Données projet'!$B$11,Paramètres!$A$1:$I$89,3,0)*0.475*44/12</f>
        <v>5.9654559919932392E-4</v>
      </c>
      <c r="BS74" s="22">
        <f t="shared" si="63"/>
        <v>26.808319051801593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14.1</v>
      </c>
      <c r="N75" s="13">
        <f>IF('Données projet'!$A$36&gt;35,N74+M75-V74,IF(A75&lt;'Données projet'!$A$36,$K$205^A75,IF(A75='Données projet'!$A$36,'Données projet'!$B$36,N74+M75-V74)))</f>
        <v>747.20000000000095</v>
      </c>
      <c r="O75" s="13">
        <f>N75*VLOOKUP('Données projet'!$B$9,Paramètres!$A$1:$I$89,3,0)*VLOOKUP('Données projet'!$B$9,Paramètres!$A$1:$I$89,5,0)</f>
        <v>417.68480000000051</v>
      </c>
      <c r="P75" s="13">
        <f t="shared" si="87"/>
        <v>95.352909821524264</v>
      </c>
      <c r="Q75" s="20">
        <f t="shared" si="54"/>
        <v>893.54067793915567</v>
      </c>
      <c r="R75" s="59">
        <f t="shared" si="55"/>
        <v>1186.874011272489</v>
      </c>
      <c r="S75" s="59">
        <f ca="1">AVERAGE(OFFSET($R$3,0,0,'Données projet'!$E$9+1,1))-AVERAGE(OFFSET($H$3,0,0,'Données projet'!$E$9+1,1))</f>
        <v>490.7691633858222</v>
      </c>
      <c r="T75" s="59">
        <f t="shared" si="88"/>
        <v>490.82176582457072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5.4678623824785175</v>
      </c>
      <c r="AA75" s="21">
        <f>EXP(-LN(2)/25)*AA74+(1-EXP(-LN(2)/25))/(LN(2)/25)*Calculateur!V75*Calculateur!X75*VLOOKUP('Données projet'!$B$9,Paramètres!$A$1:$I$89,3,0)*0.475*44/12</f>
        <v>13.814993360223832</v>
      </c>
      <c r="AB75" s="21">
        <f>EXP(-LN(2)/2)*AB74+(1-EXP(-LN(2)/2))/(LN(2)/2)*V75*Y75*VLOOKUP('Données projet'!$B$9,Paramètres!$A$1:$I$89,3,0)*0.475*44/12</f>
        <v>1.9180253748969461E-5</v>
      </c>
      <c r="AC75" s="22">
        <f t="shared" si="57"/>
        <v>19.282874922956097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7.7</v>
      </c>
      <c r="AI75" s="13">
        <f>IF('Données projet'!$A$62&gt;35,AI74+AH75-AQ74,IF(A75&lt;'Données projet'!$A$62,$AF$205^A75,IF(A75='Données projet'!$A$62,'Données projet'!$B$62,AI74+AH75-AQ74)))</f>
        <v>272.89999999999992</v>
      </c>
      <c r="AJ75" s="13">
        <f>AI75*VLOOKUP('Données projet'!$B$10,Paramètres!$A$1:$I$89,3,0)*VLOOKUP('Données projet'!$B$10,Paramètres!$A$1:$I$89,5,0)</f>
        <v>127.71719999999996</v>
      </c>
      <c r="AK75" s="13">
        <f t="shared" si="89"/>
        <v>33.468328632580821</v>
      </c>
      <c r="AL75" s="20">
        <f t="shared" si="58"/>
        <v>280.73146236841148</v>
      </c>
      <c r="AM75" s="59">
        <f t="shared" si="59"/>
        <v>574.06479570174474</v>
      </c>
      <c r="AN75" s="59">
        <f ca="1">AVERAGE(OFFSET($AM$3,0,0,'Données projet'!$E$10+1,1))-AVERAGE(OFFSET($H$3,0,0,'Données projet'!$E$10+1,1))</f>
        <v>165.03539937460289</v>
      </c>
      <c r="AO75" s="59">
        <f t="shared" si="90"/>
        <v>142.05625724497401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0.3775153550693417</v>
      </c>
      <c r="AV75" s="21">
        <f>EXP(-LN(2)/25)*AV74+(1-EXP(-LN(2)/25))/(LN(2)/25)*Calculateur!AQ75*Calculateur!AS75*VLOOKUP('Données projet'!$B$10,Paramètres!$A$1:$I$89,3,0)*0.475*44/12</f>
        <v>1.4907432974544288</v>
      </c>
      <c r="AW75" s="21">
        <f>EXP(-LN(2)/2)*AW74+(1-EXP(-LN(2)/2))/(LN(2)/2)*AQ75*AT75*VLOOKUP('Données projet'!$B$10,Paramètres!$A$1:$I$89,3,0)*0.475*44/12</f>
        <v>2.9152443366444328E-6</v>
      </c>
      <c r="AX75" s="21">
        <f t="shared" si="60"/>
        <v>1.8682615677681071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17.5</v>
      </c>
      <c r="BD75" s="12">
        <f>IF('Données projet'!$A$88&gt;35,BD74+BC75-BL74,IF(A75&lt;'Données projet'!$A$88,$BA$205^A75,IF(A75='Données projet'!$A$88,'Données projet'!$B$88,BD74+BC75-BL74)))</f>
        <v>751.9999999999992</v>
      </c>
      <c r="BE75" s="13">
        <f>BD75*VLOOKUP('Données projet'!$B$11,Paramètres!$A$1:$I$89,3,0)*VLOOKUP('Données projet'!$B$11,Paramètres!$A$1:$I$89,5,0)</f>
        <v>361.71199999999965</v>
      </c>
      <c r="BF75" s="13">
        <f t="shared" si="91"/>
        <v>83.969494418440931</v>
      </c>
      <c r="BG75" s="20">
        <f t="shared" si="61"/>
        <v>776.22860277878408</v>
      </c>
      <c r="BH75" s="59">
        <f t="shared" si="62"/>
        <v>1069.5619361121173</v>
      </c>
      <c r="BI75" s="59">
        <f ca="1">AVERAGE(OFFSET($BH$3,0,0,'Données projet'!$E$11+1,1))-AVERAGE(OFFSET($H$3,0,0,'Données projet'!$E$11+1,1))</f>
        <v>402.22278907877927</v>
      </c>
      <c r="BJ75" s="59">
        <f t="shared" si="92"/>
        <v>393.06397734082458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12.098108822386036</v>
      </c>
      <c r="BQ75" s="21">
        <f>EXP(-LN(2)/25)*BQ74+(1-EXP(-LN(2)/25))/(LN(2)/25)*Calculateur!BL75*Calculateur!BN75*VLOOKUP('Données projet'!$B$11,Paramètres!$A$1:$I$89,3,0)*0.475*44/12</f>
        <v>14.072013877560337</v>
      </c>
      <c r="BR75" s="21">
        <f>EXP(-LN(2)/2)*BR74+(1-EXP(-LN(2)/2))/(LN(2)/2)*BL75*BO75*VLOOKUP('Données projet'!$B$11,Paramètres!$A$1:$I$89,3,0)*0.475*44/12</f>
        <v>4.2182143848083423E-4</v>
      </c>
      <c r="BS75" s="22">
        <f t="shared" si="63"/>
        <v>26.170544521384855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14.1</v>
      </c>
      <c r="N76" s="13">
        <f>IF('Données projet'!$A$36&gt;35,N75+M76-V75,IF(A76&lt;'Données projet'!$A$36,$K$205^A76,IF(A76='Données projet'!$A$36,'Données projet'!$B$36,N75+M76-V75)))</f>
        <v>761.30000000000098</v>
      </c>
      <c r="O76" s="13">
        <f>N76*VLOOKUP('Données projet'!$B$9,Paramètres!$A$1:$I$89,3,0)*VLOOKUP('Données projet'!$B$9,Paramètres!$A$1:$I$89,5,0)</f>
        <v>425.56670000000059</v>
      </c>
      <c r="P76" s="13">
        <f t="shared" si="87"/>
        <v>96.941083510506715</v>
      </c>
      <c r="Q76" s="20">
        <f t="shared" si="54"/>
        <v>910.03438961413349</v>
      </c>
      <c r="R76" s="59">
        <f t="shared" si="55"/>
        <v>1203.3677229474667</v>
      </c>
      <c r="S76" s="59">
        <f ca="1">AVERAGE(OFFSET($R$3,0,0,'Données projet'!$E$9+1,1))-AVERAGE(OFFSET($H$3,0,0,'Données projet'!$E$9+1,1))</f>
        <v>490.7691633858222</v>
      </c>
      <c r="T76" s="59">
        <f t="shared" si="88"/>
        <v>490.82176582457072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5.3606409362248568</v>
      </c>
      <c r="AA76" s="21">
        <f>EXP(-LN(2)/25)*AA75+(1-EXP(-LN(2)/25))/(LN(2)/25)*Calculateur!V76*Calculateur!X76*VLOOKUP('Données projet'!$B$9,Paramètres!$A$1:$I$89,3,0)*0.475*44/12</f>
        <v>13.437221640289586</v>
      </c>
      <c r="AB76" s="21">
        <f>EXP(-LN(2)/2)*AB75+(1-EXP(-LN(2)/2))/(LN(2)/2)*V76*Y76*VLOOKUP('Données projet'!$B$9,Paramètres!$A$1:$I$89,3,0)*0.475*44/12</f>
        <v>1.3562487490775007E-5</v>
      </c>
      <c r="AC76" s="22">
        <f t="shared" si="57"/>
        <v>18.797876139001936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7.7</v>
      </c>
      <c r="AI76" s="13">
        <f>IF('Données projet'!$A$62&gt;35,AI75+AH76-AQ75,IF(A76&lt;'Données projet'!$A$62,$AF$205^A76,IF(A76='Données projet'!$A$62,'Données projet'!$B$62,AI75+AH76-AQ75)))</f>
        <v>280.59999999999991</v>
      </c>
      <c r="AJ76" s="13">
        <f>AI76*VLOOKUP('Données projet'!$B$10,Paramètres!$A$1:$I$89,3,0)*VLOOKUP('Données projet'!$B$10,Paramètres!$A$1:$I$89,5,0)</f>
        <v>131.32079999999996</v>
      </c>
      <c r="AK76" s="13">
        <f t="shared" si="89"/>
        <v>34.301377644087616</v>
      </c>
      <c r="AL76" s="20">
        <f t="shared" si="58"/>
        <v>288.45862606345253</v>
      </c>
      <c r="AM76" s="59">
        <f t="shared" si="59"/>
        <v>581.79195939678584</v>
      </c>
      <c r="AN76" s="59">
        <f ca="1">AVERAGE(OFFSET($AM$3,0,0,'Données projet'!$E$10+1,1))-AVERAGE(OFFSET($H$3,0,0,'Données projet'!$E$10+1,1))</f>
        <v>165.03539937460289</v>
      </c>
      <c r="AO76" s="59">
        <f t="shared" si="90"/>
        <v>142.05625724497401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0.37011250921806205</v>
      </c>
      <c r="AV76" s="21">
        <f>EXP(-LN(2)/25)*AV75+(1-EXP(-LN(2)/25))/(LN(2)/25)*Calculateur!AQ76*Calculateur!AS76*VLOOKUP('Données projet'!$B$10,Paramètres!$A$1:$I$89,3,0)*0.475*44/12</f>
        <v>1.4499788435907546</v>
      </c>
      <c r="AW76" s="21">
        <f>EXP(-LN(2)/2)*AW75+(1-EXP(-LN(2)/2))/(LN(2)/2)*AQ76*AT76*VLOOKUP('Données projet'!$B$10,Paramètres!$A$1:$I$89,3,0)*0.475*44/12</f>
        <v>2.0613890392569568E-6</v>
      </c>
      <c r="AX76" s="21">
        <f t="shared" si="60"/>
        <v>1.8200934141978558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17.5</v>
      </c>
      <c r="BD76" s="12">
        <f>IF('Données projet'!$A$88&gt;35,BD75+BC76-BL75,IF(A76&lt;'Données projet'!$A$88,$BA$205^A76,IF(A76='Données projet'!$A$88,'Données projet'!$B$88,BD75+BC76-BL75)))</f>
        <v>769.4999999999992</v>
      </c>
      <c r="BE76" s="13">
        <f>BD76*VLOOKUP('Données projet'!$B$11,Paramètres!$A$1:$I$89,3,0)*VLOOKUP('Données projet'!$B$11,Paramètres!$A$1:$I$89,5,0)</f>
        <v>370.12949999999961</v>
      </c>
      <c r="BF76" s="13">
        <f t="shared" si="91"/>
        <v>85.693798635610591</v>
      </c>
      <c r="BG76" s="20">
        <f t="shared" si="61"/>
        <v>793.89224512368764</v>
      </c>
      <c r="BH76" s="59">
        <f t="shared" si="62"/>
        <v>1087.2255784570209</v>
      </c>
      <c r="BI76" s="59">
        <f ca="1">AVERAGE(OFFSET($BH$3,0,0,'Données projet'!$E$11+1,1))-AVERAGE(OFFSET($H$3,0,0,'Données projet'!$E$11+1,1))</f>
        <v>402.22278907877927</v>
      </c>
      <c r="BJ76" s="59">
        <f t="shared" si="92"/>
        <v>393.06397734082458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11.8608722874968</v>
      </c>
      <c r="BQ76" s="21">
        <f>EXP(-LN(2)/25)*BQ75+(1-EXP(-LN(2)/25))/(LN(2)/25)*Calculateur!BL76*Calculateur!BN76*VLOOKUP('Données projet'!$B$11,Paramètres!$A$1:$I$89,3,0)*0.475*44/12</f>
        <v>13.687213918063403</v>
      </c>
      <c r="BR76" s="21">
        <f>EXP(-LN(2)/2)*BR75+(1-EXP(-LN(2)/2))/(LN(2)/2)*BL76*BO76*VLOOKUP('Données projet'!$B$11,Paramètres!$A$1:$I$89,3,0)*0.475*44/12</f>
        <v>2.9827279959966196E-4</v>
      </c>
      <c r="BS76" s="22">
        <f t="shared" si="63"/>
        <v>25.548384478359804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14.1</v>
      </c>
      <c r="N77" s="13">
        <f>IF('Données projet'!$A$36&gt;35,N76+M77-V76,IF(A77&lt;'Données projet'!$A$36,$K$205^A77,IF(A77='Données projet'!$A$36,'Données projet'!$B$36,N76+M77-V76)))</f>
        <v>775.400000000001</v>
      </c>
      <c r="O77" s="13">
        <f>N77*VLOOKUP('Données projet'!$B$9,Paramètres!$A$1:$I$89,3,0)*VLOOKUP('Données projet'!$B$9,Paramètres!$A$1:$I$89,5,0)</f>
        <v>433.44860000000057</v>
      </c>
      <c r="P77" s="13">
        <f t="shared" si="87"/>
        <v>98.525836834451923</v>
      </c>
      <c r="Q77" s="20">
        <f t="shared" si="54"/>
        <v>926.5221441533381</v>
      </c>
      <c r="R77" s="59">
        <f t="shared" si="55"/>
        <v>1219.8554774866714</v>
      </c>
      <c r="S77" s="59">
        <f ca="1">AVERAGE(OFFSET($R$3,0,0,'Données projet'!$E$9+1,1))-AVERAGE(OFFSET($H$3,0,0,'Données projet'!$E$9+1,1))</f>
        <v>490.7691633858222</v>
      </c>
      <c r="T77" s="59">
        <f t="shared" si="88"/>
        <v>490.82176582457072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5.2555220371336056</v>
      </c>
      <c r="AA77" s="21">
        <f>EXP(-LN(2)/25)*AA76+(1-EXP(-LN(2)/25))/(LN(2)/25)*Calculateur!V77*Calculateur!X77*VLOOKUP('Données projet'!$B$9,Paramètres!$A$1:$I$89,3,0)*0.475*44/12</f>
        <v>13.069780107903092</v>
      </c>
      <c r="AB77" s="21">
        <f>EXP(-LN(2)/2)*AB76+(1-EXP(-LN(2)/2))/(LN(2)/2)*V77*Y77*VLOOKUP('Données projet'!$B$9,Paramètres!$A$1:$I$89,3,0)*0.475*44/12</f>
        <v>9.5901268744847304E-6</v>
      </c>
      <c r="AC77" s="22">
        <f t="shared" si="57"/>
        <v>18.325311735163574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7.7</v>
      </c>
      <c r="AI77" s="13">
        <f>IF('Données projet'!$A$62&gt;35,AI76+AH77-AQ76,IF(A77&lt;'Données projet'!$A$62,$AF$205^A77,IF(A77='Données projet'!$A$62,'Données projet'!$B$62,AI76+AH77-AQ76)))</f>
        <v>288.2999999999999</v>
      </c>
      <c r="AJ77" s="13">
        <f>AI77*VLOOKUP('Données projet'!$B$10,Paramètres!$A$1:$I$89,3,0)*VLOOKUP('Données projet'!$B$10,Paramètres!$A$1:$I$89,5,0)</f>
        <v>134.92439999999993</v>
      </c>
      <c r="AK77" s="13">
        <f t="shared" si="89"/>
        <v>35.131769660365201</v>
      </c>
      <c r="AL77" s="20">
        <f t="shared" si="58"/>
        <v>296.18116215846925</v>
      </c>
      <c r="AM77" s="59">
        <f t="shared" si="59"/>
        <v>589.51449549180256</v>
      </c>
      <c r="AN77" s="59">
        <f ca="1">AVERAGE(OFFSET($AM$3,0,0,'Données projet'!$E$10+1,1))-AVERAGE(OFFSET($H$3,0,0,'Données projet'!$E$10+1,1))</f>
        <v>165.03539937460289</v>
      </c>
      <c r="AO77" s="59">
        <f t="shared" si="90"/>
        <v>142.05625724497401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0.36285482865863589</v>
      </c>
      <c r="AV77" s="21">
        <f>EXP(-LN(2)/25)*AV76+(1-EXP(-LN(2)/25))/(LN(2)/25)*Calculateur!AQ77*Calculateur!AS77*VLOOKUP('Données projet'!$B$10,Paramètres!$A$1:$I$89,3,0)*0.475*44/12</f>
        <v>1.4103290958616921</v>
      </c>
      <c r="AW77" s="21">
        <f>EXP(-LN(2)/2)*AW76+(1-EXP(-LN(2)/2))/(LN(2)/2)*AQ77*AT77*VLOOKUP('Données projet'!$B$10,Paramètres!$A$1:$I$89,3,0)*0.475*44/12</f>
        <v>1.4576221683222164E-6</v>
      </c>
      <c r="AX77" s="21">
        <f t="shared" si="60"/>
        <v>1.7731853821424963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17.5</v>
      </c>
      <c r="BD77" s="12">
        <f>IF('Données projet'!$A$88&gt;35,BD76+BC77-BL76,IF(A77&lt;'Données projet'!$A$88,$BA$205^A77,IF(A77='Données projet'!$A$88,'Données projet'!$B$88,BD76+BC77-BL76)))</f>
        <v>786.9999999999992</v>
      </c>
      <c r="BE77" s="13">
        <f>BD77*VLOOKUP('Données projet'!$B$11,Paramètres!$A$1:$I$89,3,0)*VLOOKUP('Données projet'!$B$11,Paramètres!$A$1:$I$89,5,0)</f>
        <v>378.54699999999963</v>
      </c>
      <c r="BF77" s="13">
        <f t="shared" si="91"/>
        <v>87.413543941244455</v>
      </c>
      <c r="BG77" s="20">
        <f t="shared" si="61"/>
        <v>811.54794736433348</v>
      </c>
      <c r="BH77" s="59">
        <f t="shared" si="62"/>
        <v>1104.8812806976669</v>
      </c>
      <c r="BI77" s="59">
        <f ca="1">AVERAGE(OFFSET($BH$3,0,0,'Données projet'!$E$11+1,1))-AVERAGE(OFFSET($H$3,0,0,'Données projet'!$E$11+1,1))</f>
        <v>402.22278907877927</v>
      </c>
      <c r="BJ77" s="59">
        <f t="shared" si="92"/>
        <v>393.06397734082458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11.628287816356744</v>
      </c>
      <c r="BQ77" s="21">
        <f>EXP(-LN(2)/25)*BQ76+(1-EXP(-LN(2)/25))/(LN(2)/25)*Calculateur!BL77*Calculateur!BN77*VLOOKUP('Données projet'!$B$11,Paramètres!$A$1:$I$89,3,0)*0.475*44/12</f>
        <v>13.312936333694662</v>
      </c>
      <c r="BR77" s="21">
        <f>EXP(-LN(2)/2)*BR76+(1-EXP(-LN(2)/2))/(LN(2)/2)*BL77*BO77*VLOOKUP('Données projet'!$B$11,Paramètres!$A$1:$I$89,3,0)*0.475*44/12</f>
        <v>2.1091071924041711E-4</v>
      </c>
      <c r="BS77" s="22">
        <f t="shared" si="63"/>
        <v>24.941435060770644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14.1</v>
      </c>
      <c r="N78" s="13">
        <f>IF('Données projet'!$A$36&gt;35,N77+M78-V77,IF(A78&lt;'Données projet'!$A$36,$K$205^A78,IF(A78='Données projet'!$A$36,'Données projet'!$B$36,N77+M78-V77)))</f>
        <v>789.50000000000102</v>
      </c>
      <c r="O78" s="13">
        <f>N78*VLOOKUP('Données projet'!$B$9,Paramètres!$A$1:$I$89,3,0)*VLOOKUP('Données projet'!$B$9,Paramètres!$A$1:$I$89,5,0)</f>
        <v>441.33050000000054</v>
      </c>
      <c r="P78" s="13">
        <f t="shared" si="87"/>
        <v>100.10723916378069</v>
      </c>
      <c r="Q78" s="20">
        <f t="shared" si="54"/>
        <v>943.0040623769188</v>
      </c>
      <c r="R78" s="59">
        <f t="shared" si="55"/>
        <v>1236.3373957102522</v>
      </c>
      <c r="S78" s="59">
        <f ca="1">AVERAGE(OFFSET($R$3,0,0,'Données projet'!$E$9+1,1))-AVERAGE(OFFSET($H$3,0,0,'Données projet'!$E$9+1,1))</f>
        <v>490.7691633858222</v>
      </c>
      <c r="T78" s="59">
        <f t="shared" si="88"/>
        <v>490.82176582457072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5.152464455537336</v>
      </c>
      <c r="AA78" s="21">
        <f>EXP(-LN(2)/25)*AA77+(1-EXP(-LN(2)/25))/(LN(2)/25)*Calculateur!V78*Calculateur!X78*VLOOKUP('Données projet'!$B$9,Paramètres!$A$1:$I$89,3,0)*0.475*44/12</f>
        <v>12.712386283542617</v>
      </c>
      <c r="AB78" s="21">
        <f>EXP(-LN(2)/2)*AB77+(1-EXP(-LN(2)/2))/(LN(2)/2)*V78*Y78*VLOOKUP('Données projet'!$B$9,Paramètres!$A$1:$I$89,3,0)*0.475*44/12</f>
        <v>6.7812437453875033E-6</v>
      </c>
      <c r="AC78" s="22">
        <f t="shared" si="57"/>
        <v>17.864857520323699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7.7</v>
      </c>
      <c r="AI78" s="13">
        <f>IF('Données projet'!$A$62&gt;35,AI77+AH78-AQ77,IF(A78&lt;'Données projet'!$A$62,$AF$205^A78,IF(A78='Données projet'!$A$62,'Données projet'!$B$62,AI77+AH78-AQ77)))</f>
        <v>295.99999999999989</v>
      </c>
      <c r="AJ78" s="13">
        <f>AI78*VLOOKUP('Données projet'!$B$10,Paramètres!$A$1:$I$89,3,0)*VLOOKUP('Données projet'!$B$10,Paramètres!$A$1:$I$89,5,0)</f>
        <v>138.52799999999996</v>
      </c>
      <c r="AK78" s="13">
        <f t="shared" si="89"/>
        <v>35.959583801423776</v>
      </c>
      <c r="AL78" s="20">
        <f t="shared" si="58"/>
        <v>303.89920845414628</v>
      </c>
      <c r="AM78" s="59">
        <f t="shared" si="59"/>
        <v>597.23254178747959</v>
      </c>
      <c r="AN78" s="59">
        <f ca="1">AVERAGE(OFFSET($AM$3,0,0,'Données projet'!$E$10+1,1))-AVERAGE(OFFSET($H$3,0,0,'Données projet'!$E$10+1,1))</f>
        <v>165.03539937460289</v>
      </c>
      <c r="AO78" s="59">
        <f t="shared" si="90"/>
        <v>142.05625724497401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0.35573946678823204</v>
      </c>
      <c r="AV78" s="21">
        <f>EXP(-LN(2)/25)*AV77+(1-EXP(-LN(2)/25))/(LN(2)/25)*Calculateur!AQ78*Calculateur!AS78*VLOOKUP('Données projet'!$B$10,Paramètres!$A$1:$I$89,3,0)*0.475*44/12</f>
        <v>1.3717635725693702</v>
      </c>
      <c r="AW78" s="21">
        <f>EXP(-LN(2)/2)*AW77+(1-EXP(-LN(2)/2))/(LN(2)/2)*AQ78*AT78*VLOOKUP('Données projet'!$B$10,Paramètres!$A$1:$I$89,3,0)*0.475*44/12</f>
        <v>1.0306945196284784E-6</v>
      </c>
      <c r="AX78" s="21">
        <f t="shared" si="60"/>
        <v>1.727504070052122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17.5</v>
      </c>
      <c r="BD78" s="12">
        <f>IF('Données projet'!$A$88&gt;35,BD77+BC78-BL77,IF(A78&lt;'Données projet'!$A$88,$BA$205^A78,IF(A78='Données projet'!$A$88,'Données projet'!$B$88,BD77+BC78-BL77)))</f>
        <v>804.4999999999992</v>
      </c>
      <c r="BE78" s="13">
        <f>BD78*VLOOKUP('Données projet'!$B$11,Paramètres!$A$1:$I$89,3,0)*VLOOKUP('Données projet'!$B$11,Paramètres!$A$1:$I$89,5,0)</f>
        <v>386.96449999999959</v>
      </c>
      <c r="BF78" s="13">
        <f t="shared" si="91"/>
        <v>89.128843381212619</v>
      </c>
      <c r="BG78" s="20">
        <f t="shared" si="61"/>
        <v>829.19590638894454</v>
      </c>
      <c r="BH78" s="59">
        <f t="shared" si="62"/>
        <v>1122.5292397222779</v>
      </c>
      <c r="BI78" s="59">
        <f ca="1">AVERAGE(OFFSET($BH$3,0,0,'Données projet'!$E$11+1,1))-AVERAGE(OFFSET($H$3,0,0,'Données projet'!$E$11+1,1))</f>
        <v>402.22278907877927</v>
      </c>
      <c r="BJ78" s="59">
        <f t="shared" si="92"/>
        <v>393.06397734082458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11.400264184833224</v>
      </c>
      <c r="BQ78" s="21">
        <f>EXP(-LN(2)/25)*BQ77+(1-EXP(-LN(2)/25))/(LN(2)/25)*Calculateur!BL78*Calculateur!BN78*VLOOKUP('Données projet'!$B$11,Paramètres!$A$1:$I$89,3,0)*0.475*44/12</f>
        <v>12.948893389552886</v>
      </c>
      <c r="BR78" s="21">
        <f>EXP(-LN(2)/2)*BR77+(1-EXP(-LN(2)/2))/(LN(2)/2)*BL78*BO78*VLOOKUP('Données projet'!$B$11,Paramètres!$A$1:$I$89,3,0)*0.475*44/12</f>
        <v>1.4913639979983098E-4</v>
      </c>
      <c r="BS78" s="22">
        <f t="shared" si="63"/>
        <v>24.34930671078591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14.1</v>
      </c>
      <c r="N79" s="13">
        <f>IF('Données projet'!$A$36&gt;35,N78+M79-V78,IF(A79&lt;'Données projet'!$A$36,$K$205^A79,IF(A79='Données projet'!$A$36,'Données projet'!$B$36,N78+M79-V78)))</f>
        <v>803.60000000000105</v>
      </c>
      <c r="O79" s="13">
        <f>N79*VLOOKUP('Données projet'!$B$9,Paramètres!$A$1:$I$89,3,0)*VLOOKUP('Données projet'!$B$9,Paramètres!$A$1:$I$89,5,0)</f>
        <v>449.21240000000063</v>
      </c>
      <c r="P79" s="13">
        <f t="shared" si="87"/>
        <v>101.6853572491821</v>
      </c>
      <c r="Q79" s="20">
        <f t="shared" si="54"/>
        <v>959.4802605423265</v>
      </c>
      <c r="R79" s="59">
        <f t="shared" si="55"/>
        <v>1252.8135938756598</v>
      </c>
      <c r="S79" s="59">
        <f ca="1">AVERAGE(OFFSET($R$3,0,0,'Données projet'!$E$9+1,1))-AVERAGE(OFFSET($H$3,0,0,'Données projet'!$E$9+1,1))</f>
        <v>490.7691633858222</v>
      </c>
      <c r="T79" s="59">
        <f t="shared" si="88"/>
        <v>490.82176582457072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5.0514277702572512</v>
      </c>
      <c r="AA79" s="21">
        <f>EXP(-LN(2)/25)*AA78+(1-EXP(-LN(2)/25))/(LN(2)/25)*Calculateur!V79*Calculateur!X79*VLOOKUP('Données projet'!$B$9,Paramètres!$A$1:$I$89,3,0)*0.475*44/12</f>
        <v>12.364765412103804</v>
      </c>
      <c r="AB79" s="21">
        <f>EXP(-LN(2)/2)*AB78+(1-EXP(-LN(2)/2))/(LN(2)/2)*V79*Y79*VLOOKUP('Données projet'!$B$9,Paramètres!$A$1:$I$89,3,0)*0.475*44/12</f>
        <v>4.7950634372423652E-6</v>
      </c>
      <c r="AC79" s="22">
        <f t="shared" si="57"/>
        <v>17.416197977424492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7.7</v>
      </c>
      <c r="AI79" s="13">
        <f>IF('Données projet'!$A$62&gt;35,AI78+AH79-AQ78,IF(A79&lt;'Données projet'!$A$62,$AF$205^A79,IF(A79='Données projet'!$A$62,'Données projet'!$B$62,AI78+AH79-AQ78)))</f>
        <v>303.69999999999987</v>
      </c>
      <c r="AJ79" s="13">
        <f>AI79*VLOOKUP('Données projet'!$B$10,Paramètres!$A$1:$I$89,3,0)*VLOOKUP('Données projet'!$B$10,Paramètres!$A$1:$I$89,5,0)</f>
        <v>142.13159999999993</v>
      </c>
      <c r="AK79" s="13">
        <f t="shared" si="89"/>
        <v>36.784894836428784</v>
      </c>
      <c r="AL79" s="20">
        <f t="shared" si="58"/>
        <v>311.6128951734467</v>
      </c>
      <c r="AM79" s="59">
        <f t="shared" si="59"/>
        <v>604.94622850678002</v>
      </c>
      <c r="AN79" s="59">
        <f ca="1">AVERAGE(OFFSET($AM$3,0,0,'Données projet'!$E$10+1,1))-AVERAGE(OFFSET($H$3,0,0,'Données projet'!$E$10+1,1))</f>
        <v>165.03539937460289</v>
      </c>
      <c r="AO79" s="59">
        <f t="shared" si="90"/>
        <v>142.05625724497401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0.34876363282416462</v>
      </c>
      <c r="AV79" s="21">
        <f>EXP(-LN(2)/25)*AV78+(1-EXP(-LN(2)/25))/(LN(2)/25)*Calculateur!AQ79*Calculateur!AS79*VLOOKUP('Données projet'!$B$10,Paramètres!$A$1:$I$89,3,0)*0.475*44/12</f>
        <v>1.3342526255395497</v>
      </c>
      <c r="AW79" s="21">
        <f>EXP(-LN(2)/2)*AW78+(1-EXP(-LN(2)/2))/(LN(2)/2)*AQ79*AT79*VLOOKUP('Données projet'!$B$10,Paramètres!$A$1:$I$89,3,0)*0.475*44/12</f>
        <v>7.288110841611082E-7</v>
      </c>
      <c r="AX79" s="21">
        <f t="shared" si="60"/>
        <v>1.6830169871747984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17.5</v>
      </c>
      <c r="BD79" s="12">
        <f>IF('Données projet'!$A$88&gt;35,BD78+BC79-BL78,IF(A79&lt;'Données projet'!$A$88,$BA$205^A79,IF(A79='Données projet'!$A$88,'Données projet'!$B$88,BD78+BC79-BL78)))</f>
        <v>821.9999999999992</v>
      </c>
      <c r="BE79" s="13">
        <f>BD79*VLOOKUP('Données projet'!$B$11,Paramètres!$A$1:$I$89,3,0)*VLOOKUP('Données projet'!$B$11,Paramètres!$A$1:$I$89,5,0)</f>
        <v>395.38199999999961</v>
      </c>
      <c r="BF79" s="13">
        <f t="shared" si="91"/>
        <v>90.839804802410697</v>
      </c>
      <c r="BG79" s="20">
        <f t="shared" si="61"/>
        <v>846.83631003086464</v>
      </c>
      <c r="BH79" s="59">
        <f t="shared" si="62"/>
        <v>1140.169643364198</v>
      </c>
      <c r="BI79" s="59">
        <f ca="1">AVERAGE(OFFSET($BH$3,0,0,'Données projet'!$E$11+1,1))-AVERAGE(OFFSET($H$3,0,0,'Données projet'!$E$11+1,1))</f>
        <v>402.22278907877927</v>
      </c>
      <c r="BJ79" s="59">
        <f t="shared" si="92"/>
        <v>393.06397734082458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11.176711957643199</v>
      </c>
      <c r="BQ79" s="21">
        <f>EXP(-LN(2)/25)*BQ78+(1-EXP(-LN(2)/25))/(LN(2)/25)*Calculateur!BL79*Calculateur!BN79*VLOOKUP('Données projet'!$B$11,Paramètres!$A$1:$I$89,3,0)*0.475*44/12</f>
        <v>12.594805218862854</v>
      </c>
      <c r="BR79" s="21">
        <f>EXP(-LN(2)/2)*BR78+(1-EXP(-LN(2)/2))/(LN(2)/2)*BL79*BO79*VLOOKUP('Données projet'!$B$11,Paramètres!$A$1:$I$89,3,0)*0.475*44/12</f>
        <v>1.0545535962020856E-4</v>
      </c>
      <c r="BS79" s="22">
        <f t="shared" si="63"/>
        <v>23.771622631865672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14.1</v>
      </c>
      <c r="N80" s="13">
        <f>IF('Données projet'!$A$36&gt;35,N79+M80-V79,IF(A80&lt;'Données projet'!$A$36,$K$205^A80,IF(A80='Données projet'!$A$36,'Données projet'!$B$36,N79+M80-V79)))</f>
        <v>817.70000000000107</v>
      </c>
      <c r="O80" s="13">
        <f>N80*VLOOKUP('Données projet'!$B$9,Paramètres!$A$1:$I$89,3,0)*VLOOKUP('Données projet'!$B$9,Paramètres!$A$1:$I$89,5,0)</f>
        <v>457.0943000000006</v>
      </c>
      <c r="P80" s="13">
        <f t="shared" si="87"/>
        <v>103.26025536474427</v>
      </c>
      <c r="Q80" s="20">
        <f t="shared" si="54"/>
        <v>975.95085059359735</v>
      </c>
      <c r="R80" s="59">
        <f t="shared" si="55"/>
        <v>1269.2841839269306</v>
      </c>
      <c r="S80" s="59">
        <f ca="1">AVERAGE(OFFSET($R$3,0,0,'Données projet'!$E$9+1,1))-AVERAGE(OFFSET($H$3,0,0,'Données projet'!$E$9+1,1))</f>
        <v>490.7691633858222</v>
      </c>
      <c r="T80" s="59">
        <f t="shared" si="88"/>
        <v>490.82176582457072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4.9523723527492161</v>
      </c>
      <c r="AA80" s="21">
        <f>EXP(-LN(2)/25)*AA79+(1-EXP(-LN(2)/25))/(LN(2)/25)*Calculateur!V80*Calculateur!X80*VLOOKUP('Données projet'!$B$9,Paramètres!$A$1:$I$89,3,0)*0.475*44/12</f>
        <v>12.026650251675072</v>
      </c>
      <c r="AB80" s="21">
        <f>EXP(-LN(2)/2)*AB79+(1-EXP(-LN(2)/2))/(LN(2)/2)*V80*Y80*VLOOKUP('Données projet'!$B$9,Paramètres!$A$1:$I$89,3,0)*0.475*44/12</f>
        <v>3.3906218726937517E-6</v>
      </c>
      <c r="AC80" s="22">
        <f t="shared" si="57"/>
        <v>16.979025995046161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7.7</v>
      </c>
      <c r="AI80" s="13">
        <f>IF('Données projet'!$A$62&gt;35,AI79+AH80-AQ79,IF(A80&lt;'Données projet'!$A$62,$AF$205^A80,IF(A80='Données projet'!$A$62,'Données projet'!$B$62,AI79+AH80-AQ79)))</f>
        <v>311.39999999999986</v>
      </c>
      <c r="AJ80" s="13">
        <f>AI80*VLOOKUP('Données projet'!$B$10,Paramètres!$A$1:$I$89,3,0)*VLOOKUP('Données projet'!$B$10,Paramètres!$A$1:$I$89,5,0)</f>
        <v>145.73519999999994</v>
      </c>
      <c r="AK80" s="13">
        <f t="shared" si="89"/>
        <v>37.607773527116223</v>
      </c>
      <c r="AL80" s="20">
        <f t="shared" si="58"/>
        <v>319.3223455597273</v>
      </c>
      <c r="AM80" s="59">
        <f t="shared" si="59"/>
        <v>612.65567889306067</v>
      </c>
      <c r="AN80" s="59">
        <f ca="1">AVERAGE(OFFSET($AM$3,0,0,'Données projet'!$E$10+1,1))-AVERAGE(OFFSET($H$3,0,0,'Données projet'!$E$10+1,1))</f>
        <v>165.03539937460289</v>
      </c>
      <c r="AO80" s="59">
        <f t="shared" si="90"/>
        <v>142.05625724497401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0.34192459070929393</v>
      </c>
      <c r="AV80" s="21">
        <f>EXP(-LN(2)/25)*AV79+(1-EXP(-LN(2)/25))/(LN(2)/25)*Calculateur!AQ80*Calculateur!AS80*VLOOKUP('Données projet'!$B$10,Paramètres!$A$1:$I$89,3,0)*0.475*44/12</f>
        <v>1.2977674173288747</v>
      </c>
      <c r="AW80" s="21">
        <f>EXP(-LN(2)/2)*AW79+(1-EXP(-LN(2)/2))/(LN(2)/2)*AQ80*AT80*VLOOKUP('Données projet'!$B$10,Paramètres!$A$1:$I$89,3,0)*0.475*44/12</f>
        <v>5.153472598142392E-7</v>
      </c>
      <c r="AX80" s="21">
        <f t="shared" si="60"/>
        <v>1.6396925233854283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17.5</v>
      </c>
      <c r="BD80" s="12">
        <f>IF('Données projet'!$A$88&gt;35,BD79+BC80-BL79,IF(A80&lt;'Données projet'!$A$88,$BA$205^A80,IF(A80='Données projet'!$A$88,'Données projet'!$B$88,BD79+BC80-BL79)))</f>
        <v>839.4999999999992</v>
      </c>
      <c r="BE80" s="13">
        <f>BD80*VLOOKUP('Données projet'!$B$11,Paramètres!$A$1:$I$89,3,0)*VLOOKUP('Données projet'!$B$11,Paramètres!$A$1:$I$89,5,0)</f>
        <v>403.79949999999968</v>
      </c>
      <c r="BF80" s="13">
        <f t="shared" si="91"/>
        <v>92.546531197372275</v>
      </c>
      <c r="BG80" s="20">
        <f t="shared" si="61"/>
        <v>864.46933766875611</v>
      </c>
      <c r="BH80" s="59">
        <f t="shared" si="62"/>
        <v>1157.8026710020895</v>
      </c>
      <c r="BI80" s="59">
        <f ca="1">AVERAGE(OFFSET($BH$3,0,0,'Données projet'!$E$11+1,1))-AVERAGE(OFFSET($H$3,0,0,'Données projet'!$E$11+1,1))</f>
        <v>402.22278907877927</v>
      </c>
      <c r="BJ80" s="59">
        <f t="shared" si="92"/>
        <v>393.06397734082458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10.957543453274976</v>
      </c>
      <c r="BQ80" s="21">
        <f>EXP(-LN(2)/25)*BQ79+(1-EXP(-LN(2)/25))/(LN(2)/25)*Calculateur!BL80*Calculateur!BN80*VLOOKUP('Données projet'!$B$11,Paramètres!$A$1:$I$89,3,0)*0.475*44/12</f>
        <v>12.250399607821029</v>
      </c>
      <c r="BR80" s="21">
        <f>EXP(-LN(2)/2)*BR79+(1-EXP(-LN(2)/2))/(LN(2)/2)*BL80*BO80*VLOOKUP('Données projet'!$B$11,Paramètres!$A$1:$I$89,3,0)*0.475*44/12</f>
        <v>7.456819989991549E-5</v>
      </c>
      <c r="BS80" s="22">
        <f t="shared" si="63"/>
        <v>23.208017629295902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14.1</v>
      </c>
      <c r="N81" s="13">
        <f>IF('Données projet'!$A$36&gt;35,N80+M81-V80,IF(A81&lt;'Données projet'!$A$36,$K$205^A81,IF(A81='Données projet'!$A$36,'Données projet'!$B$36,N80+M81-V80)))</f>
        <v>831.80000000000109</v>
      </c>
      <c r="O81" s="13">
        <f>N81*VLOOKUP('Données projet'!$B$9,Paramètres!$A$1:$I$89,3,0)*VLOOKUP('Données projet'!$B$9,Paramètres!$A$1:$I$89,5,0)</f>
        <v>464.97620000000063</v>
      </c>
      <c r="P81" s="13">
        <f t="shared" si="87"/>
        <v>104.83199544093466</v>
      </c>
      <c r="Q81" s="20">
        <f t="shared" si="54"/>
        <v>992.41594039296217</v>
      </c>
      <c r="R81" s="59">
        <f t="shared" si="55"/>
        <v>1285.7492737262955</v>
      </c>
      <c r="S81" s="59">
        <f ca="1">AVERAGE(OFFSET($R$3,0,0,'Données projet'!$E$9+1,1))-AVERAGE(OFFSET($H$3,0,0,'Données projet'!$E$9+1,1))</f>
        <v>490.7691633858222</v>
      </c>
      <c r="T81" s="59">
        <f t="shared" si="88"/>
        <v>490.82176582457072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4.855259351560675</v>
      </c>
      <c r="AA81" s="21">
        <f>EXP(-LN(2)/25)*AA80+(1-EXP(-LN(2)/25))/(LN(2)/25)*Calculateur!V81*Calculateur!X81*VLOOKUP('Données projet'!$B$9,Paramètres!$A$1:$I$89,3,0)*0.475*44/12</f>
        <v>11.697780868088968</v>
      </c>
      <c r="AB81" s="21">
        <f>EXP(-LN(2)/2)*AB80+(1-EXP(-LN(2)/2))/(LN(2)/2)*V81*Y81*VLOOKUP('Données projet'!$B$9,Paramètres!$A$1:$I$89,3,0)*0.475*44/12</f>
        <v>2.3975317186211826E-6</v>
      </c>
      <c r="AC81" s="22">
        <f t="shared" si="57"/>
        <v>16.553042617181362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7.7</v>
      </c>
      <c r="AI81" s="13">
        <f>IF('Données projet'!$A$62&gt;35,AI80+AH81-AQ80,IF(A81&lt;'Données projet'!$A$62,$AF$205^A81,IF(A81='Données projet'!$A$62,'Données projet'!$B$62,AI80+AH81-AQ80)))</f>
        <v>319.09999999999985</v>
      </c>
      <c r="AJ81" s="13">
        <f>AI81*VLOOKUP('Données projet'!$B$10,Paramètres!$A$1:$I$89,3,0)*VLOOKUP('Données projet'!$B$10,Paramètres!$A$1:$I$89,5,0)</f>
        <v>149.33879999999994</v>
      </c>
      <c r="AK81" s="13">
        <f t="shared" si="89"/>
        <v>38.428286936285446</v>
      </c>
      <c r="AL81" s="20">
        <f t="shared" si="58"/>
        <v>327.02767641403034</v>
      </c>
      <c r="AM81" s="59">
        <f t="shared" si="59"/>
        <v>620.3610097473636</v>
      </c>
      <c r="AN81" s="59">
        <f ca="1">AVERAGE(OFFSET($AM$3,0,0,'Données projet'!$E$10+1,1))-AVERAGE(OFFSET($H$3,0,0,'Données projet'!$E$10+1,1))</f>
        <v>165.03539937460289</v>
      </c>
      <c r="AO81" s="59">
        <f t="shared" si="90"/>
        <v>142.05625724497401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0.33521965803889209</v>
      </c>
      <c r="AV81" s="21">
        <f>EXP(-LN(2)/25)*AV80+(1-EXP(-LN(2)/25))/(LN(2)/25)*Calculateur!AQ81*Calculateur!AS81*VLOOKUP('Données projet'!$B$10,Paramètres!$A$1:$I$89,3,0)*0.475*44/12</f>
        <v>1.2622798990553943</v>
      </c>
      <c r="AW81" s="21">
        <f>EXP(-LN(2)/2)*AW80+(1-EXP(-LN(2)/2))/(LN(2)/2)*AQ81*AT81*VLOOKUP('Données projet'!$B$10,Paramètres!$A$1:$I$89,3,0)*0.475*44/12</f>
        <v>3.644055420805541E-7</v>
      </c>
      <c r="AX81" s="21">
        <f t="shared" si="60"/>
        <v>1.5974999214998284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17.5</v>
      </c>
      <c r="BD81" s="12">
        <f>IF('Données projet'!$A$88&gt;35,BD80+BC81-BL80,IF(A81&lt;'Données projet'!$A$88,$BA$205^A81,IF(A81='Données projet'!$A$88,'Données projet'!$B$88,BD80+BC81-BL80)))</f>
        <v>856.9999999999992</v>
      </c>
      <c r="BE81" s="13">
        <f>BD81*VLOOKUP('Données projet'!$B$11,Paramètres!$A$1:$I$89,3,0)*VLOOKUP('Données projet'!$B$11,Paramètres!$A$1:$I$89,5,0)</f>
        <v>412.21699999999959</v>
      </c>
      <c r="BF81" s="13">
        <f t="shared" si="91"/>
        <v>94.249121019335064</v>
      </c>
      <c r="BG81" s="20">
        <f t="shared" si="61"/>
        <v>882.09516077534101</v>
      </c>
      <c r="BH81" s="59">
        <f t="shared" si="62"/>
        <v>1175.4284941086744</v>
      </c>
      <c r="BI81" s="59">
        <f ca="1">AVERAGE(OFFSET($BH$3,0,0,'Données projet'!$E$11+1,1))-AVERAGE(OFFSET($H$3,0,0,'Données projet'!$E$11+1,1))</f>
        <v>402.22278907877927</v>
      </c>
      <c r="BJ81" s="59">
        <f t="shared" si="92"/>
        <v>393.06397734082458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10.742672709597825</v>
      </c>
      <c r="BQ81" s="21">
        <f>EXP(-LN(2)/25)*BQ80+(1-EXP(-LN(2)/25))/(LN(2)/25)*Calculateur!BL81*Calculateur!BN81*VLOOKUP('Données projet'!$B$11,Paramètres!$A$1:$I$89,3,0)*0.475*44/12</f>
        <v>11.915411786324647</v>
      </c>
      <c r="BR81" s="21">
        <f>EXP(-LN(2)/2)*BR80+(1-EXP(-LN(2)/2))/(LN(2)/2)*BL81*BO81*VLOOKUP('Données projet'!$B$11,Paramètres!$A$1:$I$89,3,0)*0.475*44/12</f>
        <v>5.2727679810104278E-5</v>
      </c>
      <c r="BS81" s="22">
        <f t="shared" si="63"/>
        <v>22.658137223602285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14.1</v>
      </c>
      <c r="N82" s="13">
        <f>IF('Données projet'!$A$36&gt;35,N81+M82-V81,IF(A82&lt;'Données projet'!$A$36,$K$205^A82,IF(A82='Données projet'!$A$36,'Données projet'!$B$36,N81+M82-V81)))</f>
        <v>845.90000000000111</v>
      </c>
      <c r="O82" s="13">
        <f>N82*VLOOKUP('Données projet'!$B$9,Paramètres!$A$1:$I$89,3,0)*VLOOKUP('Données projet'!$B$9,Paramètres!$A$1:$I$89,5,0)</f>
        <v>472.85810000000066</v>
      </c>
      <c r="P82" s="13">
        <f t="shared" si="87"/>
        <v>106.40063718830692</v>
      </c>
      <c r="Q82" s="20">
        <f t="shared" si="54"/>
        <v>1008.8756339363023</v>
      </c>
      <c r="R82" s="59">
        <f t="shared" si="55"/>
        <v>1302.2089672696357</v>
      </c>
      <c r="S82" s="59">
        <f ca="1">AVERAGE(OFFSET($R$3,0,0,'Données projet'!$E$9+1,1))-AVERAGE(OFFSET($H$3,0,0,'Données projet'!$E$9+1,1))</f>
        <v>490.7691633858222</v>
      </c>
      <c r="T82" s="59">
        <f t="shared" si="88"/>
        <v>490.82176582457072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4.7600506770923587</v>
      </c>
      <c r="AA82" s="21">
        <f>EXP(-LN(2)/25)*AA81+(1-EXP(-LN(2)/25))/(LN(2)/25)*Calculateur!V82*Calculateur!X82*VLOOKUP('Données projet'!$B$9,Paramètres!$A$1:$I$89,3,0)*0.475*44/12</f>
        <v>11.377904435091514</v>
      </c>
      <c r="AB82" s="21">
        <f>EXP(-LN(2)/2)*AB81+(1-EXP(-LN(2)/2))/(LN(2)/2)*V82*Y82*VLOOKUP('Données projet'!$B$9,Paramètres!$A$1:$I$89,3,0)*0.475*44/12</f>
        <v>1.6953109363468758E-6</v>
      </c>
      <c r="AC82" s="22">
        <f t="shared" si="57"/>
        <v>16.13795680749481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7.7</v>
      </c>
      <c r="AI82" s="13">
        <f>IF('Données projet'!$A$62&gt;35,AI81+AH82-AQ81,IF(A82&lt;'Données projet'!$A$62,$AF$205^A82,IF(A82='Données projet'!$A$62,'Données projet'!$B$62,AI81+AH82-AQ81)))</f>
        <v>326.79999999999984</v>
      </c>
      <c r="AJ82" s="13">
        <f>AI82*VLOOKUP('Données projet'!$B$10,Paramètres!$A$1:$I$89,3,0)*VLOOKUP('Données projet'!$B$10,Paramètres!$A$1:$I$89,5,0)</f>
        <v>152.94239999999994</v>
      </c>
      <c r="AK82" s="13">
        <f t="shared" si="89"/>
        <v>39.246498705676878</v>
      </c>
      <c r="AL82" s="20">
        <f t="shared" si="58"/>
        <v>334.72899857905378</v>
      </c>
      <c r="AM82" s="59">
        <f t="shared" si="59"/>
        <v>628.06233191238709</v>
      </c>
      <c r="AN82" s="59">
        <f ca="1">AVERAGE(OFFSET($AM$3,0,0,'Données projet'!$E$10+1,1))-AVERAGE(OFFSET($H$3,0,0,'Données projet'!$E$10+1,1))</f>
        <v>165.03539937460289</v>
      </c>
      <c r="AO82" s="59">
        <f t="shared" si="90"/>
        <v>142.05625724497401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0.32864620500855168</v>
      </c>
      <c r="AV82" s="21">
        <f>EXP(-LN(2)/25)*AV81+(1-EXP(-LN(2)/25))/(LN(2)/25)*Calculateur!AQ82*Calculateur!AS82*VLOOKUP('Données projet'!$B$10,Paramètres!$A$1:$I$89,3,0)*0.475*44/12</f>
        <v>1.2277627888353095</v>
      </c>
      <c r="AW82" s="21">
        <f>EXP(-LN(2)/2)*AW81+(1-EXP(-LN(2)/2))/(LN(2)/2)*AQ82*AT82*VLOOKUP('Données projet'!$B$10,Paramètres!$A$1:$I$89,3,0)*0.475*44/12</f>
        <v>2.576736299071196E-7</v>
      </c>
      <c r="AX82" s="21">
        <f t="shared" si="60"/>
        <v>1.5564092515174912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17.5</v>
      </c>
      <c r="BD82" s="12">
        <f>IF('Données projet'!$A$88&gt;35,BD81+BC82-BL81,IF(A82&lt;'Données projet'!$A$88,$BA$205^A82,IF(A82='Données projet'!$A$88,'Données projet'!$B$88,BD81+BC82-BL81)))</f>
        <v>874.4999999999992</v>
      </c>
      <c r="BE82" s="13">
        <f>BD82*VLOOKUP('Données projet'!$B$11,Paramètres!$A$1:$I$89,3,0)*VLOOKUP('Données projet'!$B$11,Paramètres!$A$1:$I$89,5,0)</f>
        <v>420.63449999999966</v>
      </c>
      <c r="BF82" s="13">
        <f t="shared" si="91"/>
        <v>95.947668470845713</v>
      </c>
      <c r="BG82" s="20">
        <f t="shared" si="61"/>
        <v>899.71394342005567</v>
      </c>
      <c r="BH82" s="59">
        <f t="shared" si="62"/>
        <v>1193.047276753389</v>
      </c>
      <c r="BI82" s="59">
        <f ca="1">AVERAGE(OFFSET($BH$3,0,0,'Données projet'!$E$11+1,1))-AVERAGE(OFFSET($H$3,0,0,'Données projet'!$E$11+1,1))</f>
        <v>402.22278907877927</v>
      </c>
      <c r="BJ82" s="59">
        <f t="shared" si="92"/>
        <v>393.06397734082458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10.53201545014597</v>
      </c>
      <c r="BQ82" s="21">
        <f>EXP(-LN(2)/25)*BQ81+(1-EXP(-LN(2)/25))/(LN(2)/25)*Calculateur!BL82*Calculateur!BN82*VLOOKUP('Données projet'!$B$11,Paramètres!$A$1:$I$89,3,0)*0.475*44/12</f>
        <v>11.589584224423326</v>
      </c>
      <c r="BR82" s="21">
        <f>EXP(-LN(2)/2)*BR81+(1-EXP(-LN(2)/2))/(LN(2)/2)*BL82*BO82*VLOOKUP('Données projet'!$B$11,Paramètres!$A$1:$I$89,3,0)*0.475*44/12</f>
        <v>3.7284099949957745E-5</v>
      </c>
      <c r="BS82" s="22">
        <f t="shared" si="63"/>
        <v>22.121636958669246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860</v>
      </c>
      <c r="L83" s="12">
        <f>VLOOKUP(A83,'Données projet'!$A$35:$I$55,9,0)</f>
        <v>14.1</v>
      </c>
      <c r="M83" s="12">
        <f t="array" ref="M83">INDEX(L:L,MIN(IF(ISNUMBER(L83:L279),ROW(L83:L279),"")))</f>
        <v>14.1</v>
      </c>
      <c r="N83" s="13">
        <f>IF('Données projet'!$A$36&gt;35,N82+M83-V82,IF(A83&lt;'Données projet'!$A$36,$K$205^A83,IF(A83='Données projet'!$A$36,'Données projet'!$B$36,N82+M83-V82)))</f>
        <v>860.00000000000114</v>
      </c>
      <c r="O83" s="13">
        <f>N83*VLOOKUP('Données projet'!$B$9,Paramètres!$A$1:$I$89,3,0)*VLOOKUP('Données projet'!$B$9,Paramètres!$A$1:$I$89,5,0)</f>
        <v>480.74000000000063</v>
      </c>
      <c r="P83" s="13">
        <f t="shared" si="87"/>
        <v>107.96623821272577</v>
      </c>
      <c r="Q83" s="20">
        <f t="shared" si="54"/>
        <v>1025.3300315538318</v>
      </c>
      <c r="R83" s="59">
        <f t="shared" si="55"/>
        <v>1318.663364887165</v>
      </c>
      <c r="S83" s="59">
        <f ca="1">AVERAGE(OFFSET($R$3,0,0,'Données projet'!$E$9+1,1))-AVERAGE(OFFSET($H$3,0,0,'Données projet'!$E$9+1,1))</f>
        <v>490.7691633858222</v>
      </c>
      <c r="T83" s="59">
        <f t="shared" si="88"/>
        <v>490.82176582457072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860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4.6667089866588096</v>
      </c>
      <c r="AA83" s="21">
        <f>EXP(-LN(2)/25)*AA82+(1-EXP(-LN(2)/25))/(LN(2)/25)*Calculateur!V83*Calculateur!X83*VLOOKUP('Données projet'!$B$9,Paramètres!$A$1:$I$89,3,0)*0.475*44/12</f>
        <v>11.066775039975948</v>
      </c>
      <c r="AB83" s="21">
        <f>EXP(-LN(2)/2)*AB82+(1-EXP(-LN(2)/2))/(LN(2)/2)*V83*Y83*VLOOKUP('Données projet'!$B$9,Paramètres!$A$1:$I$89,3,0)*0.475*44/12</f>
        <v>1.1987658593105913E-6</v>
      </c>
      <c r="AC83" s="22">
        <f t="shared" si="57"/>
        <v>15.733485225400617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334.5</v>
      </c>
      <c r="AG83" s="12">
        <f>VLOOKUP(A83,'Données projet'!$A$61:$I$81,9,0)</f>
        <v>7.7</v>
      </c>
      <c r="AH83" s="12">
        <f t="array" ref="AH83">INDEX(AG:AG,MIN(IF(ISNUMBER(AG83:AG279),ROW(AG83:AG279),"")))</f>
        <v>7.7</v>
      </c>
      <c r="AI83" s="13">
        <f>IF('Données projet'!$A$62&gt;35,AI82+AH83-AQ82,IF(A83&lt;'Données projet'!$A$62,$AF$205^A83,IF(A83='Données projet'!$A$62,'Données projet'!$B$62,AI82+AH83-AQ82)))</f>
        <v>334.49999999999983</v>
      </c>
      <c r="AJ83" s="13">
        <f>AI83*VLOOKUP('Données projet'!$B$10,Paramètres!$A$1:$I$89,3,0)*VLOOKUP('Données projet'!$B$10,Paramètres!$A$1:$I$89,5,0)</f>
        <v>156.54599999999991</v>
      </c>
      <c r="AK83" s="13">
        <f t="shared" si="89"/>
        <v>40.062469306923084</v>
      </c>
      <c r="AL83" s="20">
        <f t="shared" si="58"/>
        <v>342.42641737622415</v>
      </c>
      <c r="AM83" s="59">
        <f t="shared" si="59"/>
        <v>635.75975070955747</v>
      </c>
      <c r="AN83" s="59">
        <f ca="1">AVERAGE(OFFSET($AM$3,0,0,'Données projet'!$E$10+1,1))-AVERAGE(OFFSET($H$3,0,0,'Données projet'!$E$10+1,1))</f>
        <v>165.03539937460289</v>
      </c>
      <c r="AO83" s="59">
        <f t="shared" si="90"/>
        <v>142.05625724497401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46.3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0.32220165338272583</v>
      </c>
      <c r="AV83" s="21">
        <f>EXP(-LN(2)/25)*AV82+(1-EXP(-LN(2)/25))/(LN(2)/25)*Calculateur!AQ83*Calculateur!AS83*VLOOKUP('Données projet'!$B$10,Paramètres!$A$1:$I$89,3,0)*0.475*44/12</f>
        <v>1.1941895508093689</v>
      </c>
      <c r="AW83" s="21">
        <f>EXP(-LN(2)/2)*AW82+(1-EXP(-LN(2)/2))/(LN(2)/2)*AQ83*AT83*VLOOKUP('Données projet'!$B$10,Paramètres!$A$1:$I$89,3,0)*0.475*44/12</f>
        <v>1.8220277104027705E-7</v>
      </c>
      <c r="AX83" s="21">
        <f t="shared" si="60"/>
        <v>1.5163913863948659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892</v>
      </c>
      <c r="BB83" s="12">
        <f>VLOOKUP(A83,'Données projet'!$A$87:$I$107,9,0)</f>
        <v>17.5</v>
      </c>
      <c r="BC83" s="12">
        <f t="array" ref="BC83">INDEX(BB:BB,MIN(IF(ISNUMBER(BB83:BB279),ROW(BB83:BB279),"")))</f>
        <v>17.5</v>
      </c>
      <c r="BD83" s="12">
        <f>IF('Données projet'!$A$88&gt;35,BD82+BC83-BL82,IF(A83&lt;'Données projet'!$A$88,$BA$205^A83,IF(A83='Données projet'!$A$88,'Données projet'!$B$88,BD82+BC83-BL82)))</f>
        <v>891.9999999999992</v>
      </c>
      <c r="BE83" s="13">
        <f>BD83*VLOOKUP('Données projet'!$B$11,Paramètres!$A$1:$I$89,3,0)*VLOOKUP('Données projet'!$B$11,Paramètres!$A$1:$I$89,5,0)</f>
        <v>429.05199999999962</v>
      </c>
      <c r="BF83" s="13">
        <f t="shared" si="91"/>
        <v>97.642263768610974</v>
      </c>
      <c r="BG83" s="20">
        <f t="shared" si="61"/>
        <v>917.32584273033024</v>
      </c>
      <c r="BH83" s="59">
        <f t="shared" si="62"/>
        <v>1210.6591760636636</v>
      </c>
      <c r="BI83" s="59">
        <f ca="1">AVERAGE(OFFSET($BH$3,0,0,'Données projet'!$E$11+1,1))-AVERAGE(OFFSET($H$3,0,0,'Données projet'!$E$11+1,1))</f>
        <v>402.22278907877927</v>
      </c>
      <c r="BJ83" s="59">
        <f t="shared" si="92"/>
        <v>393.06397734082458</v>
      </c>
      <c r="BK83" s="15">
        <f>IF(ISNA(VLOOKUP(A83,'Données projet'!$A$87:$I$107,3,0)),0,VLOOKUP(A83,'Données projet'!$A$87:$I$107,3,0))</f>
        <v>8</v>
      </c>
      <c r="BL83" s="21">
        <f>IF(ISNA(VLOOKUP(A83,'Données projet'!$A$87:$I$107,4,0)),0,VLOOKUP(A83,'Données projet'!$A$87:$I$107,4,0))</f>
        <v>892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10.325489051063725</v>
      </c>
      <c r="BQ83" s="21">
        <f>EXP(-LN(2)/25)*BQ82+(1-EXP(-LN(2)/25))/(LN(2)/25)*Calculateur!BL83*Calculateur!BN83*VLOOKUP('Données projet'!$B$11,Paramètres!$A$1:$I$89,3,0)*0.475*44/12</f>
        <v>11.272666434336724</v>
      </c>
      <c r="BR83" s="21">
        <f>EXP(-LN(2)/2)*BR82+(1-EXP(-LN(2)/2))/(LN(2)/2)*BL83*BO83*VLOOKUP('Données projet'!$B$11,Paramètres!$A$1:$I$89,3,0)*0.475*44/12</f>
        <v>2.6363839905052139E-5</v>
      </c>
      <c r="BS83" s="22">
        <f t="shared" si="63"/>
        <v>21.598181849240351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1.1368683772161603E-12</v>
      </c>
      <c r="O84" s="13">
        <f>N84*VLOOKUP('Données projet'!$B$9,Paramètres!$A$1:$I$89,3,0)*VLOOKUP('Données projet'!$B$9,Paramètres!$A$1:$I$89,5,0)</f>
        <v>6.3550942286383359E-13</v>
      </c>
      <c r="P84" s="13">
        <f t="shared" si="87"/>
        <v>7.6982260417614606E-12</v>
      </c>
      <c r="Q84" s="20">
        <f t="shared" si="54"/>
        <v>1.4514589267555721E-11</v>
      </c>
      <c r="R84" s="59">
        <f t="shared" si="55"/>
        <v>293.33333333334781</v>
      </c>
      <c r="S84" s="59">
        <f ca="1">AVERAGE(OFFSET($R$3,0,0,'Données projet'!$E$9+1,1))-AVERAGE(OFFSET($H$3,0,0,'Données projet'!$E$9+1,1))</f>
        <v>490.7691633858222</v>
      </c>
      <c r="T84" s="59">
        <f t="shared" si="88"/>
        <v>490.82176582457072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4.5751976698418524</v>
      </c>
      <c r="AA84" s="21">
        <f>EXP(-LN(2)/25)*AA83+(1-EXP(-LN(2)/25))/(LN(2)/25)*Calculateur!V84*Calculateur!X84*VLOOKUP('Données projet'!$B$9,Paramètres!$A$1:$I$89,3,0)*0.475*44/12</f>
        <v>10.764153494531399</v>
      </c>
      <c r="AB84" s="21">
        <f>EXP(-LN(2)/2)*AB83+(1-EXP(-LN(2)/2))/(LN(2)/2)*V84*Y84*VLOOKUP('Données projet'!$B$9,Paramètres!$A$1:$I$89,3,0)*0.475*44/12</f>
        <v>8.4765546817343792E-7</v>
      </c>
      <c r="AC84" s="22">
        <f t="shared" si="57"/>
        <v>15.339352012028719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8.3000000000000007</v>
      </c>
      <c r="AI84" s="13">
        <f>IF('Données projet'!$A$62&gt;35,AI83+AH84-AQ83,IF(A84&lt;'Données projet'!$A$62,$AF$205^A84,IF(A84='Données projet'!$A$62,'Données projet'!$B$62,AI83+AH84-AQ83)))</f>
        <v>296.49999999999983</v>
      </c>
      <c r="AJ84" s="13">
        <f>AI84*VLOOKUP('Données projet'!$B$10,Paramètres!$A$1:$I$89,3,0)*VLOOKUP('Données projet'!$B$10,Paramètres!$A$1:$I$89,5,0)</f>
        <v>138.76199999999992</v>
      </c>
      <c r="AK84" s="13">
        <f t="shared" si="89"/>
        <v>36.01325063671441</v>
      </c>
      <c r="AL84" s="20">
        <f t="shared" si="58"/>
        <v>304.40022819227744</v>
      </c>
      <c r="AM84" s="59">
        <f t="shared" si="59"/>
        <v>597.73356152561075</v>
      </c>
      <c r="AN84" s="59">
        <f ca="1">AVERAGE(OFFSET($AM$3,0,0,'Données projet'!$E$10+1,1))-AVERAGE(OFFSET($H$3,0,0,'Données projet'!$E$10+1,1))</f>
        <v>165.03539937460289</v>
      </c>
      <c r="AO84" s="59">
        <f t="shared" si="90"/>
        <v>142.05625724497401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0.31588347548349405</v>
      </c>
      <c r="AV84" s="21">
        <f>EXP(-LN(2)/25)*AV83+(1-EXP(-LN(2)/25))/(LN(2)/25)*Calculateur!AQ84*Calculateur!AS84*VLOOKUP('Données projet'!$B$10,Paramètres!$A$1:$I$89,3,0)*0.475*44/12</f>
        <v>1.1615343747427875</v>
      </c>
      <c r="AW84" s="21">
        <f>EXP(-LN(2)/2)*AW83+(1-EXP(-LN(2)/2))/(LN(2)/2)*AQ84*AT84*VLOOKUP('Données projet'!$B$10,Paramètres!$A$1:$I$89,3,0)*0.475*44/12</f>
        <v>1.288368149535598E-7</v>
      </c>
      <c r="AX84" s="21">
        <f t="shared" si="60"/>
        <v>1.4774179790630966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-7.9580786405131221E-13</v>
      </c>
      <c r="BE84" s="13">
        <f>BD84*VLOOKUP('Données projet'!$B$11,Paramètres!$A$1:$I$89,3,0)*VLOOKUP('Données projet'!$B$11,Paramètres!$A$1:$I$89,5,0)</f>
        <v>-3.8278358260868117E-13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402.22278907877927</v>
      </c>
      <c r="BJ84" s="59">
        <f t="shared" si="92"/>
        <v>393.06397734082458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10.123012508698817</v>
      </c>
      <c r="BQ84" s="21">
        <f>EXP(-LN(2)/25)*BQ83+(1-EXP(-LN(2)/25))/(LN(2)/25)*Calculateur!BL84*Calculateur!BN84*VLOOKUP('Données projet'!$B$11,Paramètres!$A$1:$I$89,3,0)*0.475*44/12</f>
        <v>10.964414777886022</v>
      </c>
      <c r="BR84" s="21">
        <f>EXP(-LN(2)/2)*BR83+(1-EXP(-LN(2)/2))/(LN(2)/2)*BL84*BO84*VLOOKUP('Données projet'!$B$11,Paramètres!$A$1:$I$89,3,0)*0.475*44/12</f>
        <v>1.8642049974978873E-5</v>
      </c>
      <c r="BS84" s="22">
        <f t="shared" si="63"/>
        <v>21.087445928634818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1.1368683772161603E-12</v>
      </c>
      <c r="O85" s="13">
        <f>N85*VLOOKUP('Données projet'!$B$9,Paramètres!$A$1:$I$89,3,0)*VLOOKUP('Données projet'!$B$9,Paramètres!$A$1:$I$89,5,0)</f>
        <v>6.3550942286383359E-13</v>
      </c>
      <c r="P85" s="13">
        <f t="shared" si="87"/>
        <v>7.6982260417614606E-12</v>
      </c>
      <c r="Q85" s="20">
        <f t="shared" si="54"/>
        <v>1.4514589267555721E-11</v>
      </c>
      <c r="R85" s="59">
        <f t="shared" si="55"/>
        <v>293.33333333334781</v>
      </c>
      <c r="S85" s="59">
        <f ca="1">AVERAGE(OFFSET($R$3,0,0,'Données projet'!$E$9+1,1))-AVERAGE(OFFSET($H$3,0,0,'Données projet'!$E$9+1,1))</f>
        <v>490.7691633858222</v>
      </c>
      <c r="T85" s="59">
        <f t="shared" si="88"/>
        <v>490.82176582457072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4.485480834131284</v>
      </c>
      <c r="AA85" s="21">
        <f>EXP(-LN(2)/25)*AA84+(1-EXP(-LN(2)/25))/(LN(2)/25)*Calculateur!V85*Calculateur!X85*VLOOKUP('Données projet'!$B$9,Paramètres!$A$1:$I$89,3,0)*0.475*44/12</f>
        <v>10.469807151161207</v>
      </c>
      <c r="AB85" s="21">
        <f>EXP(-LN(2)/2)*AB84+(1-EXP(-LN(2)/2))/(LN(2)/2)*V85*Y85*VLOOKUP('Données projet'!$B$9,Paramètres!$A$1:$I$89,3,0)*0.475*44/12</f>
        <v>5.9938292965529565E-7</v>
      </c>
      <c r="AC85" s="22">
        <f t="shared" si="57"/>
        <v>14.95528858467542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8.3000000000000007</v>
      </c>
      <c r="AI85" s="13">
        <f>IF('Données projet'!$A$62&gt;35,AI84+AH85-AQ84,IF(A85&lt;'Données projet'!$A$62,$AF$205^A85,IF(A85='Données projet'!$A$62,'Données projet'!$B$62,AI84+AH85-AQ84)))</f>
        <v>304.79999999999984</v>
      </c>
      <c r="AJ85" s="13">
        <f>AI85*VLOOKUP('Données projet'!$B$10,Paramètres!$A$1:$I$89,3,0)*VLOOKUP('Données projet'!$B$10,Paramètres!$A$1:$I$89,5,0)</f>
        <v>142.64639999999991</v>
      </c>
      <c r="AK85" s="13">
        <f t="shared" si="89"/>
        <v>36.902596251289559</v>
      </c>
      <c r="AL85" s="20">
        <f t="shared" si="58"/>
        <v>312.71450180432913</v>
      </c>
      <c r="AM85" s="59">
        <f t="shared" si="59"/>
        <v>606.04783513766245</v>
      </c>
      <c r="AN85" s="59">
        <f ca="1">AVERAGE(OFFSET($AM$3,0,0,'Données projet'!$E$10+1,1))-AVERAGE(OFFSET($H$3,0,0,'Données projet'!$E$10+1,1))</f>
        <v>165.03539937460289</v>
      </c>
      <c r="AO85" s="59">
        <f t="shared" si="90"/>
        <v>142.05625724497401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0.30968919319915822</v>
      </c>
      <c r="AV85" s="21">
        <f>EXP(-LN(2)/25)*AV84+(1-EXP(-LN(2)/25))/(LN(2)/25)*Calculateur!AQ85*Calculateur!AS85*VLOOKUP('Données projet'!$B$10,Paramètres!$A$1:$I$89,3,0)*0.475*44/12</f>
        <v>1.1297721561830079</v>
      </c>
      <c r="AW85" s="21">
        <f>EXP(-LN(2)/2)*AW84+(1-EXP(-LN(2)/2))/(LN(2)/2)*AQ85*AT85*VLOOKUP('Données projet'!$B$10,Paramètres!$A$1:$I$89,3,0)*0.475*44/12</f>
        <v>9.1101385520138524E-8</v>
      </c>
      <c r="AX85" s="21">
        <f t="shared" si="60"/>
        <v>1.4394614404835515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-7.9580786405131221E-13</v>
      </c>
      <c r="BE85" s="13">
        <f>BD85*VLOOKUP('Données projet'!$B$11,Paramètres!$A$1:$I$89,3,0)*VLOOKUP('Données projet'!$B$11,Paramètres!$A$1:$I$89,5,0)</f>
        <v>-3.8278358260868117E-13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402.22278907877927</v>
      </c>
      <c r="BJ85" s="59">
        <f t="shared" si="92"/>
        <v>393.06397734082458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9.9245064078311902</v>
      </c>
      <c r="BQ85" s="21">
        <f>EXP(-LN(2)/25)*BQ84+(1-EXP(-LN(2)/25))/(LN(2)/25)*Calculateur!BL85*Calculateur!BN85*VLOOKUP('Données projet'!$B$11,Paramètres!$A$1:$I$89,3,0)*0.475*44/12</f>
        <v>10.664592279191215</v>
      </c>
      <c r="BR85" s="21">
        <f>EXP(-LN(2)/2)*BR84+(1-EXP(-LN(2)/2))/(LN(2)/2)*BL85*BO85*VLOOKUP('Données projet'!$B$11,Paramètres!$A$1:$I$89,3,0)*0.475*44/12</f>
        <v>1.318191995252607E-5</v>
      </c>
      <c r="BS85" s="22">
        <f t="shared" si="63"/>
        <v>20.589111868942361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1.1368683772161603E-12</v>
      </c>
      <c r="O86" s="13">
        <f>N86*VLOOKUP('Données projet'!$B$9,Paramètres!$A$1:$I$89,3,0)*VLOOKUP('Données projet'!$B$9,Paramètres!$A$1:$I$89,5,0)</f>
        <v>6.3550942286383359E-13</v>
      </c>
      <c r="P86" s="13">
        <f t="shared" si="87"/>
        <v>7.6982260417614606E-12</v>
      </c>
      <c r="Q86" s="20">
        <f t="shared" si="54"/>
        <v>1.4514589267555721E-11</v>
      </c>
      <c r="R86" s="59">
        <f t="shared" si="55"/>
        <v>293.33333333334781</v>
      </c>
      <c r="S86" s="59">
        <f ca="1">AVERAGE(OFFSET($R$3,0,0,'Données projet'!$E$9+1,1))-AVERAGE(OFFSET($H$3,0,0,'Données projet'!$E$9+1,1))</f>
        <v>490.7691633858222</v>
      </c>
      <c r="T86" s="59">
        <f t="shared" si="88"/>
        <v>490.82176582457072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4.3975232908471336</v>
      </c>
      <c r="AA86" s="21">
        <f>EXP(-LN(2)/25)*AA85+(1-EXP(-LN(2)/25))/(LN(2)/25)*Calculateur!V86*Calculateur!X86*VLOOKUP('Données projet'!$B$9,Paramètres!$A$1:$I$89,3,0)*0.475*44/12</f>
        <v>10.183509724029475</v>
      </c>
      <c r="AB86" s="21">
        <f>EXP(-LN(2)/2)*AB85+(1-EXP(-LN(2)/2))/(LN(2)/2)*V86*Y86*VLOOKUP('Données projet'!$B$9,Paramètres!$A$1:$I$89,3,0)*0.475*44/12</f>
        <v>4.2382773408671896E-7</v>
      </c>
      <c r="AC86" s="22">
        <f t="shared" si="57"/>
        <v>14.581033438704344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8.3000000000000007</v>
      </c>
      <c r="AI86" s="13">
        <f>IF('Données projet'!$A$62&gt;35,AI85+AH86-AQ85,IF(A86&lt;'Données projet'!$A$62,$AF$205^A86,IF(A86='Données projet'!$A$62,'Données projet'!$B$62,AI85+AH86-AQ85)))</f>
        <v>313.09999999999985</v>
      </c>
      <c r="AJ86" s="13">
        <f>AI86*VLOOKUP('Données projet'!$B$10,Paramètres!$A$1:$I$89,3,0)*VLOOKUP('Données projet'!$B$10,Paramètres!$A$1:$I$89,5,0)</f>
        <v>146.53079999999991</v>
      </c>
      <c r="AK86" s="13">
        <f t="shared" si="89"/>
        <v>37.789127015633198</v>
      </c>
      <c r="AL86" s="20">
        <f t="shared" si="58"/>
        <v>321.02387288556099</v>
      </c>
      <c r="AM86" s="59">
        <f t="shared" si="59"/>
        <v>614.35720621889436</v>
      </c>
      <c r="AN86" s="59">
        <f ca="1">AVERAGE(OFFSET($AM$3,0,0,'Données projet'!$E$10+1,1))-AVERAGE(OFFSET($H$3,0,0,'Données projet'!$E$10+1,1))</f>
        <v>165.03539937460289</v>
      </c>
      <c r="AO86" s="59">
        <f t="shared" si="90"/>
        <v>142.05625724497401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0.30361637701227906</v>
      </c>
      <c r="AV86" s="21">
        <f>EXP(-LN(2)/25)*AV85+(1-EXP(-LN(2)/25))/(LN(2)/25)*Calculateur!AQ86*Calculateur!AS86*VLOOKUP('Données projet'!$B$10,Paramètres!$A$1:$I$89,3,0)*0.475*44/12</f>
        <v>1.0988784771600479</v>
      </c>
      <c r="AW86" s="21">
        <f>EXP(-LN(2)/2)*AW85+(1-EXP(-LN(2)/2))/(LN(2)/2)*AQ86*AT86*VLOOKUP('Données projet'!$B$10,Paramètres!$A$1:$I$89,3,0)*0.475*44/12</f>
        <v>6.4418407476779899E-8</v>
      </c>
      <c r="AX86" s="21">
        <f t="shared" si="60"/>
        <v>1.4024949185907345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-7.9580786405131221E-13</v>
      </c>
      <c r="BE86" s="13">
        <f>BD86*VLOOKUP('Données projet'!$B$11,Paramètres!$A$1:$I$89,3,0)*VLOOKUP('Données projet'!$B$11,Paramètres!$A$1:$I$89,5,0)</f>
        <v>-3.8278358260868117E-13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402.22278907877927</v>
      </c>
      <c r="BJ86" s="59">
        <f t="shared" si="92"/>
        <v>393.06397734082458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9.7298928905248108</v>
      </c>
      <c r="BQ86" s="21">
        <f>EXP(-LN(2)/25)*BQ85+(1-EXP(-LN(2)/25))/(LN(2)/25)*Calculateur!BL86*Calculateur!BN86*VLOOKUP('Données projet'!$B$11,Paramètres!$A$1:$I$89,3,0)*0.475*44/12</f>
        <v>10.372968442490198</v>
      </c>
      <c r="BR86" s="21">
        <f>EXP(-LN(2)/2)*BR85+(1-EXP(-LN(2)/2))/(LN(2)/2)*BL86*BO86*VLOOKUP('Données projet'!$B$11,Paramètres!$A$1:$I$89,3,0)*0.475*44/12</f>
        <v>9.3210249874894363E-6</v>
      </c>
      <c r="BS86" s="22">
        <f t="shared" si="63"/>
        <v>20.102870654039993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1.1368683772161603E-12</v>
      </c>
      <c r="O87" s="13">
        <f>N87*VLOOKUP('Données projet'!$B$9,Paramètres!$A$1:$I$89,3,0)*VLOOKUP('Données projet'!$B$9,Paramètres!$A$1:$I$89,5,0)</f>
        <v>6.3550942286383359E-13</v>
      </c>
      <c r="P87" s="13">
        <f t="shared" si="87"/>
        <v>7.6982260417614606E-12</v>
      </c>
      <c r="Q87" s="20">
        <f t="shared" si="54"/>
        <v>1.4514589267555721E-11</v>
      </c>
      <c r="R87" s="59">
        <f t="shared" si="55"/>
        <v>293.33333333334781</v>
      </c>
      <c r="S87" s="59">
        <f ca="1">AVERAGE(OFFSET($R$3,0,0,'Données projet'!$E$9+1,1))-AVERAGE(OFFSET($H$3,0,0,'Données projet'!$E$9+1,1))</f>
        <v>490.7691633858222</v>
      </c>
      <c r="T87" s="59">
        <f t="shared" si="88"/>
        <v>490.82176582457072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4.3112905413379812</v>
      </c>
      <c r="AA87" s="21">
        <f>EXP(-LN(2)/25)*AA86+(1-EXP(-LN(2)/25))/(LN(2)/25)*Calculateur!V87*Calculateur!X87*VLOOKUP('Données projet'!$B$9,Paramètres!$A$1:$I$89,3,0)*0.475*44/12</f>
        <v>9.9050411150983884</v>
      </c>
      <c r="AB87" s="21">
        <f>EXP(-LN(2)/2)*AB86+(1-EXP(-LN(2)/2))/(LN(2)/2)*V87*Y87*VLOOKUP('Données projet'!$B$9,Paramètres!$A$1:$I$89,3,0)*0.475*44/12</f>
        <v>2.9969146482764783E-7</v>
      </c>
      <c r="AC87" s="22">
        <f t="shared" si="57"/>
        <v>14.216331956127835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8.3000000000000007</v>
      </c>
      <c r="AI87" s="13">
        <f>IF('Données projet'!$A$62&gt;35,AI86+AH87-AQ86,IF(A87&lt;'Données projet'!$A$62,$AF$205^A87,IF(A87='Données projet'!$A$62,'Données projet'!$B$62,AI86+AH87-AQ86)))</f>
        <v>321.39999999999986</v>
      </c>
      <c r="AJ87" s="13">
        <f>AI87*VLOOKUP('Données projet'!$B$10,Paramètres!$A$1:$I$89,3,0)*VLOOKUP('Données projet'!$B$10,Paramètres!$A$1:$I$89,5,0)</f>
        <v>150.41519999999994</v>
      </c>
      <c r="AK87" s="13">
        <f t="shared" si="89"/>
        <v>38.672926125901775</v>
      </c>
      <c r="AL87" s="20">
        <f t="shared" si="58"/>
        <v>329.32848633594546</v>
      </c>
      <c r="AM87" s="59">
        <f t="shared" si="59"/>
        <v>622.66181966927877</v>
      </c>
      <c r="AN87" s="59">
        <f ca="1">AVERAGE(OFFSET($AM$3,0,0,'Données projet'!$E$10+1,1))-AVERAGE(OFFSET($H$3,0,0,'Données projet'!$E$10+1,1))</f>
        <v>165.03539937460289</v>
      </c>
      <c r="AO87" s="59">
        <f t="shared" si="90"/>
        <v>142.05625724497401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0.29766264504677248</v>
      </c>
      <c r="AV87" s="21">
        <f>EXP(-LN(2)/25)*AV86+(1-EXP(-LN(2)/25))/(LN(2)/25)*Calculateur!AQ87*Calculateur!AS87*VLOOKUP('Données projet'!$B$10,Paramètres!$A$1:$I$89,3,0)*0.475*44/12</f>
        <v>1.0688295874145988</v>
      </c>
      <c r="AW87" s="21">
        <f>EXP(-LN(2)/2)*AW86+(1-EXP(-LN(2)/2))/(LN(2)/2)*AQ87*AT87*VLOOKUP('Données projet'!$B$10,Paramètres!$A$1:$I$89,3,0)*0.475*44/12</f>
        <v>4.5550692760069262E-8</v>
      </c>
      <c r="AX87" s="21">
        <f t="shared" si="60"/>
        <v>1.3664922780120641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-7.9580786405131221E-13</v>
      </c>
      <c r="BE87" s="13">
        <f>BD87*VLOOKUP('Données projet'!$B$11,Paramètres!$A$1:$I$89,3,0)*VLOOKUP('Données projet'!$B$11,Paramètres!$A$1:$I$89,5,0)</f>
        <v>-3.8278358260868117E-13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402.22278907877927</v>
      </c>
      <c r="BJ87" s="59">
        <f t="shared" si="92"/>
        <v>393.06397734082458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9.539095625590285</v>
      </c>
      <c r="BQ87" s="21">
        <f>EXP(-LN(2)/25)*BQ86+(1-EXP(-LN(2)/25))/(LN(2)/25)*Calculateur!BL87*Calculateur!BN87*VLOOKUP('Données projet'!$B$11,Paramètres!$A$1:$I$89,3,0)*0.475*44/12</f>
        <v>10.089319074939601</v>
      </c>
      <c r="BR87" s="21">
        <f>EXP(-LN(2)/2)*BR86+(1-EXP(-LN(2)/2))/(LN(2)/2)*BL87*BO87*VLOOKUP('Données projet'!$B$11,Paramètres!$A$1:$I$89,3,0)*0.475*44/12</f>
        <v>6.5909599762630348E-6</v>
      </c>
      <c r="BS87" s="22">
        <f t="shared" si="63"/>
        <v>19.628421291489865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1.1368683772161603E-12</v>
      </c>
      <c r="O88" s="13">
        <f>N88*VLOOKUP('Données projet'!$B$9,Paramètres!$A$1:$I$89,3,0)*VLOOKUP('Données projet'!$B$9,Paramètres!$A$1:$I$89,5,0)</f>
        <v>6.3550942286383359E-13</v>
      </c>
      <c r="P88" s="13">
        <f t="shared" si="87"/>
        <v>7.6982260417614606E-12</v>
      </c>
      <c r="Q88" s="20">
        <f t="shared" si="54"/>
        <v>1.4514589267555721E-11</v>
      </c>
      <c r="R88" s="59">
        <f t="shared" si="55"/>
        <v>293.33333333334781</v>
      </c>
      <c r="S88" s="59">
        <f ca="1">AVERAGE(OFFSET($R$3,0,0,'Données projet'!$E$9+1,1))-AVERAGE(OFFSET($H$3,0,0,'Données projet'!$E$9+1,1))</f>
        <v>490.7691633858222</v>
      </c>
      <c r="T88" s="59">
        <f t="shared" si="88"/>
        <v>490.82176582457072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4.226748763449919</v>
      </c>
      <c r="AA88" s="21">
        <f>EXP(-LN(2)/25)*AA87+(1-EXP(-LN(2)/25))/(LN(2)/25)*Calculateur!V88*Calculateur!X88*VLOOKUP('Données projet'!$B$9,Paramètres!$A$1:$I$89,3,0)*0.475*44/12</f>
        <v>9.6341872449225487</v>
      </c>
      <c r="AB88" s="21">
        <f>EXP(-LN(2)/2)*AB87+(1-EXP(-LN(2)/2))/(LN(2)/2)*V88*Y88*VLOOKUP('Données projet'!$B$9,Paramètres!$A$1:$I$89,3,0)*0.475*44/12</f>
        <v>2.1191386704335948E-7</v>
      </c>
      <c r="AC88" s="22">
        <f t="shared" si="57"/>
        <v>13.860936220286336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8.3000000000000007</v>
      </c>
      <c r="AI88" s="13">
        <f>IF('Données projet'!$A$62&gt;35,AI87+AH88-AQ87,IF(A88&lt;'Données projet'!$A$62,$AF$205^A88,IF(A88='Données projet'!$A$62,'Données projet'!$B$62,AI87+AH88-AQ87)))</f>
        <v>329.69999999999987</v>
      </c>
      <c r="AJ88" s="13">
        <f>AI88*VLOOKUP('Données projet'!$B$10,Paramètres!$A$1:$I$89,3,0)*VLOOKUP('Données projet'!$B$10,Paramètres!$A$1:$I$89,5,0)</f>
        <v>154.29959999999994</v>
      </c>
      <c r="AK88" s="13">
        <f t="shared" si="89"/>
        <v>39.55407223646921</v>
      </c>
      <c r="AL88" s="20">
        <f t="shared" si="58"/>
        <v>337.62847914518375</v>
      </c>
      <c r="AM88" s="59">
        <f t="shared" si="59"/>
        <v>630.961812478517</v>
      </c>
      <c r="AN88" s="59">
        <f ca="1">AVERAGE(OFFSET($AM$3,0,0,'Données projet'!$E$10+1,1))-AVERAGE(OFFSET($H$3,0,0,'Données projet'!$E$10+1,1))</f>
        <v>165.03539937460289</v>
      </c>
      <c r="AO88" s="59">
        <f t="shared" si="90"/>
        <v>142.05625724497401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0.29182566213369154</v>
      </c>
      <c r="AV88" s="21">
        <f>EXP(-LN(2)/25)*AV87+(1-EXP(-LN(2)/25))/(LN(2)/25)*Calculateur!AQ88*Calculateur!AS88*VLOOKUP('Données projet'!$B$10,Paramètres!$A$1:$I$89,3,0)*0.475*44/12</f>
        <v>1.0396023861394414</v>
      </c>
      <c r="AW88" s="21">
        <f>EXP(-LN(2)/2)*AW87+(1-EXP(-LN(2)/2))/(LN(2)/2)*AQ88*AT88*VLOOKUP('Données projet'!$B$10,Paramètres!$A$1:$I$89,3,0)*0.475*44/12</f>
        <v>3.220920373838995E-8</v>
      </c>
      <c r="AX88" s="21">
        <f t="shared" si="60"/>
        <v>1.3314280804823366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-7.9580786405131221E-13</v>
      </c>
      <c r="BE88" s="13">
        <f>BD88*VLOOKUP('Données projet'!$B$11,Paramètres!$A$1:$I$89,3,0)*VLOOKUP('Données projet'!$B$11,Paramètres!$A$1:$I$89,5,0)</f>
        <v>-3.8278358260868117E-13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402.22278907877927</v>
      </c>
      <c r="BJ88" s="59">
        <f t="shared" si="92"/>
        <v>393.06397734082458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9.3520397786462848</v>
      </c>
      <c r="BQ88" s="21">
        <f>EXP(-LN(2)/25)*BQ87+(1-EXP(-LN(2)/25))/(LN(2)/25)*Calculateur!BL88*Calculateur!BN88*VLOOKUP('Données projet'!$B$11,Paramètres!$A$1:$I$89,3,0)*0.475*44/12</f>
        <v>9.8134261142611461</v>
      </c>
      <c r="BR88" s="21">
        <f>EXP(-LN(2)/2)*BR87+(1-EXP(-LN(2)/2))/(LN(2)/2)*BL88*BO88*VLOOKUP('Données projet'!$B$11,Paramètres!$A$1:$I$89,3,0)*0.475*44/12</f>
        <v>4.6605124937447181E-6</v>
      </c>
      <c r="BS88" s="22">
        <f t="shared" si="63"/>
        <v>19.165470553419926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1.1368683772161603E-12</v>
      </c>
      <c r="O89" s="13">
        <f>N89*VLOOKUP('Données projet'!$B$9,Paramètres!$A$1:$I$89,3,0)*VLOOKUP('Données projet'!$B$9,Paramètres!$A$1:$I$89,5,0)</f>
        <v>6.3550942286383359E-13</v>
      </c>
      <c r="P89" s="13">
        <f t="shared" si="87"/>
        <v>7.6982260417614606E-12</v>
      </c>
      <c r="Q89" s="20">
        <f t="shared" si="54"/>
        <v>1.4514589267555721E-11</v>
      </c>
      <c r="R89" s="59">
        <f t="shared" si="55"/>
        <v>293.33333333334781</v>
      </c>
      <c r="S89" s="59">
        <f ca="1">AVERAGE(OFFSET($R$3,0,0,'Données projet'!$E$9+1,1))-AVERAGE(OFFSET($H$3,0,0,'Données projet'!$E$9+1,1))</f>
        <v>490.7691633858222</v>
      </c>
      <c r="T89" s="59">
        <f t="shared" si="88"/>
        <v>490.82176582457072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4.1438647982608492</v>
      </c>
      <c r="AA89" s="21">
        <f>EXP(-LN(2)/25)*AA88+(1-EXP(-LN(2)/25))/(LN(2)/25)*Calculateur!V89*Calculateur!X89*VLOOKUP('Données projet'!$B$9,Paramètres!$A$1:$I$89,3,0)*0.475*44/12</f>
        <v>9.3707398880702542</v>
      </c>
      <c r="AB89" s="21">
        <f>EXP(-LN(2)/2)*AB88+(1-EXP(-LN(2)/2))/(LN(2)/2)*V89*Y89*VLOOKUP('Données projet'!$B$9,Paramètres!$A$1:$I$89,3,0)*0.475*44/12</f>
        <v>1.4984573241382391E-7</v>
      </c>
      <c r="AC89" s="22">
        <f t="shared" si="57"/>
        <v>13.514604836176836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8.3000000000000007</v>
      </c>
      <c r="AI89" s="13">
        <f>IF('Données projet'!$A$62&gt;35,AI88+AH89-AQ88,IF(A89&lt;'Données projet'!$A$62,$AF$205^A89,IF(A89='Données projet'!$A$62,'Données projet'!$B$62,AI88+AH89-AQ88)))</f>
        <v>337.99999999999989</v>
      </c>
      <c r="AJ89" s="13">
        <f>AI89*VLOOKUP('Données projet'!$B$10,Paramètres!$A$1:$I$89,3,0)*VLOOKUP('Données projet'!$B$10,Paramètres!$A$1:$I$89,5,0)</f>
        <v>158.18399999999994</v>
      </c>
      <c r="AK89" s="13">
        <f t="shared" si="89"/>
        <v>40.432639815875881</v>
      </c>
      <c r="AL89" s="20">
        <f t="shared" si="58"/>
        <v>345.92398101265036</v>
      </c>
      <c r="AM89" s="59">
        <f t="shared" si="59"/>
        <v>639.25731434598367</v>
      </c>
      <c r="AN89" s="59">
        <f ca="1">AVERAGE(OFFSET($AM$3,0,0,'Données projet'!$E$10+1,1))-AVERAGE(OFFSET($H$3,0,0,'Données projet'!$E$10+1,1))</f>
        <v>165.03539937460289</v>
      </c>
      <c r="AO89" s="59">
        <f t="shared" si="90"/>
        <v>142.05625724497401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0.28610313889532812</v>
      </c>
      <c r="AV89" s="21">
        <f>EXP(-LN(2)/25)*AV88+(1-EXP(-LN(2)/25))/(LN(2)/25)*Calculateur!AQ89*Calculateur!AS89*VLOOKUP('Données projet'!$B$10,Paramètres!$A$1:$I$89,3,0)*0.475*44/12</f>
        <v>1.0111744042201449</v>
      </c>
      <c r="AW89" s="21">
        <f>EXP(-LN(2)/2)*AW88+(1-EXP(-LN(2)/2))/(LN(2)/2)*AQ89*AT89*VLOOKUP('Données projet'!$B$10,Paramètres!$A$1:$I$89,3,0)*0.475*44/12</f>
        <v>2.2775346380034631E-8</v>
      </c>
      <c r="AX89" s="21">
        <f t="shared" si="60"/>
        <v>1.2972775658908193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-7.9580786405131221E-13</v>
      </c>
      <c r="BE89" s="13">
        <f>BD89*VLOOKUP('Données projet'!$B$11,Paramètres!$A$1:$I$89,3,0)*VLOOKUP('Données projet'!$B$11,Paramètres!$A$1:$I$89,5,0)</f>
        <v>-3.8278358260868117E-13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402.22278907877927</v>
      </c>
      <c r="BJ89" s="59">
        <f t="shared" si="92"/>
        <v>393.06397734082458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9.1686519827680542</v>
      </c>
      <c r="BQ89" s="21">
        <f>EXP(-LN(2)/25)*BQ88+(1-EXP(-LN(2)/25))/(LN(2)/25)*Calculateur!BL89*Calculateur!BN89*VLOOKUP('Données projet'!$B$11,Paramètres!$A$1:$I$89,3,0)*0.475*44/12</f>
        <v>9.545077461101025</v>
      </c>
      <c r="BR89" s="21">
        <f>EXP(-LN(2)/2)*BR88+(1-EXP(-LN(2)/2))/(LN(2)/2)*BL89*BO89*VLOOKUP('Données projet'!$B$11,Paramètres!$A$1:$I$89,3,0)*0.475*44/12</f>
        <v>3.2954799881315174E-6</v>
      </c>
      <c r="BS89" s="22">
        <f t="shared" si="63"/>
        <v>18.713732739349066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1.1368683772161603E-12</v>
      </c>
      <c r="O90" s="13">
        <f>N90*VLOOKUP('Données projet'!$B$9,Paramètres!$A$1:$I$89,3,0)*VLOOKUP('Données projet'!$B$9,Paramètres!$A$1:$I$89,5,0)</f>
        <v>6.3550942286383359E-13</v>
      </c>
      <c r="P90" s="13">
        <f t="shared" si="87"/>
        <v>7.6982260417614606E-12</v>
      </c>
      <c r="Q90" s="20">
        <f t="shared" si="54"/>
        <v>1.4514589267555721E-11</v>
      </c>
      <c r="R90" s="59">
        <f t="shared" si="55"/>
        <v>293.33333333334781</v>
      </c>
      <c r="S90" s="59">
        <f ca="1">AVERAGE(OFFSET($R$3,0,0,'Données projet'!$E$9+1,1))-AVERAGE(OFFSET($H$3,0,0,'Données projet'!$E$9+1,1))</f>
        <v>490.7691633858222</v>
      </c>
      <c r="T90" s="59">
        <f t="shared" si="88"/>
        <v>490.82176582457072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4.0626061370749103</v>
      </c>
      <c r="AA90" s="21">
        <f>EXP(-LN(2)/25)*AA89+(1-EXP(-LN(2)/25))/(LN(2)/25)*Calculateur!V90*Calculateur!X90*VLOOKUP('Données projet'!$B$9,Paramètres!$A$1:$I$89,3,0)*0.475*44/12</f>
        <v>9.1144965130451787</v>
      </c>
      <c r="AB90" s="21">
        <f>EXP(-LN(2)/2)*AB89+(1-EXP(-LN(2)/2))/(LN(2)/2)*V90*Y90*VLOOKUP('Données projet'!$B$9,Paramètres!$A$1:$I$89,3,0)*0.475*44/12</f>
        <v>1.0595693352167974E-7</v>
      </c>
      <c r="AC90" s="22">
        <f t="shared" si="57"/>
        <v>13.177102756077023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8.3000000000000007</v>
      </c>
      <c r="AI90" s="13">
        <f>IF('Données projet'!$A$62&gt;35,AI89+AH90-AQ89,IF(A90&lt;'Données projet'!$A$62,$AF$205^A90,IF(A90='Données projet'!$A$62,'Données projet'!$B$62,AI89+AH90-AQ89)))</f>
        <v>346.2999999999999</v>
      </c>
      <c r="AJ90" s="13">
        <f>AI90*VLOOKUP('Données projet'!$B$10,Paramètres!$A$1:$I$89,3,0)*VLOOKUP('Données projet'!$B$10,Paramètres!$A$1:$I$89,5,0)</f>
        <v>162.06839999999997</v>
      </c>
      <c r="AK90" s="13">
        <f t="shared" si="89"/>
        <v>41.308699466829864</v>
      </c>
      <c r="AL90" s="20">
        <f t="shared" si="58"/>
        <v>354.21511490472858</v>
      </c>
      <c r="AM90" s="59">
        <f t="shared" si="59"/>
        <v>647.54844823806184</v>
      </c>
      <c r="AN90" s="59">
        <f ca="1">AVERAGE(OFFSET($AM$3,0,0,'Données projet'!$E$10+1,1))-AVERAGE(OFFSET($H$3,0,0,'Données projet'!$E$10+1,1))</f>
        <v>165.03539937460289</v>
      </c>
      <c r="AO90" s="59">
        <f t="shared" si="90"/>
        <v>142.05625724497401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0.28049283084727444</v>
      </c>
      <c r="AV90" s="21">
        <f>EXP(-LN(2)/25)*AV89+(1-EXP(-LN(2)/25))/(LN(2)/25)*Calculateur!AQ90*Calculateur!AS90*VLOOKUP('Données projet'!$B$10,Paramètres!$A$1:$I$89,3,0)*0.475*44/12</f>
        <v>0.9835237869613942</v>
      </c>
      <c r="AW90" s="21">
        <f>EXP(-LN(2)/2)*AW89+(1-EXP(-LN(2)/2))/(LN(2)/2)*AQ90*AT90*VLOOKUP('Données projet'!$B$10,Paramètres!$A$1:$I$89,3,0)*0.475*44/12</f>
        <v>1.6104601869194975E-8</v>
      </c>
      <c r="AX90" s="21">
        <f t="shared" si="60"/>
        <v>1.2640166339132706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-7.9580786405131221E-13</v>
      </c>
      <c r="BE90" s="13">
        <f>BD90*VLOOKUP('Données projet'!$B$11,Paramètres!$A$1:$I$89,3,0)*VLOOKUP('Données projet'!$B$11,Paramètres!$A$1:$I$89,5,0)</f>
        <v>-3.8278358260868117E-13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402.22278907877927</v>
      </c>
      <c r="BJ90" s="59">
        <f t="shared" si="92"/>
        <v>393.06397734082458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8.9888603097114856</v>
      </c>
      <c r="BQ90" s="21">
        <f>EXP(-LN(2)/25)*BQ89+(1-EXP(-LN(2)/25))/(LN(2)/25)*Calculateur!BL90*Calculateur!BN90*VLOOKUP('Données projet'!$B$11,Paramètres!$A$1:$I$89,3,0)*0.475*44/12</f>
        <v>9.284066815973409</v>
      </c>
      <c r="BR90" s="21">
        <f>EXP(-LN(2)/2)*BR89+(1-EXP(-LN(2)/2))/(LN(2)/2)*BL90*BO90*VLOOKUP('Données projet'!$B$11,Paramètres!$A$1:$I$89,3,0)*0.475*44/12</f>
        <v>2.3302562468723591E-6</v>
      </c>
      <c r="BS90" s="22">
        <f t="shared" si="63"/>
        <v>18.272929455941142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1.1368683772161603E-12</v>
      </c>
      <c r="O91" s="13">
        <f>N91*VLOOKUP('Données projet'!$B$9,Paramètres!$A$1:$I$89,3,0)*VLOOKUP('Données projet'!$B$9,Paramètres!$A$1:$I$89,5,0)</f>
        <v>6.3550942286383359E-13</v>
      </c>
      <c r="P91" s="13">
        <f t="shared" si="87"/>
        <v>7.6982260417614606E-12</v>
      </c>
      <c r="Q91" s="20">
        <f t="shared" si="54"/>
        <v>1.4514589267555721E-11</v>
      </c>
      <c r="R91" s="59">
        <f t="shared" si="55"/>
        <v>293.33333333334781</v>
      </c>
      <c r="S91" s="59">
        <f ca="1">AVERAGE(OFFSET($R$3,0,0,'Données projet'!$E$9+1,1))-AVERAGE(OFFSET($H$3,0,0,'Données projet'!$E$9+1,1))</f>
        <v>490.7691633858222</v>
      </c>
      <c r="T91" s="59">
        <f t="shared" si="88"/>
        <v>490.82176582457072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3.9829409086719383</v>
      </c>
      <c r="AA91" s="21">
        <f>EXP(-LN(2)/25)*AA90+(1-EXP(-LN(2)/25))/(LN(2)/25)*Calculateur!V91*Calculateur!X91*VLOOKUP('Données projet'!$B$9,Paramètres!$A$1:$I$89,3,0)*0.475*44/12</f>
        <v>8.8652601265854187</v>
      </c>
      <c r="AB91" s="21">
        <f>EXP(-LN(2)/2)*AB90+(1-EXP(-LN(2)/2))/(LN(2)/2)*V91*Y91*VLOOKUP('Données projet'!$B$9,Paramètres!$A$1:$I$89,3,0)*0.475*44/12</f>
        <v>7.4922866206911957E-8</v>
      </c>
      <c r="AC91" s="22">
        <f t="shared" si="57"/>
        <v>12.848201110180224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8.3000000000000007</v>
      </c>
      <c r="AI91" s="13">
        <f>IF('Données projet'!$A$62&gt;35,AI90+AH91-AQ90,IF(A91&lt;'Données projet'!$A$62,$AF$205^A91,IF(A91='Données projet'!$A$62,'Données projet'!$B$62,AI90+AH91-AQ90)))</f>
        <v>354.59999999999991</v>
      </c>
      <c r="AJ91" s="13">
        <f>AI91*VLOOKUP('Données projet'!$B$10,Paramètres!$A$1:$I$89,3,0)*VLOOKUP('Données projet'!$B$10,Paramètres!$A$1:$I$89,5,0)</f>
        <v>165.95279999999997</v>
      </c>
      <c r="AK91" s="13">
        <f t="shared" si="89"/>
        <v>42.182318214665827</v>
      </c>
      <c r="AL91" s="20">
        <f t="shared" si="58"/>
        <v>362.50199755720956</v>
      </c>
      <c r="AM91" s="59">
        <f t="shared" si="59"/>
        <v>655.83533089054288</v>
      </c>
      <c r="AN91" s="59">
        <f ca="1">AVERAGE(OFFSET($AM$3,0,0,'Données projet'!$E$10+1,1))-AVERAGE(OFFSET($H$3,0,0,'Données projet'!$E$10+1,1))</f>
        <v>165.03539937460289</v>
      </c>
      <c r="AO91" s="59">
        <f t="shared" si="90"/>
        <v>142.05625724497401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0.27499253751809311</v>
      </c>
      <c r="AV91" s="21">
        <f>EXP(-LN(2)/25)*AV90+(1-EXP(-LN(2)/25))/(LN(2)/25)*Calculateur!AQ91*Calculateur!AS91*VLOOKUP('Données projet'!$B$10,Paramètres!$A$1:$I$89,3,0)*0.475*44/12</f>
        <v>0.95662927728566682</v>
      </c>
      <c r="AW91" s="21">
        <f>EXP(-LN(2)/2)*AW90+(1-EXP(-LN(2)/2))/(LN(2)/2)*AQ91*AT91*VLOOKUP('Données projet'!$B$10,Paramètres!$A$1:$I$89,3,0)*0.475*44/12</f>
        <v>1.1387673190017316E-8</v>
      </c>
      <c r="AX91" s="21">
        <f t="shared" si="60"/>
        <v>1.2316218261914331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-7.9580786405131221E-13</v>
      </c>
      <c r="BE91" s="13">
        <f>BD91*VLOOKUP('Données projet'!$B$11,Paramètres!$A$1:$I$89,3,0)*VLOOKUP('Données projet'!$B$11,Paramètres!$A$1:$I$89,5,0)</f>
        <v>-3.8278358260868117E-13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402.22278907877927</v>
      </c>
      <c r="BJ91" s="59">
        <f t="shared" si="92"/>
        <v>393.06397734082458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8.8125942417014649</v>
      </c>
      <c r="BQ91" s="21">
        <f>EXP(-LN(2)/25)*BQ90+(1-EXP(-LN(2)/25))/(LN(2)/25)*Calculateur!BL91*Calculateur!BN91*VLOOKUP('Données projet'!$B$11,Paramètres!$A$1:$I$89,3,0)*0.475*44/12</f>
        <v>9.0301935206627615</v>
      </c>
      <c r="BR91" s="21">
        <f>EXP(-LN(2)/2)*BR90+(1-EXP(-LN(2)/2))/(LN(2)/2)*BL91*BO91*VLOOKUP('Données projet'!$B$11,Paramètres!$A$1:$I$89,3,0)*0.475*44/12</f>
        <v>1.6477399940657587E-6</v>
      </c>
      <c r="BS91" s="22">
        <f t="shared" si="63"/>
        <v>17.842789410104217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1.1368683772161603E-12</v>
      </c>
      <c r="O92" s="13">
        <f>N92*VLOOKUP('Données projet'!$B$9,Paramètres!$A$1:$I$89,3,0)*VLOOKUP('Données projet'!$B$9,Paramètres!$A$1:$I$89,5,0)</f>
        <v>6.3550942286383359E-13</v>
      </c>
      <c r="P92" s="13">
        <f t="shared" si="87"/>
        <v>7.6982260417614606E-12</v>
      </c>
      <c r="Q92" s="20">
        <f t="shared" si="54"/>
        <v>1.4514589267555721E-11</v>
      </c>
      <c r="R92" s="59">
        <f t="shared" si="55"/>
        <v>293.33333333334781</v>
      </c>
      <c r="S92" s="59">
        <f ca="1">AVERAGE(OFFSET($R$3,0,0,'Données projet'!$E$9+1,1))-AVERAGE(OFFSET($H$3,0,0,'Données projet'!$E$9+1,1))</f>
        <v>490.7691633858222</v>
      </c>
      <c r="T92" s="59">
        <f t="shared" si="88"/>
        <v>490.82176582457072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3.904837866806957</v>
      </c>
      <c r="AA92" s="21">
        <f>EXP(-LN(2)/25)*AA91+(1-EXP(-LN(2)/25))/(LN(2)/25)*Calculateur!V92*Calculateur!X92*VLOOKUP('Données projet'!$B$9,Paramètres!$A$1:$I$89,3,0)*0.475*44/12</f>
        <v>8.6228391222201726</v>
      </c>
      <c r="AB92" s="21">
        <f>EXP(-LN(2)/2)*AB91+(1-EXP(-LN(2)/2))/(LN(2)/2)*V92*Y92*VLOOKUP('Données projet'!$B$9,Paramètres!$A$1:$I$89,3,0)*0.475*44/12</f>
        <v>5.297846676083987E-8</v>
      </c>
      <c r="AC92" s="22">
        <f t="shared" si="57"/>
        <v>12.527677042005596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8.3000000000000007</v>
      </c>
      <c r="AI92" s="13">
        <f>IF('Données projet'!$A$62&gt;35,AI91+AH92-AQ91,IF(A92&lt;'Données projet'!$A$62,$AF$205^A92,IF(A92='Données projet'!$A$62,'Données projet'!$B$62,AI91+AH92-AQ91)))</f>
        <v>362.89999999999992</v>
      </c>
      <c r="AJ92" s="13">
        <f>AI92*VLOOKUP('Données projet'!$B$10,Paramètres!$A$1:$I$89,3,0)*VLOOKUP('Données projet'!$B$10,Paramètres!$A$1:$I$89,5,0)</f>
        <v>169.83719999999997</v>
      </c>
      <c r="AK92" s="13">
        <f t="shared" si="89"/>
        <v>43.053559768035221</v>
      </c>
      <c r="AL92" s="20">
        <f t="shared" si="58"/>
        <v>370.78473992932794</v>
      </c>
      <c r="AM92" s="59">
        <f t="shared" si="59"/>
        <v>664.11807326266126</v>
      </c>
      <c r="AN92" s="59">
        <f ca="1">AVERAGE(OFFSET($AM$3,0,0,'Données projet'!$E$10+1,1))-AVERAGE(OFFSET($H$3,0,0,'Données projet'!$E$10+1,1))</f>
        <v>165.03539937460289</v>
      </c>
      <c r="AO92" s="59">
        <f t="shared" si="90"/>
        <v>142.05625724497401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0.26960010158624931</v>
      </c>
      <c r="AV92" s="21">
        <f>EXP(-LN(2)/25)*AV91+(1-EXP(-LN(2)/25))/(LN(2)/25)*Calculateur!AQ92*Calculateur!AS92*VLOOKUP('Données projet'!$B$10,Paramètres!$A$1:$I$89,3,0)*0.475*44/12</f>
        <v>0.93047019939134301</v>
      </c>
      <c r="AW92" s="21">
        <f>EXP(-LN(2)/2)*AW91+(1-EXP(-LN(2)/2))/(LN(2)/2)*AQ92*AT92*VLOOKUP('Données projet'!$B$10,Paramètres!$A$1:$I$89,3,0)*0.475*44/12</f>
        <v>8.0523009345974874E-9</v>
      </c>
      <c r="AX92" s="21">
        <f t="shared" si="60"/>
        <v>1.2000703090298932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-7.9580786405131221E-13</v>
      </c>
      <c r="BE92" s="13">
        <f>BD92*VLOOKUP('Données projet'!$B$11,Paramètres!$A$1:$I$89,3,0)*VLOOKUP('Données projet'!$B$11,Paramètres!$A$1:$I$89,5,0)</f>
        <v>-3.8278358260868117E-13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402.22278907877927</v>
      </c>
      <c r="BJ92" s="59">
        <f t="shared" si="92"/>
        <v>393.06397734082458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8.6397846437734351</v>
      </c>
      <c r="BQ92" s="21">
        <f>EXP(-LN(2)/25)*BQ91+(1-EXP(-LN(2)/25))/(LN(2)/25)*Calculateur!BL92*Calculateur!BN92*VLOOKUP('Données projet'!$B$11,Paramètres!$A$1:$I$89,3,0)*0.475*44/12</f>
        <v>8.7832624039630005</v>
      </c>
      <c r="BR92" s="21">
        <f>EXP(-LN(2)/2)*BR91+(1-EXP(-LN(2)/2))/(LN(2)/2)*BL92*BO92*VLOOKUP('Données projet'!$B$11,Paramètres!$A$1:$I$89,3,0)*0.475*44/12</f>
        <v>1.1651281234361795E-6</v>
      </c>
      <c r="BS92" s="22">
        <f t="shared" si="63"/>
        <v>17.423048212864558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1.1368683772161603E-12</v>
      </c>
      <c r="O93" s="13">
        <f>N93*VLOOKUP('Données projet'!$B$9,Paramètres!$A$1:$I$89,3,0)*VLOOKUP('Données projet'!$B$9,Paramètres!$A$1:$I$89,5,0)</f>
        <v>6.3550942286383359E-13</v>
      </c>
      <c r="P93" s="13">
        <f t="shared" si="87"/>
        <v>7.6982260417614606E-12</v>
      </c>
      <c r="Q93" s="20">
        <f t="shared" si="54"/>
        <v>1.4514589267555721E-11</v>
      </c>
      <c r="R93" s="59">
        <f t="shared" si="55"/>
        <v>293.33333333334781</v>
      </c>
      <c r="S93" s="59">
        <f ca="1">AVERAGE(OFFSET($R$3,0,0,'Données projet'!$E$9+1,1))-AVERAGE(OFFSET($H$3,0,0,'Données projet'!$E$9+1,1))</f>
        <v>490.7691633858222</v>
      </c>
      <c r="T93" s="59">
        <f t="shared" si="88"/>
        <v>490.82176582457072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3.8282663779547965</v>
      </c>
      <c r="AA93" s="21">
        <f>EXP(-LN(2)/25)*AA92+(1-EXP(-LN(2)/25))/(LN(2)/25)*Calculateur!V93*Calculateur!X93*VLOOKUP('Données projet'!$B$9,Paramètres!$A$1:$I$89,3,0)*0.475*44/12</f>
        <v>8.3870471329676608</v>
      </c>
      <c r="AB93" s="21">
        <f>EXP(-LN(2)/2)*AB92+(1-EXP(-LN(2)/2))/(LN(2)/2)*V93*Y93*VLOOKUP('Données projet'!$B$9,Paramètres!$A$1:$I$89,3,0)*0.475*44/12</f>
        <v>3.7461433103455978E-8</v>
      </c>
      <c r="AC93" s="22">
        <f t="shared" si="57"/>
        <v>12.215313548383889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371.2</v>
      </c>
      <c r="AG93" s="12">
        <f>VLOOKUP(A93,'Données projet'!$A$61:$I$81,9,0)</f>
        <v>8.3000000000000007</v>
      </c>
      <c r="AH93" s="12">
        <f t="array" ref="AH93">INDEX(AG:AG,MIN(IF(ISNUMBER(AG93:AG289),ROW(AG93:AG289),"")))</f>
        <v>8.3000000000000007</v>
      </c>
      <c r="AI93" s="13">
        <f>IF('Données projet'!$A$62&gt;35,AI92+AH93-AQ92,IF(A93&lt;'Données projet'!$A$62,$AF$205^A93,IF(A93='Données projet'!$A$62,'Données projet'!$B$62,AI92+AH93-AQ92)))</f>
        <v>371.19999999999993</v>
      </c>
      <c r="AJ93" s="13">
        <f>AI93*VLOOKUP('Données projet'!$B$10,Paramètres!$A$1:$I$89,3,0)*VLOOKUP('Données projet'!$B$10,Paramètres!$A$1:$I$89,5,0)</f>
        <v>173.72159999999997</v>
      </c>
      <c r="AK93" s="13">
        <f t="shared" si="89"/>
        <v>43.922484755075111</v>
      </c>
      <c r="AL93" s="20">
        <f t="shared" si="58"/>
        <v>379.06344761508905</v>
      </c>
      <c r="AM93" s="59">
        <f t="shared" si="59"/>
        <v>672.39678094842236</v>
      </c>
      <c r="AN93" s="59">
        <f ca="1">AVERAGE(OFFSET($AM$3,0,0,'Données projet'!$E$10+1,1))-AVERAGE(OFFSET($H$3,0,0,'Données projet'!$E$10+1,1))</f>
        <v>165.03539937460289</v>
      </c>
      <c r="AO93" s="59">
        <f t="shared" si="90"/>
        <v>142.05625724497401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46.3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0.26431340803396786</v>
      </c>
      <c r="AV93" s="21">
        <f>EXP(-LN(2)/25)*AV92+(1-EXP(-LN(2)/25))/(LN(2)/25)*Calculateur!AQ93*Calculateur!AS93*VLOOKUP('Données projet'!$B$10,Paramètres!$A$1:$I$89,3,0)*0.475*44/12</f>
        <v>0.90502644285768552</v>
      </c>
      <c r="AW93" s="21">
        <f>EXP(-LN(2)/2)*AW92+(1-EXP(-LN(2)/2))/(LN(2)/2)*AQ93*AT93*VLOOKUP('Données projet'!$B$10,Paramètres!$A$1:$I$89,3,0)*0.475*44/12</f>
        <v>5.6938365950086578E-9</v>
      </c>
      <c r="AX93" s="21">
        <f t="shared" si="60"/>
        <v>1.16933985658549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-7.9580786405131221E-13</v>
      </c>
      <c r="BE93" s="13">
        <f>BD93*VLOOKUP('Données projet'!$B$11,Paramètres!$A$1:$I$89,3,0)*VLOOKUP('Données projet'!$B$11,Paramètres!$A$1:$I$89,5,0)</f>
        <v>-3.8278358260868117E-13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402.22278907877927</v>
      </c>
      <c r="BJ93" s="59">
        <f t="shared" si="92"/>
        <v>393.06397734082458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8.4703637366573261</v>
      </c>
      <c r="BQ93" s="21">
        <f>EXP(-LN(2)/25)*BQ92+(1-EXP(-LN(2)/25))/(LN(2)/25)*Calculateur!BL93*Calculateur!BN93*VLOOKUP('Données projet'!$B$11,Paramètres!$A$1:$I$89,3,0)*0.475*44/12</f>
        <v>8.5430836316349374</v>
      </c>
      <c r="BR93" s="21">
        <f>EXP(-LN(2)/2)*BR92+(1-EXP(-LN(2)/2))/(LN(2)/2)*BL93*BO93*VLOOKUP('Données projet'!$B$11,Paramètres!$A$1:$I$89,3,0)*0.475*44/12</f>
        <v>8.2386999703287935E-7</v>
      </c>
      <c r="BS93" s="22">
        <f t="shared" si="63"/>
        <v>17.013448192162258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1.1368683772161603E-12</v>
      </c>
      <c r="O94" s="13">
        <f>N94*VLOOKUP('Données projet'!$B$9,Paramètres!$A$1:$I$89,3,0)*VLOOKUP('Données projet'!$B$9,Paramètres!$A$1:$I$89,5,0)</f>
        <v>6.3550942286383359E-13</v>
      </c>
      <c r="P94" s="13">
        <f t="shared" si="87"/>
        <v>7.6982260417614606E-12</v>
      </c>
      <c r="Q94" s="20">
        <f t="shared" si="54"/>
        <v>1.4514589267555721E-11</v>
      </c>
      <c r="R94" s="59">
        <f t="shared" si="55"/>
        <v>293.33333333334781</v>
      </c>
      <c r="S94" s="59">
        <f ca="1">AVERAGE(OFFSET($R$3,0,0,'Données projet'!$E$9+1,1))-AVERAGE(OFFSET($H$3,0,0,'Données projet'!$E$9+1,1))</f>
        <v>490.7691633858222</v>
      </c>
      <c r="T94" s="59">
        <f t="shared" si="88"/>
        <v>490.82176582457072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3.7531964092950303</v>
      </c>
      <c r="AA94" s="21">
        <f>EXP(-LN(2)/25)*AA93+(1-EXP(-LN(2)/25))/(LN(2)/25)*Calculateur!V94*Calculateur!X94*VLOOKUP('Données projet'!$B$9,Paramètres!$A$1:$I$89,3,0)*0.475*44/12</f>
        <v>8.1577028880610207</v>
      </c>
      <c r="AB94" s="21">
        <f>EXP(-LN(2)/2)*AB93+(1-EXP(-LN(2)/2))/(LN(2)/2)*V94*Y94*VLOOKUP('Données projet'!$B$9,Paramètres!$A$1:$I$89,3,0)*0.475*44/12</f>
        <v>2.6489233380419935E-8</v>
      </c>
      <c r="AC94" s="22">
        <f t="shared" si="57"/>
        <v>11.910899323845285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8.3000000000000007</v>
      </c>
      <c r="AI94" s="13">
        <f>IF('Données projet'!$A$62&gt;35,AI93+AH94-AQ93,IF(A94&lt;'Données projet'!$A$62,$AF$205^A94,IF(A94='Données projet'!$A$62,'Données projet'!$B$62,AI93+AH94-AQ93)))</f>
        <v>333.19999999999993</v>
      </c>
      <c r="AJ94" s="13">
        <f>AI94*VLOOKUP('Données projet'!$B$10,Paramètres!$A$1:$I$89,3,0)*VLOOKUP('Données projet'!$B$10,Paramètres!$A$1:$I$89,5,0)</f>
        <v>155.93759999999997</v>
      </c>
      <c r="AK94" s="13">
        <f t="shared" si="89"/>
        <v>39.924862785906342</v>
      </c>
      <c r="AL94" s="20">
        <f t="shared" si="58"/>
        <v>341.12712268545346</v>
      </c>
      <c r="AM94" s="59">
        <f t="shared" si="59"/>
        <v>634.46045601878677</v>
      </c>
      <c r="AN94" s="59">
        <f ca="1">AVERAGE(OFFSET($AM$3,0,0,'Données projet'!$E$10+1,1))-AVERAGE(OFFSET($H$3,0,0,'Données projet'!$E$10+1,1))</f>
        <v>165.03539937460289</v>
      </c>
      <c r="AO94" s="59">
        <f t="shared" si="90"/>
        <v>142.05625724497401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0.25913038331768196</v>
      </c>
      <c r="AV94" s="21">
        <f>EXP(-LN(2)/25)*AV93+(1-EXP(-LN(2)/25))/(LN(2)/25)*Calculateur!AQ94*Calculateur!AS94*VLOOKUP('Données projet'!$B$10,Paramètres!$A$1:$I$89,3,0)*0.475*44/12</f>
        <v>0.8802784471844699</v>
      </c>
      <c r="AW94" s="21">
        <f>EXP(-LN(2)/2)*AW93+(1-EXP(-LN(2)/2))/(LN(2)/2)*AQ94*AT94*VLOOKUP('Données projet'!$B$10,Paramètres!$A$1:$I$89,3,0)*0.475*44/12</f>
        <v>4.0261504672987437E-9</v>
      </c>
      <c r="AX94" s="21">
        <f t="shared" si="60"/>
        <v>1.1394088345283024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-7.9580786405131221E-13</v>
      </c>
      <c r="BE94" s="13">
        <f>BD94*VLOOKUP('Données projet'!$B$11,Paramètres!$A$1:$I$89,3,0)*VLOOKUP('Données projet'!$B$11,Paramètres!$A$1:$I$89,5,0)</f>
        <v>-3.8278358260868117E-13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402.22278907877927</v>
      </c>
      <c r="BJ94" s="59">
        <f t="shared" si="92"/>
        <v>393.06397734082458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8.3042650701932139</v>
      </c>
      <c r="BQ94" s="21">
        <f>EXP(-LN(2)/25)*BQ93+(1-EXP(-LN(2)/25))/(LN(2)/25)*Calculateur!BL94*Calculateur!BN94*VLOOKUP('Données projet'!$B$11,Paramètres!$A$1:$I$89,3,0)*0.475*44/12</f>
        <v>8.309472560466638</v>
      </c>
      <c r="BR94" s="21">
        <f>EXP(-LN(2)/2)*BR93+(1-EXP(-LN(2)/2))/(LN(2)/2)*BL94*BO94*VLOOKUP('Données projet'!$B$11,Paramètres!$A$1:$I$89,3,0)*0.475*44/12</f>
        <v>5.8256406171808977E-7</v>
      </c>
      <c r="BS94" s="22">
        <f t="shared" si="63"/>
        <v>16.613738213223915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1.1368683772161603E-12</v>
      </c>
      <c r="O95" s="13">
        <f>N95*VLOOKUP('Données projet'!$B$9,Paramètres!$A$1:$I$89,3,0)*VLOOKUP('Données projet'!$B$9,Paramètres!$A$1:$I$89,5,0)</f>
        <v>6.3550942286383359E-13</v>
      </c>
      <c r="P95" s="13">
        <f t="shared" si="87"/>
        <v>7.6982260417614606E-12</v>
      </c>
      <c r="Q95" s="20">
        <f t="shared" si="54"/>
        <v>1.4514589267555721E-11</v>
      </c>
      <c r="R95" s="59">
        <f t="shared" si="55"/>
        <v>293.33333333334781</v>
      </c>
      <c r="S95" s="59">
        <f ca="1">AVERAGE(OFFSET($R$3,0,0,'Données projet'!$E$9+1,1))-AVERAGE(OFFSET($H$3,0,0,'Données projet'!$E$9+1,1))</f>
        <v>490.7691633858222</v>
      </c>
      <c r="T95" s="59">
        <f t="shared" si="88"/>
        <v>490.82176582457072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3.6795985169325225</v>
      </c>
      <c r="AA95" s="21">
        <f>EXP(-LN(2)/25)*AA94+(1-EXP(-LN(2)/25))/(LN(2)/25)*Calculateur!V95*Calculateur!X95*VLOOKUP('Données projet'!$B$9,Paramètres!$A$1:$I$89,3,0)*0.475*44/12</f>
        <v>7.9346300735920421</v>
      </c>
      <c r="AB95" s="21">
        <f>EXP(-LN(2)/2)*AB94+(1-EXP(-LN(2)/2))/(LN(2)/2)*V95*Y95*VLOOKUP('Données projet'!$B$9,Paramètres!$A$1:$I$89,3,0)*0.475*44/12</f>
        <v>1.8730716551727989E-8</v>
      </c>
      <c r="AC95" s="22">
        <f t="shared" si="57"/>
        <v>11.614228609255282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8.3000000000000007</v>
      </c>
      <c r="AI95" s="13">
        <f>IF('Données projet'!$A$62&gt;35,AI94+AH95-AQ94,IF(A95&lt;'Données projet'!$A$62,$AF$205^A95,IF(A95='Données projet'!$A$62,'Données projet'!$B$62,AI94+AH95-AQ94)))</f>
        <v>341.49999999999994</v>
      </c>
      <c r="AJ95" s="13">
        <f>AI95*VLOOKUP('Données projet'!$B$10,Paramètres!$A$1:$I$89,3,0)*VLOOKUP('Données projet'!$B$10,Paramètres!$A$1:$I$89,5,0)</f>
        <v>159.82199999999997</v>
      </c>
      <c r="AK95" s="13">
        <f t="shared" si="89"/>
        <v>40.8023644092533</v>
      </c>
      <c r="AL95" s="20">
        <f t="shared" si="58"/>
        <v>349.42076801278273</v>
      </c>
      <c r="AM95" s="59">
        <f t="shared" si="59"/>
        <v>642.75410134611604</v>
      </c>
      <c r="AN95" s="59">
        <f ca="1">AVERAGE(OFFSET($AM$3,0,0,'Données projet'!$E$10+1,1))-AVERAGE(OFFSET($H$3,0,0,'Données projet'!$E$10+1,1))</f>
        <v>165.03539937460289</v>
      </c>
      <c r="AO95" s="59">
        <f t="shared" si="90"/>
        <v>142.05625724497401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0.2540489945547495</v>
      </c>
      <c r="AV95" s="21">
        <f>EXP(-LN(2)/25)*AV94+(1-EXP(-LN(2)/25))/(LN(2)/25)*Calculateur!AQ95*Calculateur!AS95*VLOOKUP('Données projet'!$B$10,Paramètres!$A$1:$I$89,3,0)*0.475*44/12</f>
        <v>0.8562071867543789</v>
      </c>
      <c r="AW95" s="21">
        <f>EXP(-LN(2)/2)*AW94+(1-EXP(-LN(2)/2))/(LN(2)/2)*AQ95*AT95*VLOOKUP('Données projet'!$B$10,Paramètres!$A$1:$I$89,3,0)*0.475*44/12</f>
        <v>2.8469182975043289E-9</v>
      </c>
      <c r="AX95" s="21">
        <f t="shared" si="60"/>
        <v>1.1102561841560465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-7.9580786405131221E-13</v>
      </c>
      <c r="BE95" s="13">
        <f>BD95*VLOOKUP('Données projet'!$B$11,Paramètres!$A$1:$I$89,3,0)*VLOOKUP('Données projet'!$B$11,Paramètres!$A$1:$I$89,5,0)</f>
        <v>-3.8278358260868117E-13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402.22278907877927</v>
      </c>
      <c r="BJ95" s="59">
        <f t="shared" si="92"/>
        <v>393.06397734082458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8.1414234972682813</v>
      </c>
      <c r="BQ95" s="21">
        <f>EXP(-LN(2)/25)*BQ94+(1-EXP(-LN(2)/25))/(LN(2)/25)*Calculateur!BL95*Calculateur!BN95*VLOOKUP('Données projet'!$B$11,Paramètres!$A$1:$I$89,3,0)*0.475*44/12</f>
        <v>8.0822495963245071</v>
      </c>
      <c r="BR95" s="21">
        <f>EXP(-LN(2)/2)*BR94+(1-EXP(-LN(2)/2))/(LN(2)/2)*BL95*BO95*VLOOKUP('Données projet'!$B$11,Paramètres!$A$1:$I$89,3,0)*0.475*44/12</f>
        <v>4.1193499851643968E-7</v>
      </c>
      <c r="BS95" s="22">
        <f t="shared" si="63"/>
        <v>16.223673505527785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1.1368683772161603E-12</v>
      </c>
      <c r="O96" s="13">
        <f>N96*VLOOKUP('Données projet'!$B$9,Paramètres!$A$1:$I$89,3,0)*VLOOKUP('Données projet'!$B$9,Paramètres!$A$1:$I$89,5,0)</f>
        <v>6.3550942286383359E-13</v>
      </c>
      <c r="P96" s="13">
        <f t="shared" si="87"/>
        <v>7.6982260417614606E-12</v>
      </c>
      <c r="Q96" s="20">
        <f t="shared" si="54"/>
        <v>1.4514589267555721E-11</v>
      </c>
      <c r="R96" s="59">
        <f t="shared" si="55"/>
        <v>293.33333333334781</v>
      </c>
      <c r="S96" s="59">
        <f ca="1">AVERAGE(OFFSET($R$3,0,0,'Données projet'!$E$9+1,1))-AVERAGE(OFFSET($H$3,0,0,'Données projet'!$E$9+1,1))</f>
        <v>490.7691633858222</v>
      </c>
      <c r="T96" s="59">
        <f t="shared" si="88"/>
        <v>490.82176582457072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3.6074438343489614</v>
      </c>
      <c r="AA96" s="21">
        <f>EXP(-LN(2)/25)*AA95+(1-EXP(-LN(2)/25))/(LN(2)/25)*Calculateur!V96*Calculateur!X96*VLOOKUP('Données projet'!$B$9,Paramètres!$A$1:$I$89,3,0)*0.475*44/12</f>
        <v>7.7176571969656074</v>
      </c>
      <c r="AB96" s="21">
        <f>EXP(-LN(2)/2)*AB95+(1-EXP(-LN(2)/2))/(LN(2)/2)*V96*Y96*VLOOKUP('Données projet'!$B$9,Paramètres!$A$1:$I$89,3,0)*0.475*44/12</f>
        <v>1.3244616690209967E-8</v>
      </c>
      <c r="AC96" s="22">
        <f t="shared" si="57"/>
        <v>11.325101044559185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8.3000000000000007</v>
      </c>
      <c r="AI96" s="13">
        <f>IF('Données projet'!$A$62&gt;35,AI95+AH96-AQ95,IF(A96&lt;'Données projet'!$A$62,$AF$205^A96,IF(A96='Données projet'!$A$62,'Données projet'!$B$62,AI95+AH96-AQ95)))</f>
        <v>349.79999999999995</v>
      </c>
      <c r="AJ96" s="13">
        <f>AI96*VLOOKUP('Données projet'!$B$10,Paramètres!$A$1:$I$89,3,0)*VLOOKUP('Données projet'!$B$10,Paramètres!$A$1:$I$89,5,0)</f>
        <v>163.70639999999997</v>
      </c>
      <c r="AK96" s="13">
        <f t="shared" si="89"/>
        <v>41.677386788386073</v>
      </c>
      <c r="AL96" s="20">
        <f t="shared" si="58"/>
        <v>357.71009532310563</v>
      </c>
      <c r="AM96" s="59">
        <f t="shared" si="59"/>
        <v>651.04342865643889</v>
      </c>
      <c r="AN96" s="59">
        <f ca="1">AVERAGE(OFFSET($AM$3,0,0,'Données projet'!$E$10+1,1))-AVERAGE(OFFSET($H$3,0,0,'Données projet'!$E$10+1,1))</f>
        <v>165.03539937460289</v>
      </c>
      <c r="AO96" s="59">
        <f t="shared" si="90"/>
        <v>142.05625724497401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0.24906724872611705</v>
      </c>
      <c r="AV96" s="21">
        <f>EXP(-LN(2)/25)*AV95+(1-EXP(-LN(2)/25))/(LN(2)/25)*Calculateur!AQ96*Calculateur!AS96*VLOOKUP('Données projet'!$B$10,Paramètres!$A$1:$I$89,3,0)*0.475*44/12</f>
        <v>0.83279415620660135</v>
      </c>
      <c r="AW96" s="21">
        <f>EXP(-LN(2)/2)*AW95+(1-EXP(-LN(2)/2))/(LN(2)/2)*AQ96*AT96*VLOOKUP('Données projet'!$B$10,Paramètres!$A$1:$I$89,3,0)*0.475*44/12</f>
        <v>2.0130752336493719E-9</v>
      </c>
      <c r="AX96" s="21">
        <f t="shared" si="60"/>
        <v>1.0818614069457937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-7.9580786405131221E-13</v>
      </c>
      <c r="BE96" s="13">
        <f>BD96*VLOOKUP('Données projet'!$B$11,Paramètres!$A$1:$I$89,3,0)*VLOOKUP('Données projet'!$B$11,Paramètres!$A$1:$I$89,5,0)</f>
        <v>-3.8278358260868117E-13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402.22278907877927</v>
      </c>
      <c r="BJ96" s="59">
        <f t="shared" si="92"/>
        <v>393.06397734082458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7.9817751482648536</v>
      </c>
      <c r="BQ96" s="21">
        <f>EXP(-LN(2)/25)*BQ95+(1-EXP(-LN(2)/25))/(LN(2)/25)*Calculateur!BL96*Calculateur!BN96*VLOOKUP('Données projet'!$B$11,Paramètres!$A$1:$I$89,3,0)*0.475*44/12</f>
        <v>7.8612400560859799</v>
      </c>
      <c r="BR96" s="21">
        <f>EXP(-LN(2)/2)*BR95+(1-EXP(-LN(2)/2))/(LN(2)/2)*BL96*BO96*VLOOKUP('Données projet'!$B$11,Paramètres!$A$1:$I$89,3,0)*0.475*44/12</f>
        <v>2.9128203085904488E-7</v>
      </c>
      <c r="BS96" s="22">
        <f t="shared" si="63"/>
        <v>15.843015495632866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1.1368683772161603E-12</v>
      </c>
      <c r="O97" s="13">
        <f>N97*VLOOKUP('Données projet'!$B$9,Paramètres!$A$1:$I$89,3,0)*VLOOKUP('Données projet'!$B$9,Paramètres!$A$1:$I$89,5,0)</f>
        <v>6.3550942286383359E-13</v>
      </c>
      <c r="P97" s="13">
        <f t="shared" si="87"/>
        <v>7.6982260417614606E-12</v>
      </c>
      <c r="Q97" s="20">
        <f t="shared" si="54"/>
        <v>1.4514589267555721E-11</v>
      </c>
      <c r="R97" s="59">
        <f t="shared" si="55"/>
        <v>293.33333333334781</v>
      </c>
      <c r="S97" s="59">
        <f ca="1">AVERAGE(OFFSET($R$3,0,0,'Données projet'!$E$9+1,1))-AVERAGE(OFFSET($H$3,0,0,'Données projet'!$E$9+1,1))</f>
        <v>490.7691633858222</v>
      </c>
      <c r="T97" s="59">
        <f t="shared" si="88"/>
        <v>490.82176582457072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3.5367040610808536</v>
      </c>
      <c r="AA97" s="21">
        <f>EXP(-LN(2)/25)*AA96+(1-EXP(-LN(2)/25))/(LN(2)/25)*Calculateur!V97*Calculateur!X97*VLOOKUP('Données projet'!$B$9,Paramètres!$A$1:$I$89,3,0)*0.475*44/12</f>
        <v>7.5066174550606295</v>
      </c>
      <c r="AB97" s="21">
        <f>EXP(-LN(2)/2)*AB96+(1-EXP(-LN(2)/2))/(LN(2)/2)*V97*Y97*VLOOKUP('Données projet'!$B$9,Paramètres!$A$1:$I$89,3,0)*0.475*44/12</f>
        <v>9.3653582758639946E-9</v>
      </c>
      <c r="AC97" s="22">
        <f t="shared" si="57"/>
        <v>11.04332152550684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8.3000000000000007</v>
      </c>
      <c r="AI97" s="13">
        <f>IF('Données projet'!$A$62&gt;35,AI96+AH97-AQ96,IF(A97&lt;'Données projet'!$A$62,$AF$205^A97,IF(A97='Données projet'!$A$62,'Données projet'!$B$62,AI96+AH97-AQ96)))</f>
        <v>358.09999999999997</v>
      </c>
      <c r="AJ97" s="13">
        <f>AI97*VLOOKUP('Données projet'!$B$10,Paramètres!$A$1:$I$89,3,0)*VLOOKUP('Données projet'!$B$10,Paramètres!$A$1:$I$89,5,0)</f>
        <v>167.5908</v>
      </c>
      <c r="AK97" s="13">
        <f t="shared" si="89"/>
        <v>42.549995519736676</v>
      </c>
      <c r="AL97" s="20">
        <f t="shared" si="58"/>
        <v>365.99521886354137</v>
      </c>
      <c r="AM97" s="59">
        <f t="shared" si="59"/>
        <v>659.32855219687463</v>
      </c>
      <c r="AN97" s="59">
        <f ca="1">AVERAGE(OFFSET($AM$3,0,0,'Données projet'!$E$10+1,1))-AVERAGE(OFFSET($H$3,0,0,'Données projet'!$E$10+1,1))</f>
        <v>165.03539937460289</v>
      </c>
      <c r="AO97" s="59">
        <f t="shared" si="90"/>
        <v>142.05625724497401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0.24418319189461915</v>
      </c>
      <c r="AV97" s="21">
        <f>EXP(-LN(2)/25)*AV96+(1-EXP(-LN(2)/25))/(LN(2)/25)*Calculateur!AQ97*Calculateur!AS97*VLOOKUP('Données projet'!$B$10,Paramètres!$A$1:$I$89,3,0)*0.475*44/12</f>
        <v>0.81002135621039051</v>
      </c>
      <c r="AW97" s="21">
        <f>EXP(-LN(2)/2)*AW96+(1-EXP(-LN(2)/2))/(LN(2)/2)*AQ97*AT97*VLOOKUP('Données projet'!$B$10,Paramètres!$A$1:$I$89,3,0)*0.475*44/12</f>
        <v>1.4234591487521644E-9</v>
      </c>
      <c r="AX97" s="21">
        <f t="shared" si="60"/>
        <v>1.0542045495284689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-7.9580786405131221E-13</v>
      </c>
      <c r="BE97" s="13">
        <f>BD97*VLOOKUP('Données projet'!$B$11,Paramètres!$A$1:$I$89,3,0)*VLOOKUP('Données projet'!$B$11,Paramètres!$A$1:$I$89,5,0)</f>
        <v>-3.8278358260868117E-13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402.22278907877927</v>
      </c>
      <c r="BJ97" s="59">
        <f t="shared" si="92"/>
        <v>393.06397734082458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7.8252574060095057</v>
      </c>
      <c r="BQ97" s="21">
        <f>EXP(-LN(2)/25)*BQ96+(1-EXP(-LN(2)/25))/(LN(2)/25)*Calculateur!BL97*Calculateur!BN97*VLOOKUP('Données projet'!$B$11,Paramètres!$A$1:$I$89,3,0)*0.475*44/12</f>
        <v>7.6462740333476615</v>
      </c>
      <c r="BR97" s="21">
        <f>EXP(-LN(2)/2)*BR96+(1-EXP(-LN(2)/2))/(LN(2)/2)*BL97*BO97*VLOOKUP('Données projet'!$B$11,Paramètres!$A$1:$I$89,3,0)*0.475*44/12</f>
        <v>2.0596749925821984E-7</v>
      </c>
      <c r="BS97" s="22">
        <f t="shared" si="63"/>
        <v>15.471531645324667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1.1368683772161603E-12</v>
      </c>
      <c r="O98" s="13">
        <f>N98*VLOOKUP('Données projet'!$B$9,Paramètres!$A$1:$I$89,3,0)*VLOOKUP('Données projet'!$B$9,Paramètres!$A$1:$I$89,5,0)</f>
        <v>6.3550942286383359E-13</v>
      </c>
      <c r="P98" s="13">
        <f t="shared" si="87"/>
        <v>7.6982260417614606E-12</v>
      </c>
      <c r="Q98" s="20">
        <f t="shared" si="54"/>
        <v>1.4514589267555721E-11</v>
      </c>
      <c r="R98" s="59">
        <f t="shared" si="55"/>
        <v>293.33333333334781</v>
      </c>
      <c r="S98" s="59">
        <f ca="1">AVERAGE(OFFSET($R$3,0,0,'Données projet'!$E$9+1,1))-AVERAGE(OFFSET($H$3,0,0,'Données projet'!$E$9+1,1))</f>
        <v>490.7691633858222</v>
      </c>
      <c r="T98" s="59">
        <f t="shared" si="88"/>
        <v>490.82176582457072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3.4673514516195318</v>
      </c>
      <c r="AA98" s="21">
        <f>EXP(-LN(2)/25)*AA97+(1-EXP(-LN(2)/25))/(LN(2)/25)*Calculateur!V98*Calculateur!X98*VLOOKUP('Données projet'!$B$9,Paramètres!$A$1:$I$89,3,0)*0.475*44/12</f>
        <v>7.3013486059961412</v>
      </c>
      <c r="AB98" s="21">
        <f>EXP(-LN(2)/2)*AB97+(1-EXP(-LN(2)/2))/(LN(2)/2)*V98*Y98*VLOOKUP('Données projet'!$B$9,Paramètres!$A$1:$I$89,3,0)*0.475*44/12</f>
        <v>6.6223083451049837E-9</v>
      </c>
      <c r="AC98" s="22">
        <f t="shared" si="57"/>
        <v>10.768700064237981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8.3000000000000007</v>
      </c>
      <c r="AI98" s="13">
        <f>IF('Données projet'!$A$62&gt;35,AI97+AH98-AQ97,IF(A98&lt;'Données projet'!$A$62,$AF$205^A98,IF(A98='Données projet'!$A$62,'Données projet'!$B$62,AI97+AH98-AQ97)))</f>
        <v>366.4</v>
      </c>
      <c r="AJ98" s="13">
        <f>AI98*VLOOKUP('Données projet'!$B$10,Paramètres!$A$1:$I$89,3,0)*VLOOKUP('Données projet'!$B$10,Paramètres!$A$1:$I$89,5,0)</f>
        <v>171.4752</v>
      </c>
      <c r="AK98" s="13">
        <f t="shared" si="89"/>
        <v>43.420252985462113</v>
      </c>
      <c r="AL98" s="20">
        <f t="shared" si="58"/>
        <v>374.27624728301316</v>
      </c>
      <c r="AM98" s="59">
        <f t="shared" si="59"/>
        <v>667.60958061634642</v>
      </c>
      <c r="AN98" s="59">
        <f ca="1">AVERAGE(OFFSET($AM$3,0,0,'Données projet'!$E$10+1,1))-AVERAGE(OFFSET($H$3,0,0,'Données projet'!$E$10+1,1))</f>
        <v>165.03539937460289</v>
      </c>
      <c r="AO98" s="59">
        <f t="shared" si="90"/>
        <v>142.05625724497401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0.23939490843860642</v>
      </c>
      <c r="AV98" s="21">
        <f>EXP(-LN(2)/25)*AV97+(1-EXP(-LN(2)/25))/(LN(2)/25)*Calculateur!AQ98*Calculateur!AS98*VLOOKUP('Données projet'!$B$10,Paramètres!$A$1:$I$89,3,0)*0.475*44/12</f>
        <v>0.78787127962764558</v>
      </c>
      <c r="AW98" s="21">
        <f>EXP(-LN(2)/2)*AW97+(1-EXP(-LN(2)/2))/(LN(2)/2)*AQ98*AT98*VLOOKUP('Données projet'!$B$10,Paramètres!$A$1:$I$89,3,0)*0.475*44/12</f>
        <v>1.0065376168246859E-9</v>
      </c>
      <c r="AX98" s="21">
        <f t="shared" si="60"/>
        <v>1.0272661890727894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-7.9580786405131221E-13</v>
      </c>
      <c r="BE98" s="13">
        <f>BD98*VLOOKUP('Données projet'!$B$11,Paramètres!$A$1:$I$89,3,0)*VLOOKUP('Données projet'!$B$11,Paramètres!$A$1:$I$89,5,0)</f>
        <v>-3.8278358260868117E-13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402.22278907877927</v>
      </c>
      <c r="BJ98" s="59">
        <f t="shared" si="92"/>
        <v>393.06397734082458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7.6718088812133889</v>
      </c>
      <c r="BQ98" s="21">
        <f>EXP(-LN(2)/25)*BQ97+(1-EXP(-LN(2)/25))/(LN(2)/25)*Calculateur!BL98*Calculateur!BN98*VLOOKUP('Données projet'!$B$11,Paramètres!$A$1:$I$89,3,0)*0.475*44/12</f>
        <v>7.4371862678056937</v>
      </c>
      <c r="BR98" s="21">
        <f>EXP(-LN(2)/2)*BR97+(1-EXP(-LN(2)/2))/(LN(2)/2)*BL98*BO98*VLOOKUP('Données projet'!$B$11,Paramètres!$A$1:$I$89,3,0)*0.475*44/12</f>
        <v>1.4564101542952244E-7</v>
      </c>
      <c r="BS98" s="22">
        <f t="shared" si="63"/>
        <v>15.108995294660099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1.1368683772161603E-12</v>
      </c>
      <c r="O99" s="13">
        <f>N99*VLOOKUP('Données projet'!$B$9,Paramètres!$A$1:$I$89,3,0)*VLOOKUP('Données projet'!$B$9,Paramètres!$A$1:$I$89,5,0)</f>
        <v>6.3550942286383359E-13</v>
      </c>
      <c r="P99" s="13">
        <f t="shared" si="87"/>
        <v>7.6982260417614606E-12</v>
      </c>
      <c r="Q99" s="20">
        <f t="shared" ref="Q99:Q130" si="107">(O99+P99)*0.475*44/12</f>
        <v>1.4514589267555721E-11</v>
      </c>
      <c r="R99" s="59">
        <f t="shared" si="55"/>
        <v>293.33333333334781</v>
      </c>
      <c r="S99" s="59">
        <f ca="1">AVERAGE(OFFSET($R$3,0,0,'Données projet'!$E$9+1,1))-AVERAGE(OFFSET($H$3,0,0,'Données projet'!$E$9+1,1))</f>
        <v>490.7691633858222</v>
      </c>
      <c r="T99" s="59">
        <f t="shared" si="88"/>
        <v>490.82176582457072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3.3993588045288319</v>
      </c>
      <c r="AA99" s="21">
        <f>EXP(-LN(2)/25)*AA98+(1-EXP(-LN(2)/25))/(LN(2)/25)*Calculateur!V99*Calculateur!X99*VLOOKUP('Données projet'!$B$9,Paramètres!$A$1:$I$89,3,0)*0.475*44/12</f>
        <v>7.1016928444039413</v>
      </c>
      <c r="AB99" s="21">
        <f>EXP(-LN(2)/2)*AB98+(1-EXP(-LN(2)/2))/(LN(2)/2)*V99*Y99*VLOOKUP('Données projet'!$B$9,Paramètres!$A$1:$I$89,3,0)*0.475*44/12</f>
        <v>4.6826791379319973E-9</v>
      </c>
      <c r="AC99" s="22">
        <f t="shared" si="57"/>
        <v>10.501051653615452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8.3000000000000007</v>
      </c>
      <c r="AI99" s="13">
        <f>IF('Données projet'!$A$62&gt;35,AI98+AH99-AQ98,IF(A99&lt;'Données projet'!$A$62,$AF$205^A99,IF(A99='Données projet'!$A$62,'Données projet'!$B$62,AI98+AH99-AQ98)))</f>
        <v>374.7</v>
      </c>
      <c r="AJ99" s="13">
        <f>AI99*VLOOKUP('Données projet'!$B$10,Paramètres!$A$1:$I$89,3,0)*VLOOKUP('Données projet'!$B$10,Paramètres!$A$1:$I$89,5,0)</f>
        <v>175.3596</v>
      </c>
      <c r="AK99" s="13">
        <f t="shared" si="89"/>
        <v>44.288218580135805</v>
      </c>
      <c r="AL99" s="20">
        <f t="shared" si="58"/>
        <v>382.55328402706982</v>
      </c>
      <c r="AM99" s="59">
        <f t="shared" si="59"/>
        <v>675.88661736040308</v>
      </c>
      <c r="AN99" s="59">
        <f ca="1">AVERAGE(OFFSET($AM$3,0,0,'Données projet'!$E$10+1,1))-AVERAGE(OFFSET($H$3,0,0,'Données projet'!$E$10+1,1))</f>
        <v>165.03539937460289</v>
      </c>
      <c r="AO99" s="59">
        <f t="shared" si="90"/>
        <v>142.05625724497401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0.23470052030060157</v>
      </c>
      <c r="AV99" s="21">
        <f>EXP(-LN(2)/25)*AV98+(1-EXP(-LN(2)/25))/(LN(2)/25)*Calculateur!AQ99*Calculateur!AS99*VLOOKUP('Données projet'!$B$10,Paramètres!$A$1:$I$89,3,0)*0.475*44/12</f>
        <v>0.76632689805387777</v>
      </c>
      <c r="AW99" s="21">
        <f>EXP(-LN(2)/2)*AW98+(1-EXP(-LN(2)/2))/(LN(2)/2)*AQ99*AT99*VLOOKUP('Données projet'!$B$10,Paramètres!$A$1:$I$89,3,0)*0.475*44/12</f>
        <v>7.1172957437608222E-10</v>
      </c>
      <c r="AX99" s="21">
        <f t="shared" si="60"/>
        <v>1.001027419066209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-7.9580786405131221E-13</v>
      </c>
      <c r="BE99" s="13">
        <f>BD99*VLOOKUP('Données projet'!$B$11,Paramètres!$A$1:$I$89,3,0)*VLOOKUP('Données projet'!$B$11,Paramètres!$A$1:$I$89,5,0)</f>
        <v>-3.8278358260868117E-13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402.22278907877927</v>
      </c>
      <c r="BJ99" s="59">
        <f t="shared" si="92"/>
        <v>393.06397734082458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7.5213693883941657</v>
      </c>
      <c r="BQ99" s="21">
        <f>EXP(-LN(2)/25)*BQ98+(1-EXP(-LN(2)/25))/(LN(2)/25)*Calculateur!BL99*Calculateur!BN99*VLOOKUP('Données projet'!$B$11,Paramètres!$A$1:$I$89,3,0)*0.475*44/12</f>
        <v>7.2338160182079188</v>
      </c>
      <c r="BR99" s="21">
        <f>EXP(-LN(2)/2)*BR98+(1-EXP(-LN(2)/2))/(LN(2)/2)*BL99*BO99*VLOOKUP('Données projet'!$B$11,Paramètres!$A$1:$I$89,3,0)*0.475*44/12</f>
        <v>1.0298374962910992E-7</v>
      </c>
      <c r="BS99" s="22">
        <f t="shared" si="63"/>
        <v>14.755185509585834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1.1368683772161603E-12</v>
      </c>
      <c r="O100" s="13">
        <f>N100*VLOOKUP('Données projet'!$B$9,Paramètres!$A$1:$I$89,3,0)*VLOOKUP('Données projet'!$B$9,Paramètres!$A$1:$I$89,5,0)</f>
        <v>6.3550942286383359E-13</v>
      </c>
      <c r="P100" s="13">
        <f t="shared" si="87"/>
        <v>7.6982260417614606E-12</v>
      </c>
      <c r="Q100" s="20">
        <f t="shared" si="107"/>
        <v>1.4514589267555721E-11</v>
      </c>
      <c r="R100" s="59">
        <f t="shared" si="55"/>
        <v>293.33333333334781</v>
      </c>
      <c r="S100" s="59">
        <f ca="1">AVERAGE(OFFSET($R$3,0,0,'Données projet'!$E$9+1,1))-AVERAGE(OFFSET($H$3,0,0,'Données projet'!$E$9+1,1))</f>
        <v>490.7691633858222</v>
      </c>
      <c r="T100" s="59">
        <f t="shared" si="88"/>
        <v>490.82176582457072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3.3326994517761608</v>
      </c>
      <c r="AA100" s="21">
        <f>EXP(-LN(2)/25)*AA99+(1-EXP(-LN(2)/25))/(LN(2)/25)*Calculateur!V100*Calculateur!X100*VLOOKUP('Données projet'!$B$9,Paramètres!$A$1:$I$89,3,0)*0.475*44/12</f>
        <v>6.9074966801119198</v>
      </c>
      <c r="AB100" s="21">
        <f>EXP(-LN(2)/2)*AB99+(1-EXP(-LN(2)/2))/(LN(2)/2)*V100*Y100*VLOOKUP('Données projet'!$B$9,Paramètres!$A$1:$I$89,3,0)*0.475*44/12</f>
        <v>3.3111541725524919E-9</v>
      </c>
      <c r="AC100" s="22">
        <f t="shared" si="57"/>
        <v>10.240196135199234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8.3000000000000007</v>
      </c>
      <c r="AI100" s="13">
        <f>IF('Données projet'!$A$62&gt;35,AI99+AH100-AQ99,IF(A100&lt;'Données projet'!$A$62,$AF$205^A100,IF(A100='Données projet'!$A$62,'Données projet'!$B$62,AI99+AH100-AQ99)))</f>
        <v>383</v>
      </c>
      <c r="AJ100" s="13">
        <f>AI100*VLOOKUP('Données projet'!$B$10,Paramètres!$A$1:$I$89,3,0)*VLOOKUP('Données projet'!$B$10,Paramètres!$A$1:$I$89,5,0)</f>
        <v>179.244</v>
      </c>
      <c r="AK100" s="13">
        <f t="shared" si="89"/>
        <v>45.153948916787364</v>
      </c>
      <c r="AL100" s="20">
        <f t="shared" si="58"/>
        <v>390.82642769673799</v>
      </c>
      <c r="AM100" s="59">
        <f t="shared" si="59"/>
        <v>684.15976103007131</v>
      </c>
      <c r="AN100" s="59">
        <f ca="1">AVERAGE(OFFSET($AM$3,0,0,'Données projet'!$E$10+1,1))-AVERAGE(OFFSET($H$3,0,0,'Données projet'!$E$10+1,1))</f>
        <v>165.03539937460289</v>
      </c>
      <c r="AO100" s="59">
        <f t="shared" si="90"/>
        <v>142.05625724497401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0.23009818625068895</v>
      </c>
      <c r="AV100" s="21">
        <f>EXP(-LN(2)/25)*AV99+(1-EXP(-LN(2)/25))/(LN(2)/25)*Calculateur!AQ100*Calculateur!AS100*VLOOKUP('Données projet'!$B$10,Paramètres!$A$1:$I$89,3,0)*0.475*44/12</f>
        <v>0.7453716487272144</v>
      </c>
      <c r="AW100" s="21">
        <f>EXP(-LN(2)/2)*AW99+(1-EXP(-LN(2)/2))/(LN(2)/2)*AQ100*AT100*VLOOKUP('Données projet'!$B$10,Paramètres!$A$1:$I$89,3,0)*0.475*44/12</f>
        <v>5.0326880841234296E-10</v>
      </c>
      <c r="AX100" s="21">
        <f t="shared" si="60"/>
        <v>0.97546983548117217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-7.9580786405131221E-13</v>
      </c>
      <c r="BE100" s="13">
        <f>BD100*VLOOKUP('Données projet'!$B$11,Paramètres!$A$1:$I$89,3,0)*VLOOKUP('Données projet'!$B$11,Paramètres!$A$1:$I$89,5,0)</f>
        <v>-3.8278358260868117E-13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402.22278907877927</v>
      </c>
      <c r="BJ100" s="59">
        <f t="shared" si="92"/>
        <v>393.06397734082458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7.3738799222700973</v>
      </c>
      <c r="BQ100" s="21">
        <f>EXP(-LN(2)/25)*BQ99+(1-EXP(-LN(2)/25))/(LN(2)/25)*Calculateur!BL100*Calculateur!BN100*VLOOKUP('Données projet'!$B$11,Paramètres!$A$1:$I$89,3,0)*0.475*44/12</f>
        <v>7.0360069387801722</v>
      </c>
      <c r="BR100" s="21">
        <f>EXP(-LN(2)/2)*BR99+(1-EXP(-LN(2)/2))/(LN(2)/2)*BL100*BO100*VLOOKUP('Données projet'!$B$11,Paramètres!$A$1:$I$89,3,0)*0.475*44/12</f>
        <v>7.2820507714761221E-8</v>
      </c>
      <c r="BS100" s="22">
        <f t="shared" si="63"/>
        <v>14.409886933870776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1.1368683772161603E-12</v>
      </c>
      <c r="O101" s="13">
        <f>N101*VLOOKUP('Données projet'!$B$9,Paramètres!$A$1:$I$89,3,0)*VLOOKUP('Données projet'!$B$9,Paramètres!$A$1:$I$89,5,0)</f>
        <v>6.3550942286383359E-13</v>
      </c>
      <c r="P101" s="13">
        <f t="shared" si="87"/>
        <v>7.6982260417614606E-12</v>
      </c>
      <c r="Q101" s="20">
        <f t="shared" si="107"/>
        <v>1.4514589267555721E-11</v>
      </c>
      <c r="R101" s="59">
        <f t="shared" si="55"/>
        <v>293.33333333334781</v>
      </c>
      <c r="S101" s="59">
        <f ca="1">AVERAGE(OFFSET($R$3,0,0,'Données projet'!$E$9+1,1))-AVERAGE(OFFSET($H$3,0,0,'Données projet'!$E$9+1,1))</f>
        <v>490.7691633858222</v>
      </c>
      <c r="T101" s="59">
        <f t="shared" si="88"/>
        <v>490.82176582457072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3.2673472482727788</v>
      </c>
      <c r="AA101" s="21">
        <f>EXP(-LN(2)/25)*AA100+(1-EXP(-LN(2)/25))/(LN(2)/25)*Calculateur!V101*Calculateur!X101*VLOOKUP('Données projet'!$B$9,Paramètres!$A$1:$I$89,3,0)*0.475*44/12</f>
        <v>6.7186108201447965</v>
      </c>
      <c r="AB101" s="21">
        <f>EXP(-LN(2)/2)*AB100+(1-EXP(-LN(2)/2))/(LN(2)/2)*V101*Y101*VLOOKUP('Données projet'!$B$9,Paramètres!$A$1:$I$89,3,0)*0.475*44/12</f>
        <v>2.3413395689659986E-9</v>
      </c>
      <c r="AC101" s="22">
        <f t="shared" si="57"/>
        <v>9.9859580707589153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8.3000000000000007</v>
      </c>
      <c r="AI101" s="13">
        <f>IF('Données projet'!$A$62&gt;35,AI100+AH101-AQ100,IF(A101&lt;'Données projet'!$A$62,$AF$205^A101,IF(A101='Données projet'!$A$62,'Données projet'!$B$62,AI100+AH101-AQ100)))</f>
        <v>391.3</v>
      </c>
      <c r="AJ101" s="13">
        <f>AI101*VLOOKUP('Données projet'!$B$10,Paramètres!$A$1:$I$89,3,0)*VLOOKUP('Données projet'!$B$10,Paramètres!$A$1:$I$89,5,0)</f>
        <v>183.1284</v>
      </c>
      <c r="AK101" s="13">
        <f t="shared" si="89"/>
        <v>46.017498014577676</v>
      </c>
      <c r="AL101" s="20">
        <f t="shared" si="58"/>
        <v>399.09577237538946</v>
      </c>
      <c r="AM101" s="59">
        <f t="shared" si="59"/>
        <v>692.42910570872277</v>
      </c>
      <c r="AN101" s="59">
        <f ca="1">AVERAGE(OFFSET($AM$3,0,0,'Données projet'!$E$10+1,1))-AVERAGE(OFFSET($H$3,0,0,'Données projet'!$E$10+1,1))</f>
        <v>165.03539937460289</v>
      </c>
      <c r="AO101" s="59">
        <f t="shared" si="90"/>
        <v>142.05625724497401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0.22558610116434855</v>
      </c>
      <c r="AV101" s="21">
        <f>EXP(-LN(2)/25)*AV100+(1-EXP(-LN(2)/25))/(LN(2)/25)*Calculateur!AQ101*Calculateur!AS101*VLOOKUP('Données projet'!$B$10,Paramètres!$A$1:$I$89,3,0)*0.475*44/12</f>
        <v>0.72498942179537729</v>
      </c>
      <c r="AW101" s="21">
        <f>EXP(-LN(2)/2)*AW100+(1-EXP(-LN(2)/2))/(LN(2)/2)*AQ101*AT101*VLOOKUP('Données projet'!$B$10,Paramètres!$A$1:$I$89,3,0)*0.475*44/12</f>
        <v>3.5586478718804111E-10</v>
      </c>
      <c r="AX101" s="21">
        <f t="shared" si="60"/>
        <v>0.95057552331559059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-7.9580786405131221E-13</v>
      </c>
      <c r="BE101" s="13">
        <f>BD101*VLOOKUP('Données projet'!$B$11,Paramètres!$A$1:$I$89,3,0)*VLOOKUP('Données projet'!$B$11,Paramètres!$A$1:$I$89,5,0)</f>
        <v>-3.8278358260868117E-13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402.22278907877927</v>
      </c>
      <c r="BJ101" s="59">
        <f t="shared" si="92"/>
        <v>393.06397734082458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7.2292826346170296</v>
      </c>
      <c r="BQ101" s="21">
        <f>EXP(-LN(2)/25)*BQ100+(1-EXP(-LN(2)/25))/(LN(2)/25)*Calculateur!BL101*Calculateur!BN101*VLOOKUP('Données projet'!$B$11,Paramètres!$A$1:$I$89,3,0)*0.475*44/12</f>
        <v>6.8436069590317041</v>
      </c>
      <c r="BR101" s="21">
        <f>EXP(-LN(2)/2)*BR100+(1-EXP(-LN(2)/2))/(LN(2)/2)*BL101*BO101*VLOOKUP('Données projet'!$B$11,Paramètres!$A$1:$I$89,3,0)*0.475*44/12</f>
        <v>5.1491874814554959E-8</v>
      </c>
      <c r="BS101" s="22">
        <f t="shared" si="63"/>
        <v>14.072889645140609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1.1368683772161603E-12</v>
      </c>
      <c r="O102" s="13">
        <f>N102*VLOOKUP('Données projet'!$B$9,Paramètres!$A$1:$I$89,3,0)*VLOOKUP('Données projet'!$B$9,Paramètres!$A$1:$I$89,5,0)</f>
        <v>6.3550942286383359E-13</v>
      </c>
      <c r="P102" s="13">
        <f t="shared" si="87"/>
        <v>7.6982260417614606E-12</v>
      </c>
      <c r="Q102" s="20">
        <f t="shared" si="107"/>
        <v>1.4514589267555721E-11</v>
      </c>
      <c r="R102" s="59">
        <f t="shared" si="55"/>
        <v>293.33333333334781</v>
      </c>
      <c r="S102" s="59">
        <f ca="1">AVERAGE(OFFSET($R$3,0,0,'Données projet'!$E$9+1,1))-AVERAGE(OFFSET($H$3,0,0,'Données projet'!$E$9+1,1))</f>
        <v>490.7691633858222</v>
      </c>
      <c r="T102" s="59">
        <f t="shared" si="88"/>
        <v>490.82176582457072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3.2032765616191901</v>
      </c>
      <c r="AA102" s="21">
        <f>EXP(-LN(2)/25)*AA101+(1-EXP(-LN(2)/25))/(LN(2)/25)*Calculateur!V102*Calculateur!X102*VLOOKUP('Données projet'!$B$9,Paramètres!$A$1:$I$89,3,0)*0.475*44/12</f>
        <v>6.5348900539515498</v>
      </c>
      <c r="AB102" s="21">
        <f>EXP(-LN(2)/2)*AB101+(1-EXP(-LN(2)/2))/(LN(2)/2)*V102*Y102*VLOOKUP('Données projet'!$B$9,Paramètres!$A$1:$I$89,3,0)*0.475*44/12</f>
        <v>1.6555770862762459E-9</v>
      </c>
      <c r="AC102" s="22">
        <f t="shared" si="57"/>
        <v>9.7381666172263177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8.3000000000000007</v>
      </c>
      <c r="AI102" s="13">
        <f>IF('Données projet'!$A$62&gt;35,AI101+AH102-AQ101,IF(A102&lt;'Données projet'!$A$62,$AF$205^A102,IF(A102='Données projet'!$A$62,'Données projet'!$B$62,AI101+AH102-AQ101)))</f>
        <v>399.6</v>
      </c>
      <c r="AJ102" s="13">
        <f>AI102*VLOOKUP('Données projet'!$B$10,Paramètres!$A$1:$I$89,3,0)*VLOOKUP('Données projet'!$B$10,Paramètres!$A$1:$I$89,5,0)</f>
        <v>187.0128</v>
      </c>
      <c r="AK102" s="13">
        <f t="shared" si="89"/>
        <v>46.878917470101705</v>
      </c>
      <c r="AL102" s="20">
        <f t="shared" si="58"/>
        <v>407.36140792709375</v>
      </c>
      <c r="AM102" s="59">
        <f t="shared" si="59"/>
        <v>700.69474126042701</v>
      </c>
      <c r="AN102" s="59">
        <f ca="1">AVERAGE(OFFSET($AM$3,0,0,'Données projet'!$E$10+1,1))-AVERAGE(OFFSET($H$3,0,0,'Données projet'!$E$10+1,1))</f>
        <v>165.03539937460289</v>
      </c>
      <c r="AO102" s="59">
        <f t="shared" si="90"/>
        <v>142.05625724497401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0.22116249531445112</v>
      </c>
      <c r="AV102" s="21">
        <f>EXP(-LN(2)/25)*AV101+(1-EXP(-LN(2)/25))/(LN(2)/25)*Calculateur!AQ102*Calculateur!AS102*VLOOKUP('Données projet'!$B$10,Paramètres!$A$1:$I$89,3,0)*0.475*44/12</f>
        <v>0.70516454793084604</v>
      </c>
      <c r="AW102" s="21">
        <f>EXP(-LN(2)/2)*AW101+(1-EXP(-LN(2)/2))/(LN(2)/2)*AQ102*AT102*VLOOKUP('Données projet'!$B$10,Paramètres!$A$1:$I$89,3,0)*0.475*44/12</f>
        <v>2.5163440420617148E-10</v>
      </c>
      <c r="AX102" s="21">
        <f t="shared" si="60"/>
        <v>0.92632704349693151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-7.9580786405131221E-13</v>
      </c>
      <c r="BE102" s="13">
        <f>BD102*VLOOKUP('Données projet'!$B$11,Paramètres!$A$1:$I$89,3,0)*VLOOKUP('Données projet'!$B$11,Paramètres!$A$1:$I$89,5,0)</f>
        <v>-3.8278358260868117E-13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402.22278907877927</v>
      </c>
      <c r="BJ102" s="59">
        <f t="shared" si="92"/>
        <v>393.06397734082458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7.0875208115792017</v>
      </c>
      <c r="BQ102" s="21">
        <f>EXP(-LN(2)/25)*BQ101+(1-EXP(-LN(2)/25))/(LN(2)/25)*Calculateur!BL102*Calculateur!BN102*VLOOKUP('Données projet'!$B$11,Paramètres!$A$1:$I$89,3,0)*0.475*44/12</f>
        <v>6.6564681668473336</v>
      </c>
      <c r="BR102" s="21">
        <f>EXP(-LN(2)/2)*BR101+(1-EXP(-LN(2)/2))/(LN(2)/2)*BL102*BO102*VLOOKUP('Données projet'!$B$11,Paramètres!$A$1:$I$89,3,0)*0.475*44/12</f>
        <v>3.641025385738061E-8</v>
      </c>
      <c r="BS102" s="22">
        <f t="shared" si="63"/>
        <v>13.74398901483679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1.1368683772161603E-12</v>
      </c>
      <c r="O103" s="13">
        <f>N103*VLOOKUP('Données projet'!$B$9,Paramètres!$A$1:$I$89,3,0)*VLOOKUP('Données projet'!$B$9,Paramètres!$A$1:$I$89,5,0)</f>
        <v>6.3550942286383359E-13</v>
      </c>
      <c r="P103" s="13">
        <f t="shared" si="87"/>
        <v>7.6982260417614606E-12</v>
      </c>
      <c r="Q103" s="20">
        <f t="shared" si="107"/>
        <v>1.4514589267555721E-11</v>
      </c>
      <c r="R103" s="59">
        <f t="shared" si="55"/>
        <v>293.33333333334781</v>
      </c>
      <c r="S103" s="59">
        <f ca="1">AVERAGE(OFFSET($R$3,0,0,'Données projet'!$E$9+1,1))-AVERAGE(OFFSET($H$3,0,0,'Données projet'!$E$9+1,1))</f>
        <v>490.7691633858222</v>
      </c>
      <c r="T103" s="59">
        <f t="shared" si="88"/>
        <v>490.82176582457072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3.140462262051618</v>
      </c>
      <c r="AA103" s="21">
        <f>EXP(-LN(2)/25)*AA102+(1-EXP(-LN(2)/25))/(LN(2)/25)*Calculateur!V103*Calculateur!X103*VLOOKUP('Données projet'!$B$9,Paramètres!$A$1:$I$89,3,0)*0.475*44/12</f>
        <v>6.3561931417713122</v>
      </c>
      <c r="AB103" s="21">
        <f>EXP(-LN(2)/2)*AB102+(1-EXP(-LN(2)/2))/(LN(2)/2)*V103*Y103*VLOOKUP('Données projet'!$B$9,Paramètres!$A$1:$I$89,3,0)*0.475*44/12</f>
        <v>1.1706697844829993E-9</v>
      </c>
      <c r="AC103" s="22">
        <f t="shared" si="57"/>
        <v>9.4966554049936018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407.9</v>
      </c>
      <c r="AG103" s="12">
        <f>VLOOKUP(A103,'Données projet'!$A$61:$I$81,9,0)</f>
        <v>8.3000000000000007</v>
      </c>
      <c r="AH103" s="12">
        <f t="array" ref="AH103">INDEX(AG:AG,MIN(IF(ISNUMBER(AG103:AG299),ROW(AG103:AG299),"")))</f>
        <v>8.3000000000000007</v>
      </c>
      <c r="AI103" s="13">
        <f>IF('Données projet'!$A$62&gt;35,AI102+AH103-AQ102,IF(A103&lt;'Données projet'!$A$62,$AF$205^A103,IF(A103='Données projet'!$A$62,'Données projet'!$B$62,AI102+AH103-AQ102)))</f>
        <v>407.90000000000003</v>
      </c>
      <c r="AJ103" s="13">
        <f>AI103*VLOOKUP('Données projet'!$B$10,Paramètres!$A$1:$I$89,3,0)*VLOOKUP('Données projet'!$B$10,Paramètres!$A$1:$I$89,5,0)</f>
        <v>190.8972</v>
      </c>
      <c r="AK103" s="13">
        <f t="shared" si="89"/>
        <v>47.738256614056887</v>
      </c>
      <c r="AL103" s="20">
        <f t="shared" si="58"/>
        <v>415.62342026948232</v>
      </c>
      <c r="AM103" s="59">
        <f t="shared" si="59"/>
        <v>708.95675360281564</v>
      </c>
      <c r="AN103" s="59">
        <f ca="1">AVERAGE(OFFSET($AM$3,0,0,'Données projet'!$E$10+1,1))-AVERAGE(OFFSET($H$3,0,0,'Données projet'!$E$10+1,1))</f>
        <v>165.03539937460289</v>
      </c>
      <c r="AO103" s="59">
        <f t="shared" si="90"/>
        <v>142.05625724497401</v>
      </c>
      <c r="AP103" s="15">
        <f>IF(ISNA(VLOOKUP(A103,'Données projet'!$A$61:$I$81,3,0)),0,VLOOKUP(A103,'Données projet'!$A$61:$I$81,3,0))</f>
        <v>9</v>
      </c>
      <c r="AQ103" s="15">
        <f>IF(ISNA(VLOOKUP(A103,'Données projet'!$A$61:$I$81,4,0)),0,VLOOKUP(A103,'Données projet'!$A$61:$I$81,4,0))</f>
        <v>46.3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0.21682563367713703</v>
      </c>
      <c r="AV103" s="21">
        <f>EXP(-LN(2)/25)*AV102+(1-EXP(-LN(2)/25))/(LN(2)/25)*Calculateur!AQ103*Calculateur!AS103*VLOOKUP('Données projet'!$B$10,Paramètres!$A$1:$I$89,3,0)*0.475*44/12</f>
        <v>0.6858817862846851</v>
      </c>
      <c r="AW103" s="21">
        <f>EXP(-LN(2)/2)*AW102+(1-EXP(-LN(2)/2))/(LN(2)/2)*AQ103*AT103*VLOOKUP('Données projet'!$B$10,Paramètres!$A$1:$I$89,3,0)*0.475*44/12</f>
        <v>1.7793239359402056E-10</v>
      </c>
      <c r="AX103" s="21">
        <f t="shared" si="60"/>
        <v>0.90270742013975458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-7.9580786405131221E-13</v>
      </c>
      <c r="BE103" s="13">
        <f>BD103*VLOOKUP('Données projet'!$B$11,Paramètres!$A$1:$I$89,3,0)*VLOOKUP('Données projet'!$B$11,Paramètres!$A$1:$I$89,5,0)</f>
        <v>-3.8278358260868117E-13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402.22278907877927</v>
      </c>
      <c r="BJ103" s="59">
        <f t="shared" si="92"/>
        <v>393.06397734082458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6.9485388514249715</v>
      </c>
      <c r="BQ103" s="21">
        <f>EXP(-LN(2)/25)*BQ102+(1-EXP(-LN(2)/25))/(LN(2)/25)*Calculateur!BL103*Calculateur!BN103*VLOOKUP('Données projet'!$B$11,Paramètres!$A$1:$I$89,3,0)*0.475*44/12</f>
        <v>6.4744466947764456</v>
      </c>
      <c r="BR103" s="21">
        <f>EXP(-LN(2)/2)*BR102+(1-EXP(-LN(2)/2))/(LN(2)/2)*BL103*BO103*VLOOKUP('Données projet'!$B$11,Paramètres!$A$1:$I$89,3,0)*0.475*44/12</f>
        <v>2.574593740727748E-8</v>
      </c>
      <c r="BS103" s="22">
        <f t="shared" si="63"/>
        <v>13.422985571947354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1.1368683772161603E-12</v>
      </c>
      <c r="O104" s="13">
        <f>N104*VLOOKUP('Données projet'!$B$9,Paramètres!$A$1:$I$89,3,0)*VLOOKUP('Données projet'!$B$9,Paramètres!$A$1:$I$89,5,0)</f>
        <v>6.3550942286383359E-13</v>
      </c>
      <c r="P104" s="13">
        <f t="shared" si="87"/>
        <v>7.6982260417614606E-12</v>
      </c>
      <c r="Q104" s="20">
        <f t="shared" si="107"/>
        <v>1.4514589267555721E-11</v>
      </c>
      <c r="R104" s="59">
        <f t="shared" si="55"/>
        <v>293.33333333334781</v>
      </c>
      <c r="S104" s="59">
        <f ca="1">AVERAGE(OFFSET($R$3,0,0,'Données projet'!$E$9+1,1))-AVERAGE(OFFSET($H$3,0,0,'Données projet'!$E$9+1,1))</f>
        <v>490.7691633858222</v>
      </c>
      <c r="T104" s="59">
        <f t="shared" si="88"/>
        <v>490.82176582457072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3.0788797125856266</v>
      </c>
      <c r="AA104" s="21">
        <f>EXP(-LN(2)/25)*AA103+(1-EXP(-LN(2)/25))/(LN(2)/25)*Calculateur!V104*Calculateur!X104*VLOOKUP('Données projet'!$B$9,Paramètres!$A$1:$I$89,3,0)*0.475*44/12</f>
        <v>6.1823827060519054</v>
      </c>
      <c r="AB104" s="21">
        <f>EXP(-LN(2)/2)*AB103+(1-EXP(-LN(2)/2))/(LN(2)/2)*V104*Y104*VLOOKUP('Données projet'!$B$9,Paramètres!$A$1:$I$89,3,0)*0.475*44/12</f>
        <v>8.2778854313812297E-10</v>
      </c>
      <c r="AC104" s="22">
        <f t="shared" si="57"/>
        <v>9.2612624194653215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8.6999999999999993</v>
      </c>
      <c r="AI104" s="13">
        <f>IF('Données projet'!$A$62&gt;35,AI103+AH104-AQ103,IF(A104&lt;'Données projet'!$A$62,$AF$205^A104,IF(A104='Données projet'!$A$62,'Données projet'!$B$62,AI103+AH104-AQ103)))</f>
        <v>370.3</v>
      </c>
      <c r="AJ104" s="13">
        <f>AI104*VLOOKUP('Données projet'!$B$10,Paramètres!$A$1:$I$89,3,0)*VLOOKUP('Données projet'!$B$10,Paramètres!$A$1:$I$89,5,0)</f>
        <v>173.3004</v>
      </c>
      <c r="AK104" s="13">
        <f t="shared" si="89"/>
        <v>43.82837416766705</v>
      </c>
      <c r="AL104" s="20">
        <f t="shared" si="58"/>
        <v>378.1659483420201</v>
      </c>
      <c r="AM104" s="59">
        <f t="shared" si="59"/>
        <v>671.49928167535336</v>
      </c>
      <c r="AN104" s="59">
        <f ca="1">AVERAGE(OFFSET($AM$3,0,0,'Données projet'!$E$10+1,1))-AVERAGE(OFFSET($H$3,0,0,'Données projet'!$E$10+1,1))</f>
        <v>165.03539937460289</v>
      </c>
      <c r="AO104" s="59">
        <f t="shared" si="90"/>
        <v>142.05625724497401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0.21257381525130625</v>
      </c>
      <c r="AV104" s="21">
        <f>EXP(-LN(2)/25)*AV103+(1-EXP(-LN(2)/25))/(LN(2)/25)*Calculateur!AQ104*Calculateur!AS104*VLOOKUP('Données projet'!$B$10,Paramètres!$A$1:$I$89,3,0)*0.475*44/12</f>
        <v>0.66712631276977485</v>
      </c>
      <c r="AW104" s="21">
        <f>EXP(-LN(2)/2)*AW103+(1-EXP(-LN(2)/2))/(LN(2)/2)*AQ104*AT104*VLOOKUP('Données projet'!$B$10,Paramètres!$A$1:$I$89,3,0)*0.475*44/12</f>
        <v>1.2581720210308574E-10</v>
      </c>
      <c r="AX104" s="21">
        <f t="shared" si="60"/>
        <v>0.87970012814689835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-7.9580786405131221E-13</v>
      </c>
      <c r="BE104" s="13">
        <f>BD104*VLOOKUP('Données projet'!$B$11,Paramètres!$A$1:$I$89,3,0)*VLOOKUP('Données projet'!$B$11,Paramètres!$A$1:$I$89,5,0)</f>
        <v>-3.8278358260868117E-13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402.22278907877927</v>
      </c>
      <c r="BJ104" s="59">
        <f t="shared" si="92"/>
        <v>393.06397734082458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6.8122822427387408</v>
      </c>
      <c r="BQ104" s="21">
        <f>EXP(-LN(2)/25)*BQ103+(1-EXP(-LN(2)/25))/(LN(2)/25)*Calculateur!BL104*Calculateur!BN104*VLOOKUP('Données projet'!$B$11,Paramètres!$A$1:$I$89,3,0)*0.475*44/12</f>
        <v>6.2974026094314297</v>
      </c>
      <c r="BR104" s="21">
        <f>EXP(-LN(2)/2)*BR103+(1-EXP(-LN(2)/2))/(LN(2)/2)*BL104*BO104*VLOOKUP('Données projet'!$B$11,Paramètres!$A$1:$I$89,3,0)*0.475*44/12</f>
        <v>1.8205126928690305E-8</v>
      </c>
      <c r="BS104" s="22">
        <f t="shared" si="63"/>
        <v>13.109684870375297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1.1368683772161603E-12</v>
      </c>
      <c r="O105" s="13">
        <f>N105*VLOOKUP('Données projet'!$B$9,Paramètres!$A$1:$I$89,3,0)*VLOOKUP('Données projet'!$B$9,Paramètres!$A$1:$I$89,5,0)</f>
        <v>6.3550942286383359E-13</v>
      </c>
      <c r="P105" s="13">
        <f t="shared" si="87"/>
        <v>7.6982260417614606E-12</v>
      </c>
      <c r="Q105" s="20">
        <f t="shared" si="107"/>
        <v>1.4514589267555721E-11</v>
      </c>
      <c r="R105" s="59">
        <f t="shared" si="55"/>
        <v>293.33333333334781</v>
      </c>
      <c r="S105" s="59">
        <f ca="1">AVERAGE(OFFSET($R$3,0,0,'Données projet'!$E$9+1,1))-AVERAGE(OFFSET($H$3,0,0,'Données projet'!$E$9+1,1))</f>
        <v>490.7691633858222</v>
      </c>
      <c r="T105" s="59">
        <f t="shared" si="88"/>
        <v>490.82176582457072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3.018504759353017</v>
      </c>
      <c r="AA105" s="21">
        <f>EXP(-LN(2)/25)*AA104+(1-EXP(-LN(2)/25))/(LN(2)/25)*Calculateur!V105*Calculateur!X105*VLOOKUP('Données projet'!$B$9,Paramètres!$A$1:$I$89,3,0)*0.475*44/12</f>
        <v>6.0133251258375395</v>
      </c>
      <c r="AB105" s="21">
        <f>EXP(-LN(2)/2)*AB104+(1-EXP(-LN(2)/2))/(LN(2)/2)*V105*Y105*VLOOKUP('Données projet'!$B$9,Paramètres!$A$1:$I$89,3,0)*0.475*44/12</f>
        <v>5.8533489224149966E-10</v>
      </c>
      <c r="AC105" s="22">
        <f t="shared" si="57"/>
        <v>9.0318298857758919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8.6999999999999993</v>
      </c>
      <c r="AI105" s="13">
        <f>IF('Données projet'!$A$62&gt;35,AI104+AH105-AQ104,IF(A105&lt;'Données projet'!$A$62,$AF$205^A105,IF(A105='Données projet'!$A$62,'Données projet'!$B$62,AI104+AH105-AQ104)))</f>
        <v>379</v>
      </c>
      <c r="AJ105" s="13">
        <f>AI105*VLOOKUP('Données projet'!$B$10,Paramètres!$A$1:$I$89,3,0)*VLOOKUP('Données projet'!$B$10,Paramètres!$A$1:$I$89,5,0)</f>
        <v>177.37200000000001</v>
      </c>
      <c r="AK105" s="13">
        <f t="shared" si="89"/>
        <v>44.737005048641883</v>
      </c>
      <c r="AL105" s="20">
        <f t="shared" si="58"/>
        <v>386.83985045971798</v>
      </c>
      <c r="AM105" s="59">
        <f t="shared" si="59"/>
        <v>680.17318379305129</v>
      </c>
      <c r="AN105" s="59">
        <f ca="1">AVERAGE(OFFSET($AM$3,0,0,'Données projet'!$E$10+1,1))-AVERAGE(OFFSET($H$3,0,0,'Données projet'!$E$10+1,1))</f>
        <v>165.03539937460289</v>
      </c>
      <c r="AO105" s="59">
        <f t="shared" si="90"/>
        <v>142.05625724497401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0.20840537239145285</v>
      </c>
      <c r="AV105" s="21">
        <f>EXP(-LN(2)/25)*AV104+(1-EXP(-LN(2)/25))/(LN(2)/25)*Calculateur!AQ105*Calculateur!AS105*VLOOKUP('Données projet'!$B$10,Paramètres!$A$1:$I$89,3,0)*0.475*44/12</f>
        <v>0.64888370866443734</v>
      </c>
      <c r="AW105" s="21">
        <f>EXP(-LN(2)/2)*AW104+(1-EXP(-LN(2)/2))/(LN(2)/2)*AQ105*AT105*VLOOKUP('Données projet'!$B$10,Paramètres!$A$1:$I$89,3,0)*0.475*44/12</f>
        <v>8.8966196797010278E-11</v>
      </c>
      <c r="AX105" s="21">
        <f t="shared" si="60"/>
        <v>0.85728908114485636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-7.9580786405131221E-13</v>
      </c>
      <c r="BE105" s="13">
        <f>BD105*VLOOKUP('Données projet'!$B$11,Paramètres!$A$1:$I$89,3,0)*VLOOKUP('Données projet'!$B$11,Paramètres!$A$1:$I$89,5,0)</f>
        <v>-3.8278358260868117E-13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402.22278907877927</v>
      </c>
      <c r="BJ105" s="59">
        <f t="shared" si="92"/>
        <v>393.06397734082458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6.6786975430405215</v>
      </c>
      <c r="BQ105" s="21">
        <f>EXP(-LN(2)/25)*BQ104+(1-EXP(-LN(2)/25))/(LN(2)/25)*Calculateur!BL105*Calculateur!BN105*VLOOKUP('Données projet'!$B$11,Paramètres!$A$1:$I$89,3,0)*0.475*44/12</f>
        <v>6.1251998039105171</v>
      </c>
      <c r="BR105" s="21">
        <f>EXP(-LN(2)/2)*BR104+(1-EXP(-LN(2)/2))/(LN(2)/2)*BL105*BO105*VLOOKUP('Données projet'!$B$11,Paramètres!$A$1:$I$89,3,0)*0.475*44/12</f>
        <v>1.287296870363874E-8</v>
      </c>
      <c r="BS105" s="22">
        <f t="shared" si="63"/>
        <v>12.803897359824008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1.1368683772161603E-12</v>
      </c>
      <c r="O106" s="13">
        <f>N106*VLOOKUP('Données projet'!$B$9,Paramètres!$A$1:$I$89,3,0)*VLOOKUP('Données projet'!$B$9,Paramètres!$A$1:$I$89,5,0)</f>
        <v>6.3550942286383359E-13</v>
      </c>
      <c r="P106" s="13">
        <f t="shared" si="87"/>
        <v>7.6982260417614606E-12</v>
      </c>
      <c r="Q106" s="20">
        <f t="shared" si="107"/>
        <v>1.4514589267555721E-11</v>
      </c>
      <c r="R106" s="59">
        <f t="shared" si="55"/>
        <v>293.33333333334781</v>
      </c>
      <c r="S106" s="59">
        <f ca="1">AVERAGE(OFFSET($R$3,0,0,'Données projet'!$E$9+1,1))-AVERAGE(OFFSET($H$3,0,0,'Données projet'!$E$9+1,1))</f>
        <v>490.7691633858222</v>
      </c>
      <c r="T106" s="59">
        <f t="shared" si="88"/>
        <v>490.82176582457072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2.9593137221282135</v>
      </c>
      <c r="AA106" s="21">
        <f>EXP(-LN(2)/25)*AA105+(1-EXP(-LN(2)/25))/(LN(2)/25)*Calculateur!V106*Calculateur!X106*VLOOKUP('Données projet'!$B$9,Paramètres!$A$1:$I$89,3,0)*0.475*44/12</f>
        <v>5.8488904340444874</v>
      </c>
      <c r="AB106" s="21">
        <f>EXP(-LN(2)/2)*AB105+(1-EXP(-LN(2)/2))/(LN(2)/2)*V106*Y106*VLOOKUP('Données projet'!$B$9,Paramètres!$A$1:$I$89,3,0)*0.475*44/12</f>
        <v>4.1389427156906148E-10</v>
      </c>
      <c r="AC106" s="22">
        <f t="shared" si="57"/>
        <v>8.8082041565865961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8.6999999999999993</v>
      </c>
      <c r="AI106" s="13">
        <f>IF('Données projet'!$A$62&gt;35,AI105+AH106-AQ105,IF(A106&lt;'Données projet'!$A$62,$AF$205^A106,IF(A106='Données projet'!$A$62,'Données projet'!$B$62,AI105+AH106-AQ105)))</f>
        <v>387.7</v>
      </c>
      <c r="AJ106" s="13">
        <f>AI106*VLOOKUP('Données projet'!$B$10,Paramètres!$A$1:$I$89,3,0)*VLOOKUP('Données projet'!$B$10,Paramètres!$A$1:$I$89,5,0)</f>
        <v>181.4436</v>
      </c>
      <c r="AK106" s="13">
        <f t="shared" si="89"/>
        <v>45.64321110268957</v>
      </c>
      <c r="AL106" s="20">
        <f t="shared" si="58"/>
        <v>395.50952933718435</v>
      </c>
      <c r="AM106" s="59">
        <f t="shared" si="59"/>
        <v>688.84286267051766</v>
      </c>
      <c r="AN106" s="59">
        <f ca="1">AVERAGE(OFFSET($AM$3,0,0,'Données projet'!$E$10+1,1))-AVERAGE(OFFSET($H$3,0,0,'Données projet'!$E$10+1,1))</f>
        <v>165.03539937460289</v>
      </c>
      <c r="AO106" s="59">
        <f t="shared" si="90"/>
        <v>142.05625724497401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0.20431867015358207</v>
      </c>
      <c r="AV106" s="21">
        <f>EXP(-LN(2)/25)*AV105+(1-EXP(-LN(2)/25))/(LN(2)/25)*Calculateur!AQ106*Calculateur!AS106*VLOOKUP('Données projet'!$B$10,Paramètres!$A$1:$I$89,3,0)*0.475*44/12</f>
        <v>0.63113994952769714</v>
      </c>
      <c r="AW106" s="21">
        <f>EXP(-LN(2)/2)*AW105+(1-EXP(-LN(2)/2))/(LN(2)/2)*AQ106*AT106*VLOOKUP('Données projet'!$B$10,Paramètres!$A$1:$I$89,3,0)*0.475*44/12</f>
        <v>6.2908601051542871E-11</v>
      </c>
      <c r="AX106" s="21">
        <f t="shared" si="60"/>
        <v>0.83545861974418778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-7.9580786405131221E-13</v>
      </c>
      <c r="BE106" s="13">
        <f>BD106*VLOOKUP('Données projet'!$B$11,Paramètres!$A$1:$I$89,3,0)*VLOOKUP('Données projet'!$B$11,Paramètres!$A$1:$I$89,5,0)</f>
        <v>-3.8278358260868117E-13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402.22278907877927</v>
      </c>
      <c r="BJ106" s="59">
        <f t="shared" si="92"/>
        <v>393.06397734082458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6.5477323578247635</v>
      </c>
      <c r="BQ106" s="21">
        <f>EXP(-LN(2)/25)*BQ105+(1-EXP(-LN(2)/25))/(LN(2)/25)*Calculateur!BL106*Calculateur!BN106*VLOOKUP('Données projet'!$B$11,Paramètres!$A$1:$I$89,3,0)*0.475*44/12</f>
        <v>5.9577058931623252</v>
      </c>
      <c r="BR106" s="21">
        <f>EXP(-LN(2)/2)*BR105+(1-EXP(-LN(2)/2))/(LN(2)/2)*BL106*BO106*VLOOKUP('Données projet'!$B$11,Paramètres!$A$1:$I$89,3,0)*0.475*44/12</f>
        <v>9.1025634643451526E-9</v>
      </c>
      <c r="BS106" s="22">
        <f t="shared" si="63"/>
        <v>12.505438260089653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1.1368683772161603E-12</v>
      </c>
      <c r="O107" s="13">
        <f>N107*VLOOKUP('Données projet'!$B$9,Paramètres!$A$1:$I$89,3,0)*VLOOKUP('Données projet'!$B$9,Paramètres!$A$1:$I$89,5,0)</f>
        <v>6.3550942286383359E-13</v>
      </c>
      <c r="P107" s="13">
        <f t="shared" si="87"/>
        <v>7.6982260417614606E-12</v>
      </c>
      <c r="Q107" s="20">
        <f t="shared" si="107"/>
        <v>1.4514589267555721E-11</v>
      </c>
      <c r="R107" s="59">
        <f t="shared" si="55"/>
        <v>293.33333333334781</v>
      </c>
      <c r="S107" s="59">
        <f ca="1">AVERAGE(OFFSET($R$3,0,0,'Données projet'!$E$9+1,1))-AVERAGE(OFFSET($H$3,0,0,'Données projet'!$E$9+1,1))</f>
        <v>490.7691633858222</v>
      </c>
      <c r="T107" s="59">
        <f t="shared" si="88"/>
        <v>490.82176582457072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2.9012833850404207</v>
      </c>
      <c r="AA107" s="21">
        <f>EXP(-LN(2)/25)*AA106+(1-EXP(-LN(2)/25))/(LN(2)/25)*Calculateur!V107*Calculateur!X107*VLOOKUP('Données projet'!$B$9,Paramètres!$A$1:$I$89,3,0)*0.475*44/12</f>
        <v>5.6889522175457605</v>
      </c>
      <c r="AB107" s="21">
        <f>EXP(-LN(2)/2)*AB106+(1-EXP(-LN(2)/2))/(LN(2)/2)*V107*Y107*VLOOKUP('Données projet'!$B$9,Paramètres!$A$1:$I$89,3,0)*0.475*44/12</f>
        <v>2.9266744612074983E-10</v>
      </c>
      <c r="AC107" s="22">
        <f t="shared" si="57"/>
        <v>8.5902356028788489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8.6999999999999993</v>
      </c>
      <c r="AI107" s="13">
        <f>IF('Données projet'!$A$62&gt;35,AI106+AH107-AQ106,IF(A107&lt;'Données projet'!$A$62,$AF$205^A107,IF(A107='Données projet'!$A$62,'Données projet'!$B$62,AI106+AH107-AQ106)))</f>
        <v>396.4</v>
      </c>
      <c r="AJ107" s="13">
        <f>AI107*VLOOKUP('Données projet'!$B$10,Paramètres!$A$1:$I$89,3,0)*VLOOKUP('Données projet'!$B$10,Paramètres!$A$1:$I$89,5,0)</f>
        <v>185.51519999999999</v>
      </c>
      <c r="AK107" s="13">
        <f t="shared" si="89"/>
        <v>46.547053007719569</v>
      </c>
      <c r="AL107" s="20">
        <f t="shared" si="58"/>
        <v>404.17509065511155</v>
      </c>
      <c r="AM107" s="59">
        <f t="shared" si="59"/>
        <v>697.50842398844486</v>
      </c>
      <c r="AN107" s="59">
        <f ca="1">AVERAGE(OFFSET($AM$3,0,0,'Données projet'!$E$10+1,1))-AVERAGE(OFFSET($H$3,0,0,'Données projet'!$E$10+1,1))</f>
        <v>165.03539937460289</v>
      </c>
      <c r="AO107" s="59">
        <f t="shared" si="90"/>
        <v>142.05625724497401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0.20031210565395371</v>
      </c>
      <c r="AV107" s="21">
        <f>EXP(-LN(2)/25)*AV106+(1-EXP(-LN(2)/25))/(LN(2)/25)*Calculateur!AQ107*Calculateur!AS107*VLOOKUP('Données projet'!$B$10,Paramètres!$A$1:$I$89,3,0)*0.475*44/12</f>
        <v>0.61388139441765477</v>
      </c>
      <c r="AW107" s="21">
        <f>EXP(-LN(2)/2)*AW106+(1-EXP(-LN(2)/2))/(LN(2)/2)*AQ107*AT107*VLOOKUP('Données projet'!$B$10,Paramètres!$A$1:$I$89,3,0)*0.475*44/12</f>
        <v>4.4483098398505139E-11</v>
      </c>
      <c r="AX107" s="21">
        <f t="shared" si="60"/>
        <v>0.8141935001160916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-7.9580786405131221E-13</v>
      </c>
      <c r="BE107" s="13">
        <f>BD107*VLOOKUP('Données projet'!$B$11,Paramètres!$A$1:$I$89,3,0)*VLOOKUP('Données projet'!$B$11,Paramètres!$A$1:$I$89,5,0)</f>
        <v>-3.8278358260868117E-13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402.22278907877927</v>
      </c>
      <c r="BJ107" s="59">
        <f t="shared" si="92"/>
        <v>393.06397734082458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6.4193353200102106</v>
      </c>
      <c r="BQ107" s="21">
        <f>EXP(-LN(2)/25)*BQ106+(1-EXP(-LN(2)/25))/(LN(2)/25)*Calculateur!BL107*Calculateur!BN107*VLOOKUP('Données projet'!$B$11,Paramètres!$A$1:$I$89,3,0)*0.475*44/12</f>
        <v>5.794792112211665</v>
      </c>
      <c r="BR107" s="21">
        <f>EXP(-LN(2)/2)*BR106+(1-EXP(-LN(2)/2))/(LN(2)/2)*BL107*BO107*VLOOKUP('Données projet'!$B$11,Paramètres!$A$1:$I$89,3,0)*0.475*44/12</f>
        <v>6.4364843518193699E-9</v>
      </c>
      <c r="BS107" s="22">
        <f t="shared" si="63"/>
        <v>12.214127438658361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1.1368683772161603E-12</v>
      </c>
      <c r="O108" s="13">
        <f>N108*VLOOKUP('Données projet'!$B$9,Paramètres!$A$1:$I$89,3,0)*VLOOKUP('Données projet'!$B$9,Paramètres!$A$1:$I$89,5,0)</f>
        <v>6.3550942286383359E-13</v>
      </c>
      <c r="P108" s="13">
        <f t="shared" si="87"/>
        <v>7.6982260417614606E-12</v>
      </c>
      <c r="Q108" s="20">
        <f t="shared" si="107"/>
        <v>1.4514589267555721E-11</v>
      </c>
      <c r="R108" s="59">
        <f t="shared" si="55"/>
        <v>293.33333333334781</v>
      </c>
      <c r="S108" s="59">
        <f ca="1">AVERAGE(OFFSET($R$3,0,0,'Données projet'!$E$9+1,1))-AVERAGE(OFFSET($H$3,0,0,'Données projet'!$E$9+1,1))</f>
        <v>490.7691633858222</v>
      </c>
      <c r="T108" s="59">
        <f t="shared" si="88"/>
        <v>490.82176582457072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2.8443909874679085</v>
      </c>
      <c r="AA108" s="21">
        <f>EXP(-LN(2)/25)*AA107+(1-EXP(-LN(2)/25))/(LN(2)/25)*Calculateur!V108*Calculateur!X108*VLOOKUP('Données projet'!$B$9,Paramètres!$A$1:$I$89,3,0)*0.475*44/12</f>
        <v>5.5333875199879765</v>
      </c>
      <c r="AB108" s="21">
        <f>EXP(-LN(2)/2)*AB107+(1-EXP(-LN(2)/2))/(LN(2)/2)*V108*Y108*VLOOKUP('Données projet'!$B$9,Paramètres!$A$1:$I$89,3,0)*0.475*44/12</f>
        <v>2.0694713578453074E-10</v>
      </c>
      <c r="AC108" s="22">
        <f t="shared" si="57"/>
        <v>8.3777785076628319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8.6999999999999993</v>
      </c>
      <c r="AI108" s="13">
        <f>IF('Données projet'!$A$62&gt;35,AI107+AH108-AQ107,IF(A108&lt;'Données projet'!$A$62,$AF$205^A108,IF(A108='Données projet'!$A$62,'Données projet'!$B$62,AI107+AH108-AQ107)))</f>
        <v>405.09999999999997</v>
      </c>
      <c r="AJ108" s="13">
        <f>AI108*VLOOKUP('Données projet'!$B$10,Paramètres!$A$1:$I$89,3,0)*VLOOKUP('Données projet'!$B$10,Paramètres!$A$1:$I$89,5,0)</f>
        <v>189.58679999999998</v>
      </c>
      <c r="AK108" s="13">
        <f t="shared" si="89"/>
        <v>47.448588626085396</v>
      </c>
      <c r="AL108" s="20">
        <f t="shared" si="58"/>
        <v>412.83663519043193</v>
      </c>
      <c r="AM108" s="59">
        <f t="shared" si="59"/>
        <v>706.16996852376519</v>
      </c>
      <c r="AN108" s="59">
        <f ca="1">AVERAGE(OFFSET($AM$3,0,0,'Données projet'!$E$10+1,1))-AVERAGE(OFFSET($H$3,0,0,'Données projet'!$E$10+1,1))</f>
        <v>165.03539937460289</v>
      </c>
      <c r="AO108" s="59">
        <f t="shared" si="90"/>
        <v>142.05625724497401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0.19638410744040002</v>
      </c>
      <c r="AV108" s="21">
        <f>EXP(-LN(2)/25)*AV107+(1-EXP(-LN(2)/25))/(LN(2)/25)*Calculateur!AQ108*Calculateur!AS108*VLOOKUP('Données projet'!$B$10,Paramètres!$A$1:$I$89,3,0)*0.475*44/12</f>
        <v>0.59709477540468447</v>
      </c>
      <c r="AW108" s="21">
        <f>EXP(-LN(2)/2)*AW107+(1-EXP(-LN(2)/2))/(LN(2)/2)*AQ108*AT108*VLOOKUP('Données projet'!$B$10,Paramètres!$A$1:$I$89,3,0)*0.475*44/12</f>
        <v>3.1454300525771435E-11</v>
      </c>
      <c r="AX108" s="21">
        <f t="shared" si="60"/>
        <v>0.79347888287653878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-7.9580786405131221E-13</v>
      </c>
      <c r="BE108" s="13">
        <f>BD108*VLOOKUP('Données projet'!$B$11,Paramètres!$A$1:$I$89,3,0)*VLOOKUP('Données projet'!$B$11,Paramètres!$A$1:$I$89,5,0)</f>
        <v>-3.8278358260868117E-13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402.22278907877927</v>
      </c>
      <c r="BJ108" s="59">
        <f t="shared" si="92"/>
        <v>393.06397734082458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6.2934560697927413</v>
      </c>
      <c r="BQ108" s="21">
        <f>EXP(-LN(2)/25)*BQ107+(1-EXP(-LN(2)/25))/(LN(2)/25)*Calculateur!BL108*Calculateur!BN108*VLOOKUP('Données projet'!$B$11,Paramètres!$A$1:$I$89,3,0)*0.475*44/12</f>
        <v>5.6363332171683638</v>
      </c>
      <c r="BR108" s="21">
        <f>EXP(-LN(2)/2)*BR107+(1-EXP(-LN(2)/2))/(LN(2)/2)*BL108*BO108*VLOOKUP('Données projet'!$B$11,Paramètres!$A$1:$I$89,3,0)*0.475*44/12</f>
        <v>4.5512817321725763E-9</v>
      </c>
      <c r="BS108" s="22">
        <f t="shared" si="63"/>
        <v>11.929789291512387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1.1368683772161603E-12</v>
      </c>
      <c r="O109" s="13">
        <f>N109*VLOOKUP('Données projet'!$B$9,Paramètres!$A$1:$I$89,3,0)*VLOOKUP('Données projet'!$B$9,Paramètres!$A$1:$I$89,5,0)</f>
        <v>6.3550942286383359E-13</v>
      </c>
      <c r="P109" s="13">
        <f t="shared" si="87"/>
        <v>7.6982260417614606E-12</v>
      </c>
      <c r="Q109" s="20">
        <f t="shared" si="107"/>
        <v>1.4514589267555721E-11</v>
      </c>
      <c r="R109" s="59">
        <f t="shared" si="55"/>
        <v>293.33333333334781</v>
      </c>
      <c r="S109" s="59">
        <f ca="1">AVERAGE(OFFSET($R$3,0,0,'Données projet'!$E$9+1,1))-AVERAGE(OFFSET($H$3,0,0,'Données projet'!$E$9+1,1))</f>
        <v>490.7691633858222</v>
      </c>
      <c r="T109" s="59">
        <f t="shared" si="88"/>
        <v>490.82176582457072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2.7886142151108575</v>
      </c>
      <c r="AA109" s="21">
        <f>EXP(-LN(2)/25)*AA108+(1-EXP(-LN(2)/25))/(LN(2)/25)*Calculateur!V109*Calculateur!X109*VLOOKUP('Données projet'!$B$9,Paramètres!$A$1:$I$89,3,0)*0.475*44/12</f>
        <v>5.3820767472657023</v>
      </c>
      <c r="AB109" s="21">
        <f>EXP(-LN(2)/2)*AB108+(1-EXP(-LN(2)/2))/(LN(2)/2)*V109*Y109*VLOOKUP('Données projet'!$B$9,Paramètres!$A$1:$I$89,3,0)*0.475*44/12</f>
        <v>1.4633372306037492E-10</v>
      </c>
      <c r="AC109" s="22">
        <f t="shared" si="57"/>
        <v>8.1706909625228938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8.6999999999999993</v>
      </c>
      <c r="AI109" s="13">
        <f>IF('Données projet'!$A$62&gt;35,AI108+AH109-AQ108,IF(A109&lt;'Données projet'!$A$62,$AF$205^A109,IF(A109='Données projet'!$A$62,'Données projet'!$B$62,AI108+AH109-AQ108)))</f>
        <v>413.79999999999995</v>
      </c>
      <c r="AJ109" s="13">
        <f>AI109*VLOOKUP('Données projet'!$B$10,Paramètres!$A$1:$I$89,3,0)*VLOOKUP('Données projet'!$B$10,Paramètres!$A$1:$I$89,5,0)</f>
        <v>193.6584</v>
      </c>
      <c r="AK109" s="13">
        <f t="shared" si="89"/>
        <v>48.347873192848013</v>
      </c>
      <c r="AL109" s="20">
        <f t="shared" si="58"/>
        <v>421.49425914421028</v>
      </c>
      <c r="AM109" s="59">
        <f t="shared" si="59"/>
        <v>714.82759247754359</v>
      </c>
      <c r="AN109" s="59">
        <f ca="1">AVERAGE(OFFSET($AM$3,0,0,'Données projet'!$E$10+1,1))-AVERAGE(OFFSET($H$3,0,0,'Données projet'!$E$10+1,1))</f>
        <v>165.03539937460289</v>
      </c>
      <c r="AO109" s="59">
        <f t="shared" si="90"/>
        <v>142.05625724497401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0.19253313487597179</v>
      </c>
      <c r="AV109" s="21">
        <f>EXP(-LN(2)/25)*AV108+(1-EXP(-LN(2)/25))/(LN(2)/25)*Calculateur!AQ109*Calculateur!AS109*VLOOKUP('Données projet'!$B$10,Paramètres!$A$1:$I$89,3,0)*0.475*44/12</f>
        <v>0.58076718737139377</v>
      </c>
      <c r="AW109" s="21">
        <f>EXP(-LN(2)/2)*AW108+(1-EXP(-LN(2)/2))/(LN(2)/2)*AQ109*AT109*VLOOKUP('Données projet'!$B$10,Paramètres!$A$1:$I$89,3,0)*0.475*44/12</f>
        <v>2.2241549199252569E-11</v>
      </c>
      <c r="AX109" s="21">
        <f t="shared" si="60"/>
        <v>0.7733003222696071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-7.9580786405131221E-13</v>
      </c>
      <c r="BE109" s="13">
        <f>BD109*VLOOKUP('Données projet'!$B$11,Paramètres!$A$1:$I$89,3,0)*VLOOKUP('Données projet'!$B$11,Paramètres!$A$1:$I$89,5,0)</f>
        <v>-3.8278358260868117E-13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402.22278907877927</v>
      </c>
      <c r="BJ109" s="59">
        <f t="shared" si="92"/>
        <v>393.06397734082458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6.1700452348932755</v>
      </c>
      <c r="BQ109" s="21">
        <f>EXP(-LN(2)/25)*BQ108+(1-EXP(-LN(2)/25))/(LN(2)/25)*Calculateur!BL109*Calculateur!BN109*VLOOKUP('Données projet'!$B$11,Paramètres!$A$1:$I$89,3,0)*0.475*44/12</f>
        <v>5.4822073889430127</v>
      </c>
      <c r="BR109" s="21">
        <f>EXP(-LN(2)/2)*BR108+(1-EXP(-LN(2)/2))/(LN(2)/2)*BL109*BO109*VLOOKUP('Données projet'!$B$11,Paramètres!$A$1:$I$89,3,0)*0.475*44/12</f>
        <v>3.218242175909685E-9</v>
      </c>
      <c r="BS109" s="22">
        <f t="shared" si="63"/>
        <v>11.65225262705453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1.1368683772161603E-12</v>
      </c>
      <c r="O110" s="13">
        <f>N110*VLOOKUP('Données projet'!$B$9,Paramètres!$A$1:$I$89,3,0)*VLOOKUP('Données projet'!$B$9,Paramètres!$A$1:$I$89,5,0)</f>
        <v>6.3550942286383359E-13</v>
      </c>
      <c r="P110" s="13">
        <f t="shared" si="87"/>
        <v>7.6982260417614606E-12</v>
      </c>
      <c r="Q110" s="20">
        <f t="shared" si="107"/>
        <v>1.4514589267555721E-11</v>
      </c>
      <c r="R110" s="59">
        <f t="shared" si="55"/>
        <v>293.33333333334781</v>
      </c>
      <c r="S110" s="59">
        <f ca="1">AVERAGE(OFFSET($R$3,0,0,'Données projet'!$E$9+1,1))-AVERAGE(OFFSET($H$3,0,0,'Données projet'!$E$9+1,1))</f>
        <v>490.7691633858222</v>
      </c>
      <c r="T110" s="59">
        <f t="shared" si="88"/>
        <v>490.82176582457072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2.7339311912392561</v>
      </c>
      <c r="AA110" s="21">
        <f>EXP(-LN(2)/25)*AA109+(1-EXP(-LN(2)/25))/(LN(2)/25)*Calculateur!V110*Calculateur!X110*VLOOKUP('Données projet'!$B$9,Paramètres!$A$1:$I$89,3,0)*0.475*44/12</f>
        <v>5.2349035755806064</v>
      </c>
      <c r="AB110" s="21">
        <f>EXP(-LN(2)/2)*AB109+(1-EXP(-LN(2)/2))/(LN(2)/2)*V110*Y110*VLOOKUP('Données projet'!$B$9,Paramètres!$A$1:$I$89,3,0)*0.475*44/12</f>
        <v>1.0347356789226537E-10</v>
      </c>
      <c r="AC110" s="22">
        <f t="shared" si="57"/>
        <v>7.9688347669233357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8.6999999999999993</v>
      </c>
      <c r="AI110" s="13">
        <f>IF('Données projet'!$A$62&gt;35,AI109+AH110-AQ109,IF(A110&lt;'Données projet'!$A$62,$AF$205^A110,IF(A110='Données projet'!$A$62,'Données projet'!$B$62,AI109+AH110-AQ109)))</f>
        <v>422.49999999999994</v>
      </c>
      <c r="AJ110" s="13">
        <f>AI110*VLOOKUP('Données projet'!$B$10,Paramètres!$A$1:$I$89,3,0)*VLOOKUP('Données projet'!$B$10,Paramètres!$A$1:$I$89,5,0)</f>
        <v>197.72999999999996</v>
      </c>
      <c r="AK110" s="13">
        <f t="shared" si="89"/>
        <v>49.244959487759665</v>
      </c>
      <c r="AL110" s="20">
        <f t="shared" si="58"/>
        <v>430.14805444118133</v>
      </c>
      <c r="AM110" s="59">
        <f t="shared" si="59"/>
        <v>723.48138777451459</v>
      </c>
      <c r="AN110" s="59">
        <f ca="1">AVERAGE(OFFSET($AM$3,0,0,'Données projet'!$E$10+1,1))-AVERAGE(OFFSET($H$3,0,0,'Données projet'!$E$10+1,1))</f>
        <v>165.03539937460289</v>
      </c>
      <c r="AO110" s="59">
        <f t="shared" si="90"/>
        <v>142.05625724497401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0.18875767753467065</v>
      </c>
      <c r="AV110" s="21">
        <f>EXP(-LN(2)/25)*AV109+(1-EXP(-LN(2)/25))/(LN(2)/25)*Calculateur!AQ110*Calculateur!AS110*VLOOKUP('Données projet'!$B$10,Paramètres!$A$1:$I$89,3,0)*0.475*44/12</f>
        <v>0.56488607809150393</v>
      </c>
      <c r="AW110" s="21">
        <f>EXP(-LN(2)/2)*AW109+(1-EXP(-LN(2)/2))/(LN(2)/2)*AQ110*AT110*VLOOKUP('Données projet'!$B$10,Paramètres!$A$1:$I$89,3,0)*0.475*44/12</f>
        <v>1.5727150262885718E-11</v>
      </c>
      <c r="AX110" s="21">
        <f t="shared" si="60"/>
        <v>0.75364375564190178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-7.9580786405131221E-13</v>
      </c>
      <c r="BE110" s="13">
        <f>BD110*VLOOKUP('Données projet'!$B$11,Paramètres!$A$1:$I$89,3,0)*VLOOKUP('Données projet'!$B$11,Paramètres!$A$1:$I$89,5,0)</f>
        <v>-3.8278358260868117E-13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402.22278907877927</v>
      </c>
      <c r="BJ110" s="59">
        <f t="shared" si="92"/>
        <v>393.06397734082458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6.0490544111930111</v>
      </c>
      <c r="BQ110" s="21">
        <f>EXP(-LN(2)/25)*BQ109+(1-EXP(-LN(2)/25))/(LN(2)/25)*Calculateur!BL110*Calculateur!BN110*VLOOKUP('Données projet'!$B$11,Paramètres!$A$1:$I$89,3,0)*0.475*44/12</f>
        <v>5.3322961395956092</v>
      </c>
      <c r="BR110" s="21">
        <f>EXP(-LN(2)/2)*BR109+(1-EXP(-LN(2)/2))/(LN(2)/2)*BL110*BO110*VLOOKUP('Données projet'!$B$11,Paramètres!$A$1:$I$89,3,0)*0.475*44/12</f>
        <v>2.2756408660862882E-9</v>
      </c>
      <c r="BS110" s="22">
        <f t="shared" si="63"/>
        <v>11.381350553064262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1.1368683772161603E-12</v>
      </c>
      <c r="O111" s="13">
        <f>N111*VLOOKUP('Données projet'!$B$9,Paramètres!$A$1:$I$89,3,0)*VLOOKUP('Données projet'!$B$9,Paramètres!$A$1:$I$89,5,0)</f>
        <v>6.3550942286383359E-13</v>
      </c>
      <c r="P111" s="13">
        <f t="shared" si="87"/>
        <v>7.6982260417614606E-12</v>
      </c>
      <c r="Q111" s="20">
        <f t="shared" si="107"/>
        <v>1.4514589267555721E-11</v>
      </c>
      <c r="R111" s="59">
        <f t="shared" si="55"/>
        <v>293.33333333334781</v>
      </c>
      <c r="S111" s="59">
        <f ca="1">AVERAGE(OFFSET($R$3,0,0,'Données projet'!$E$9+1,1))-AVERAGE(OFFSET($H$3,0,0,'Données projet'!$E$9+1,1))</f>
        <v>490.7691633858222</v>
      </c>
      <c r="T111" s="59">
        <f t="shared" si="88"/>
        <v>490.82176582457072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2.6803204681124257</v>
      </c>
      <c r="AA111" s="21">
        <f>EXP(-LN(2)/25)*AA110+(1-EXP(-LN(2)/25))/(LN(2)/25)*Calculateur!V111*Calculateur!X111*VLOOKUP('Données projet'!$B$9,Paramètres!$A$1:$I$89,3,0)*0.475*44/12</f>
        <v>5.0917548620147404</v>
      </c>
      <c r="AB111" s="21">
        <f>EXP(-LN(2)/2)*AB110+(1-EXP(-LN(2)/2))/(LN(2)/2)*V111*Y111*VLOOKUP('Données projet'!$B$9,Paramètres!$A$1:$I$89,3,0)*0.475*44/12</f>
        <v>7.3166861530187458E-11</v>
      </c>
      <c r="AC111" s="22">
        <f t="shared" si="57"/>
        <v>7.7720753302003329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8.6999999999999993</v>
      </c>
      <c r="AI111" s="13">
        <f>IF('Données projet'!$A$62&gt;35,AI110+AH111-AQ110,IF(A111&lt;'Données projet'!$A$62,$AF$205^A111,IF(A111='Données projet'!$A$62,'Données projet'!$B$62,AI110+AH111-AQ110)))</f>
        <v>431.19999999999993</v>
      </c>
      <c r="AJ111" s="13">
        <f>AI111*VLOOKUP('Données projet'!$B$10,Paramètres!$A$1:$I$89,3,0)*VLOOKUP('Données projet'!$B$10,Paramètres!$A$1:$I$89,5,0)</f>
        <v>201.80159999999998</v>
      </c>
      <c r="AK111" s="13">
        <f t="shared" si="89"/>
        <v>50.139897992681668</v>
      </c>
      <c r="AL111" s="20">
        <f t="shared" si="58"/>
        <v>438.7981090039205</v>
      </c>
      <c r="AM111" s="59">
        <f t="shared" si="59"/>
        <v>732.13144233725382</v>
      </c>
      <c r="AN111" s="59">
        <f ca="1">AVERAGE(OFFSET($AM$3,0,0,'Données projet'!$E$10+1,1))-AVERAGE(OFFSET($H$3,0,0,'Données projet'!$E$10+1,1))</f>
        <v>165.03539937460289</v>
      </c>
      <c r="AO111" s="59">
        <f t="shared" si="90"/>
        <v>142.05625724497401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0.18505625460903083</v>
      </c>
      <c r="AV111" s="21">
        <f>EXP(-LN(2)/25)*AV110+(1-EXP(-LN(2)/25))/(LN(2)/25)*Calculateur!AQ111*Calculateur!AS111*VLOOKUP('Données projet'!$B$10,Paramètres!$A$1:$I$89,3,0)*0.475*44/12</f>
        <v>0.54943923858002397</v>
      </c>
      <c r="AW111" s="21">
        <f>EXP(-LN(2)/2)*AW110+(1-EXP(-LN(2)/2))/(LN(2)/2)*AQ111*AT111*VLOOKUP('Données projet'!$B$10,Paramètres!$A$1:$I$89,3,0)*0.475*44/12</f>
        <v>1.1120774599626285E-11</v>
      </c>
      <c r="AX111" s="21">
        <f t="shared" si="60"/>
        <v>0.7344954932001756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-7.9580786405131221E-13</v>
      </c>
      <c r="BE111" s="13">
        <f>BD111*VLOOKUP('Données projet'!$B$11,Paramètres!$A$1:$I$89,3,0)*VLOOKUP('Données projet'!$B$11,Paramètres!$A$1:$I$89,5,0)</f>
        <v>-3.8278358260868117E-13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402.22278907877927</v>
      </c>
      <c r="BJ111" s="59">
        <f t="shared" si="92"/>
        <v>393.06397734082458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5.930436143748393</v>
      </c>
      <c r="BQ111" s="21">
        <f>EXP(-LN(2)/25)*BQ110+(1-EXP(-LN(2)/25))/(LN(2)/25)*Calculateur!BL111*Calculateur!BN111*VLOOKUP('Données projet'!$B$11,Paramètres!$A$1:$I$89,3,0)*0.475*44/12</f>
        <v>5.1864842212451006</v>
      </c>
      <c r="BR111" s="21">
        <f>EXP(-LN(2)/2)*BR110+(1-EXP(-LN(2)/2))/(LN(2)/2)*BL111*BO111*VLOOKUP('Données projet'!$B$11,Paramètres!$A$1:$I$89,3,0)*0.475*44/12</f>
        <v>1.6091210879548425E-9</v>
      </c>
      <c r="BS111" s="22">
        <f t="shared" si="63"/>
        <v>11.116920366602615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1.1368683772161603E-12</v>
      </c>
      <c r="O112" s="13">
        <f>N112*VLOOKUP('Données projet'!$B$9,Paramètres!$A$1:$I$89,3,0)*VLOOKUP('Données projet'!$B$9,Paramètres!$A$1:$I$89,5,0)</f>
        <v>6.3550942286383359E-13</v>
      </c>
      <c r="P112" s="13">
        <f t="shared" si="87"/>
        <v>7.6982260417614606E-12</v>
      </c>
      <c r="Q112" s="20">
        <f t="shared" si="107"/>
        <v>1.4514589267555721E-11</v>
      </c>
      <c r="R112" s="59">
        <f t="shared" si="55"/>
        <v>293.33333333334781</v>
      </c>
      <c r="S112" s="59">
        <f ca="1">AVERAGE(OFFSET($R$3,0,0,'Données projet'!$E$9+1,1))-AVERAGE(OFFSET($H$3,0,0,'Données projet'!$E$9+1,1))</f>
        <v>490.7691633858222</v>
      </c>
      <c r="T112" s="59">
        <f t="shared" si="88"/>
        <v>490.82176582457072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2.6277610185668001</v>
      </c>
      <c r="AA112" s="21">
        <f>EXP(-LN(2)/25)*AA111+(1-EXP(-LN(2)/25))/(LN(2)/25)*Calculateur!V112*Calculateur!X112*VLOOKUP('Données projet'!$B$9,Paramètres!$A$1:$I$89,3,0)*0.475*44/12</f>
        <v>4.9525205575491968</v>
      </c>
      <c r="AB112" s="21">
        <f>EXP(-LN(2)/2)*AB111+(1-EXP(-LN(2)/2))/(LN(2)/2)*V112*Y112*VLOOKUP('Données projet'!$B$9,Paramètres!$A$1:$I$89,3,0)*0.475*44/12</f>
        <v>5.1736783946132685E-11</v>
      </c>
      <c r="AC112" s="22">
        <f t="shared" si="57"/>
        <v>7.5802815761677333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8.6999999999999993</v>
      </c>
      <c r="AI112" s="13">
        <f>IF('Données projet'!$A$62&gt;35,AI111+AH112-AQ111,IF(A112&lt;'Données projet'!$A$62,$AF$205^A112,IF(A112='Données projet'!$A$62,'Données projet'!$B$62,AI111+AH112-AQ111)))</f>
        <v>439.89999999999992</v>
      </c>
      <c r="AJ112" s="13">
        <f>AI112*VLOOKUP('Données projet'!$B$10,Paramètres!$A$1:$I$89,3,0)*VLOOKUP('Données projet'!$B$10,Paramètres!$A$1:$I$89,5,0)</f>
        <v>205.87319999999997</v>
      </c>
      <c r="AK112" s="13">
        <f t="shared" si="89"/>
        <v>51.03273703593927</v>
      </c>
      <c r="AL112" s="20">
        <f t="shared" si="58"/>
        <v>447.44450700426086</v>
      </c>
      <c r="AM112" s="59">
        <f t="shared" si="59"/>
        <v>740.77784033759417</v>
      </c>
      <c r="AN112" s="59">
        <f ca="1">AVERAGE(OFFSET($AM$3,0,0,'Données projet'!$E$10+1,1))-AVERAGE(OFFSET($H$3,0,0,'Données projet'!$E$10+1,1))</f>
        <v>165.03539937460289</v>
      </c>
      <c r="AO112" s="59">
        <f t="shared" si="90"/>
        <v>142.05625724497401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0.18142741432931775</v>
      </c>
      <c r="AV112" s="21">
        <f>EXP(-LN(2)/25)*AV111+(1-EXP(-LN(2)/25))/(LN(2)/25)*Calculateur!AQ112*Calculateur!AS112*VLOOKUP('Données projet'!$B$10,Paramètres!$A$1:$I$89,3,0)*0.475*44/12</f>
        <v>0.53441479370729938</v>
      </c>
      <c r="AW112" s="21">
        <f>EXP(-LN(2)/2)*AW111+(1-EXP(-LN(2)/2))/(LN(2)/2)*AQ112*AT112*VLOOKUP('Données projet'!$B$10,Paramètres!$A$1:$I$89,3,0)*0.475*44/12</f>
        <v>7.8635751314428588E-12</v>
      </c>
      <c r="AX112" s="21">
        <f t="shared" si="60"/>
        <v>0.71584220804448073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-7.9580786405131221E-13</v>
      </c>
      <c r="BE112" s="13">
        <f>BD112*VLOOKUP('Données projet'!$B$11,Paramètres!$A$1:$I$89,3,0)*VLOOKUP('Données projet'!$B$11,Paramètres!$A$1:$I$89,5,0)</f>
        <v>-3.8278358260868117E-13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402.22278907877927</v>
      </c>
      <c r="BJ112" s="59">
        <f t="shared" si="92"/>
        <v>393.06397734082458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5.814143908178365</v>
      </c>
      <c r="BQ112" s="21">
        <f>EXP(-LN(2)/25)*BQ111+(1-EXP(-LN(2)/25))/(LN(2)/25)*Calculateur!BL112*Calculateur!BN112*VLOOKUP('Données projet'!$B$11,Paramètres!$A$1:$I$89,3,0)*0.475*44/12</f>
        <v>5.0446595374698022</v>
      </c>
      <c r="BR112" s="21">
        <f>EXP(-LN(2)/2)*BR111+(1-EXP(-LN(2)/2))/(LN(2)/2)*BL112*BO112*VLOOKUP('Données projet'!$B$11,Paramètres!$A$1:$I$89,3,0)*0.475*44/12</f>
        <v>1.1378204330431441E-9</v>
      </c>
      <c r="BS112" s="22">
        <f t="shared" si="63"/>
        <v>10.858803446785988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1.1368683772161603E-12</v>
      </c>
      <c r="O113" s="13">
        <f>N113*VLOOKUP('Données projet'!$B$9,Paramètres!$A$1:$I$89,3,0)*VLOOKUP('Données projet'!$B$9,Paramètres!$A$1:$I$89,5,0)</f>
        <v>6.3550942286383359E-13</v>
      </c>
      <c r="P113" s="13">
        <f t="shared" si="87"/>
        <v>7.6982260417614606E-12</v>
      </c>
      <c r="Q113" s="20">
        <f t="shared" si="107"/>
        <v>1.4514589267555721E-11</v>
      </c>
      <c r="R113" s="59">
        <f t="shared" si="55"/>
        <v>293.33333333334781</v>
      </c>
      <c r="S113" s="59">
        <f ca="1">AVERAGE(OFFSET($R$3,0,0,'Données projet'!$E$9+1,1))-AVERAGE(OFFSET($H$3,0,0,'Données projet'!$E$9+1,1))</f>
        <v>490.7691633858222</v>
      </c>
      <c r="T113" s="59">
        <f t="shared" si="88"/>
        <v>490.82176582457072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2.5762322277686653</v>
      </c>
      <c r="AA113" s="21">
        <f>EXP(-LN(2)/25)*AA112+(1-EXP(-LN(2)/25))/(LN(2)/25)*Calculateur!V113*Calculateur!X113*VLOOKUP('Données projet'!$B$9,Paramètres!$A$1:$I$89,3,0)*0.475*44/12</f>
        <v>4.817093622461277</v>
      </c>
      <c r="AB113" s="21">
        <f>EXP(-LN(2)/2)*AB112+(1-EXP(-LN(2)/2))/(LN(2)/2)*V113*Y113*VLOOKUP('Données projet'!$B$9,Paramètres!$A$1:$I$89,3,0)*0.475*44/12</f>
        <v>3.6583430765093729E-11</v>
      </c>
      <c r="AC113" s="22">
        <f t="shared" si="57"/>
        <v>7.3933258502665256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448.59999999999997</v>
      </c>
      <c r="AG113" s="12">
        <f>VLOOKUP(A113,'Données projet'!$A$61:$I$81,9,0)</f>
        <v>8.6999999999999993</v>
      </c>
      <c r="AH113" s="12">
        <f t="array" ref="AH113">INDEX(AG:AG,MIN(IF(ISNUMBER(AG113:AG309),ROW(AG113:AG309),"")))</f>
        <v>8.6999999999999993</v>
      </c>
      <c r="AI113" s="13">
        <f>IF('Données projet'!$A$62&gt;35,AI112+AH113-AQ112,IF(A113&lt;'Données projet'!$A$62,$AF$205^A113,IF(A113='Données projet'!$A$62,'Données projet'!$B$62,AI112+AH113-AQ112)))</f>
        <v>448.59999999999991</v>
      </c>
      <c r="AJ113" s="13">
        <f>AI113*VLOOKUP('Données projet'!$B$10,Paramètres!$A$1:$I$89,3,0)*VLOOKUP('Données projet'!$B$10,Paramètres!$A$1:$I$89,5,0)</f>
        <v>209.94479999999996</v>
      </c>
      <c r="AK113" s="13">
        <f t="shared" si="89"/>
        <v>51.923522924934218</v>
      </c>
      <c r="AL113" s="20">
        <f t="shared" si="58"/>
        <v>456.08732909426044</v>
      </c>
      <c r="AM113" s="59">
        <f t="shared" si="59"/>
        <v>749.4206624275937</v>
      </c>
      <c r="AN113" s="59">
        <f ca="1">AVERAGE(OFFSET($AM$3,0,0,'Données projet'!$E$10+1,1))-AVERAGE(OFFSET($H$3,0,0,'Données projet'!$E$10+1,1))</f>
        <v>165.03539937460289</v>
      </c>
      <c r="AO113" s="59">
        <f t="shared" si="90"/>
        <v>142.05625724497401</v>
      </c>
      <c r="AP113" s="15">
        <f>IF(ISNA(VLOOKUP(A113,'Données projet'!$A$61:$I$81,3,0)),0,VLOOKUP(A113,'Données projet'!$A$61:$I$81,3,0))</f>
        <v>10</v>
      </c>
      <c r="AQ113" s="15">
        <f>IF(ISNA(VLOOKUP(A113,'Données projet'!$A$61:$I$81,4,0)),0,VLOOKUP(A113,'Données projet'!$A$61:$I$81,4,0))</f>
        <v>448.6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0.17786973339411583</v>
      </c>
      <c r="AV113" s="21">
        <f>EXP(-LN(2)/25)*AV112+(1-EXP(-LN(2)/25))/(LN(2)/25)*Calculateur!AQ113*Calculateur!AS113*VLOOKUP('Données projet'!$B$10,Paramètres!$A$1:$I$89,3,0)*0.475*44/12</f>
        <v>0.51980119306972072</v>
      </c>
      <c r="AW113" s="21">
        <f>EXP(-LN(2)/2)*AW112+(1-EXP(-LN(2)/2))/(LN(2)/2)*AQ113*AT113*VLOOKUP('Données projet'!$B$10,Paramètres!$A$1:$I$89,3,0)*0.475*44/12</f>
        <v>5.5603872998131424E-12</v>
      </c>
      <c r="AX113" s="21">
        <f t="shared" si="60"/>
        <v>0.69767092646939699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-7.9580786405131221E-13</v>
      </c>
      <c r="BE113" s="13">
        <f>BD113*VLOOKUP('Données projet'!$B$11,Paramètres!$A$1:$I$89,3,0)*VLOOKUP('Données projet'!$B$11,Paramètres!$A$1:$I$89,5,0)</f>
        <v>-3.8278358260868117E-13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402.22278907877927</v>
      </c>
      <c r="BJ113" s="59">
        <f t="shared" si="92"/>
        <v>393.06397734082458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5.700132092416605</v>
      </c>
      <c r="BQ113" s="21">
        <f>EXP(-LN(2)/25)*BQ112+(1-EXP(-LN(2)/25))/(LN(2)/25)*Calculateur!BL113*Calculateur!BN113*VLOOKUP('Données projet'!$B$11,Paramètres!$A$1:$I$89,3,0)*0.475*44/12</f>
        <v>4.9067130571305748</v>
      </c>
      <c r="BR113" s="21">
        <f>EXP(-LN(2)/2)*BR112+(1-EXP(-LN(2)/2))/(LN(2)/2)*BL113*BO113*VLOOKUP('Données projet'!$B$11,Paramètres!$A$1:$I$89,3,0)*0.475*44/12</f>
        <v>8.0456054397742124E-10</v>
      </c>
      <c r="BS113" s="22">
        <f t="shared" si="63"/>
        <v>10.60684515035174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1.1368683772161603E-12</v>
      </c>
      <c r="O114" s="13">
        <f>N114*VLOOKUP('Données projet'!$B$9,Paramètres!$A$1:$I$89,3,0)*VLOOKUP('Données projet'!$B$9,Paramètres!$A$1:$I$89,5,0)</f>
        <v>6.3550942286383359E-13</v>
      </c>
      <c r="P114" s="13">
        <f t="shared" si="87"/>
        <v>7.6982260417614606E-12</v>
      </c>
      <c r="Q114" s="20">
        <f t="shared" si="107"/>
        <v>1.4514589267555721E-11</v>
      </c>
      <c r="R114" s="59">
        <f t="shared" si="55"/>
        <v>293.33333333334781</v>
      </c>
      <c r="S114" s="59">
        <f ca="1">AVERAGE(OFFSET($R$3,0,0,'Données projet'!$E$9+1,1))-AVERAGE(OFFSET($H$3,0,0,'Données projet'!$E$9+1,1))</f>
        <v>490.7691633858222</v>
      </c>
      <c r="T114" s="59">
        <f t="shared" si="88"/>
        <v>490.82176582457072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2.5257138851286234</v>
      </c>
      <c r="AA114" s="21">
        <f>EXP(-LN(2)/25)*AA113+(1-EXP(-LN(2)/25))/(LN(2)/25)*Calculateur!V114*Calculateur!X114*VLOOKUP('Données projet'!$B$9,Paramètres!$A$1:$I$89,3,0)*0.475*44/12</f>
        <v>4.6853699440351297</v>
      </c>
      <c r="AB114" s="21">
        <f>EXP(-LN(2)/2)*AB113+(1-EXP(-LN(2)/2))/(LN(2)/2)*V114*Y114*VLOOKUP('Données projet'!$B$9,Paramètres!$A$1:$I$89,3,0)*0.475*44/12</f>
        <v>2.5868391973066343E-11</v>
      </c>
      <c r="AC114" s="22">
        <f t="shared" si="57"/>
        <v>7.2110838291896213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-1.1368683772161603E-13</v>
      </c>
      <c r="AJ114" s="13">
        <f>AI114*VLOOKUP('Données projet'!$B$10,Paramètres!$A$1:$I$89,3,0)*VLOOKUP('Données projet'!$B$10,Paramètres!$A$1:$I$89,5,0)</f>
        <v>-5.3205440053716299E-14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165.03539937460289</v>
      </c>
      <c r="AO114" s="59">
        <f t="shared" si="90"/>
        <v>142.05625724497401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0.17438181641208211</v>
      </c>
      <c r="AV114" s="21">
        <f>EXP(-LN(2)/25)*AV113+(1-EXP(-LN(2)/25))/(LN(2)/25)*Calculateur!AQ114*Calculateur!AS114*VLOOKUP('Données projet'!$B$10,Paramètres!$A$1:$I$89,3,0)*0.475*44/12</f>
        <v>0.50558720211007246</v>
      </c>
      <c r="AW114" s="21">
        <f>EXP(-LN(2)/2)*AW113+(1-EXP(-LN(2)/2))/(LN(2)/2)*AQ114*AT114*VLOOKUP('Données projet'!$B$10,Paramètres!$A$1:$I$89,3,0)*0.475*44/12</f>
        <v>3.9317875657214294E-12</v>
      </c>
      <c r="AX114" s="21">
        <f t="shared" si="60"/>
        <v>0.67996901852608627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-7.9580786405131221E-13</v>
      </c>
      <c r="BE114" s="13">
        <f>BD114*VLOOKUP('Données projet'!$B$11,Paramètres!$A$1:$I$89,3,0)*VLOOKUP('Données projet'!$B$11,Paramètres!$A$1:$I$89,5,0)</f>
        <v>-3.8278358260868117E-13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402.22278907877927</v>
      </c>
      <c r="BJ114" s="59">
        <f t="shared" si="92"/>
        <v>393.06397734082458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5.5883559788215926</v>
      </c>
      <c r="BQ114" s="21">
        <f>EXP(-LN(2)/25)*BQ113+(1-EXP(-LN(2)/25))/(LN(2)/25)*Calculateur!BL114*Calculateur!BN114*VLOOKUP('Données projet'!$B$11,Paramètres!$A$1:$I$89,3,0)*0.475*44/12</f>
        <v>4.7725387305505143</v>
      </c>
      <c r="BR114" s="21">
        <f>EXP(-LN(2)/2)*BR113+(1-EXP(-LN(2)/2))/(LN(2)/2)*BL114*BO114*VLOOKUP('Données projet'!$B$11,Paramètres!$A$1:$I$89,3,0)*0.475*44/12</f>
        <v>5.6891021652157204E-10</v>
      </c>
      <c r="BS114" s="22">
        <f t="shared" si="63"/>
        <v>10.360894709941018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1.1368683772161603E-12</v>
      </c>
      <c r="O115" s="13">
        <f>N115*VLOOKUP('Données projet'!$B$9,Paramètres!$A$1:$I$89,3,0)*VLOOKUP('Données projet'!$B$9,Paramètres!$A$1:$I$89,5,0)</f>
        <v>6.3550942286383359E-13</v>
      </c>
      <c r="P115" s="13">
        <f t="shared" si="87"/>
        <v>7.6982260417614606E-12</v>
      </c>
      <c r="Q115" s="20">
        <f t="shared" si="107"/>
        <v>1.4514589267555721E-11</v>
      </c>
      <c r="R115" s="59">
        <f t="shared" si="55"/>
        <v>293.33333333334781</v>
      </c>
      <c r="S115" s="59">
        <f ca="1">AVERAGE(OFFSET($R$3,0,0,'Données projet'!$E$9+1,1))-AVERAGE(OFFSET($H$3,0,0,'Données projet'!$E$9+1,1))</f>
        <v>490.7691633858222</v>
      </c>
      <c r="T115" s="59">
        <f t="shared" si="88"/>
        <v>490.82176582457072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2.4761861763746058</v>
      </c>
      <c r="AA115" s="21">
        <f>EXP(-LN(2)/25)*AA114+(1-EXP(-LN(2)/25))/(LN(2)/25)*Calculateur!V115*Calculateur!X115*VLOOKUP('Données projet'!$B$9,Paramètres!$A$1:$I$89,3,0)*0.475*44/12</f>
        <v>4.557248256522592</v>
      </c>
      <c r="AB115" s="21">
        <f>EXP(-LN(2)/2)*AB114+(1-EXP(-LN(2)/2))/(LN(2)/2)*V115*Y115*VLOOKUP('Données projet'!$B$9,Paramètres!$A$1:$I$89,3,0)*0.475*44/12</f>
        <v>1.8291715382546864E-11</v>
      </c>
      <c r="AC115" s="22">
        <f t="shared" si="57"/>
        <v>7.0334344329154899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-1.1368683772161603E-13</v>
      </c>
      <c r="AJ115" s="13">
        <f>AI115*VLOOKUP('Données projet'!$B$10,Paramètres!$A$1:$I$89,3,0)*VLOOKUP('Données projet'!$B$10,Paramètres!$A$1:$I$89,5,0)</f>
        <v>-5.3205440053716299E-14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165.03539937460289</v>
      </c>
      <c r="AO115" s="59">
        <f t="shared" si="90"/>
        <v>142.05625724497401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0.17096229535464677</v>
      </c>
      <c r="AV115" s="21">
        <f>EXP(-LN(2)/25)*AV114+(1-EXP(-LN(2)/25))/(LN(2)/25)*Calculateur!AQ115*Calculateur!AS115*VLOOKUP('Données projet'!$B$10,Paramètres!$A$1:$I$89,3,0)*0.475*44/12</f>
        <v>0.4917618934806971</v>
      </c>
      <c r="AW115" s="21">
        <f>EXP(-LN(2)/2)*AW114+(1-EXP(-LN(2)/2))/(LN(2)/2)*AQ115*AT115*VLOOKUP('Données projet'!$B$10,Paramètres!$A$1:$I$89,3,0)*0.475*44/12</f>
        <v>2.7801936499065712E-12</v>
      </c>
      <c r="AX115" s="21">
        <f t="shared" si="60"/>
        <v>0.66272418883812412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-7.9580786405131221E-13</v>
      </c>
      <c r="BE115" s="13">
        <f>BD115*VLOOKUP('Données projet'!$B$11,Paramètres!$A$1:$I$89,3,0)*VLOOKUP('Données projet'!$B$11,Paramètres!$A$1:$I$89,5,0)</f>
        <v>-3.8278358260868117E-13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402.22278907877927</v>
      </c>
      <c r="BJ115" s="59">
        <f t="shared" si="92"/>
        <v>393.06397734082458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5.4787717266374809</v>
      </c>
      <c r="BQ115" s="21">
        <f>EXP(-LN(2)/25)*BQ114+(1-EXP(-LN(2)/25))/(LN(2)/25)*Calculateur!BL115*Calculateur!BN115*VLOOKUP('Données projet'!$B$11,Paramètres!$A$1:$I$89,3,0)*0.475*44/12</f>
        <v>4.6420334079867063</v>
      </c>
      <c r="BR115" s="21">
        <f>EXP(-LN(2)/2)*BR114+(1-EXP(-LN(2)/2))/(LN(2)/2)*BL115*BO115*VLOOKUP('Données projet'!$B$11,Paramètres!$A$1:$I$89,3,0)*0.475*44/12</f>
        <v>4.0228027198871062E-10</v>
      </c>
      <c r="BS115" s="22">
        <f t="shared" si="63"/>
        <v>10.120805135026469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1.1368683772161603E-12</v>
      </c>
      <c r="O116" s="13">
        <f>N116*VLOOKUP('Données projet'!$B$9,Paramètres!$A$1:$I$89,3,0)*VLOOKUP('Données projet'!$B$9,Paramètres!$A$1:$I$89,5,0)</f>
        <v>6.3550942286383359E-13</v>
      </c>
      <c r="P116" s="13">
        <f t="shared" si="87"/>
        <v>7.6982260417614606E-12</v>
      </c>
      <c r="Q116" s="20">
        <f t="shared" si="107"/>
        <v>1.4514589267555721E-11</v>
      </c>
      <c r="R116" s="59">
        <f t="shared" si="55"/>
        <v>293.33333333334781</v>
      </c>
      <c r="S116" s="59">
        <f ca="1">AVERAGE(OFFSET($R$3,0,0,'Données projet'!$E$9+1,1))-AVERAGE(OFFSET($H$3,0,0,'Données projet'!$E$9+1,1))</f>
        <v>490.7691633858222</v>
      </c>
      <c r="T116" s="59">
        <f t="shared" si="88"/>
        <v>490.82176582457072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2.4276296757803353</v>
      </c>
      <c r="AA116" s="21">
        <f>EXP(-LN(2)/25)*AA115+(1-EXP(-LN(2)/25))/(LN(2)/25)*Calculateur!V116*Calculateur!X116*VLOOKUP('Données projet'!$B$9,Paramètres!$A$1:$I$89,3,0)*0.475*44/12</f>
        <v>4.432630063292712</v>
      </c>
      <c r="AB116" s="21">
        <f>EXP(-LN(2)/2)*AB115+(1-EXP(-LN(2)/2))/(LN(2)/2)*V116*Y116*VLOOKUP('Données projet'!$B$9,Paramètres!$A$1:$I$89,3,0)*0.475*44/12</f>
        <v>1.2934195986533171E-11</v>
      </c>
      <c r="AC116" s="22">
        <f t="shared" si="57"/>
        <v>6.8602597390859819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-1.1368683772161603E-13</v>
      </c>
      <c r="AJ116" s="13">
        <f>AI116*VLOOKUP('Données projet'!$B$10,Paramètres!$A$1:$I$89,3,0)*VLOOKUP('Données projet'!$B$10,Paramètres!$A$1:$I$89,5,0)</f>
        <v>-5.3205440053716299E-14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165.03539937460289</v>
      </c>
      <c r="AO116" s="59">
        <f t="shared" si="90"/>
        <v>142.05625724497401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0.16760982901944585</v>
      </c>
      <c r="AV116" s="21">
        <f>EXP(-LN(2)/25)*AV115+(1-EXP(-LN(2)/25))/(LN(2)/25)*Calculateur!AQ116*Calculateur!AS116*VLOOKUP('Données projet'!$B$10,Paramètres!$A$1:$I$89,3,0)*0.475*44/12</f>
        <v>0.47831463864283341</v>
      </c>
      <c r="AW116" s="21">
        <f>EXP(-LN(2)/2)*AW115+(1-EXP(-LN(2)/2))/(LN(2)/2)*AQ116*AT116*VLOOKUP('Données projet'!$B$10,Paramètres!$A$1:$I$89,3,0)*0.475*44/12</f>
        <v>1.9658937828607147E-12</v>
      </c>
      <c r="AX116" s="21">
        <f t="shared" si="60"/>
        <v>0.64592446766424516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-7.9580786405131221E-13</v>
      </c>
      <c r="BE116" s="13">
        <f>BD116*VLOOKUP('Données projet'!$B$11,Paramètres!$A$1:$I$89,3,0)*VLOOKUP('Données projet'!$B$11,Paramètres!$A$1:$I$89,5,0)</f>
        <v>-3.8278358260868117E-13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402.22278907877927</v>
      </c>
      <c r="BJ116" s="59">
        <f t="shared" si="92"/>
        <v>393.06397734082458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5.3713363547989053</v>
      </c>
      <c r="BQ116" s="21">
        <f>EXP(-LN(2)/25)*BQ115+(1-EXP(-LN(2)/25))/(LN(2)/25)*Calculateur!BL116*Calculateur!BN116*VLOOKUP('Données projet'!$B$11,Paramètres!$A$1:$I$89,3,0)*0.475*44/12</f>
        <v>4.5150967603313825</v>
      </c>
      <c r="BR116" s="21">
        <f>EXP(-LN(2)/2)*BR115+(1-EXP(-LN(2)/2))/(LN(2)/2)*BL116*BO116*VLOOKUP('Données projet'!$B$11,Paramètres!$A$1:$I$89,3,0)*0.475*44/12</f>
        <v>2.8445510826078602E-10</v>
      </c>
      <c r="BS116" s="22">
        <f t="shared" si="63"/>
        <v>9.8864331154147429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1.1368683772161603E-12</v>
      </c>
      <c r="O117" s="13">
        <f>N117*VLOOKUP('Données projet'!$B$9,Paramètres!$A$1:$I$89,3,0)*VLOOKUP('Données projet'!$B$9,Paramètres!$A$1:$I$89,5,0)</f>
        <v>6.3550942286383359E-13</v>
      </c>
      <c r="P117" s="13">
        <f t="shared" si="87"/>
        <v>7.6982260417614606E-12</v>
      </c>
      <c r="Q117" s="20">
        <f t="shared" si="107"/>
        <v>1.4514589267555721E-11</v>
      </c>
      <c r="R117" s="59">
        <f t="shared" si="55"/>
        <v>293.33333333334781</v>
      </c>
      <c r="S117" s="59">
        <f ca="1">AVERAGE(OFFSET($R$3,0,0,'Données projet'!$E$9+1,1))-AVERAGE(OFFSET($H$3,0,0,'Données projet'!$E$9+1,1))</f>
        <v>490.7691633858222</v>
      </c>
      <c r="T117" s="59">
        <f t="shared" si="88"/>
        <v>490.82176582457072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2.3800253385461776</v>
      </c>
      <c r="AA117" s="21">
        <f>EXP(-LN(2)/25)*AA116+(1-EXP(-LN(2)/25))/(LN(2)/25)*Calculateur!V117*Calculateur!X117*VLOOKUP('Données projet'!$B$9,Paramètres!$A$1:$I$89,3,0)*0.475*44/12</f>
        <v>4.3114195611100889</v>
      </c>
      <c r="AB117" s="21">
        <f>EXP(-LN(2)/2)*AB116+(1-EXP(-LN(2)/2))/(LN(2)/2)*V117*Y117*VLOOKUP('Données projet'!$B$9,Paramètres!$A$1:$I$89,3,0)*0.475*44/12</f>
        <v>9.1458576912734322E-12</v>
      </c>
      <c r="AC117" s="22">
        <f t="shared" si="57"/>
        <v>6.6914448996654121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-1.1368683772161603E-13</v>
      </c>
      <c r="AJ117" s="13">
        <f>AI117*VLOOKUP('Données projet'!$B$10,Paramètres!$A$1:$I$89,3,0)*VLOOKUP('Données projet'!$B$10,Paramètres!$A$1:$I$89,5,0)</f>
        <v>-5.3205440053716299E-14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165.03539937460289</v>
      </c>
      <c r="AO117" s="59">
        <f t="shared" si="90"/>
        <v>142.05625724497401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0.16432310250427565</v>
      </c>
      <c r="AV117" s="21">
        <f>EXP(-LN(2)/25)*AV116+(1-EXP(-LN(2)/25))/(LN(2)/25)*Calculateur!AQ117*Calculateur!AS117*VLOOKUP('Données projet'!$B$10,Paramètres!$A$1:$I$89,3,0)*0.475*44/12</f>
        <v>0.46523509969567151</v>
      </c>
      <c r="AW117" s="21">
        <f>EXP(-LN(2)/2)*AW116+(1-EXP(-LN(2)/2))/(LN(2)/2)*AQ117*AT117*VLOOKUP('Données projet'!$B$10,Paramètres!$A$1:$I$89,3,0)*0.475*44/12</f>
        <v>1.3900968249532856E-12</v>
      </c>
      <c r="AX117" s="21">
        <f t="shared" si="60"/>
        <v>0.62955820220133729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-7.9580786405131221E-13</v>
      </c>
      <c r="BE117" s="13">
        <f>BD117*VLOOKUP('Données projet'!$B$11,Paramètres!$A$1:$I$89,3,0)*VLOOKUP('Données projet'!$B$11,Paramètres!$A$1:$I$89,5,0)</f>
        <v>-3.8278358260868117E-13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402.22278907877927</v>
      </c>
      <c r="BJ117" s="59">
        <f t="shared" si="92"/>
        <v>393.06397734082458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5.2660077250729778</v>
      </c>
      <c r="BQ117" s="21">
        <f>EXP(-LN(2)/25)*BQ116+(1-EXP(-LN(2)/25))/(LN(2)/25)*Calculateur!BL117*Calculateur!BN117*VLOOKUP('Données projet'!$B$11,Paramètres!$A$1:$I$89,3,0)*0.475*44/12</f>
        <v>4.391631201981502</v>
      </c>
      <c r="BR117" s="21">
        <f>EXP(-LN(2)/2)*BR116+(1-EXP(-LN(2)/2))/(LN(2)/2)*BL117*BO117*VLOOKUP('Données projet'!$B$11,Paramètres!$A$1:$I$89,3,0)*0.475*44/12</f>
        <v>2.0114013599435531E-10</v>
      </c>
      <c r="BS117" s="22">
        <f t="shared" si="63"/>
        <v>9.6576389272556202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1.1368683772161603E-12</v>
      </c>
      <c r="O118" s="13">
        <f>N118*VLOOKUP('Données projet'!$B$9,Paramètres!$A$1:$I$89,3,0)*VLOOKUP('Données projet'!$B$9,Paramètres!$A$1:$I$89,5,0)</f>
        <v>6.3550942286383359E-13</v>
      </c>
      <c r="P118" s="13">
        <f t="shared" si="87"/>
        <v>7.6982260417614606E-12</v>
      </c>
      <c r="Q118" s="20">
        <f t="shared" si="107"/>
        <v>1.4514589267555721E-11</v>
      </c>
      <c r="R118" s="59">
        <f t="shared" si="55"/>
        <v>293.33333333334781</v>
      </c>
      <c r="S118" s="59">
        <f ca="1">AVERAGE(OFFSET($R$3,0,0,'Données projet'!$E$9+1,1))-AVERAGE(OFFSET($H$3,0,0,'Données projet'!$E$9+1,1))</f>
        <v>490.7691633858222</v>
      </c>
      <c r="T118" s="59">
        <f t="shared" si="88"/>
        <v>490.82176582457072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2.333354493329403</v>
      </c>
      <c r="AA118" s="21">
        <f>EXP(-LN(2)/25)*AA117+(1-EXP(-LN(2)/25))/(LN(2)/25)*Calculateur!V118*Calculateur!X118*VLOOKUP('Données projet'!$B$9,Paramètres!$A$1:$I$89,3,0)*0.475*44/12</f>
        <v>4.1935235664838331</v>
      </c>
      <c r="AB118" s="21">
        <f>EXP(-LN(2)/2)*AB117+(1-EXP(-LN(2)/2))/(LN(2)/2)*V118*Y118*VLOOKUP('Données projet'!$B$9,Paramètres!$A$1:$I$89,3,0)*0.475*44/12</f>
        <v>6.4670979932665857E-12</v>
      </c>
      <c r="AC118" s="22">
        <f t="shared" si="57"/>
        <v>6.5268780598197029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-1.1368683772161603E-13</v>
      </c>
      <c r="AJ118" s="13">
        <f>AI118*VLOOKUP('Données projet'!$B$10,Paramètres!$A$1:$I$89,3,0)*VLOOKUP('Données projet'!$B$10,Paramètres!$A$1:$I$89,5,0)</f>
        <v>-5.3205440053716299E-14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165.03539937460289</v>
      </c>
      <c r="AO118" s="59">
        <f t="shared" si="90"/>
        <v>142.05625724497401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0.16110082669136272</v>
      </c>
      <c r="AV118" s="21">
        <f>EXP(-LN(2)/25)*AV117+(1-EXP(-LN(2)/25))/(LN(2)/25)*Calculateur!AQ118*Calculateur!AS118*VLOOKUP('Données projet'!$B$10,Paramètres!$A$1:$I$89,3,0)*0.475*44/12</f>
        <v>0.45251322142884276</v>
      </c>
      <c r="AW118" s="21">
        <f>EXP(-LN(2)/2)*AW117+(1-EXP(-LN(2)/2))/(LN(2)/2)*AQ118*AT118*VLOOKUP('Données projet'!$B$10,Paramètres!$A$1:$I$89,3,0)*0.475*44/12</f>
        <v>9.8294689143035735E-13</v>
      </c>
      <c r="AX118" s="21">
        <f t="shared" si="60"/>
        <v>0.61361404812118847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-7.9580786405131221E-13</v>
      </c>
      <c r="BE118" s="13">
        <f>BD118*VLOOKUP('Données projet'!$B$11,Paramètres!$A$1:$I$89,3,0)*VLOOKUP('Données projet'!$B$11,Paramètres!$A$1:$I$89,5,0)</f>
        <v>-3.8278358260868117E-13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402.22278907877927</v>
      </c>
      <c r="BJ118" s="59">
        <f t="shared" si="92"/>
        <v>393.06397734082458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5.1627445255318554</v>
      </c>
      <c r="BQ118" s="21">
        <f>EXP(-LN(2)/25)*BQ117+(1-EXP(-LN(2)/25))/(LN(2)/25)*Calculateur!BL118*Calculateur!BN118*VLOOKUP('Données projet'!$B$11,Paramètres!$A$1:$I$89,3,0)*0.475*44/12</f>
        <v>4.2715418158174705</v>
      </c>
      <c r="BR118" s="21">
        <f>EXP(-LN(2)/2)*BR117+(1-EXP(-LN(2)/2))/(LN(2)/2)*BL118*BO118*VLOOKUP('Données projet'!$B$11,Paramètres!$A$1:$I$89,3,0)*0.475*44/12</f>
        <v>1.4222755413039301E-10</v>
      </c>
      <c r="BS118" s="22">
        <f t="shared" si="63"/>
        <v>9.4342863414915534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1.1368683772161603E-12</v>
      </c>
      <c r="O119" s="13">
        <f>N119*VLOOKUP('Données projet'!$B$9,Paramètres!$A$1:$I$89,3,0)*VLOOKUP('Données projet'!$B$9,Paramètres!$A$1:$I$89,5,0)</f>
        <v>6.3550942286383359E-13</v>
      </c>
      <c r="P119" s="13">
        <f t="shared" si="87"/>
        <v>7.6982260417614606E-12</v>
      </c>
      <c r="Q119" s="20">
        <f t="shared" si="107"/>
        <v>1.4514589267555721E-11</v>
      </c>
      <c r="R119" s="59">
        <f t="shared" si="55"/>
        <v>293.33333333334781</v>
      </c>
      <c r="S119" s="59">
        <f ca="1">AVERAGE(OFFSET($R$3,0,0,'Données projet'!$E$9+1,1))-AVERAGE(OFFSET($H$3,0,0,'Données projet'!$E$9+1,1))</f>
        <v>490.7691633858222</v>
      </c>
      <c r="T119" s="59">
        <f t="shared" si="88"/>
        <v>490.82176582457072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2.2875988349209244</v>
      </c>
      <c r="AA119" s="21">
        <f>EXP(-LN(2)/25)*AA118+(1-EXP(-LN(2)/25))/(LN(2)/25)*Calculateur!V119*Calculateur!X119*VLOOKUP('Données projet'!$B$9,Paramètres!$A$1:$I$89,3,0)*0.475*44/12</f>
        <v>4.078851444030513</v>
      </c>
      <c r="AB119" s="21">
        <f>EXP(-LN(2)/2)*AB118+(1-EXP(-LN(2)/2))/(LN(2)/2)*V119*Y119*VLOOKUP('Données projet'!$B$9,Paramètres!$A$1:$I$89,3,0)*0.475*44/12</f>
        <v>4.5729288456367161E-12</v>
      </c>
      <c r="AC119" s="22">
        <f t="shared" si="57"/>
        <v>6.3664502789560107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-1.1368683772161603E-13</v>
      </c>
      <c r="AJ119" s="13">
        <f>AI119*VLOOKUP('Données projet'!$B$10,Paramètres!$A$1:$I$89,3,0)*VLOOKUP('Données projet'!$B$10,Paramètres!$A$1:$I$89,5,0)</f>
        <v>-5.3205440053716299E-14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165.03539937460289</v>
      </c>
      <c r="AO119" s="59">
        <f t="shared" si="90"/>
        <v>142.05625724497401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0.15794173774174683</v>
      </c>
      <c r="AV119" s="21">
        <f>EXP(-LN(2)/25)*AV118+(1-EXP(-LN(2)/25))/(LN(2)/25)*Calculateur!AQ119*Calculateur!AS119*VLOOKUP('Données projet'!$B$10,Paramètres!$A$1:$I$89,3,0)*0.475*44/12</f>
        <v>0.44013922359223495</v>
      </c>
      <c r="AW119" s="21">
        <f>EXP(-LN(2)/2)*AW118+(1-EXP(-LN(2)/2))/(LN(2)/2)*AQ119*AT119*VLOOKUP('Données projet'!$B$10,Paramètres!$A$1:$I$89,3,0)*0.475*44/12</f>
        <v>6.9504841247664279E-13</v>
      </c>
      <c r="AX119" s="21">
        <f t="shared" si="60"/>
        <v>0.59808096133467681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-7.9580786405131221E-13</v>
      </c>
      <c r="BE119" s="13">
        <f>BD119*VLOOKUP('Données projet'!$B$11,Paramètres!$A$1:$I$89,3,0)*VLOOKUP('Données projet'!$B$11,Paramètres!$A$1:$I$89,5,0)</f>
        <v>-3.8278358260868117E-13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402.22278907877927</v>
      </c>
      <c r="BJ119" s="59">
        <f t="shared" si="92"/>
        <v>393.06397734082458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5.0615062543494016</v>
      </c>
      <c r="BQ119" s="21">
        <f>EXP(-LN(2)/25)*BQ118+(1-EXP(-LN(2)/25))/(LN(2)/25)*Calculateur!BL119*Calculateur!BN119*VLOOKUP('Données projet'!$B$11,Paramètres!$A$1:$I$89,3,0)*0.475*44/12</f>
        <v>4.1547362802333208</v>
      </c>
      <c r="BR119" s="21">
        <f>EXP(-LN(2)/2)*BR118+(1-EXP(-LN(2)/2))/(LN(2)/2)*BL119*BO119*VLOOKUP('Données projet'!$B$11,Paramètres!$A$1:$I$89,3,0)*0.475*44/12</f>
        <v>1.0057006799717766E-10</v>
      </c>
      <c r="BS119" s="22">
        <f t="shared" si="63"/>
        <v>9.2162425346832926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1.1368683772161603E-12</v>
      </c>
      <c r="O120" s="13">
        <f>N120*VLOOKUP('Données projet'!$B$9,Paramètres!$A$1:$I$89,3,0)*VLOOKUP('Données projet'!$B$9,Paramètres!$A$1:$I$89,5,0)</f>
        <v>6.3550942286383359E-13</v>
      </c>
      <c r="P120" s="13">
        <f t="shared" si="87"/>
        <v>7.6982260417614606E-12</v>
      </c>
      <c r="Q120" s="20">
        <f t="shared" si="107"/>
        <v>1.4514589267555721E-11</v>
      </c>
      <c r="R120" s="59">
        <f t="shared" si="55"/>
        <v>293.33333333334781</v>
      </c>
      <c r="S120" s="59">
        <f ca="1">AVERAGE(OFFSET($R$3,0,0,'Données projet'!$E$9+1,1))-AVERAGE(OFFSET($H$3,0,0,'Données projet'!$E$9+1,1))</f>
        <v>490.7691633858222</v>
      </c>
      <c r="T120" s="59">
        <f t="shared" si="88"/>
        <v>490.82176582457072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2.2427404170656402</v>
      </c>
      <c r="AA120" s="21">
        <f>EXP(-LN(2)/25)*AA119+(1-EXP(-LN(2)/25))/(LN(2)/25)*Calculateur!V120*Calculateur!X120*VLOOKUP('Données projet'!$B$9,Paramètres!$A$1:$I$89,3,0)*0.475*44/12</f>
        <v>3.9673150367960237</v>
      </c>
      <c r="AB120" s="21">
        <f>EXP(-LN(2)/2)*AB119+(1-EXP(-LN(2)/2))/(LN(2)/2)*V120*Y120*VLOOKUP('Données projet'!$B$9,Paramètres!$A$1:$I$89,3,0)*0.475*44/12</f>
        <v>3.2335489966332928E-12</v>
      </c>
      <c r="AC120" s="22">
        <f t="shared" si="57"/>
        <v>6.2100554538648973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-1.1368683772161603E-13</v>
      </c>
      <c r="AJ120" s="13">
        <f>AI120*VLOOKUP('Données projet'!$B$10,Paramètres!$A$1:$I$89,3,0)*VLOOKUP('Données projet'!$B$10,Paramètres!$A$1:$I$89,5,0)</f>
        <v>-5.3205440053716299E-14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165.03539937460289</v>
      </c>
      <c r="AO120" s="59">
        <f t="shared" si="90"/>
        <v>142.05625724497401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0.15484459659957892</v>
      </c>
      <c r="AV120" s="21">
        <f>EXP(-LN(2)/25)*AV119+(1-EXP(-LN(2)/25))/(LN(2)/25)*Calculateur!AQ120*Calculateur!AS120*VLOOKUP('Données projet'!$B$10,Paramètres!$A$1:$I$89,3,0)*0.475*44/12</f>
        <v>0.42810359337718945</v>
      </c>
      <c r="AW120" s="21">
        <f>EXP(-LN(2)/2)*AW119+(1-EXP(-LN(2)/2))/(LN(2)/2)*AQ120*AT120*VLOOKUP('Données projet'!$B$10,Paramètres!$A$1:$I$89,3,0)*0.475*44/12</f>
        <v>4.9147344571517868E-13</v>
      </c>
      <c r="AX120" s="21">
        <f t="shared" si="60"/>
        <v>0.58294818997725983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-7.9580786405131221E-13</v>
      </c>
      <c r="BE120" s="13">
        <f>BD120*VLOOKUP('Données projet'!$B$11,Paramètres!$A$1:$I$89,3,0)*VLOOKUP('Données projet'!$B$11,Paramètres!$A$1:$I$89,5,0)</f>
        <v>-3.8278358260868117E-13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402.22278907877927</v>
      </c>
      <c r="BJ120" s="59">
        <f t="shared" si="92"/>
        <v>393.06397734082458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4.962253203915588</v>
      </c>
      <c r="BQ120" s="21">
        <f>EXP(-LN(2)/25)*BQ119+(1-EXP(-LN(2)/25))/(LN(2)/25)*Calculateur!BL120*Calculateur!BN120*VLOOKUP('Données projet'!$B$11,Paramètres!$A$1:$I$89,3,0)*0.475*44/12</f>
        <v>4.0411247981622553</v>
      </c>
      <c r="BR120" s="21">
        <f>EXP(-LN(2)/2)*BR119+(1-EXP(-LN(2)/2))/(LN(2)/2)*BL120*BO120*VLOOKUP('Données projet'!$B$11,Paramètres!$A$1:$I$89,3,0)*0.475*44/12</f>
        <v>7.1113777065196505E-11</v>
      </c>
      <c r="BS120" s="22">
        <f t="shared" si="63"/>
        <v>9.0033780021489562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1.1368683772161603E-12</v>
      </c>
      <c r="O121" s="13">
        <f>N121*VLOOKUP('Données projet'!$B$9,Paramètres!$A$1:$I$89,3,0)*VLOOKUP('Données projet'!$B$9,Paramètres!$A$1:$I$89,5,0)</f>
        <v>6.3550942286383359E-13</v>
      </c>
      <c r="P121" s="13">
        <f t="shared" si="87"/>
        <v>7.6982260417614606E-12</v>
      </c>
      <c r="Q121" s="20">
        <f t="shared" si="107"/>
        <v>1.4514589267555721E-11</v>
      </c>
      <c r="R121" s="59">
        <f t="shared" si="55"/>
        <v>293.33333333334781</v>
      </c>
      <c r="S121" s="59">
        <f ca="1">AVERAGE(OFFSET($R$3,0,0,'Données projet'!$E$9+1,1))-AVERAGE(OFFSET($H$3,0,0,'Données projet'!$E$9+1,1))</f>
        <v>490.7691633858222</v>
      </c>
      <c r="T121" s="59">
        <f t="shared" si="88"/>
        <v>490.82176582457072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2.198761645423565</v>
      </c>
      <c r="AA121" s="21">
        <f>EXP(-LN(2)/25)*AA120+(1-EXP(-LN(2)/25))/(LN(2)/25)*Calculateur!V121*Calculateur!X121*VLOOKUP('Données projet'!$B$9,Paramètres!$A$1:$I$89,3,0)*0.475*44/12</f>
        <v>3.8588285984828059</v>
      </c>
      <c r="AB121" s="21">
        <f>EXP(-LN(2)/2)*AB120+(1-EXP(-LN(2)/2))/(LN(2)/2)*V121*Y121*VLOOKUP('Données projet'!$B$9,Paramètres!$A$1:$I$89,3,0)*0.475*44/12</f>
        <v>2.2864644228183581E-12</v>
      </c>
      <c r="AC121" s="22">
        <f t="shared" si="57"/>
        <v>6.0575902439086571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-1.1368683772161603E-13</v>
      </c>
      <c r="AJ121" s="13">
        <f>AI121*VLOOKUP('Données projet'!$B$10,Paramètres!$A$1:$I$89,3,0)*VLOOKUP('Données projet'!$B$10,Paramètres!$A$1:$I$89,5,0)</f>
        <v>-5.3205440053716299E-14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165.03539937460289</v>
      </c>
      <c r="AO121" s="59">
        <f t="shared" si="90"/>
        <v>142.05625724497401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0.15180818850613934</v>
      </c>
      <c r="AV121" s="21">
        <f>EXP(-LN(2)/25)*AV120+(1-EXP(-LN(2)/25))/(LN(2)/25)*Calculateur!AQ121*Calculateur!AS121*VLOOKUP('Données projet'!$B$10,Paramètres!$A$1:$I$89,3,0)*0.475*44/12</f>
        <v>0.41639707810330068</v>
      </c>
      <c r="AW121" s="21">
        <f>EXP(-LN(2)/2)*AW120+(1-EXP(-LN(2)/2))/(LN(2)/2)*AQ121*AT121*VLOOKUP('Données projet'!$B$10,Paramètres!$A$1:$I$89,3,0)*0.475*44/12</f>
        <v>3.475242062383214E-13</v>
      </c>
      <c r="AX121" s="21">
        <f t="shared" si="60"/>
        <v>0.56820526660978754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-7.9580786405131221E-13</v>
      </c>
      <c r="BE121" s="13">
        <f>BD121*VLOOKUP('Données projet'!$B$11,Paramètres!$A$1:$I$89,3,0)*VLOOKUP('Données projet'!$B$11,Paramètres!$A$1:$I$89,5,0)</f>
        <v>-3.8278358260868117E-13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402.22278907877927</v>
      </c>
      <c r="BJ121" s="59">
        <f t="shared" si="92"/>
        <v>393.06397734082458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4.8649464452623983</v>
      </c>
      <c r="BQ121" s="21">
        <f>EXP(-LN(2)/25)*BQ120+(1-EXP(-LN(2)/25))/(LN(2)/25)*Calculateur!BL121*Calculateur!BN121*VLOOKUP('Données projet'!$B$11,Paramètres!$A$1:$I$89,3,0)*0.475*44/12</f>
        <v>3.9306200280429913</v>
      </c>
      <c r="BR121" s="21">
        <f>EXP(-LN(2)/2)*BR120+(1-EXP(-LN(2)/2))/(LN(2)/2)*BL121*BO121*VLOOKUP('Données projet'!$B$11,Paramètres!$A$1:$I$89,3,0)*0.475*44/12</f>
        <v>5.0285033998588828E-11</v>
      </c>
      <c r="BS121" s="22">
        <f t="shared" si="63"/>
        <v>8.7955664733556738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1.1368683772161603E-12</v>
      </c>
      <c r="O122" s="13">
        <f>N122*VLOOKUP('Données projet'!$B$9,Paramètres!$A$1:$I$89,3,0)*VLOOKUP('Données projet'!$B$9,Paramètres!$A$1:$I$89,5,0)</f>
        <v>6.3550942286383359E-13</v>
      </c>
      <c r="P122" s="13">
        <f t="shared" si="87"/>
        <v>7.6982260417614606E-12</v>
      </c>
      <c r="Q122" s="20">
        <f t="shared" si="107"/>
        <v>1.4514589267555721E-11</v>
      </c>
      <c r="R122" s="59">
        <f t="shared" si="55"/>
        <v>293.33333333334781</v>
      </c>
      <c r="S122" s="59">
        <f ca="1">AVERAGE(OFFSET($R$3,0,0,'Données projet'!$E$9+1,1))-AVERAGE(OFFSET($H$3,0,0,'Données projet'!$E$9+1,1))</f>
        <v>490.7691633858222</v>
      </c>
      <c r="T122" s="59">
        <f t="shared" si="88"/>
        <v>490.82176582457072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2.1556452706689888</v>
      </c>
      <c r="AA122" s="21">
        <f>EXP(-LN(2)/25)*AA121+(1-EXP(-LN(2)/25))/(LN(2)/25)*Calculateur!V122*Calculateur!X122*VLOOKUP('Données projet'!$B$9,Paramètres!$A$1:$I$89,3,0)*0.475*44/12</f>
        <v>3.753308727530317</v>
      </c>
      <c r="AB122" s="21">
        <f>EXP(-LN(2)/2)*AB121+(1-EXP(-LN(2)/2))/(LN(2)/2)*V122*Y122*VLOOKUP('Données projet'!$B$9,Paramètres!$A$1:$I$89,3,0)*0.475*44/12</f>
        <v>1.6167744983166464E-12</v>
      </c>
      <c r="AC122" s="22">
        <f t="shared" si="57"/>
        <v>5.9089539982009223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-1.1368683772161603E-13</v>
      </c>
      <c r="AJ122" s="13">
        <f>AI122*VLOOKUP('Données projet'!$B$10,Paramètres!$A$1:$I$89,3,0)*VLOOKUP('Données projet'!$B$10,Paramètres!$A$1:$I$89,5,0)</f>
        <v>-5.3205440053716299E-14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165.03539937460289</v>
      </c>
      <c r="AO122" s="59">
        <f t="shared" si="90"/>
        <v>142.05625724497401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0.14883132252338604</v>
      </c>
      <c r="AV122" s="21">
        <f>EXP(-LN(2)/25)*AV121+(1-EXP(-LN(2)/25))/(LN(2)/25)*Calculateur!AQ122*Calculateur!AS122*VLOOKUP('Données projet'!$B$10,Paramètres!$A$1:$I$89,3,0)*0.475*44/12</f>
        <v>0.40501067810519525</v>
      </c>
      <c r="AW122" s="21">
        <f>EXP(-LN(2)/2)*AW121+(1-EXP(-LN(2)/2))/(LN(2)/2)*AQ122*AT122*VLOOKUP('Données projet'!$B$10,Paramètres!$A$1:$I$89,3,0)*0.475*44/12</f>
        <v>2.4573672285758934E-13</v>
      </c>
      <c r="AX122" s="21">
        <f t="shared" si="60"/>
        <v>0.55384200062882705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-7.9580786405131221E-13</v>
      </c>
      <c r="BE122" s="13">
        <f>BD122*VLOOKUP('Données projet'!$B$11,Paramètres!$A$1:$I$89,3,0)*VLOOKUP('Données projet'!$B$11,Paramètres!$A$1:$I$89,5,0)</f>
        <v>-3.8278358260868117E-13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402.22278907877927</v>
      </c>
      <c r="BJ122" s="59">
        <f t="shared" si="92"/>
        <v>393.06397734082458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4.7695478127951354</v>
      </c>
      <c r="BQ122" s="21">
        <f>EXP(-LN(2)/25)*BQ121+(1-EXP(-LN(2)/25))/(LN(2)/25)*Calculateur!BL122*Calculateur!BN122*VLOOKUP('Données projet'!$B$11,Paramètres!$A$1:$I$89,3,0)*0.475*44/12</f>
        <v>3.8231370166738321</v>
      </c>
      <c r="BR122" s="21">
        <f>EXP(-LN(2)/2)*BR121+(1-EXP(-LN(2)/2))/(LN(2)/2)*BL122*BO122*VLOOKUP('Données projet'!$B$11,Paramètres!$A$1:$I$89,3,0)*0.475*44/12</f>
        <v>3.5556888532598252E-11</v>
      </c>
      <c r="BS122" s="22">
        <f t="shared" si="63"/>
        <v>8.5926848295045257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1.1368683772161603E-12</v>
      </c>
      <c r="O123" s="13">
        <f>N123*VLOOKUP('Données projet'!$B$9,Paramètres!$A$1:$I$89,3,0)*VLOOKUP('Données projet'!$B$9,Paramètres!$A$1:$I$89,5,0)</f>
        <v>6.3550942286383359E-13</v>
      </c>
      <c r="P123" s="13">
        <f t="shared" si="87"/>
        <v>7.6982260417614606E-12</v>
      </c>
      <c r="Q123" s="20">
        <f t="shared" si="107"/>
        <v>1.4514589267555721E-11</v>
      </c>
      <c r="R123" s="59">
        <f t="shared" si="55"/>
        <v>293.33333333334781</v>
      </c>
      <c r="S123" s="59">
        <f ca="1">AVERAGE(OFFSET($R$3,0,0,'Données projet'!$E$9+1,1))-AVERAGE(OFFSET($H$3,0,0,'Données projet'!$E$9+1,1))</f>
        <v>490.7691633858222</v>
      </c>
      <c r="T123" s="59">
        <f t="shared" si="88"/>
        <v>490.82176582457072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2.1133743817249582</v>
      </c>
      <c r="AA123" s="21">
        <f>EXP(-LN(2)/25)*AA122+(1-EXP(-LN(2)/25))/(LN(2)/25)*Calculateur!V123*Calculateur!X123*VLOOKUP('Données projet'!$B$9,Paramètres!$A$1:$I$89,3,0)*0.475*44/12</f>
        <v>3.6506743029980728</v>
      </c>
      <c r="AB123" s="21">
        <f>EXP(-LN(2)/2)*AB122+(1-EXP(-LN(2)/2))/(LN(2)/2)*V123*Y123*VLOOKUP('Données projet'!$B$9,Paramètres!$A$1:$I$89,3,0)*0.475*44/12</f>
        <v>1.143232211409179E-12</v>
      </c>
      <c r="AC123" s="22">
        <f t="shared" si="57"/>
        <v>5.7640486847241741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-1.1368683772161603E-13</v>
      </c>
      <c r="AJ123" s="13">
        <f>AI123*VLOOKUP('Données projet'!$B$10,Paramètres!$A$1:$I$89,3,0)*VLOOKUP('Données projet'!$B$10,Paramètres!$A$1:$I$89,5,0)</f>
        <v>-5.3205440053716299E-14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165.03539937460289</v>
      </c>
      <c r="AO123" s="59">
        <f t="shared" si="90"/>
        <v>142.05625724497401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0.14591283106684558</v>
      </c>
      <c r="AV123" s="21">
        <f>EXP(-LN(2)/25)*AV122+(1-EXP(-LN(2)/25))/(LN(2)/25)*Calculateur!AQ123*Calculateur!AS123*VLOOKUP('Données projet'!$B$10,Paramètres!$A$1:$I$89,3,0)*0.475*44/12</f>
        <v>0.39393563981382279</v>
      </c>
      <c r="AW123" s="21">
        <f>EXP(-LN(2)/2)*AW122+(1-EXP(-LN(2)/2))/(LN(2)/2)*AQ123*AT123*VLOOKUP('Données projet'!$B$10,Paramètres!$A$1:$I$89,3,0)*0.475*44/12</f>
        <v>1.737621031191607E-13</v>
      </c>
      <c r="AX123" s="21">
        <f t="shared" si="60"/>
        <v>0.53984847088084209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-7.9580786405131221E-13</v>
      </c>
      <c r="BE123" s="13">
        <f>BD123*VLOOKUP('Données projet'!$B$11,Paramètres!$A$1:$I$89,3,0)*VLOOKUP('Données projet'!$B$11,Paramètres!$A$1:$I$89,5,0)</f>
        <v>-3.8278358260868117E-13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402.22278907877927</v>
      </c>
      <c r="BJ123" s="59">
        <f t="shared" si="92"/>
        <v>393.06397734082458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4.6760198893231353</v>
      </c>
      <c r="BQ123" s="21">
        <f>EXP(-LN(2)/25)*BQ122+(1-EXP(-LN(2)/25))/(LN(2)/25)*Calculateur!BL123*Calculateur!BN123*VLOOKUP('Données projet'!$B$11,Paramètres!$A$1:$I$89,3,0)*0.475*44/12</f>
        <v>3.7185931339028482</v>
      </c>
      <c r="BR123" s="21">
        <f>EXP(-LN(2)/2)*BR122+(1-EXP(-LN(2)/2))/(LN(2)/2)*BL123*BO123*VLOOKUP('Données projet'!$B$11,Paramètres!$A$1:$I$89,3,0)*0.475*44/12</f>
        <v>2.5142516999294414E-11</v>
      </c>
      <c r="BS123" s="22">
        <f t="shared" si="63"/>
        <v>8.3946130232511251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1.1368683772161603E-12</v>
      </c>
      <c r="O124" s="13">
        <f>N124*VLOOKUP('Données projet'!$B$9,Paramètres!$A$1:$I$89,3,0)*VLOOKUP('Données projet'!$B$9,Paramètres!$A$1:$I$89,5,0)</f>
        <v>6.3550942286383359E-13</v>
      </c>
      <c r="P124" s="13">
        <f t="shared" si="87"/>
        <v>7.6982260417614606E-12</v>
      </c>
      <c r="Q124" s="20">
        <f t="shared" si="107"/>
        <v>1.4514589267555721E-11</v>
      </c>
      <c r="R124" s="59">
        <f t="shared" si="55"/>
        <v>293.33333333334781</v>
      </c>
      <c r="S124" s="59">
        <f ca="1">AVERAGE(OFFSET($R$3,0,0,'Données projet'!$E$9+1,1))-AVERAGE(OFFSET($H$3,0,0,'Données projet'!$E$9+1,1))</f>
        <v>490.7691633858222</v>
      </c>
      <c r="T124" s="59">
        <f t="shared" si="88"/>
        <v>490.82176582457072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2.0719323991304233</v>
      </c>
      <c r="AA124" s="21">
        <f>EXP(-LN(2)/25)*AA123+(1-EXP(-LN(2)/25))/(LN(2)/25)*Calculateur!V124*Calculateur!X124*VLOOKUP('Données projet'!$B$9,Paramètres!$A$1:$I$89,3,0)*0.475*44/12</f>
        <v>3.5508464222019724</v>
      </c>
      <c r="AB124" s="21">
        <f>EXP(-LN(2)/2)*AB123+(1-EXP(-LN(2)/2))/(LN(2)/2)*V124*Y124*VLOOKUP('Données projet'!$B$9,Paramètres!$A$1:$I$89,3,0)*0.475*44/12</f>
        <v>8.0838724915832321E-13</v>
      </c>
      <c r="AC124" s="22">
        <f t="shared" si="57"/>
        <v>5.6227788213332044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-5.3205440053716299E-14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165.03539937460289</v>
      </c>
      <c r="AO124" s="59">
        <f t="shared" si="90"/>
        <v>142.05625724497401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0.14305156944766387</v>
      </c>
      <c r="AV124" s="21">
        <f>EXP(-LN(2)/25)*AV123+(1-EXP(-LN(2)/25))/(LN(2)/25)*Calculateur!AQ124*Calculateur!AS124*VLOOKUP('Données projet'!$B$10,Paramètres!$A$1:$I$89,3,0)*0.475*44/12</f>
        <v>0.38316344902693888</v>
      </c>
      <c r="AW124" s="21">
        <f>EXP(-LN(2)/2)*AW123+(1-EXP(-LN(2)/2))/(LN(2)/2)*AQ124*AT124*VLOOKUP('Données projet'!$B$10,Paramètres!$A$1:$I$89,3,0)*0.475*44/12</f>
        <v>1.2286836142879467E-13</v>
      </c>
      <c r="AX124" s="21">
        <f t="shared" si="60"/>
        <v>0.52621501847472563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-7.9580786405131221E-13</v>
      </c>
      <c r="BE124" s="13">
        <f>BD124*VLOOKUP('Données projet'!$B$11,Paramètres!$A$1:$I$89,3,0)*VLOOKUP('Données projet'!$B$11,Paramètres!$A$1:$I$89,5,0)</f>
        <v>-3.8278358260868117E-13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402.22278907877927</v>
      </c>
      <c r="BJ124" s="59">
        <f t="shared" si="92"/>
        <v>393.06397734082458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4.5843259913840209</v>
      </c>
      <c r="BQ124" s="21">
        <f>EXP(-LN(2)/25)*BQ123+(1-EXP(-LN(2)/25))/(LN(2)/25)*Calculateur!BL124*Calculateur!BN124*VLOOKUP('Données projet'!$B$11,Paramètres!$A$1:$I$89,3,0)*0.475*44/12</f>
        <v>3.6169080091039607</v>
      </c>
      <c r="BR124" s="21">
        <f>EXP(-LN(2)/2)*BR123+(1-EXP(-LN(2)/2))/(LN(2)/2)*BL124*BO124*VLOOKUP('Données projet'!$B$11,Paramètres!$A$1:$I$89,3,0)*0.475*44/12</f>
        <v>1.7778444266299126E-11</v>
      </c>
      <c r="BS124" s="22">
        <f t="shared" si="63"/>
        <v>8.2012340005057602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1.1368683772161603E-12</v>
      </c>
      <c r="O125" s="13">
        <f>N125*VLOOKUP('Données projet'!$B$9,Paramètres!$A$1:$I$89,3,0)*VLOOKUP('Données projet'!$B$9,Paramètres!$A$1:$I$89,5,0)</f>
        <v>6.3550942286383359E-13</v>
      </c>
      <c r="P125" s="13">
        <f t="shared" si="87"/>
        <v>7.6982260417614606E-12</v>
      </c>
      <c r="Q125" s="20">
        <f t="shared" si="107"/>
        <v>1.4514589267555721E-11</v>
      </c>
      <c r="R125" s="59">
        <f t="shared" si="55"/>
        <v>293.33333333334781</v>
      </c>
      <c r="S125" s="59">
        <f ca="1">AVERAGE(OFFSET($R$3,0,0,'Données projet'!$E$9+1,1))-AVERAGE(OFFSET($H$3,0,0,'Données projet'!$E$9+1,1))</f>
        <v>490.7691633858222</v>
      </c>
      <c r="T125" s="59">
        <f t="shared" si="88"/>
        <v>490.82176582457072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2.0313030685374538</v>
      </c>
      <c r="AA125" s="21">
        <f>EXP(-LN(2)/25)*AA124+(1-EXP(-LN(2)/25))/(LN(2)/25)*Calculateur!V125*Calculateur!X125*VLOOKUP('Données projet'!$B$9,Paramètres!$A$1:$I$89,3,0)*0.475*44/12</f>
        <v>3.4537483400559617</v>
      </c>
      <c r="AB125" s="21">
        <f>EXP(-LN(2)/2)*AB124+(1-EXP(-LN(2)/2))/(LN(2)/2)*V125*Y125*VLOOKUP('Données projet'!$B$9,Paramètres!$A$1:$I$89,3,0)*0.475*44/12</f>
        <v>5.7161610570458951E-13</v>
      </c>
      <c r="AC125" s="22">
        <f t="shared" si="57"/>
        <v>5.4850514085939874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-5.3205440053716299E-14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165.03539937460289</v>
      </c>
      <c r="AO125" s="59">
        <f t="shared" si="90"/>
        <v>142.05625724497401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0.14024641542363703</v>
      </c>
      <c r="AV125" s="21">
        <f>EXP(-LN(2)/25)*AV124+(1-EXP(-LN(2)/25))/(LN(2)/25)*Calculateur!AQ125*Calculateur!AS125*VLOOKUP('Données projet'!$B$10,Paramètres!$A$1:$I$89,3,0)*0.475*44/12</f>
        <v>0.3726858243636072</v>
      </c>
      <c r="AW125" s="21">
        <f>EXP(-LN(2)/2)*AW124+(1-EXP(-LN(2)/2))/(LN(2)/2)*AQ125*AT125*VLOOKUP('Données projet'!$B$10,Paramètres!$A$1:$I$89,3,0)*0.475*44/12</f>
        <v>8.6881051559580349E-14</v>
      </c>
      <c r="AX125" s="21">
        <f t="shared" si="60"/>
        <v>0.51293223978733116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-7.9580786405131221E-13</v>
      </c>
      <c r="BE125" s="13">
        <f>BD125*VLOOKUP('Données projet'!$B$11,Paramètres!$A$1:$I$89,3,0)*VLOOKUP('Données projet'!$B$11,Paramètres!$A$1:$I$89,5,0)</f>
        <v>-3.8278358260868117E-13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402.22278907877927</v>
      </c>
      <c r="BJ125" s="59">
        <f t="shared" si="92"/>
        <v>393.06397734082458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4.4944301548557366</v>
      </c>
      <c r="BQ125" s="21">
        <f>EXP(-LN(2)/25)*BQ124+(1-EXP(-LN(2)/25))/(LN(2)/25)*Calculateur!BL125*Calculateur!BN125*VLOOKUP('Données projet'!$B$11,Paramètres!$A$1:$I$89,3,0)*0.475*44/12</f>
        <v>3.5180034693900875</v>
      </c>
      <c r="BR125" s="21">
        <f>EXP(-LN(2)/2)*BR124+(1-EXP(-LN(2)/2))/(LN(2)/2)*BL125*BO125*VLOOKUP('Données projet'!$B$11,Paramètres!$A$1:$I$89,3,0)*0.475*44/12</f>
        <v>1.2571258499647207E-11</v>
      </c>
      <c r="BS125" s="22">
        <f t="shared" si="63"/>
        <v>8.0124336242583958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1.1368683772161603E-12</v>
      </c>
      <c r="O126" s="13">
        <f>N126*VLOOKUP('Données projet'!$B$9,Paramètres!$A$1:$I$89,3,0)*VLOOKUP('Données projet'!$B$9,Paramètres!$A$1:$I$89,5,0)</f>
        <v>6.3550942286383359E-13</v>
      </c>
      <c r="P126" s="13">
        <f t="shared" si="87"/>
        <v>7.6982260417614606E-12</v>
      </c>
      <c r="Q126" s="20">
        <f t="shared" si="107"/>
        <v>1.4514589267555721E-11</v>
      </c>
      <c r="R126" s="59">
        <f t="shared" si="55"/>
        <v>293.33333333334781</v>
      </c>
      <c r="S126" s="59">
        <f ca="1">AVERAGE(OFFSET($R$3,0,0,'Données projet'!$E$9+1,1))-AVERAGE(OFFSET($H$3,0,0,'Données projet'!$E$9+1,1))</f>
        <v>490.7691633858222</v>
      </c>
      <c r="T126" s="59">
        <f t="shared" si="88"/>
        <v>490.82176582457072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1.9914704543359678</v>
      </c>
      <c r="AA126" s="21">
        <f>EXP(-LN(2)/25)*AA125+(1-EXP(-LN(2)/25))/(LN(2)/25)*Calculateur!V126*Calculateur!X126*VLOOKUP('Données projet'!$B$9,Paramètres!$A$1:$I$89,3,0)*0.475*44/12</f>
        <v>3.3593054100724</v>
      </c>
      <c r="AB126" s="21">
        <f>EXP(-LN(2)/2)*AB125+(1-EXP(-LN(2)/2))/(LN(2)/2)*V126*Y126*VLOOKUP('Données projet'!$B$9,Paramètres!$A$1:$I$89,3,0)*0.475*44/12</f>
        <v>4.041936245791616E-13</v>
      </c>
      <c r="AC126" s="22">
        <f t="shared" si="57"/>
        <v>5.3507758644087717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-5.3205440053716299E-14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165.03539937460289</v>
      </c>
      <c r="AO126" s="59">
        <f t="shared" si="90"/>
        <v>142.05625724497401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0.13749626875904636</v>
      </c>
      <c r="AV126" s="21">
        <f>EXP(-LN(2)/25)*AV125+(1-EXP(-LN(2)/25))/(LN(2)/25)*Calculateur!AQ126*Calculateur!AS126*VLOOKUP('Données projet'!$B$10,Paramètres!$A$1:$I$89,3,0)*0.475*44/12</f>
        <v>0.36249471089768864</v>
      </c>
      <c r="AW126" s="21">
        <f>EXP(-LN(2)/2)*AW125+(1-EXP(-LN(2)/2))/(LN(2)/2)*AQ126*AT126*VLOOKUP('Données projet'!$B$10,Paramètres!$A$1:$I$89,3,0)*0.475*44/12</f>
        <v>6.1434180714397334E-14</v>
      </c>
      <c r="AX126" s="21">
        <f t="shared" si="60"/>
        <v>0.49999097965679645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-7.9580786405131221E-13</v>
      </c>
      <c r="BE126" s="13">
        <f>BD126*VLOOKUP('Données projet'!$B$11,Paramètres!$A$1:$I$89,3,0)*VLOOKUP('Données projet'!$B$11,Paramètres!$A$1:$I$89,5,0)</f>
        <v>-3.8278358260868117E-13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402.22278907877927</v>
      </c>
      <c r="BJ126" s="59">
        <f t="shared" si="92"/>
        <v>393.06397734082458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4.4062971208507262</v>
      </c>
      <c r="BQ126" s="21">
        <f>EXP(-LN(2)/25)*BQ125+(1-EXP(-LN(2)/25))/(LN(2)/25)*Calculateur!BL126*Calculateur!BN126*VLOOKUP('Données projet'!$B$11,Paramètres!$A$1:$I$89,3,0)*0.475*44/12</f>
        <v>3.4218034795158534</v>
      </c>
      <c r="BR126" s="21">
        <f>EXP(-LN(2)/2)*BR125+(1-EXP(-LN(2)/2))/(LN(2)/2)*BL126*BO126*VLOOKUP('Données projet'!$B$11,Paramètres!$A$1:$I$89,3,0)*0.475*44/12</f>
        <v>8.8892221331495631E-12</v>
      </c>
      <c r="BS126" s="22">
        <f t="shared" si="63"/>
        <v>7.8281006003754685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1.1368683772161603E-12</v>
      </c>
      <c r="O127" s="13">
        <f>N127*VLOOKUP('Données projet'!$B$9,Paramètres!$A$1:$I$89,3,0)*VLOOKUP('Données projet'!$B$9,Paramètres!$A$1:$I$89,5,0)</f>
        <v>6.3550942286383359E-13</v>
      </c>
      <c r="P127" s="13">
        <f t="shared" si="87"/>
        <v>7.6982260417614606E-12</v>
      </c>
      <c r="Q127" s="20">
        <f t="shared" si="107"/>
        <v>1.4514589267555721E-11</v>
      </c>
      <c r="R127" s="59">
        <f t="shared" si="55"/>
        <v>293.33333333334781</v>
      </c>
      <c r="S127" s="59">
        <f ca="1">AVERAGE(OFFSET($R$3,0,0,'Données projet'!$E$9+1,1))-AVERAGE(OFFSET($H$3,0,0,'Données projet'!$E$9+1,1))</f>
        <v>490.7691633858222</v>
      </c>
      <c r="T127" s="59">
        <f t="shared" si="88"/>
        <v>490.82176582457072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1.9524189334034772</v>
      </c>
      <c r="AA127" s="21">
        <f>EXP(-LN(2)/25)*AA126+(1-EXP(-LN(2)/25))/(LN(2)/25)*Calculateur!V127*Calculateur!X127*VLOOKUP('Données projet'!$B$9,Paramètres!$A$1:$I$89,3,0)*0.475*44/12</f>
        <v>3.2674450269757767</v>
      </c>
      <c r="AB127" s="21">
        <f>EXP(-LN(2)/2)*AB126+(1-EXP(-LN(2)/2))/(LN(2)/2)*V127*Y127*VLOOKUP('Données projet'!$B$9,Paramètres!$A$1:$I$89,3,0)*0.475*44/12</f>
        <v>2.8580805285229476E-13</v>
      </c>
      <c r="AC127" s="22">
        <f t="shared" si="57"/>
        <v>5.2198639603795396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-5.3205440053716299E-14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165.03539937460289</v>
      </c>
      <c r="AO127" s="59">
        <f t="shared" si="90"/>
        <v>142.05625724497401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0.13480005079312449</v>
      </c>
      <c r="AV127" s="21">
        <f>EXP(-LN(2)/25)*AV126+(1-EXP(-LN(2)/25))/(LN(2)/25)*Calculateur!AQ127*Calculateur!AS127*VLOOKUP('Données projet'!$B$10,Paramètres!$A$1:$I$89,3,0)*0.475*44/12</f>
        <v>0.35258227396542302</v>
      </c>
      <c r="AW127" s="21">
        <f>EXP(-LN(2)/2)*AW126+(1-EXP(-LN(2)/2))/(LN(2)/2)*AQ127*AT127*VLOOKUP('Données projet'!$B$10,Paramètres!$A$1:$I$89,3,0)*0.475*44/12</f>
        <v>4.3440525779790175E-14</v>
      </c>
      <c r="AX127" s="21">
        <f t="shared" si="60"/>
        <v>0.48738232475859095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-7.9580786405131221E-13</v>
      </c>
      <c r="BE127" s="13">
        <f>BD127*VLOOKUP('Données projet'!$B$11,Paramètres!$A$1:$I$89,3,0)*VLOOKUP('Données projet'!$B$11,Paramètres!$A$1:$I$89,5,0)</f>
        <v>-3.8278358260868117E-13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402.22278907877927</v>
      </c>
      <c r="BJ127" s="59">
        <f t="shared" si="92"/>
        <v>393.06397734082458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4.3198923218867114</v>
      </c>
      <c r="BQ127" s="21">
        <f>EXP(-LN(2)/25)*BQ126+(1-EXP(-LN(2)/25))/(LN(2)/25)*Calculateur!BL127*Calculateur!BN127*VLOOKUP('Données projet'!$B$11,Paramètres!$A$1:$I$89,3,0)*0.475*44/12</f>
        <v>3.3282340834236681</v>
      </c>
      <c r="BR127" s="21">
        <f>EXP(-LN(2)/2)*BR126+(1-EXP(-LN(2)/2))/(LN(2)/2)*BL127*BO127*VLOOKUP('Données projet'!$B$11,Paramètres!$A$1:$I$89,3,0)*0.475*44/12</f>
        <v>6.2856292498236034E-12</v>
      </c>
      <c r="BS127" s="22">
        <f t="shared" si="63"/>
        <v>7.6481264053166651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1.1368683772161603E-12</v>
      </c>
      <c r="O128" s="13">
        <f>N128*VLOOKUP('Données projet'!$B$9,Paramètres!$A$1:$I$89,3,0)*VLOOKUP('Données projet'!$B$9,Paramètres!$A$1:$I$89,5,0)</f>
        <v>6.3550942286383359E-13</v>
      </c>
      <c r="P128" s="13">
        <f t="shared" si="87"/>
        <v>7.6982260417614606E-12</v>
      </c>
      <c r="Q128" s="20">
        <f t="shared" si="107"/>
        <v>1.4514589267555721E-11</v>
      </c>
      <c r="R128" s="59">
        <f t="shared" si="55"/>
        <v>293.33333333334781</v>
      </c>
      <c r="S128" s="59">
        <f ca="1">AVERAGE(OFFSET($R$3,0,0,'Données projet'!$E$9+1,1))-AVERAGE(OFFSET($H$3,0,0,'Données projet'!$E$9+1,1))</f>
        <v>490.7691633858222</v>
      </c>
      <c r="T128" s="59">
        <f t="shared" si="88"/>
        <v>490.82176582457072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1.9141331889773969</v>
      </c>
      <c r="AA128" s="21">
        <f>EXP(-LN(2)/25)*AA127+(1-EXP(-LN(2)/25))/(LN(2)/25)*Calculateur!V128*Calculateur!X128*VLOOKUP('Données projet'!$B$9,Paramètres!$A$1:$I$89,3,0)*0.475*44/12</f>
        <v>3.1780965708856579</v>
      </c>
      <c r="AB128" s="21">
        <f>EXP(-LN(2)/2)*AB127+(1-EXP(-LN(2)/2))/(LN(2)/2)*V128*Y128*VLOOKUP('Données projet'!$B$9,Paramètres!$A$1:$I$89,3,0)*0.475*44/12</f>
        <v>2.020968122895808E-13</v>
      </c>
      <c r="AC128" s="22">
        <f t="shared" si="57"/>
        <v>5.0922297598632573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-5.3205440053716299E-14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165.03539937460289</v>
      </c>
      <c r="AO128" s="59">
        <f t="shared" si="90"/>
        <v>142.05625724497401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0.13215670401698376</v>
      </c>
      <c r="AV128" s="21">
        <f>EXP(-LN(2)/25)*AV127+(1-EXP(-LN(2)/25))/(LN(2)/25)*Calculateur!AQ128*Calculateur!AS128*VLOOKUP('Données projet'!$B$10,Paramètres!$A$1:$I$89,3,0)*0.475*44/12</f>
        <v>0.34294089314234255</v>
      </c>
      <c r="AW128" s="21">
        <f>EXP(-LN(2)/2)*AW127+(1-EXP(-LN(2)/2))/(LN(2)/2)*AQ128*AT128*VLOOKUP('Données projet'!$B$10,Paramètres!$A$1:$I$89,3,0)*0.475*44/12</f>
        <v>3.0717090357198667E-14</v>
      </c>
      <c r="AX128" s="21">
        <f t="shared" si="60"/>
        <v>0.47509759715935701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-7.9580786405131221E-13</v>
      </c>
      <c r="BE128" s="13">
        <f>BD128*VLOOKUP('Données projet'!$B$11,Paramètres!$A$1:$I$89,3,0)*VLOOKUP('Données projet'!$B$11,Paramètres!$A$1:$I$89,5,0)</f>
        <v>-3.8278358260868117E-13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402.22278907877927</v>
      </c>
      <c r="BJ128" s="59">
        <f t="shared" si="92"/>
        <v>393.06397734082458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4.2351818683286568</v>
      </c>
      <c r="BQ128" s="21">
        <f>EXP(-LN(2)/25)*BQ127+(1-EXP(-LN(2)/25))/(LN(2)/25)*Calculateur!BL128*Calculateur!BN128*VLOOKUP('Données projet'!$B$11,Paramètres!$A$1:$I$89,3,0)*0.475*44/12</f>
        <v>3.2372233473882241</v>
      </c>
      <c r="BR128" s="21">
        <f>EXP(-LN(2)/2)*BR127+(1-EXP(-LN(2)/2))/(LN(2)/2)*BL128*BO128*VLOOKUP('Données projet'!$B$11,Paramètres!$A$1:$I$89,3,0)*0.475*44/12</f>
        <v>4.4446110665747816E-12</v>
      </c>
      <c r="BS128" s="22">
        <f t="shared" si="63"/>
        <v>7.4724052157213254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1.1368683772161603E-12</v>
      </c>
      <c r="O129" s="13">
        <f>N129*VLOOKUP('Données projet'!$B$9,Paramètres!$A$1:$I$89,3,0)*VLOOKUP('Données projet'!$B$9,Paramètres!$A$1:$I$89,5,0)</f>
        <v>6.3550942286383359E-13</v>
      </c>
      <c r="P129" s="13">
        <f t="shared" si="87"/>
        <v>7.6982260417614606E-12</v>
      </c>
      <c r="Q129" s="20">
        <f t="shared" si="107"/>
        <v>1.4514589267555721E-11</v>
      </c>
      <c r="R129" s="59">
        <f t="shared" si="55"/>
        <v>293.33333333334781</v>
      </c>
      <c r="S129" s="59">
        <f ca="1">AVERAGE(OFFSET($R$3,0,0,'Données projet'!$E$9+1,1))-AVERAGE(OFFSET($H$3,0,0,'Données projet'!$E$9+1,1))</f>
        <v>490.7691633858222</v>
      </c>
      <c r="T129" s="59">
        <f t="shared" si="88"/>
        <v>490.82176582457072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1.8765982046475138</v>
      </c>
      <c r="AA129" s="21">
        <f>EXP(-LN(2)/25)*AA128+(1-EXP(-LN(2)/25))/(LN(2)/25)*Calculateur!V129*Calculateur!X129*VLOOKUP('Données projet'!$B$9,Paramètres!$A$1:$I$89,3,0)*0.475*44/12</f>
        <v>3.0911913530259545</v>
      </c>
      <c r="AB129" s="21">
        <f>EXP(-LN(2)/2)*AB128+(1-EXP(-LN(2)/2))/(LN(2)/2)*V129*Y129*VLOOKUP('Données projet'!$B$9,Paramètres!$A$1:$I$89,3,0)*0.475*44/12</f>
        <v>1.4290402642614738E-13</v>
      </c>
      <c r="AC129" s="22">
        <f t="shared" si="57"/>
        <v>4.9677895576736111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-5.3205440053716299E-14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165.03539937460289</v>
      </c>
      <c r="AO129" s="59">
        <f t="shared" si="90"/>
        <v>142.05625724497401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0.12956519165884081</v>
      </c>
      <c r="AV129" s="21">
        <f>EXP(-LN(2)/25)*AV128+(1-EXP(-LN(2)/25))/(LN(2)/25)*Calculateur!AQ129*Calculateur!AS129*VLOOKUP('Données projet'!$B$10,Paramètres!$A$1:$I$89,3,0)*0.475*44/12</f>
        <v>0.33356315638488743</v>
      </c>
      <c r="AW129" s="21">
        <f>EXP(-LN(2)/2)*AW128+(1-EXP(-LN(2)/2))/(LN(2)/2)*AQ129*AT129*VLOOKUP('Données projet'!$B$10,Paramètres!$A$1:$I$89,3,0)*0.475*44/12</f>
        <v>2.1720262889895087E-14</v>
      </c>
      <c r="AX129" s="21">
        <f t="shared" si="60"/>
        <v>0.46312834804374997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-7.9580786405131221E-13</v>
      </c>
      <c r="BE129" s="13">
        <f>BD129*VLOOKUP('Données projet'!$B$11,Paramètres!$A$1:$I$89,3,0)*VLOOKUP('Données projet'!$B$11,Paramètres!$A$1:$I$89,5,0)</f>
        <v>-3.8278358260868117E-13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402.22278907877927</v>
      </c>
      <c r="BJ129" s="59">
        <f t="shared" si="92"/>
        <v>393.06397734082458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4.1521325350966007</v>
      </c>
      <c r="BQ129" s="21">
        <f>EXP(-LN(2)/25)*BQ128+(1-EXP(-LN(2)/25))/(LN(2)/25)*Calculateur!BL129*Calculateur!BN129*VLOOKUP('Données projet'!$B$11,Paramètres!$A$1:$I$89,3,0)*0.475*44/12</f>
        <v>3.1487013047157162</v>
      </c>
      <c r="BR129" s="21">
        <f>EXP(-LN(2)/2)*BR128+(1-EXP(-LN(2)/2))/(LN(2)/2)*BL129*BO129*VLOOKUP('Données projet'!$B$11,Paramètres!$A$1:$I$89,3,0)*0.475*44/12</f>
        <v>3.1428146249118017E-12</v>
      </c>
      <c r="BS129" s="22">
        <f t="shared" si="63"/>
        <v>7.3008338398154589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1.1368683772161603E-12</v>
      </c>
      <c r="O130" s="13">
        <f>N130*VLOOKUP('Données projet'!$B$9,Paramètres!$A$1:$I$89,3,0)*VLOOKUP('Données projet'!$B$9,Paramètres!$A$1:$I$89,5,0)</f>
        <v>6.3550942286383359E-13</v>
      </c>
      <c r="P130" s="13">
        <f t="shared" si="87"/>
        <v>7.6982260417614606E-12</v>
      </c>
      <c r="Q130" s="20">
        <f t="shared" si="107"/>
        <v>1.4514589267555721E-11</v>
      </c>
      <c r="R130" s="59">
        <f t="shared" si="55"/>
        <v>293.33333333334781</v>
      </c>
      <c r="S130" s="59">
        <f ca="1">AVERAGE(OFFSET($R$3,0,0,'Données projet'!$E$9+1,1))-AVERAGE(OFFSET($H$3,0,0,'Données projet'!$E$9+1,1))</f>
        <v>490.7691633858222</v>
      </c>
      <c r="T130" s="59">
        <f t="shared" si="88"/>
        <v>490.82176582457072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1.8397992584662599</v>
      </c>
      <c r="AA130" s="21">
        <f>EXP(-LN(2)/25)*AA129+(1-EXP(-LN(2)/25))/(LN(2)/25)*Calculateur!V130*Calculateur!X130*VLOOKUP('Données projet'!$B$9,Paramètres!$A$1:$I$89,3,0)*0.475*44/12</f>
        <v>3.0066625629187715</v>
      </c>
      <c r="AB130" s="21">
        <f>EXP(-LN(2)/2)*AB129+(1-EXP(-LN(2)/2))/(LN(2)/2)*V130*Y130*VLOOKUP('Données projet'!$B$9,Paramètres!$A$1:$I$89,3,0)*0.475*44/12</f>
        <v>1.010484061447904E-13</v>
      </c>
      <c r="AC130" s="22">
        <f t="shared" si="57"/>
        <v>4.8464618213851329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-5.3205440053716299E-14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165.03539937460289</v>
      </c>
      <c r="AO130" s="59">
        <f t="shared" si="90"/>
        <v>142.05625724497401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0.12702449727737458</v>
      </c>
      <c r="AV130" s="21">
        <f>EXP(-LN(2)/25)*AV129+(1-EXP(-LN(2)/25))/(LN(2)/25)*Calculateur!AQ130*Calculateur!AS130*VLOOKUP('Données projet'!$B$10,Paramètres!$A$1:$I$89,3,0)*0.475*44/12</f>
        <v>0.32444185433221867</v>
      </c>
      <c r="AW130" s="21">
        <f>EXP(-LN(2)/2)*AW129+(1-EXP(-LN(2)/2))/(LN(2)/2)*AQ130*AT130*VLOOKUP('Données projet'!$B$10,Paramètres!$A$1:$I$89,3,0)*0.475*44/12</f>
        <v>1.5358545178599334E-14</v>
      </c>
      <c r="AX130" s="21">
        <f t="shared" si="60"/>
        <v>0.45146635160960863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-7.9580786405131221E-13</v>
      </c>
      <c r="BE130" s="13">
        <f>BD130*VLOOKUP('Données projet'!$B$11,Paramètres!$A$1:$I$89,3,0)*VLOOKUP('Données projet'!$B$11,Paramètres!$A$1:$I$89,5,0)</f>
        <v>-3.8278358260868117E-13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402.22278907877927</v>
      </c>
      <c r="BJ130" s="59">
        <f t="shared" si="92"/>
        <v>393.06397734082458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4.0707117486341344</v>
      </c>
      <c r="BQ130" s="21">
        <f>EXP(-LN(2)/25)*BQ129+(1-EXP(-LN(2)/25))/(LN(2)/25)*Calculateur!BL130*Calculateur!BN130*VLOOKUP('Données projet'!$B$11,Paramètres!$A$1:$I$89,3,0)*0.475*44/12</f>
        <v>3.0625999019552599</v>
      </c>
      <c r="BR130" s="21">
        <f>EXP(-LN(2)/2)*BR129+(1-EXP(-LN(2)/2))/(LN(2)/2)*BL130*BO130*VLOOKUP('Données projet'!$B$11,Paramètres!$A$1:$I$89,3,0)*0.475*44/12</f>
        <v>2.2223055332873908E-12</v>
      </c>
      <c r="BS130" s="22">
        <f t="shared" si="63"/>
        <v>7.133311650591617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1.1368683772161603E-12</v>
      </c>
      <c r="O131" s="13">
        <f>N131*VLOOKUP('Données projet'!$B$9,Paramètres!$A$1:$I$89,3,0)*VLOOKUP('Données projet'!$B$9,Paramètres!$A$1:$I$89,5,0)</f>
        <v>6.3550942286383359E-13</v>
      </c>
      <c r="P131" s="13">
        <f t="shared" si="87"/>
        <v>7.6982260417614606E-12</v>
      </c>
      <c r="Q131" s="20">
        <f t="shared" ref="Q131:Q153" si="108">(O131+P131)*0.475*44/12</f>
        <v>1.4514589267555721E-11</v>
      </c>
      <c r="R131" s="59">
        <f t="shared" ref="R131:R194" si="109">Q131+(I131+J131)*44/12</f>
        <v>293.33333333334781</v>
      </c>
      <c r="S131" s="59">
        <f ca="1">AVERAGE(OFFSET($R$3,0,0,'Données projet'!$E$9+1,1))-AVERAGE(OFFSET($H$3,0,0,'Données projet'!$E$9+1,1))</f>
        <v>490.7691633858222</v>
      </c>
      <c r="T131" s="59">
        <f t="shared" si="88"/>
        <v>490.82176582457072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1.8037219171744794</v>
      </c>
      <c r="AA131" s="21">
        <f>EXP(-LN(2)/25)*AA130+(1-EXP(-LN(2)/25))/(LN(2)/25)*Calculateur!V131*Calculateur!X131*VLOOKUP('Données projet'!$B$9,Paramètres!$A$1:$I$89,3,0)*0.475*44/12</f>
        <v>2.9244452170222455</v>
      </c>
      <c r="AB131" s="21">
        <f>EXP(-LN(2)/2)*AB130+(1-EXP(-LN(2)/2))/(LN(2)/2)*V131*Y131*VLOOKUP('Données projet'!$B$9,Paramètres!$A$1:$I$89,3,0)*0.475*44/12</f>
        <v>7.1452013213073689E-14</v>
      </c>
      <c r="AC131" s="22">
        <f t="shared" si="57"/>
        <v>4.7281671341967959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-5.3205440053716299E-14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165.03539937460289</v>
      </c>
      <c r="AO131" s="59">
        <f t="shared" si="90"/>
        <v>142.05625724497401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0.12453362436305836</v>
      </c>
      <c r="AV131" s="21">
        <f>EXP(-LN(2)/25)*AV130+(1-EXP(-LN(2)/25))/(LN(2)/25)*Calculateur!AQ131*Calculateur!AS131*VLOOKUP('Données projet'!$B$10,Paramètres!$A$1:$I$89,3,0)*0.475*44/12</f>
        <v>0.31556997476384857</v>
      </c>
      <c r="AW131" s="21">
        <f>EXP(-LN(2)/2)*AW130+(1-EXP(-LN(2)/2))/(LN(2)/2)*AQ131*AT131*VLOOKUP('Données projet'!$B$10,Paramètres!$A$1:$I$89,3,0)*0.475*44/12</f>
        <v>1.0860131444947544E-14</v>
      </c>
      <c r="AX131" s="21">
        <f t="shared" si="60"/>
        <v>0.44010359912691782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-7.9580786405131221E-13</v>
      </c>
      <c r="BE131" s="13">
        <f>BD131*VLOOKUP('Données projet'!$B$11,Paramètres!$A$1:$I$89,3,0)*VLOOKUP('Données projet'!$B$11,Paramètres!$A$1:$I$89,5,0)</f>
        <v>-3.8278358260868117E-13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402.22278907877927</v>
      </c>
      <c r="BJ131" s="59">
        <f t="shared" si="92"/>
        <v>393.06397734082458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3.990887574132421</v>
      </c>
      <c r="BQ131" s="21">
        <f>EXP(-LN(2)/25)*BQ130+(1-EXP(-LN(2)/25))/(LN(2)/25)*Calculateur!BL131*Calculateur!BN131*VLOOKUP('Données projet'!$B$11,Paramètres!$A$1:$I$89,3,0)*0.475*44/12</f>
        <v>2.978852946581164</v>
      </c>
      <c r="BR131" s="21">
        <f>EXP(-LN(2)/2)*BR130+(1-EXP(-LN(2)/2))/(LN(2)/2)*BL131*BO131*VLOOKUP('Données projet'!$B$11,Paramètres!$A$1:$I$89,3,0)*0.475*44/12</f>
        <v>1.5714073124559009E-12</v>
      </c>
      <c r="BS131" s="22">
        <f t="shared" si="63"/>
        <v>6.9697405207151562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1.1368683772161603E-12</v>
      </c>
      <c r="O132" s="13">
        <f>N132*VLOOKUP('Données projet'!$B$9,Paramètres!$A$1:$I$89,3,0)*VLOOKUP('Données projet'!$B$9,Paramètres!$A$1:$I$89,5,0)</f>
        <v>6.3550942286383359E-13</v>
      </c>
      <c r="P132" s="13">
        <f t="shared" si="87"/>
        <v>7.6982260417614606E-12</v>
      </c>
      <c r="Q132" s="20">
        <f t="shared" si="108"/>
        <v>1.4514589267555721E-11</v>
      </c>
      <c r="R132" s="59">
        <f t="shared" si="109"/>
        <v>293.33333333334781</v>
      </c>
      <c r="S132" s="59">
        <f ca="1">AVERAGE(OFFSET($R$3,0,0,'Données projet'!$E$9+1,1))-AVERAGE(OFFSET($H$3,0,0,'Données projet'!$E$9+1,1))</f>
        <v>490.7691633858222</v>
      </c>
      <c r="T132" s="59">
        <f t="shared" si="88"/>
        <v>490.82176582457072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1.7683520305404254</v>
      </c>
      <c r="AA132" s="21">
        <f>EXP(-LN(2)/25)*AA131+(1-EXP(-LN(2)/25))/(LN(2)/25)*Calculateur!V132*Calculateur!X132*VLOOKUP('Données projet'!$B$9,Paramètres!$A$1:$I$89,3,0)*0.475*44/12</f>
        <v>2.844476108772882</v>
      </c>
      <c r="AB132" s="21">
        <f>EXP(-LN(2)/2)*AB131+(1-EXP(-LN(2)/2))/(LN(2)/2)*V132*Y132*VLOOKUP('Données projet'!$B$9,Paramètres!$A$1:$I$89,3,0)*0.475*44/12</f>
        <v>5.0524203072395201E-14</v>
      </c>
      <c r="AC132" s="22">
        <f t="shared" ref="AC132:AC153" si="111">SUM(Z132:AB132)</f>
        <v>4.6128281393133586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-5.3205440053716299E-14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165.03539937460289</v>
      </c>
      <c r="AO132" s="59">
        <f t="shared" si="90"/>
        <v>142.05625724497401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0.12209159594730941</v>
      </c>
      <c r="AV132" s="21">
        <f>EXP(-LN(2)/25)*AV131+(1-EXP(-LN(2)/25))/(LN(2)/25)*Calculateur!AQ132*Calculateur!AS132*VLOOKUP('Données projet'!$B$10,Paramètres!$A$1:$I$89,3,0)*0.475*44/12</f>
        <v>0.30694069720882738</v>
      </c>
      <c r="AW132" s="21">
        <f>EXP(-LN(2)/2)*AW131+(1-EXP(-LN(2)/2))/(LN(2)/2)*AQ132*AT132*VLOOKUP('Données projet'!$B$10,Paramètres!$A$1:$I$89,3,0)*0.475*44/12</f>
        <v>7.6792725892996668E-15</v>
      </c>
      <c r="AX132" s="21">
        <f t="shared" ref="AX132:AX153" si="114">SUM(AU132:AW132)</f>
        <v>0.42903229315614444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-7.9580786405131221E-13</v>
      </c>
      <c r="BE132" s="13">
        <f>BD132*VLOOKUP('Données projet'!$B$11,Paramètres!$A$1:$I$89,3,0)*VLOOKUP('Données projet'!$B$11,Paramètres!$A$1:$I$89,5,0)</f>
        <v>-3.8278358260868117E-13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402.22278907877927</v>
      </c>
      <c r="BJ132" s="59">
        <f t="shared" si="92"/>
        <v>393.06397734082458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3.9126287030047471</v>
      </c>
      <c r="BQ132" s="21">
        <f>EXP(-LN(2)/25)*BQ131+(1-EXP(-LN(2)/25))/(LN(2)/25)*Calculateur!BL132*Calculateur!BN132*VLOOKUP('Données projet'!$B$11,Paramètres!$A$1:$I$89,3,0)*0.475*44/12</f>
        <v>2.8973960561058338</v>
      </c>
      <c r="BR132" s="21">
        <f>EXP(-LN(2)/2)*BR131+(1-EXP(-LN(2)/2))/(LN(2)/2)*BL132*BO132*VLOOKUP('Données projet'!$B$11,Paramètres!$A$1:$I$89,3,0)*0.475*44/12</f>
        <v>1.1111527666436954E-12</v>
      </c>
      <c r="BS132" s="22">
        <f t="shared" ref="BS132:BS153" si="117">SUM(BP132:BR132)</f>
        <v>6.810024759111692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1.1368683772161603E-12</v>
      </c>
      <c r="O133" s="13">
        <f>N133*VLOOKUP('Données projet'!$B$9,Paramètres!$A$1:$I$89,3,0)*VLOOKUP('Données projet'!$B$9,Paramètres!$A$1:$I$89,5,0)</f>
        <v>6.3550942286383359E-13</v>
      </c>
      <c r="P133" s="13">
        <f t="shared" ref="P133:P196" si="141">EXP(-1.0587+0.8836*LN(O133)+0.284)</f>
        <v>7.6982260417614606E-12</v>
      </c>
      <c r="Q133" s="20">
        <f t="shared" si="108"/>
        <v>1.4514589267555721E-11</v>
      </c>
      <c r="R133" s="59">
        <f t="shared" si="109"/>
        <v>293.33333333334781</v>
      </c>
      <c r="S133" s="59">
        <f ca="1">AVERAGE(OFFSET($R$3,0,0,'Données projet'!$E$9+1,1))-AVERAGE(OFFSET($H$3,0,0,'Données projet'!$E$9+1,1))</f>
        <v>490.7691633858222</v>
      </c>
      <c r="T133" s="59">
        <f t="shared" ref="T133:T196" si="142">$T$3</f>
        <v>490.82176582457072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1.7336757258097646</v>
      </c>
      <c r="AA133" s="21">
        <f>EXP(-LN(2)/25)*AA132+(1-EXP(-LN(2)/25))/(LN(2)/25)*Calculateur!V133*Calculateur!X133*VLOOKUP('Données projet'!$B$9,Paramètres!$A$1:$I$89,3,0)*0.475*44/12</f>
        <v>2.76669375999399</v>
      </c>
      <c r="AB133" s="21">
        <f>EXP(-LN(2)/2)*AB132+(1-EXP(-LN(2)/2))/(LN(2)/2)*V133*Y133*VLOOKUP('Données projet'!$B$9,Paramètres!$A$1:$I$89,3,0)*0.475*44/12</f>
        <v>3.5726006606536845E-14</v>
      </c>
      <c r="AC133" s="22">
        <f t="shared" si="111"/>
        <v>4.5003694858037901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-5.3205440053716299E-14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165.03539937460289</v>
      </c>
      <c r="AO133" s="59">
        <f t="shared" ref="AO133:AO196" si="144">$AO$3</f>
        <v>142.05625724497401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0.11969745421930304</v>
      </c>
      <c r="AV133" s="21">
        <f>EXP(-LN(2)/25)*AV132+(1-EXP(-LN(2)/25))/(LN(2)/25)*Calculateur!AQ133*Calculateur!AS133*VLOOKUP('Données projet'!$B$10,Paramètres!$A$1:$I$89,3,0)*0.475*44/12</f>
        <v>0.29854738770234224</v>
      </c>
      <c r="AW133" s="21">
        <f>EXP(-LN(2)/2)*AW132+(1-EXP(-LN(2)/2))/(LN(2)/2)*AQ133*AT133*VLOOKUP('Données projet'!$B$10,Paramètres!$A$1:$I$89,3,0)*0.475*44/12</f>
        <v>5.4300657224737718E-15</v>
      </c>
      <c r="AX133" s="21">
        <f t="shared" si="114"/>
        <v>0.41824484192165073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-7.9580786405131221E-13</v>
      </c>
      <c r="BE133" s="13">
        <f>BD133*VLOOKUP('Données projet'!$B$11,Paramètres!$A$1:$I$89,3,0)*VLOOKUP('Données projet'!$B$11,Paramètres!$A$1:$I$89,5,0)</f>
        <v>-3.8278358260868117E-13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402.22278907877927</v>
      </c>
      <c r="BJ133" s="59">
        <f t="shared" ref="BJ133:BJ196" si="146">$BJ$3</f>
        <v>393.06397734082458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3.8359044406066887</v>
      </c>
      <c r="BQ133" s="21">
        <f>EXP(-LN(2)/25)*BQ132+(1-EXP(-LN(2)/25))/(LN(2)/25)*Calculateur!BL133*Calculateur!BN133*VLOOKUP('Données projet'!$B$11,Paramètres!$A$1:$I$89,3,0)*0.475*44/12</f>
        <v>2.8181666085841832</v>
      </c>
      <c r="BR133" s="21">
        <f>EXP(-LN(2)/2)*BR132+(1-EXP(-LN(2)/2))/(LN(2)/2)*BL133*BO133*VLOOKUP('Données projet'!$B$11,Paramètres!$A$1:$I$89,3,0)*0.475*44/12</f>
        <v>7.8570365622795043E-13</v>
      </c>
      <c r="BS133" s="22">
        <f t="shared" si="117"/>
        <v>6.6540710491916579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1.1368683772161603E-12</v>
      </c>
      <c r="O134" s="13">
        <f>N134*VLOOKUP('Données projet'!$B$9,Paramètres!$A$1:$I$89,3,0)*VLOOKUP('Données projet'!$B$9,Paramètres!$A$1:$I$89,5,0)</f>
        <v>6.3550942286383359E-13</v>
      </c>
      <c r="P134" s="13">
        <f t="shared" si="141"/>
        <v>7.6982260417614606E-12</v>
      </c>
      <c r="Q134" s="20">
        <f t="shared" si="108"/>
        <v>1.4514589267555721E-11</v>
      </c>
      <c r="R134" s="59">
        <f t="shared" si="109"/>
        <v>293.33333333334781</v>
      </c>
      <c r="S134" s="59">
        <f ca="1">AVERAGE(OFFSET($R$3,0,0,'Données projet'!$E$9+1,1))-AVERAGE(OFFSET($H$3,0,0,'Données projet'!$E$9+1,1))</f>
        <v>490.7691633858222</v>
      </c>
      <c r="T134" s="59">
        <f t="shared" si="142"/>
        <v>490.82176582457072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1.6996794022644146</v>
      </c>
      <c r="AA134" s="21">
        <f>EXP(-LN(2)/25)*AA133+(1-EXP(-LN(2)/25))/(LN(2)/25)*Calculateur!V134*Calculateur!X134*VLOOKUP('Données projet'!$B$9,Paramètres!$A$1:$I$89,3,0)*0.475*44/12</f>
        <v>2.6910383736328529</v>
      </c>
      <c r="AB134" s="21">
        <f>EXP(-LN(2)/2)*AB133+(1-EXP(-LN(2)/2))/(LN(2)/2)*V134*Y134*VLOOKUP('Données projet'!$B$9,Paramètres!$A$1:$I$89,3,0)*0.475*44/12</f>
        <v>2.52621015361976E-14</v>
      </c>
      <c r="AC134" s="22">
        <f t="shared" si="111"/>
        <v>4.3907177758972926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-5.3205440053716299E-14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165.03539937460289</v>
      </c>
      <c r="AO134" s="59">
        <f t="shared" si="144"/>
        <v>142.05625724497401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0.11735026015030062</v>
      </c>
      <c r="AV134" s="21">
        <f>EXP(-LN(2)/25)*AV133+(1-EXP(-LN(2)/25))/(LN(2)/25)*Calculateur!AQ134*Calculateur!AS134*VLOOKUP('Données projet'!$B$10,Paramètres!$A$1:$I$89,3,0)*0.475*44/12</f>
        <v>0.29038359368569688</v>
      </c>
      <c r="AW134" s="21">
        <f>EXP(-LN(2)/2)*AW133+(1-EXP(-LN(2)/2))/(LN(2)/2)*AQ134*AT134*VLOOKUP('Données projet'!$B$10,Paramètres!$A$1:$I$89,3,0)*0.475*44/12</f>
        <v>3.8396362946498334E-15</v>
      </c>
      <c r="AX134" s="21">
        <f t="shared" si="114"/>
        <v>0.4077338538360013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-7.9580786405131221E-13</v>
      </c>
      <c r="BE134" s="13">
        <f>BD134*VLOOKUP('Données projet'!$B$11,Paramètres!$A$1:$I$89,3,0)*VLOOKUP('Données projet'!$B$11,Paramètres!$A$1:$I$89,5,0)</f>
        <v>-3.8278358260868117E-13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402.22278907877927</v>
      </c>
      <c r="BJ134" s="59">
        <f t="shared" si="146"/>
        <v>393.06397734082458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3.7606846941970771</v>
      </c>
      <c r="BQ134" s="21">
        <f>EXP(-LN(2)/25)*BQ133+(1-EXP(-LN(2)/25))/(LN(2)/25)*Calculateur!BL134*Calculateur!BN134*VLOOKUP('Données projet'!$B$11,Paramètres!$A$1:$I$89,3,0)*0.475*44/12</f>
        <v>2.7411036944715077</v>
      </c>
      <c r="BR134" s="21">
        <f>EXP(-LN(2)/2)*BR133+(1-EXP(-LN(2)/2))/(LN(2)/2)*BL134*BO134*VLOOKUP('Données projet'!$B$11,Paramètres!$A$1:$I$89,3,0)*0.475*44/12</f>
        <v>5.5557638332184769E-13</v>
      </c>
      <c r="BS134" s="22">
        <f t="shared" si="117"/>
        <v>6.5017883886691408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1.1368683772161603E-12</v>
      </c>
      <c r="O135" s="13">
        <f>N135*VLOOKUP('Données projet'!$B$9,Paramètres!$A$1:$I$89,3,0)*VLOOKUP('Données projet'!$B$9,Paramètres!$A$1:$I$89,5,0)</f>
        <v>6.3550942286383359E-13</v>
      </c>
      <c r="P135" s="13">
        <f t="shared" si="141"/>
        <v>7.6982260417614606E-12</v>
      </c>
      <c r="Q135" s="20">
        <f t="shared" si="108"/>
        <v>1.4514589267555721E-11</v>
      </c>
      <c r="R135" s="59">
        <f t="shared" si="109"/>
        <v>293.33333333334781</v>
      </c>
      <c r="S135" s="59">
        <f ca="1">AVERAGE(OFFSET($R$3,0,0,'Données projet'!$E$9+1,1))-AVERAGE(OFFSET($H$3,0,0,'Données projet'!$E$9+1,1))</f>
        <v>490.7691633858222</v>
      </c>
      <c r="T135" s="59">
        <f t="shared" si="142"/>
        <v>490.82176582457072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1.6663497258880791</v>
      </c>
      <c r="AA135" s="21">
        <f>EXP(-LN(2)/25)*AA134+(1-EXP(-LN(2)/25))/(LN(2)/25)*Calculateur!V135*Calculateur!X135*VLOOKUP('Données projet'!$B$9,Paramètres!$A$1:$I$89,3,0)*0.475*44/12</f>
        <v>2.617451787790305</v>
      </c>
      <c r="AB135" s="21">
        <f>EXP(-LN(2)/2)*AB134+(1-EXP(-LN(2)/2))/(LN(2)/2)*V135*Y135*VLOOKUP('Données projet'!$B$9,Paramètres!$A$1:$I$89,3,0)*0.475*44/12</f>
        <v>1.7863003303268422E-14</v>
      </c>
      <c r="AC135" s="22">
        <f t="shared" si="111"/>
        <v>4.2838015136784016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-5.3205440053716299E-14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165.03539937460289</v>
      </c>
      <c r="AO135" s="59">
        <f t="shared" si="144"/>
        <v>142.05625724497401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0.11504909312534431</v>
      </c>
      <c r="AV135" s="21">
        <f>EXP(-LN(2)/25)*AV134+(1-EXP(-LN(2)/25))/(LN(2)/25)*Calculateur!AQ135*Calculateur!AS135*VLOOKUP('Données projet'!$B$10,Paramètres!$A$1:$I$89,3,0)*0.475*44/12</f>
        <v>0.28244303904575196</v>
      </c>
      <c r="AW135" s="21">
        <f>EXP(-LN(2)/2)*AW134+(1-EXP(-LN(2)/2))/(LN(2)/2)*AQ135*AT135*VLOOKUP('Données projet'!$B$10,Paramètres!$A$1:$I$89,3,0)*0.475*44/12</f>
        <v>2.7150328612368859E-15</v>
      </c>
      <c r="AX135" s="21">
        <f t="shared" si="114"/>
        <v>0.39749213217109897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-7.9580786405131221E-13</v>
      </c>
      <c r="BE135" s="13">
        <f>BD135*VLOOKUP('Données projet'!$B$11,Paramètres!$A$1:$I$89,3,0)*VLOOKUP('Données projet'!$B$11,Paramètres!$A$1:$I$89,5,0)</f>
        <v>-3.8278358260868117E-13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402.22278907877927</v>
      </c>
      <c r="BJ135" s="59">
        <f t="shared" si="146"/>
        <v>393.06397734082458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3.6869399611350429</v>
      </c>
      <c r="BQ135" s="21">
        <f>EXP(-LN(2)/25)*BQ134+(1-EXP(-LN(2)/25))/(LN(2)/25)*Calculateur!BL135*Calculateur!BN135*VLOOKUP('Données projet'!$B$11,Paramètres!$A$1:$I$89,3,0)*0.475*44/12</f>
        <v>2.6661480697978059</v>
      </c>
      <c r="BR135" s="21">
        <f>EXP(-LN(2)/2)*BR134+(1-EXP(-LN(2)/2))/(LN(2)/2)*BL135*BO135*VLOOKUP('Données projet'!$B$11,Paramètres!$A$1:$I$89,3,0)*0.475*44/12</f>
        <v>3.9285182811397522E-13</v>
      </c>
      <c r="BS135" s="22">
        <f t="shared" si="117"/>
        <v>6.3530880309332414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1.1368683772161603E-12</v>
      </c>
      <c r="O136" s="13">
        <f>N136*VLOOKUP('Données projet'!$B$9,Paramètres!$A$1:$I$89,3,0)*VLOOKUP('Données projet'!$B$9,Paramètres!$A$1:$I$89,5,0)</f>
        <v>6.3550942286383359E-13</v>
      </c>
      <c r="P136" s="13">
        <f t="shared" si="141"/>
        <v>7.6982260417614606E-12</v>
      </c>
      <c r="Q136" s="20">
        <f t="shared" si="108"/>
        <v>1.4514589267555721E-11</v>
      </c>
      <c r="R136" s="59">
        <f t="shared" si="109"/>
        <v>293.33333333334781</v>
      </c>
      <c r="S136" s="59">
        <f ca="1">AVERAGE(OFFSET($R$3,0,0,'Données projet'!$E$9+1,1))-AVERAGE(OFFSET($H$3,0,0,'Données projet'!$E$9+1,1))</f>
        <v>490.7691633858222</v>
      </c>
      <c r="T136" s="59">
        <f t="shared" si="142"/>
        <v>490.82176582457072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1.6336736241363881</v>
      </c>
      <c r="AA136" s="21">
        <f>EXP(-LN(2)/25)*AA135+(1-EXP(-LN(2)/25))/(LN(2)/25)*Calculateur!V136*Calculateur!X136*VLOOKUP('Données projet'!$B$9,Paramètres!$A$1:$I$89,3,0)*0.475*44/12</f>
        <v>2.545877431007372</v>
      </c>
      <c r="AB136" s="21">
        <f>EXP(-LN(2)/2)*AB135+(1-EXP(-LN(2)/2))/(LN(2)/2)*V136*Y136*VLOOKUP('Données projet'!$B$9,Paramètres!$A$1:$I$89,3,0)*0.475*44/12</f>
        <v>1.26310507680988E-14</v>
      </c>
      <c r="AC136" s="22">
        <f t="shared" si="111"/>
        <v>4.1795510551437722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-5.3205440053716299E-14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165.03539937460289</v>
      </c>
      <c r="AO136" s="59">
        <f t="shared" si="144"/>
        <v>142.05625724497401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0.11279305058217411</v>
      </c>
      <c r="AV136" s="21">
        <f>EXP(-LN(2)/25)*AV135+(1-EXP(-LN(2)/25))/(LN(2)/25)*Calculateur!AQ136*Calculateur!AS136*VLOOKUP('Données projet'!$B$10,Paramètres!$A$1:$I$89,3,0)*0.475*44/12</f>
        <v>0.27471961929001198</v>
      </c>
      <c r="AW136" s="21">
        <f>EXP(-LN(2)/2)*AW135+(1-EXP(-LN(2)/2))/(LN(2)/2)*AQ136*AT136*VLOOKUP('Données projet'!$B$10,Paramètres!$A$1:$I$89,3,0)*0.475*44/12</f>
        <v>1.9198181473249167E-15</v>
      </c>
      <c r="AX136" s="21">
        <f t="shared" si="114"/>
        <v>0.38751266987218802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-7.9580786405131221E-13</v>
      </c>
      <c r="BE136" s="13">
        <f>BD136*VLOOKUP('Données projet'!$B$11,Paramètres!$A$1:$I$89,3,0)*VLOOKUP('Données projet'!$B$11,Paramètres!$A$1:$I$89,5,0)</f>
        <v>-3.8278358260868117E-13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402.22278907877927</v>
      </c>
      <c r="BJ136" s="59">
        <f t="shared" si="146"/>
        <v>393.06397734082458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3.6146413173085095</v>
      </c>
      <c r="BQ136" s="21">
        <f>EXP(-LN(2)/25)*BQ135+(1-EXP(-LN(2)/25))/(LN(2)/25)*Calculateur!BL136*Calculateur!BN136*VLOOKUP('Données projet'!$B$11,Paramètres!$A$1:$I$89,3,0)*0.475*44/12</f>
        <v>2.5932421106225516</v>
      </c>
      <c r="BR136" s="21">
        <f>EXP(-LN(2)/2)*BR135+(1-EXP(-LN(2)/2))/(LN(2)/2)*BL136*BO136*VLOOKUP('Données projet'!$B$11,Paramètres!$A$1:$I$89,3,0)*0.475*44/12</f>
        <v>2.7778819166092385E-13</v>
      </c>
      <c r="BS136" s="22">
        <f t="shared" si="117"/>
        <v>6.2078834279313391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1.1368683772161603E-12</v>
      </c>
      <c r="O137" s="13">
        <f>N137*VLOOKUP('Données projet'!$B$9,Paramètres!$A$1:$I$89,3,0)*VLOOKUP('Données projet'!$B$9,Paramètres!$A$1:$I$89,5,0)</f>
        <v>6.3550942286383359E-13</v>
      </c>
      <c r="P137" s="13">
        <f t="shared" si="141"/>
        <v>7.6982260417614606E-12</v>
      </c>
      <c r="Q137" s="20">
        <f t="shared" si="108"/>
        <v>1.4514589267555721E-11</v>
      </c>
      <c r="R137" s="59">
        <f t="shared" si="109"/>
        <v>293.33333333334781</v>
      </c>
      <c r="S137" s="59">
        <f ca="1">AVERAGE(OFFSET($R$3,0,0,'Données projet'!$E$9+1,1))-AVERAGE(OFFSET($H$3,0,0,'Données projet'!$E$9+1,1))</f>
        <v>490.7691633858222</v>
      </c>
      <c r="T137" s="59">
        <f t="shared" si="142"/>
        <v>490.82176582457072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1.6016382808095937</v>
      </c>
      <c r="AA137" s="21">
        <f>EXP(-LN(2)/25)*AA136+(1-EXP(-LN(2)/25))/(LN(2)/25)*Calculateur!V137*Calculateur!X137*VLOOKUP('Données projet'!$B$9,Paramètres!$A$1:$I$89,3,0)*0.475*44/12</f>
        <v>2.4762602787745998</v>
      </c>
      <c r="AB137" s="21">
        <f>EXP(-LN(2)/2)*AB136+(1-EXP(-LN(2)/2))/(LN(2)/2)*V137*Y137*VLOOKUP('Données projet'!$B$9,Paramètres!$A$1:$I$89,3,0)*0.475*44/12</f>
        <v>8.9315016516342111E-15</v>
      </c>
      <c r="AC137" s="22">
        <f t="shared" si="111"/>
        <v>4.0778985595842023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-5.3205440053716299E-14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165.03539937460289</v>
      </c>
      <c r="AO137" s="59">
        <f t="shared" si="144"/>
        <v>142.05625724497401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0.11058124765722539</v>
      </c>
      <c r="AV137" s="21">
        <f>EXP(-LN(2)/25)*AV136+(1-EXP(-LN(2)/25))/(LN(2)/25)*Calculateur!AQ137*Calculateur!AS137*VLOOKUP('Données projet'!$B$10,Paramètres!$A$1:$I$89,3,0)*0.475*44/12</f>
        <v>0.26720739685364969</v>
      </c>
      <c r="AW137" s="21">
        <f>EXP(-LN(2)/2)*AW136+(1-EXP(-LN(2)/2))/(LN(2)/2)*AQ137*AT137*VLOOKUP('Données projet'!$B$10,Paramètres!$A$1:$I$89,3,0)*0.475*44/12</f>
        <v>1.357516430618443E-15</v>
      </c>
      <c r="AX137" s="21">
        <f t="shared" si="114"/>
        <v>0.3777886445108764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-7.9580786405131221E-13</v>
      </c>
      <c r="BE137" s="13">
        <f>BD137*VLOOKUP('Données projet'!$B$11,Paramètres!$A$1:$I$89,3,0)*VLOOKUP('Données projet'!$B$11,Paramètres!$A$1:$I$89,5,0)</f>
        <v>-3.8278358260868117E-13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402.22278907877927</v>
      </c>
      <c r="BJ137" s="59">
        <f t="shared" si="146"/>
        <v>393.06397734082458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3.5437604057895959</v>
      </c>
      <c r="BQ137" s="21">
        <f>EXP(-LN(2)/25)*BQ136+(1-EXP(-LN(2)/25))/(LN(2)/25)*Calculateur!BL137*Calculateur!BN137*VLOOKUP('Données projet'!$B$11,Paramètres!$A$1:$I$89,3,0)*0.475*44/12</f>
        <v>2.5223297687349024</v>
      </c>
      <c r="BR137" s="21">
        <f>EXP(-LN(2)/2)*BR136+(1-EXP(-LN(2)/2))/(LN(2)/2)*BL137*BO137*VLOOKUP('Données projet'!$B$11,Paramètres!$A$1:$I$89,3,0)*0.475*44/12</f>
        <v>1.9642591405698761E-13</v>
      </c>
      <c r="BS137" s="22">
        <f t="shared" si="117"/>
        <v>6.0660901745246951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1.1368683772161603E-12</v>
      </c>
      <c r="O138" s="13">
        <f>N138*VLOOKUP('Données projet'!$B$9,Paramètres!$A$1:$I$89,3,0)*VLOOKUP('Données projet'!$B$9,Paramètres!$A$1:$I$89,5,0)</f>
        <v>6.3550942286383359E-13</v>
      </c>
      <c r="P138" s="13">
        <f t="shared" si="141"/>
        <v>7.6982260417614606E-12</v>
      </c>
      <c r="Q138" s="20">
        <f t="shared" si="108"/>
        <v>1.4514589267555721E-11</v>
      </c>
      <c r="R138" s="59">
        <f t="shared" si="109"/>
        <v>293.33333333334781</v>
      </c>
      <c r="S138" s="59">
        <f ca="1">AVERAGE(OFFSET($R$3,0,0,'Données projet'!$E$9+1,1))-AVERAGE(OFFSET($H$3,0,0,'Données projet'!$E$9+1,1))</f>
        <v>490.7691633858222</v>
      </c>
      <c r="T138" s="59">
        <f t="shared" si="142"/>
        <v>490.82176582457072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1.5702311310258077</v>
      </c>
      <c r="AA138" s="21">
        <f>EXP(-LN(2)/25)*AA137+(1-EXP(-LN(2)/25))/(LN(2)/25)*Calculateur!V138*Calculateur!X138*VLOOKUP('Données projet'!$B$9,Paramètres!$A$1:$I$89,3,0)*0.475*44/12</f>
        <v>2.4085468112306399</v>
      </c>
      <c r="AB138" s="21">
        <f>EXP(-LN(2)/2)*AB137+(1-EXP(-LN(2)/2))/(LN(2)/2)*V138*Y138*VLOOKUP('Données projet'!$B$9,Paramètres!$A$1:$I$89,3,0)*0.475*44/12</f>
        <v>6.3155253840494001E-15</v>
      </c>
      <c r="AC138" s="22">
        <f t="shared" si="111"/>
        <v>3.9787779422564538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-5.3205440053716299E-14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165.03539937460289</v>
      </c>
      <c r="AO138" s="59">
        <f t="shared" si="144"/>
        <v>142.05625724497401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0.10841281683856835</v>
      </c>
      <c r="AV138" s="21">
        <f>EXP(-LN(2)/25)*AV137+(1-EXP(-LN(2)/25))/(LN(2)/25)*Calculateur!AQ138*Calculateur!AS138*VLOOKUP('Données projet'!$B$10,Paramètres!$A$1:$I$89,3,0)*0.475*44/12</f>
        <v>0.25990059653486036</v>
      </c>
      <c r="AW138" s="21">
        <f>EXP(-LN(2)/2)*AW137+(1-EXP(-LN(2)/2))/(LN(2)/2)*AQ138*AT138*VLOOKUP('Données projet'!$B$10,Paramètres!$A$1:$I$89,3,0)*0.475*44/12</f>
        <v>9.5990907366245835E-16</v>
      </c>
      <c r="AX138" s="21">
        <f t="shared" si="114"/>
        <v>0.36831341337342965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-7.9580786405131221E-13</v>
      </c>
      <c r="BE138" s="13">
        <f>BD138*VLOOKUP('Données projet'!$B$11,Paramètres!$A$1:$I$89,3,0)*VLOOKUP('Données projet'!$B$11,Paramètres!$A$1:$I$89,5,0)</f>
        <v>-3.8278358260868117E-13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402.22278907877927</v>
      </c>
      <c r="BJ138" s="59">
        <f t="shared" si="146"/>
        <v>393.06397734082458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3.4742694257124809</v>
      </c>
      <c r="BQ138" s="21">
        <f>EXP(-LN(2)/25)*BQ137+(1-EXP(-LN(2)/25))/(LN(2)/25)*Calculateur!BL138*Calculateur!BN138*VLOOKUP('Données projet'!$B$11,Paramètres!$A$1:$I$89,3,0)*0.475*44/12</f>
        <v>2.4533565285652887</v>
      </c>
      <c r="BR138" s="21">
        <f>EXP(-LN(2)/2)*BR137+(1-EXP(-LN(2)/2))/(LN(2)/2)*BL138*BO138*VLOOKUP('Données projet'!$B$11,Paramètres!$A$1:$I$89,3,0)*0.475*44/12</f>
        <v>1.3889409583046192E-13</v>
      </c>
      <c r="BS138" s="22">
        <f t="shared" si="117"/>
        <v>5.9276259542779082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1.1368683772161603E-12</v>
      </c>
      <c r="O139" s="13">
        <f>N139*VLOOKUP('Données projet'!$B$9,Paramètres!$A$1:$I$89,3,0)*VLOOKUP('Données projet'!$B$9,Paramètres!$A$1:$I$89,5,0)</f>
        <v>6.3550942286383359E-13</v>
      </c>
      <c r="P139" s="13">
        <f t="shared" si="141"/>
        <v>7.6982260417614606E-12</v>
      </c>
      <c r="Q139" s="20">
        <f t="shared" si="108"/>
        <v>1.4514589267555721E-11</v>
      </c>
      <c r="R139" s="59">
        <f t="shared" si="109"/>
        <v>293.33333333334781</v>
      </c>
      <c r="S139" s="59">
        <f ca="1">AVERAGE(OFFSET($R$3,0,0,'Données projet'!$E$9+1,1))-AVERAGE(OFFSET($H$3,0,0,'Données projet'!$E$9+1,1))</f>
        <v>490.7691633858222</v>
      </c>
      <c r="T139" s="59">
        <f t="shared" si="142"/>
        <v>490.82176582457072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1.539439856292812</v>
      </c>
      <c r="AA139" s="21">
        <f>EXP(-LN(2)/25)*AA138+(1-EXP(-LN(2)/25))/(LN(2)/25)*Calculateur!V139*Calculateur!X139*VLOOKUP('Données projet'!$B$9,Paramètres!$A$1:$I$89,3,0)*0.475*44/12</f>
        <v>2.3426849720175662</v>
      </c>
      <c r="AB139" s="21">
        <f>EXP(-LN(2)/2)*AB138+(1-EXP(-LN(2)/2))/(LN(2)/2)*V139*Y139*VLOOKUP('Données projet'!$B$9,Paramètres!$A$1:$I$89,3,0)*0.475*44/12</f>
        <v>4.4657508258171056E-15</v>
      </c>
      <c r="AC139" s="22">
        <f t="shared" si="111"/>
        <v>3.8821248283103826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-5.3205440053716299E-14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165.03539937460289</v>
      </c>
      <c r="AO139" s="59">
        <f t="shared" si="144"/>
        <v>142.05625724497401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0.10628690762565296</v>
      </c>
      <c r="AV139" s="21">
        <f>EXP(-LN(2)/25)*AV138+(1-EXP(-LN(2)/25))/(LN(2)/25)*Calculateur!AQ139*Calculateur!AS139*VLOOKUP('Données projet'!$B$10,Paramètres!$A$1:$I$89,3,0)*0.475*44/12</f>
        <v>0.25279360105503623</v>
      </c>
      <c r="AW139" s="21">
        <f>EXP(-LN(2)/2)*AW138+(1-EXP(-LN(2)/2))/(LN(2)/2)*AQ139*AT139*VLOOKUP('Données projet'!$B$10,Paramètres!$A$1:$I$89,3,0)*0.475*44/12</f>
        <v>6.7875821530922148E-16</v>
      </c>
      <c r="AX139" s="21">
        <f t="shared" si="114"/>
        <v>0.35908050868068986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-7.9580786405131221E-13</v>
      </c>
      <c r="BE139" s="13">
        <f>BD139*VLOOKUP('Données projet'!$B$11,Paramètres!$A$1:$I$89,3,0)*VLOOKUP('Données projet'!$B$11,Paramètres!$A$1:$I$89,5,0)</f>
        <v>-3.8278358260868117E-13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402.22278907877927</v>
      </c>
      <c r="BJ139" s="59">
        <f t="shared" si="146"/>
        <v>393.06397734082458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3.4061411213693655</v>
      </c>
      <c r="BQ139" s="21">
        <f>EXP(-LN(2)/25)*BQ138+(1-EXP(-LN(2)/25))/(LN(2)/25)*Calculateur!BL139*Calculateur!BN139*VLOOKUP('Données projet'!$B$11,Paramètres!$A$1:$I$89,3,0)*0.475*44/12</f>
        <v>2.3862693652752585</v>
      </c>
      <c r="BR139" s="21">
        <f>EXP(-LN(2)/2)*BR138+(1-EXP(-LN(2)/2))/(LN(2)/2)*BL139*BO139*VLOOKUP('Données projet'!$B$11,Paramètres!$A$1:$I$89,3,0)*0.475*44/12</f>
        <v>9.8212957028493804E-14</v>
      </c>
      <c r="BS139" s="22">
        <f t="shared" si="117"/>
        <v>5.7924104866447221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1.1368683772161603E-12</v>
      </c>
      <c r="O140" s="13">
        <f>N140*VLOOKUP('Données projet'!$B$9,Paramètres!$A$1:$I$89,3,0)*VLOOKUP('Données projet'!$B$9,Paramètres!$A$1:$I$89,5,0)</f>
        <v>6.3550942286383359E-13</v>
      </c>
      <c r="P140" s="13">
        <f t="shared" si="141"/>
        <v>7.6982260417614606E-12</v>
      </c>
      <c r="Q140" s="20">
        <f t="shared" si="108"/>
        <v>1.4514589267555721E-11</v>
      </c>
      <c r="R140" s="59">
        <f t="shared" si="109"/>
        <v>293.33333333334781</v>
      </c>
      <c r="S140" s="59">
        <f ca="1">AVERAGE(OFFSET($R$3,0,0,'Données projet'!$E$9+1,1))-AVERAGE(OFFSET($H$3,0,0,'Données projet'!$E$9+1,1))</f>
        <v>490.7691633858222</v>
      </c>
      <c r="T140" s="59">
        <f t="shared" si="142"/>
        <v>490.82176582457072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1.5092523796765072</v>
      </c>
      <c r="AA140" s="21">
        <f>EXP(-LN(2)/25)*AA139+(1-EXP(-LN(2)/25))/(LN(2)/25)*Calculateur!V140*Calculateur!X140*VLOOKUP('Données projet'!$B$9,Paramètres!$A$1:$I$89,3,0)*0.475*44/12</f>
        <v>2.2786241282612973</v>
      </c>
      <c r="AB140" s="21">
        <f>EXP(-LN(2)/2)*AB139+(1-EXP(-LN(2)/2))/(LN(2)/2)*V140*Y140*VLOOKUP('Données projet'!$B$9,Paramètres!$A$1:$I$89,3,0)*0.475*44/12</f>
        <v>3.1577626920247E-15</v>
      </c>
      <c r="AC140" s="22">
        <f t="shared" si="111"/>
        <v>3.7878765079378076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-5.3205440053716299E-14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165.03539937460289</v>
      </c>
      <c r="AO140" s="59">
        <f t="shared" si="144"/>
        <v>142.05625724497401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0.10420268619572626</v>
      </c>
      <c r="AV140" s="21">
        <f>EXP(-LN(2)/25)*AV139+(1-EXP(-LN(2)/25))/(LN(2)/25)*Calculateur!AQ140*Calculateur!AS140*VLOOKUP('Données projet'!$B$10,Paramètres!$A$1:$I$89,3,0)*0.475*44/12</f>
        <v>0.24588094674034855</v>
      </c>
      <c r="AW140" s="21">
        <f>EXP(-LN(2)/2)*AW139+(1-EXP(-LN(2)/2))/(LN(2)/2)*AQ140*AT140*VLOOKUP('Données projet'!$B$10,Paramètres!$A$1:$I$89,3,0)*0.475*44/12</f>
        <v>4.7995453683122918E-16</v>
      </c>
      <c r="AX140" s="21">
        <f t="shared" si="114"/>
        <v>0.35008363293607531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-7.9580786405131221E-13</v>
      </c>
      <c r="BE140" s="13">
        <f>BD140*VLOOKUP('Données projet'!$B$11,Paramètres!$A$1:$I$89,3,0)*VLOOKUP('Données projet'!$B$11,Paramètres!$A$1:$I$89,5,0)</f>
        <v>-3.8278358260868117E-13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402.22278907877927</v>
      </c>
      <c r="BJ140" s="59">
        <f t="shared" si="146"/>
        <v>393.06397734082458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3.3393487715202563</v>
      </c>
      <c r="BQ140" s="21">
        <f>EXP(-LN(2)/25)*BQ139+(1-EXP(-LN(2)/25))/(LN(2)/25)*Calculateur!BL140*Calculateur!BN140*VLOOKUP('Données projet'!$B$11,Paramètres!$A$1:$I$89,3,0)*0.475*44/12</f>
        <v>2.3210167039933545</v>
      </c>
      <c r="BR140" s="21">
        <f>EXP(-LN(2)/2)*BR139+(1-EXP(-LN(2)/2))/(LN(2)/2)*BL140*BO140*VLOOKUP('Données projet'!$B$11,Paramètres!$A$1:$I$89,3,0)*0.475*44/12</f>
        <v>6.9447047915230962E-14</v>
      </c>
      <c r="BS140" s="22">
        <f t="shared" si="117"/>
        <v>5.6603654755136805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1.1368683772161603E-12</v>
      </c>
      <c r="O141" s="13">
        <f>N141*VLOOKUP('Données projet'!$B$9,Paramètres!$A$1:$I$89,3,0)*VLOOKUP('Données projet'!$B$9,Paramètres!$A$1:$I$89,5,0)</f>
        <v>6.3550942286383359E-13</v>
      </c>
      <c r="P141" s="13">
        <f t="shared" si="141"/>
        <v>7.6982260417614606E-12</v>
      </c>
      <c r="Q141" s="20">
        <f t="shared" si="108"/>
        <v>1.4514589267555721E-11</v>
      </c>
      <c r="R141" s="59">
        <f t="shared" si="109"/>
        <v>293.33333333334781</v>
      </c>
      <c r="S141" s="59">
        <f ca="1">AVERAGE(OFFSET($R$3,0,0,'Données projet'!$E$9+1,1))-AVERAGE(OFFSET($H$3,0,0,'Données projet'!$E$9+1,1))</f>
        <v>490.7691633858222</v>
      </c>
      <c r="T141" s="59">
        <f t="shared" si="142"/>
        <v>490.82176582457072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1.4796568610641054</v>
      </c>
      <c r="AA141" s="21">
        <f>EXP(-LN(2)/25)*AA140+(1-EXP(-LN(2)/25))/(LN(2)/25)*Calculateur!V141*Calculateur!X141*VLOOKUP('Données projet'!$B$9,Paramètres!$A$1:$I$89,3,0)*0.475*44/12</f>
        <v>2.2163150316463573</v>
      </c>
      <c r="AB141" s="21">
        <f>EXP(-LN(2)/2)*AB140+(1-EXP(-LN(2)/2))/(LN(2)/2)*V141*Y141*VLOOKUP('Données projet'!$B$9,Paramètres!$A$1:$I$89,3,0)*0.475*44/12</f>
        <v>2.2328754129085528E-15</v>
      </c>
      <c r="AC141" s="22">
        <f t="shared" si="111"/>
        <v>3.6959718927104652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-5.3205440053716299E-14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165.03539937460289</v>
      </c>
      <c r="AO141" s="59">
        <f t="shared" si="144"/>
        <v>142.05625724497401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0.10215933507679088</v>
      </c>
      <c r="AV141" s="21">
        <f>EXP(-LN(2)/25)*AV140+(1-EXP(-LN(2)/25))/(LN(2)/25)*Calculateur!AQ141*Calculateur!AS141*VLOOKUP('Données projet'!$B$10,Paramètres!$A$1:$I$89,3,0)*0.475*44/12</f>
        <v>0.23915731932141671</v>
      </c>
      <c r="AW141" s="21">
        <f>EXP(-LN(2)/2)*AW140+(1-EXP(-LN(2)/2))/(LN(2)/2)*AQ141*AT141*VLOOKUP('Données projet'!$B$10,Paramètres!$A$1:$I$89,3,0)*0.475*44/12</f>
        <v>3.3937910765461074E-16</v>
      </c>
      <c r="AX141" s="21">
        <f t="shared" si="114"/>
        <v>0.34131665439820791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-7.9580786405131221E-13</v>
      </c>
      <c r="BE141" s="13">
        <f>BD141*VLOOKUP('Données projet'!$B$11,Paramètres!$A$1:$I$89,3,0)*VLOOKUP('Données projet'!$B$11,Paramètres!$A$1:$I$89,5,0)</f>
        <v>-3.8278358260868117E-13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402.22278907877927</v>
      </c>
      <c r="BJ141" s="59">
        <f t="shared" si="146"/>
        <v>393.06397734082458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3.2738661789123773</v>
      </c>
      <c r="BQ141" s="21">
        <f>EXP(-LN(2)/25)*BQ140+(1-EXP(-LN(2)/25))/(LN(2)/25)*Calculateur!BL141*Calculateur!BN141*VLOOKUP('Données projet'!$B$11,Paramètres!$A$1:$I$89,3,0)*0.475*44/12</f>
        <v>2.2575483801656926</v>
      </c>
      <c r="BR141" s="21">
        <f>EXP(-LN(2)/2)*BR140+(1-EXP(-LN(2)/2))/(LN(2)/2)*BL141*BO141*VLOOKUP('Données projet'!$B$11,Paramètres!$A$1:$I$89,3,0)*0.475*44/12</f>
        <v>4.9106478514246902E-14</v>
      </c>
      <c r="BS141" s="22">
        <f t="shared" si="117"/>
        <v>5.5314145590781187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1.1368683772161603E-12</v>
      </c>
      <c r="O142" s="13">
        <f>N142*VLOOKUP('Données projet'!$B$9,Paramètres!$A$1:$I$89,3,0)*VLOOKUP('Données projet'!$B$9,Paramètres!$A$1:$I$89,5,0)</f>
        <v>6.3550942286383359E-13</v>
      </c>
      <c r="P142" s="13">
        <f t="shared" si="141"/>
        <v>7.6982260417614606E-12</v>
      </c>
      <c r="Q142" s="20">
        <f t="shared" si="108"/>
        <v>1.4514589267555721E-11</v>
      </c>
      <c r="R142" s="59">
        <f t="shared" si="109"/>
        <v>293.33333333334781</v>
      </c>
      <c r="S142" s="59">
        <f ca="1">AVERAGE(OFFSET($R$3,0,0,'Données projet'!$E$9+1,1))-AVERAGE(OFFSET($H$3,0,0,'Données projet'!$E$9+1,1))</f>
        <v>490.7691633858222</v>
      </c>
      <c r="T142" s="59">
        <f t="shared" si="142"/>
        <v>490.82176582457072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1.450641692520209</v>
      </c>
      <c r="AA142" s="21">
        <f>EXP(-LN(2)/25)*AA141+(1-EXP(-LN(2)/25))/(LN(2)/25)*Calculateur!V142*Calculateur!X142*VLOOKUP('Données projet'!$B$9,Paramètres!$A$1:$I$89,3,0)*0.475*44/12</f>
        <v>2.1557097805550458</v>
      </c>
      <c r="AB142" s="21">
        <f>EXP(-LN(2)/2)*AB141+(1-EXP(-LN(2)/2))/(LN(2)/2)*V142*Y142*VLOOKUP('Données projet'!$B$9,Paramètres!$A$1:$I$89,3,0)*0.475*44/12</f>
        <v>1.57888134601235E-15</v>
      </c>
      <c r="AC142" s="22">
        <f t="shared" si="111"/>
        <v>3.6063514730752564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-5.3205440053716299E-14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165.03539937460289</v>
      </c>
      <c r="AO142" s="59">
        <f t="shared" si="144"/>
        <v>142.05625724497401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0.1001560528269767</v>
      </c>
      <c r="AV142" s="21">
        <f>EXP(-LN(2)/25)*AV141+(1-EXP(-LN(2)/25))/(LN(2)/25)*Calculateur!AQ142*Calculateur!AS142*VLOOKUP('Données projet'!$B$10,Paramètres!$A$1:$I$89,3,0)*0.475*44/12</f>
        <v>0.23261754984783575</v>
      </c>
      <c r="AW142" s="21">
        <f>EXP(-LN(2)/2)*AW141+(1-EXP(-LN(2)/2))/(LN(2)/2)*AQ142*AT142*VLOOKUP('Données projet'!$B$10,Paramètres!$A$1:$I$89,3,0)*0.475*44/12</f>
        <v>2.3997726841561459E-16</v>
      </c>
      <c r="AX142" s="21">
        <f t="shared" si="114"/>
        <v>0.33277360267481271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-7.9580786405131221E-13</v>
      </c>
      <c r="BE142" s="13">
        <f>BD142*VLOOKUP('Données projet'!$B$11,Paramètres!$A$1:$I$89,3,0)*VLOOKUP('Données projet'!$B$11,Paramètres!$A$1:$I$89,5,0)</f>
        <v>-3.8278358260868117E-13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402.22278907877927</v>
      </c>
      <c r="BJ142" s="59">
        <f t="shared" si="146"/>
        <v>393.06397734082458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3.2096676600051008</v>
      </c>
      <c r="BQ142" s="21">
        <f>EXP(-LN(2)/25)*BQ141+(1-EXP(-LN(2)/25))/(LN(2)/25)*Calculateur!BL142*Calculateur!BN142*VLOOKUP('Données projet'!$B$11,Paramètres!$A$1:$I$89,3,0)*0.475*44/12</f>
        <v>2.1958156009907519</v>
      </c>
      <c r="BR142" s="21">
        <f>EXP(-LN(2)/2)*BR141+(1-EXP(-LN(2)/2))/(LN(2)/2)*BL142*BO142*VLOOKUP('Données projet'!$B$11,Paramètres!$A$1:$I$89,3,0)*0.475*44/12</f>
        <v>3.4723523957615481E-14</v>
      </c>
      <c r="BS142" s="22">
        <f t="shared" si="117"/>
        <v>5.4054832609958874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1.1368683772161603E-12</v>
      </c>
      <c r="O143" s="13">
        <f>N143*VLOOKUP('Données projet'!$B$9,Paramètres!$A$1:$I$89,3,0)*VLOOKUP('Données projet'!$B$9,Paramètres!$A$1:$I$89,5,0)</f>
        <v>6.3550942286383359E-13</v>
      </c>
      <c r="P143" s="13">
        <f t="shared" si="141"/>
        <v>7.6982260417614606E-12</v>
      </c>
      <c r="Q143" s="20">
        <f t="shared" si="108"/>
        <v>1.4514589267555721E-11</v>
      </c>
      <c r="R143" s="59">
        <f t="shared" si="109"/>
        <v>293.33333333334781</v>
      </c>
      <c r="S143" s="59">
        <f ca="1">AVERAGE(OFFSET($R$3,0,0,'Données projet'!$E$9+1,1))-AVERAGE(OFFSET($H$3,0,0,'Données projet'!$E$9+1,1))</f>
        <v>490.7691633858222</v>
      </c>
      <c r="T143" s="59">
        <f t="shared" si="142"/>
        <v>490.82176582457072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1.4221954937339529</v>
      </c>
      <c r="AA143" s="21">
        <f>EXP(-LN(2)/25)*AA142+(1-EXP(-LN(2)/25))/(LN(2)/25)*Calculateur!V143*Calculateur!X143*VLOOKUP('Données projet'!$B$9,Paramètres!$A$1:$I$89,3,0)*0.475*44/12</f>
        <v>2.0967617832419179</v>
      </c>
      <c r="AB143" s="21">
        <f>EXP(-LN(2)/2)*AB142+(1-EXP(-LN(2)/2))/(LN(2)/2)*V143*Y143*VLOOKUP('Données projet'!$B$9,Paramètres!$A$1:$I$89,3,0)*0.475*44/12</f>
        <v>1.1164377064542764E-15</v>
      </c>
      <c r="AC143" s="22">
        <f t="shared" si="111"/>
        <v>3.5189572769758724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-5.3205440053716299E-14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165.03539937460289</v>
      </c>
      <c r="AO143" s="59">
        <f t="shared" si="144"/>
        <v>142.05625724497401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9.8192053720199859E-2</v>
      </c>
      <c r="AV143" s="21">
        <f>EXP(-LN(2)/25)*AV142+(1-EXP(-LN(2)/25))/(LN(2)/25)*Calculateur!AQ143*Calculateur!AS143*VLOOKUP('Données projet'!$B$10,Paramètres!$A$1:$I$89,3,0)*0.475*44/12</f>
        <v>0.22625661071442138</v>
      </c>
      <c r="AW143" s="21">
        <f>EXP(-LN(2)/2)*AW142+(1-EXP(-LN(2)/2))/(LN(2)/2)*AQ143*AT143*VLOOKUP('Données projet'!$B$10,Paramètres!$A$1:$I$89,3,0)*0.475*44/12</f>
        <v>1.6968955382730537E-16</v>
      </c>
      <c r="AX143" s="21">
        <f t="shared" si="114"/>
        <v>0.32444866443462139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-7.9580786405131221E-13</v>
      </c>
      <c r="BE143" s="13">
        <f>BD143*VLOOKUP('Données projet'!$B$11,Paramètres!$A$1:$I$89,3,0)*VLOOKUP('Données projet'!$B$11,Paramètres!$A$1:$I$89,5,0)</f>
        <v>-3.8278358260868117E-13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402.22278907877927</v>
      </c>
      <c r="BJ143" s="59">
        <f t="shared" si="146"/>
        <v>393.06397734082458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3.1467280348963662</v>
      </c>
      <c r="BQ143" s="21">
        <f>EXP(-LN(2)/25)*BQ142+(1-EXP(-LN(2)/25))/(LN(2)/25)*Calculateur!BL143*Calculateur!BN143*VLOOKUP('Données projet'!$B$11,Paramètres!$A$1:$I$89,3,0)*0.475*44/12</f>
        <v>2.1357709079087361</v>
      </c>
      <c r="BR143" s="21">
        <f>EXP(-LN(2)/2)*BR142+(1-EXP(-LN(2)/2))/(LN(2)/2)*BL143*BO143*VLOOKUP('Données projet'!$B$11,Paramètres!$A$1:$I$89,3,0)*0.475*44/12</f>
        <v>2.4553239257123451E-14</v>
      </c>
      <c r="BS143" s="22">
        <f t="shared" si="117"/>
        <v>5.2824989428051268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1.1368683772161603E-12</v>
      </c>
      <c r="O144" s="13">
        <f>N144*VLOOKUP('Données projet'!$B$9,Paramètres!$A$1:$I$89,3,0)*VLOOKUP('Données projet'!$B$9,Paramètres!$A$1:$I$89,5,0)</f>
        <v>6.3550942286383359E-13</v>
      </c>
      <c r="P144" s="13">
        <f t="shared" si="141"/>
        <v>7.6982260417614606E-12</v>
      </c>
      <c r="Q144" s="20">
        <f t="shared" si="108"/>
        <v>1.4514589267555721E-11</v>
      </c>
      <c r="R144" s="59">
        <f t="shared" si="109"/>
        <v>293.33333333334781</v>
      </c>
      <c r="S144" s="59">
        <f ca="1">AVERAGE(OFFSET($R$3,0,0,'Données projet'!$E$9+1,1))-AVERAGE(OFFSET($H$3,0,0,'Données projet'!$E$9+1,1))</f>
        <v>490.7691633858222</v>
      </c>
      <c r="T144" s="59">
        <f t="shared" si="142"/>
        <v>490.82176582457072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1.3943071075554274</v>
      </c>
      <c r="AA144" s="21">
        <f>EXP(-LN(2)/25)*AA143+(1-EXP(-LN(2)/25))/(LN(2)/25)*Calculateur!V144*Calculateur!X144*VLOOKUP('Données projet'!$B$9,Paramètres!$A$1:$I$89,3,0)*0.475*44/12</f>
        <v>2.0394257220152578</v>
      </c>
      <c r="AB144" s="21">
        <f>EXP(-LN(2)/2)*AB143+(1-EXP(-LN(2)/2))/(LN(2)/2)*V144*Y144*VLOOKUP('Données projet'!$B$9,Paramètres!$A$1:$I$89,3,0)*0.475*44/12</f>
        <v>7.8944067300617501E-16</v>
      </c>
      <c r="AC144" s="22">
        <f t="shared" si="111"/>
        <v>3.4337328295706859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-5.3205440053716299E-14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165.03539937460289</v>
      </c>
      <c r="AO144" s="59">
        <f t="shared" si="144"/>
        <v>142.05625724497401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9.6266567437985742E-2</v>
      </c>
      <c r="AV144" s="21">
        <f>EXP(-LN(2)/25)*AV143+(1-EXP(-LN(2)/25))/(LN(2)/25)*Calculateur!AQ144*Calculateur!AS144*VLOOKUP('Données projet'!$B$10,Paramètres!$A$1:$I$89,3,0)*0.475*44/12</f>
        <v>0.22006961179611748</v>
      </c>
      <c r="AW144" s="21">
        <f>EXP(-LN(2)/2)*AW143+(1-EXP(-LN(2)/2))/(LN(2)/2)*AQ144*AT144*VLOOKUP('Données projet'!$B$10,Paramètres!$A$1:$I$89,3,0)*0.475*44/12</f>
        <v>1.1998863420780729E-16</v>
      </c>
      <c r="AX144" s="21">
        <f t="shared" si="114"/>
        <v>0.31633617923410334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-7.9580786405131221E-13</v>
      </c>
      <c r="BE144" s="13">
        <f>BD144*VLOOKUP('Données projet'!$B$11,Paramètres!$A$1:$I$89,3,0)*VLOOKUP('Données projet'!$B$11,Paramètres!$A$1:$I$89,5,0)</f>
        <v>-3.8278358260868117E-13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402.22278907877927</v>
      </c>
      <c r="BJ144" s="59">
        <f t="shared" si="146"/>
        <v>393.06397734082458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3.0850226174466333</v>
      </c>
      <c r="BQ144" s="21">
        <f>EXP(-LN(2)/25)*BQ143+(1-EXP(-LN(2)/25))/(LN(2)/25)*Calculateur!BL144*Calculateur!BN144*VLOOKUP('Données projet'!$B$11,Paramètres!$A$1:$I$89,3,0)*0.475*44/12</f>
        <v>2.0773681401166613</v>
      </c>
      <c r="BR144" s="21">
        <f>EXP(-LN(2)/2)*BR143+(1-EXP(-LN(2)/2))/(LN(2)/2)*BL144*BO144*VLOOKUP('Données projet'!$B$11,Paramètres!$A$1:$I$89,3,0)*0.475*44/12</f>
        <v>1.736176197880774E-14</v>
      </c>
      <c r="BS144" s="22">
        <f t="shared" si="117"/>
        <v>5.1623907575633119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1.1368683772161603E-12</v>
      </c>
      <c r="O145" s="13">
        <f>N145*VLOOKUP('Données projet'!$B$9,Paramètres!$A$1:$I$89,3,0)*VLOOKUP('Données projet'!$B$9,Paramètres!$A$1:$I$89,5,0)</f>
        <v>6.3550942286383359E-13</v>
      </c>
      <c r="P145" s="13">
        <f t="shared" si="141"/>
        <v>7.6982260417614606E-12</v>
      </c>
      <c r="Q145" s="20">
        <f t="shared" si="108"/>
        <v>1.4514589267555721E-11</v>
      </c>
      <c r="R145" s="59">
        <f t="shared" si="109"/>
        <v>293.33333333334781</v>
      </c>
      <c r="S145" s="59">
        <f ca="1">AVERAGE(OFFSET($R$3,0,0,'Données projet'!$E$9+1,1))-AVERAGE(OFFSET($H$3,0,0,'Données projet'!$E$9+1,1))</f>
        <v>490.7691633858222</v>
      </c>
      <c r="T145" s="59">
        <f t="shared" si="142"/>
        <v>490.82176582457072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1.3669655956196267</v>
      </c>
      <c r="AA145" s="21">
        <f>EXP(-LN(2)/25)*AA144+(1-EXP(-LN(2)/25))/(LN(2)/25)*Calculateur!V145*Calculateur!X145*VLOOKUP('Données projet'!$B$9,Paramètres!$A$1:$I$89,3,0)*0.475*44/12</f>
        <v>1.983657518398013</v>
      </c>
      <c r="AB145" s="21">
        <f>EXP(-LN(2)/2)*AB144+(1-EXP(-LN(2)/2))/(LN(2)/2)*V145*Y145*VLOOKUP('Données projet'!$B$9,Paramètres!$A$1:$I$89,3,0)*0.475*44/12</f>
        <v>5.582188532271382E-16</v>
      </c>
      <c r="AC145" s="22">
        <f t="shared" si="111"/>
        <v>3.3506231140176399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-5.3205440053716299E-14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165.03539937460289</v>
      </c>
      <c r="AO145" s="59">
        <f t="shared" si="144"/>
        <v>142.05625724497401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9.4378838767335174E-2</v>
      </c>
      <c r="AV145" s="21">
        <f>EXP(-LN(2)/25)*AV144+(1-EXP(-LN(2)/25))/(LN(2)/25)*Calculateur!AQ145*Calculateur!AS145*VLOOKUP('Données projet'!$B$10,Paramètres!$A$1:$I$89,3,0)*0.475*44/12</f>
        <v>0.21405179668859473</v>
      </c>
      <c r="AW145" s="21">
        <f>EXP(-LN(2)/2)*AW144+(1-EXP(-LN(2)/2))/(LN(2)/2)*AQ145*AT145*VLOOKUP('Données projet'!$B$10,Paramètres!$A$1:$I$89,3,0)*0.475*44/12</f>
        <v>8.4844776913652685E-17</v>
      </c>
      <c r="AX145" s="21">
        <f t="shared" si="114"/>
        <v>0.30843063545593002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-7.9580786405131221E-13</v>
      </c>
      <c r="BE145" s="13">
        <f>BD145*VLOOKUP('Données projet'!$B$11,Paramètres!$A$1:$I$89,3,0)*VLOOKUP('Données projet'!$B$11,Paramètres!$A$1:$I$89,5,0)</f>
        <v>-3.8278358260868117E-13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402.22278907877927</v>
      </c>
      <c r="BJ145" s="59">
        <f t="shared" si="146"/>
        <v>393.06397734082458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3.0245272055965011</v>
      </c>
      <c r="BQ145" s="21">
        <f>EXP(-LN(2)/25)*BQ144+(1-EXP(-LN(2)/25))/(LN(2)/25)*Calculateur!BL145*Calculateur!BN145*VLOOKUP('Données projet'!$B$11,Paramètres!$A$1:$I$89,3,0)*0.475*44/12</f>
        <v>2.0205623990811286</v>
      </c>
      <c r="BR145" s="21">
        <f>EXP(-LN(2)/2)*BR144+(1-EXP(-LN(2)/2))/(LN(2)/2)*BL145*BO145*VLOOKUP('Données projet'!$B$11,Paramètres!$A$1:$I$89,3,0)*0.475*44/12</f>
        <v>1.2276619628561725E-14</v>
      </c>
      <c r="BS145" s="22">
        <f t="shared" si="117"/>
        <v>5.0450896046776421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1.1368683772161603E-12</v>
      </c>
      <c r="O146" s="13">
        <f>N146*VLOOKUP('Données projet'!$B$9,Paramètres!$A$1:$I$89,3,0)*VLOOKUP('Données projet'!$B$9,Paramètres!$A$1:$I$89,5,0)</f>
        <v>6.3550942286383359E-13</v>
      </c>
      <c r="P146" s="13">
        <f t="shared" si="141"/>
        <v>7.6982260417614606E-12</v>
      </c>
      <c r="Q146" s="20">
        <f t="shared" si="108"/>
        <v>1.4514589267555721E-11</v>
      </c>
      <c r="R146" s="59">
        <f t="shared" si="109"/>
        <v>293.33333333334781</v>
      </c>
      <c r="S146" s="59">
        <f ca="1">AVERAGE(OFFSET($R$3,0,0,'Données projet'!$E$9+1,1))-AVERAGE(OFFSET($H$3,0,0,'Données projet'!$E$9+1,1))</f>
        <v>490.7691633858222</v>
      </c>
      <c r="T146" s="59">
        <f t="shared" si="142"/>
        <v>490.82176582457072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1.3401602340562115</v>
      </c>
      <c r="AA146" s="21">
        <f>EXP(-LN(2)/25)*AA145+(1-EXP(-LN(2)/25))/(LN(2)/25)*Calculateur!V146*Calculateur!X146*VLOOKUP('Données projet'!$B$9,Paramètres!$A$1:$I$89,3,0)*0.475*44/12</f>
        <v>1.9294142992414041</v>
      </c>
      <c r="AB146" s="21">
        <f>EXP(-LN(2)/2)*AB145+(1-EXP(-LN(2)/2))/(LN(2)/2)*V146*Y146*VLOOKUP('Données projet'!$B$9,Paramètres!$A$1:$I$89,3,0)*0.475*44/12</f>
        <v>3.947203365030875E-16</v>
      </c>
      <c r="AC146" s="22">
        <f t="shared" si="111"/>
        <v>3.2695745332976158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-5.3205440053716299E-14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165.03539937460289</v>
      </c>
      <c r="AO146" s="59">
        <f t="shared" si="144"/>
        <v>142.05625724497401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9.2528127304515262E-2</v>
      </c>
      <c r="AV146" s="21">
        <f>EXP(-LN(2)/25)*AV145+(1-EXP(-LN(2)/25))/(LN(2)/25)*Calculateur!AQ146*Calculateur!AS146*VLOOKUP('Données projet'!$B$10,Paramètres!$A$1:$I$89,3,0)*0.475*44/12</f>
        <v>0.20819853905165034</v>
      </c>
      <c r="AW146" s="21">
        <f>EXP(-LN(2)/2)*AW145+(1-EXP(-LN(2)/2))/(LN(2)/2)*AQ146*AT146*VLOOKUP('Données projet'!$B$10,Paramètres!$A$1:$I$89,3,0)*0.475*44/12</f>
        <v>5.9994317103903647E-17</v>
      </c>
      <c r="AX146" s="21">
        <f t="shared" si="114"/>
        <v>0.30072666635616568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-7.9580786405131221E-13</v>
      </c>
      <c r="BE146" s="13">
        <f>BD146*VLOOKUP('Données projet'!$B$11,Paramètres!$A$1:$I$89,3,0)*VLOOKUP('Données projet'!$B$11,Paramètres!$A$1:$I$89,5,0)</f>
        <v>-3.8278358260868117E-13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402.22278907877927</v>
      </c>
      <c r="BJ146" s="59">
        <f t="shared" si="146"/>
        <v>393.06397734082458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2.9652180718741925</v>
      </c>
      <c r="BQ146" s="21">
        <f>EXP(-LN(2)/25)*BQ145+(1-EXP(-LN(2)/25))/(LN(2)/25)*Calculateur!BL146*Calculateur!BN146*VLOOKUP('Données projet'!$B$11,Paramètres!$A$1:$I$89,3,0)*0.475*44/12</f>
        <v>1.9653100140214965</v>
      </c>
      <c r="BR146" s="21">
        <f>EXP(-LN(2)/2)*BR145+(1-EXP(-LN(2)/2))/(LN(2)/2)*BL146*BO146*VLOOKUP('Données projet'!$B$11,Paramètres!$A$1:$I$89,3,0)*0.475*44/12</f>
        <v>8.6808809894038702E-15</v>
      </c>
      <c r="BS146" s="22">
        <f t="shared" si="117"/>
        <v>4.9305280858956984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1.1368683772161603E-12</v>
      </c>
      <c r="O147" s="13">
        <f>N147*VLOOKUP('Données projet'!$B$9,Paramètres!$A$1:$I$89,3,0)*VLOOKUP('Données projet'!$B$9,Paramètres!$A$1:$I$89,5,0)</f>
        <v>6.3550942286383359E-13</v>
      </c>
      <c r="P147" s="13">
        <f t="shared" si="141"/>
        <v>7.6982260417614606E-12</v>
      </c>
      <c r="Q147" s="20">
        <f t="shared" si="108"/>
        <v>1.4514589267555721E-11</v>
      </c>
      <c r="R147" s="59">
        <f t="shared" si="109"/>
        <v>293.33333333334781</v>
      </c>
      <c r="S147" s="59">
        <f ca="1">AVERAGE(OFFSET($R$3,0,0,'Données projet'!$E$9+1,1))-AVERAGE(OFFSET($H$3,0,0,'Données projet'!$E$9+1,1))</f>
        <v>490.7691633858222</v>
      </c>
      <c r="T147" s="59">
        <f t="shared" si="142"/>
        <v>490.82176582457072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1.3138805092833987</v>
      </c>
      <c r="AA147" s="21">
        <f>EXP(-LN(2)/25)*AA146+(1-EXP(-LN(2)/25))/(LN(2)/25)*Calculateur!V147*Calculateur!X147*VLOOKUP('Données projet'!$B$9,Paramètres!$A$1:$I$89,3,0)*0.475*44/12</f>
        <v>1.8766543637651596</v>
      </c>
      <c r="AB147" s="21">
        <f>EXP(-LN(2)/2)*AB146+(1-EXP(-LN(2)/2))/(LN(2)/2)*V147*Y147*VLOOKUP('Données projet'!$B$9,Paramètres!$A$1:$I$89,3,0)*0.475*44/12</f>
        <v>2.791094266135691E-16</v>
      </c>
      <c r="AC147" s="22">
        <f t="shared" si="111"/>
        <v>3.1905348730485588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-5.3205440053716299E-14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165.03539937460289</v>
      </c>
      <c r="AO147" s="59">
        <f t="shared" si="144"/>
        <v>142.05625724497401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9.0713707164658722E-2</v>
      </c>
      <c r="AV147" s="21">
        <f>EXP(-LN(2)/25)*AV146+(1-EXP(-LN(2)/25))/(LN(2)/25)*Calculateur!AQ147*Calculateur!AS147*VLOOKUP('Données projet'!$B$10,Paramètres!$A$1:$I$89,3,0)*0.475*44/12</f>
        <v>0.20250533905259763</v>
      </c>
      <c r="AW147" s="21">
        <f>EXP(-LN(2)/2)*AW146+(1-EXP(-LN(2)/2))/(LN(2)/2)*AQ147*AT147*VLOOKUP('Données projet'!$B$10,Paramètres!$A$1:$I$89,3,0)*0.475*44/12</f>
        <v>4.2422388456826342E-17</v>
      </c>
      <c r="AX147" s="21">
        <f t="shared" si="114"/>
        <v>0.29321904621725642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-7.9580786405131221E-13</v>
      </c>
      <c r="BE147" s="13">
        <f>BD147*VLOOKUP('Données projet'!$B$11,Paramètres!$A$1:$I$89,3,0)*VLOOKUP('Données projet'!$B$11,Paramètres!$A$1:$I$89,5,0)</f>
        <v>-3.8278358260868117E-13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402.22278907877927</v>
      </c>
      <c r="BJ147" s="59">
        <f t="shared" si="146"/>
        <v>393.06397734082458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2.9070719540891785</v>
      </c>
      <c r="BQ147" s="21">
        <f>EXP(-LN(2)/25)*BQ146+(1-EXP(-LN(2)/25))/(LN(2)/25)*Calculateur!BL147*Calculateur!BN147*VLOOKUP('Données projet'!$B$11,Paramètres!$A$1:$I$89,3,0)*0.475*44/12</f>
        <v>1.9115685083369169</v>
      </c>
      <c r="BR147" s="21">
        <f>EXP(-LN(2)/2)*BR146+(1-EXP(-LN(2)/2))/(LN(2)/2)*BL147*BO147*VLOOKUP('Données projet'!$B$11,Paramètres!$A$1:$I$89,3,0)*0.475*44/12</f>
        <v>6.1383098142808627E-15</v>
      </c>
      <c r="BS147" s="22">
        <f t="shared" si="117"/>
        <v>4.8186404624261021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1.1368683772161603E-12</v>
      </c>
      <c r="O148" s="13">
        <f>N148*VLOOKUP('Données projet'!$B$9,Paramètres!$A$1:$I$89,3,0)*VLOOKUP('Données projet'!$B$9,Paramètres!$A$1:$I$89,5,0)</f>
        <v>6.3550942286383359E-13</v>
      </c>
      <c r="P148" s="13">
        <f t="shared" si="141"/>
        <v>7.6982260417614606E-12</v>
      </c>
      <c r="Q148" s="20">
        <f t="shared" si="108"/>
        <v>1.4514589267555721E-11</v>
      </c>
      <c r="R148" s="59">
        <f t="shared" si="109"/>
        <v>293.33333333334781</v>
      </c>
      <c r="S148" s="59">
        <f ca="1">AVERAGE(OFFSET($R$3,0,0,'Données projet'!$E$9+1,1))-AVERAGE(OFFSET($H$3,0,0,'Données projet'!$E$9+1,1))</f>
        <v>490.7691633858222</v>
      </c>
      <c r="T148" s="59">
        <f t="shared" si="142"/>
        <v>490.82176582457072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1.2881161138843313</v>
      </c>
      <c r="AA148" s="21">
        <f>EXP(-LN(2)/25)*AA147+(1-EXP(-LN(2)/25))/(LN(2)/25)*Calculateur!V148*Calculateur!X148*VLOOKUP('Données projet'!$B$9,Paramètres!$A$1:$I$89,3,0)*0.475*44/12</f>
        <v>1.8253371514990375</v>
      </c>
      <c r="AB148" s="21">
        <f>EXP(-LN(2)/2)*AB147+(1-EXP(-LN(2)/2))/(LN(2)/2)*V148*Y148*VLOOKUP('Données projet'!$B$9,Paramètres!$A$1:$I$89,3,0)*0.475*44/12</f>
        <v>1.9736016825154375E-16</v>
      </c>
      <c r="AC148" s="22">
        <f t="shared" si="111"/>
        <v>3.1134532653833689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-5.3205440053716299E-14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165.03539937460289</v>
      </c>
      <c r="AO148" s="59">
        <f t="shared" si="144"/>
        <v>142.05625724497401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8.893486669705776E-2</v>
      </c>
      <c r="AV148" s="21">
        <f>EXP(-LN(2)/25)*AV147+(1-EXP(-LN(2)/25))/(LN(2)/25)*Calculateur!AQ148*Calculateur!AS148*VLOOKUP('Données projet'!$B$10,Paramètres!$A$1:$I$89,3,0)*0.475*44/12</f>
        <v>0.1969678199069114</v>
      </c>
      <c r="AW148" s="21">
        <f>EXP(-LN(2)/2)*AW147+(1-EXP(-LN(2)/2))/(LN(2)/2)*AQ148*AT148*VLOOKUP('Données projet'!$B$10,Paramètres!$A$1:$I$89,3,0)*0.475*44/12</f>
        <v>2.9997158551951823E-17</v>
      </c>
      <c r="AX148" s="21">
        <f t="shared" si="114"/>
        <v>0.28590268660396922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-7.9580786405131221E-13</v>
      </c>
      <c r="BE148" s="13">
        <f>BD148*VLOOKUP('Données projet'!$B$11,Paramètres!$A$1:$I$89,3,0)*VLOOKUP('Données projet'!$B$11,Paramètres!$A$1:$I$89,5,0)</f>
        <v>-3.8278358260868117E-13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402.22278907877927</v>
      </c>
      <c r="BJ148" s="59">
        <f t="shared" si="146"/>
        <v>393.06397734082458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2.850066046208299</v>
      </c>
      <c r="BQ148" s="21">
        <f>EXP(-LN(2)/25)*BQ147+(1-EXP(-LN(2)/25))/(LN(2)/25)*Calculateur!BL148*Calculateur!BN148*VLOOKUP('Données projet'!$B$11,Paramètres!$A$1:$I$89,3,0)*0.475*44/12</f>
        <v>1.859296566951425</v>
      </c>
      <c r="BR148" s="21">
        <f>EXP(-LN(2)/2)*BR147+(1-EXP(-LN(2)/2))/(LN(2)/2)*BL148*BO148*VLOOKUP('Données projet'!$B$11,Paramètres!$A$1:$I$89,3,0)*0.475*44/12</f>
        <v>4.3404404947019351E-15</v>
      </c>
      <c r="BS148" s="22">
        <f t="shared" si="117"/>
        <v>4.7093626131597288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1.1368683772161603E-12</v>
      </c>
      <c r="O149" s="13">
        <f>N149*VLOOKUP('Données projet'!$B$9,Paramètres!$A$1:$I$89,3,0)*VLOOKUP('Données projet'!$B$9,Paramètres!$A$1:$I$89,5,0)</f>
        <v>6.3550942286383359E-13</v>
      </c>
      <c r="P149" s="13">
        <f t="shared" si="141"/>
        <v>7.6982260417614606E-12</v>
      </c>
      <c r="Q149" s="20">
        <f t="shared" si="108"/>
        <v>1.4514589267555721E-11</v>
      </c>
      <c r="R149" s="59">
        <f t="shared" si="109"/>
        <v>293.33333333334781</v>
      </c>
      <c r="S149" s="59">
        <f ca="1">AVERAGE(OFFSET($R$3,0,0,'Données projet'!$E$9+1,1))-AVERAGE(OFFSET($H$3,0,0,'Données projet'!$E$9+1,1))</f>
        <v>490.7691633858222</v>
      </c>
      <c r="T149" s="59">
        <f t="shared" si="142"/>
        <v>490.82176582457072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1.2628569425643104</v>
      </c>
      <c r="AA149" s="21">
        <f>EXP(-LN(2)/25)*AA148+(1-EXP(-LN(2)/25))/(LN(2)/25)*Calculateur!V149*Calculateur!X149*VLOOKUP('Données projet'!$B$9,Paramètres!$A$1:$I$89,3,0)*0.475*44/12</f>
        <v>1.7754232111009873</v>
      </c>
      <c r="AB149" s="21">
        <f>EXP(-LN(2)/2)*AB148+(1-EXP(-LN(2)/2))/(LN(2)/2)*V149*Y149*VLOOKUP('Données projet'!$B$9,Paramètres!$A$1:$I$89,3,0)*0.475*44/12</f>
        <v>1.3955471330678455E-16</v>
      </c>
      <c r="AC149" s="22">
        <f t="shared" si="111"/>
        <v>3.0382801536652977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-5.3205440053716299E-14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165.03539937460289</v>
      </c>
      <c r="AO149" s="59">
        <f t="shared" si="144"/>
        <v>142.05625724497401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8.7190908206040904E-2</v>
      </c>
      <c r="AV149" s="21">
        <f>EXP(-LN(2)/25)*AV148+(1-EXP(-LN(2)/25))/(LN(2)/25)*Calculateur!AQ149*Calculateur!AS149*VLOOKUP('Données projet'!$B$10,Paramètres!$A$1:$I$89,3,0)*0.475*44/12</f>
        <v>0.19158172451346944</v>
      </c>
      <c r="AW149" s="21">
        <f>EXP(-LN(2)/2)*AW148+(1-EXP(-LN(2)/2))/(LN(2)/2)*AQ149*AT149*VLOOKUP('Données projet'!$B$10,Paramètres!$A$1:$I$89,3,0)*0.475*44/12</f>
        <v>2.1211194228413171E-17</v>
      </c>
      <c r="AX149" s="21">
        <f t="shared" si="114"/>
        <v>0.27877263271951036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-7.9580786405131221E-13</v>
      </c>
      <c r="BE149" s="13">
        <f>BD149*VLOOKUP('Données projet'!$B$11,Paramètres!$A$1:$I$89,3,0)*VLOOKUP('Données projet'!$B$11,Paramètres!$A$1:$I$89,5,0)</f>
        <v>-3.8278358260868117E-13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402.22278907877927</v>
      </c>
      <c r="BJ149" s="59">
        <f t="shared" si="146"/>
        <v>393.06397734082458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2.7941779894107928</v>
      </c>
      <c r="BQ149" s="21">
        <f>EXP(-LN(2)/25)*BQ148+(1-EXP(-LN(2)/25))/(LN(2)/25)*Calculateur!BL149*Calculateur!BN149*VLOOKUP('Données projet'!$B$11,Paramètres!$A$1:$I$89,3,0)*0.475*44/12</f>
        <v>1.8084540045519812</v>
      </c>
      <c r="BR149" s="21">
        <f>EXP(-LN(2)/2)*BR148+(1-EXP(-LN(2)/2))/(LN(2)/2)*BL149*BO149*VLOOKUP('Données projet'!$B$11,Paramètres!$A$1:$I$89,3,0)*0.475*44/12</f>
        <v>3.0691549071404314E-15</v>
      </c>
      <c r="BS149" s="22">
        <f t="shared" si="117"/>
        <v>4.6026319939627767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1.1368683772161603E-12</v>
      </c>
      <c r="O150" s="13">
        <f>N150*VLOOKUP('Données projet'!$B$9,Paramètres!$A$1:$I$89,3,0)*VLOOKUP('Données projet'!$B$9,Paramètres!$A$1:$I$89,5,0)</f>
        <v>6.3550942286383359E-13</v>
      </c>
      <c r="P150" s="13">
        <f t="shared" si="141"/>
        <v>7.6982260417614606E-12</v>
      </c>
      <c r="Q150" s="20">
        <f t="shared" si="108"/>
        <v>1.4514589267555721E-11</v>
      </c>
      <c r="R150" s="59">
        <f t="shared" si="109"/>
        <v>293.33333333334781</v>
      </c>
      <c r="S150" s="59">
        <f ca="1">AVERAGE(OFFSET($R$3,0,0,'Données projet'!$E$9+1,1))-AVERAGE(OFFSET($H$3,0,0,'Données projet'!$E$9+1,1))</f>
        <v>490.7691633858222</v>
      </c>
      <c r="T150" s="59">
        <f t="shared" si="142"/>
        <v>490.82176582457072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1.2380930881873016</v>
      </c>
      <c r="AA150" s="21">
        <f>EXP(-LN(2)/25)*AA149+(1-EXP(-LN(2)/25))/(LN(2)/25)*Calculateur!V150*Calculateur!X150*VLOOKUP('Données projet'!$B$9,Paramètres!$A$1:$I$89,3,0)*0.475*44/12</f>
        <v>1.7268741700279819</v>
      </c>
      <c r="AB150" s="21">
        <f>EXP(-LN(2)/2)*AB149+(1-EXP(-LN(2)/2))/(LN(2)/2)*V150*Y150*VLOOKUP('Données projet'!$B$9,Paramètres!$A$1:$I$89,3,0)*0.475*44/12</f>
        <v>9.8680084125771876E-17</v>
      </c>
      <c r="AC150" s="22">
        <f t="shared" si="111"/>
        <v>2.9649672582152835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-5.3205440053716299E-14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165.03539937460289</v>
      </c>
      <c r="AO150" s="59">
        <f t="shared" si="144"/>
        <v>142.05625724497401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8.5481147677323246E-2</v>
      </c>
      <c r="AV150" s="21">
        <f>EXP(-LN(2)/25)*AV149+(1-EXP(-LN(2)/25))/(LN(2)/25)*Calculateur!AQ150*Calculateur!AS150*VLOOKUP('Données projet'!$B$10,Paramètres!$A$1:$I$89,3,0)*0.475*44/12</f>
        <v>0.1863429121818036</v>
      </c>
      <c r="AW150" s="21">
        <f>EXP(-LN(2)/2)*AW149+(1-EXP(-LN(2)/2))/(LN(2)/2)*AQ150*AT150*VLOOKUP('Données projet'!$B$10,Paramètres!$A$1:$I$89,3,0)*0.475*44/12</f>
        <v>1.4998579275975912E-17</v>
      </c>
      <c r="AX150" s="21">
        <f t="shared" si="114"/>
        <v>0.27182405985912683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-7.9580786405131221E-13</v>
      </c>
      <c r="BE150" s="13">
        <f>BD150*VLOOKUP('Données projet'!$B$11,Paramètres!$A$1:$I$89,3,0)*VLOOKUP('Données projet'!$B$11,Paramètres!$A$1:$I$89,5,0)</f>
        <v>-3.8278358260868117E-13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402.22278907877927</v>
      </c>
      <c r="BJ150" s="59">
        <f t="shared" si="146"/>
        <v>393.06397734082458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2.7393858633187369</v>
      </c>
      <c r="BQ150" s="21">
        <f>EXP(-LN(2)/25)*BQ149+(1-EXP(-LN(2)/25))/(LN(2)/25)*Calculateur!BL150*Calculateur!BN150*VLOOKUP('Données projet'!$B$11,Paramètres!$A$1:$I$89,3,0)*0.475*44/12</f>
        <v>1.7590017346950444</v>
      </c>
      <c r="BR150" s="21">
        <f>EXP(-LN(2)/2)*BR149+(1-EXP(-LN(2)/2))/(LN(2)/2)*BL150*BO150*VLOOKUP('Données projet'!$B$11,Paramètres!$A$1:$I$89,3,0)*0.475*44/12</f>
        <v>2.1702202473509676E-15</v>
      </c>
      <c r="BS150" s="22">
        <f t="shared" si="117"/>
        <v>4.4983875980137835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1.1368683772161603E-12</v>
      </c>
      <c r="O151" s="13">
        <f>N151*VLOOKUP('Données projet'!$B$9,Paramètres!$A$1:$I$89,3,0)*VLOOKUP('Données projet'!$B$9,Paramètres!$A$1:$I$89,5,0)</f>
        <v>6.3550942286383359E-13</v>
      </c>
      <c r="P151" s="13">
        <f t="shared" si="141"/>
        <v>7.6982260417614606E-12</v>
      </c>
      <c r="Q151" s="20">
        <f t="shared" si="108"/>
        <v>1.4514589267555721E-11</v>
      </c>
      <c r="R151" s="59">
        <f t="shared" si="109"/>
        <v>293.33333333334781</v>
      </c>
      <c r="S151" s="59">
        <f ca="1">AVERAGE(OFFSET($R$3,0,0,'Données projet'!$E$9+1,1))-AVERAGE(OFFSET($H$3,0,0,'Données projet'!$E$9+1,1))</f>
        <v>490.7691633858222</v>
      </c>
      <c r="T151" s="59">
        <f t="shared" si="142"/>
        <v>490.82176582457072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1.2138148378901663</v>
      </c>
      <c r="AA151" s="21">
        <f>EXP(-LN(2)/25)*AA150+(1-EXP(-LN(2)/25))/(LN(2)/25)*Calculateur!V151*Calculateur!X151*VLOOKUP('Données projet'!$B$9,Paramètres!$A$1:$I$89,3,0)*0.475*44/12</f>
        <v>1.6796527050362009</v>
      </c>
      <c r="AB151" s="21">
        <f>EXP(-LN(2)/2)*AB150+(1-EXP(-LN(2)/2))/(LN(2)/2)*V151*Y151*VLOOKUP('Données projet'!$B$9,Paramètres!$A$1:$I$89,3,0)*0.475*44/12</f>
        <v>6.9777356653392274E-17</v>
      </c>
      <c r="AC151" s="22">
        <f t="shared" si="111"/>
        <v>2.8934675429263672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-5.3205440053716299E-14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165.03539937460289</v>
      </c>
      <c r="AO151" s="59">
        <f t="shared" si="144"/>
        <v>142.05625724497401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8.3804914509722786E-2</v>
      </c>
      <c r="AV151" s="21">
        <f>EXP(-LN(2)/25)*AV150+(1-EXP(-LN(2)/25))/(LN(2)/25)*Calculateur!AQ151*Calculateur!AS151*VLOOKUP('Données projet'!$B$10,Paramètres!$A$1:$I$89,3,0)*0.475*44/12</f>
        <v>0.18124735544884432</v>
      </c>
      <c r="AW151" s="21">
        <f>EXP(-LN(2)/2)*AW150+(1-EXP(-LN(2)/2))/(LN(2)/2)*AQ151*AT151*VLOOKUP('Données projet'!$B$10,Paramètres!$A$1:$I$89,3,0)*0.475*44/12</f>
        <v>1.0605597114206586E-17</v>
      </c>
      <c r="AX151" s="21">
        <f t="shared" si="114"/>
        <v>0.26505226995856712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-7.9580786405131221E-13</v>
      </c>
      <c r="BE151" s="13">
        <f>BD151*VLOOKUP('Données projet'!$B$11,Paramètres!$A$1:$I$89,3,0)*VLOOKUP('Données projet'!$B$11,Paramètres!$A$1:$I$89,5,0)</f>
        <v>-3.8278358260868117E-13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402.22278907877927</v>
      </c>
      <c r="BJ151" s="59">
        <f t="shared" si="146"/>
        <v>393.06397734082458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2.6856681773994495</v>
      </c>
      <c r="BQ151" s="21">
        <f>EXP(-LN(2)/25)*BQ150+(1-EXP(-LN(2)/25))/(LN(2)/25)*Calculateur!BL151*Calculateur!BN151*VLOOKUP('Données projet'!$B$11,Paramètres!$A$1:$I$89,3,0)*0.475*44/12</f>
        <v>1.7109017397579274</v>
      </c>
      <c r="BR151" s="21">
        <f>EXP(-LN(2)/2)*BR150+(1-EXP(-LN(2)/2))/(LN(2)/2)*BL151*BO151*VLOOKUP('Données projet'!$B$11,Paramètres!$A$1:$I$89,3,0)*0.475*44/12</f>
        <v>1.5345774535702157E-15</v>
      </c>
      <c r="BS151" s="22">
        <f t="shared" si="117"/>
        <v>4.3965699171573789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1.1368683772161603E-12</v>
      </c>
      <c r="O152" s="13">
        <f>N152*VLOOKUP('Données projet'!$B$9,Paramètres!$A$1:$I$89,3,0)*VLOOKUP('Données projet'!$B$9,Paramètres!$A$1:$I$89,5,0)</f>
        <v>6.3550942286383359E-13</v>
      </c>
      <c r="P152" s="13">
        <f t="shared" si="141"/>
        <v>7.6982260417614606E-12</v>
      </c>
      <c r="Q152" s="20">
        <f t="shared" si="108"/>
        <v>1.4514589267555721E-11</v>
      </c>
      <c r="R152" s="59">
        <f t="shared" si="109"/>
        <v>293.33333333334781</v>
      </c>
      <c r="S152" s="59">
        <f ca="1">AVERAGE(OFFSET($R$3,0,0,'Données projet'!$E$9+1,1))-AVERAGE(OFFSET($H$3,0,0,'Données projet'!$E$9+1,1))</f>
        <v>490.7691633858222</v>
      </c>
      <c r="T152" s="59">
        <f t="shared" si="142"/>
        <v>490.82176582457072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1.1900126692730875</v>
      </c>
      <c r="AA152" s="21">
        <f>EXP(-LN(2)/25)*AA151+(1-EXP(-LN(2)/25))/(LN(2)/25)*Calculateur!V152*Calculateur!X152*VLOOKUP('Données projet'!$B$9,Paramètres!$A$1:$I$89,3,0)*0.475*44/12</f>
        <v>1.6337225134878892</v>
      </c>
      <c r="AB152" s="21">
        <f>EXP(-LN(2)/2)*AB151+(1-EXP(-LN(2)/2))/(LN(2)/2)*V152*Y152*VLOOKUP('Données projet'!$B$9,Paramètres!$A$1:$I$89,3,0)*0.475*44/12</f>
        <v>4.9340042062885938E-17</v>
      </c>
      <c r="AC152" s="22">
        <f t="shared" si="111"/>
        <v>2.8237351827609767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-5.3205440053716299E-14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165.03539937460289</v>
      </c>
      <c r="AO152" s="59">
        <f t="shared" si="144"/>
        <v>142.05625724497401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8.2161551252137699E-2</v>
      </c>
      <c r="AV152" s="21">
        <f>EXP(-LN(2)/25)*AV151+(1-EXP(-LN(2)/25))/(LN(2)/25)*Calculateur!AQ152*Calculateur!AS152*VLOOKUP('Données projet'!$B$10,Paramètres!$A$1:$I$89,3,0)*0.475*44/12</f>
        <v>0.17629113698271151</v>
      </c>
      <c r="AW152" s="21">
        <f>EXP(-LN(2)/2)*AW151+(1-EXP(-LN(2)/2))/(LN(2)/2)*AQ152*AT152*VLOOKUP('Données projet'!$B$10,Paramètres!$A$1:$I$89,3,0)*0.475*44/12</f>
        <v>7.4992896379879559E-18</v>
      </c>
      <c r="AX152" s="21">
        <f t="shared" si="114"/>
        <v>0.25845268823484924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-7.9580786405131221E-13</v>
      </c>
      <c r="BE152" s="13">
        <f>BD152*VLOOKUP('Données projet'!$B$11,Paramètres!$A$1:$I$89,3,0)*VLOOKUP('Données projet'!$B$11,Paramètres!$A$1:$I$89,5,0)</f>
        <v>-3.8278358260868117E-13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402.22278907877927</v>
      </c>
      <c r="BJ152" s="59">
        <f t="shared" si="146"/>
        <v>393.06397734082458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2.6330038625364862</v>
      </c>
      <c r="BQ152" s="21">
        <f>EXP(-LN(2)/25)*BQ151+(1-EXP(-LN(2)/25))/(LN(2)/25)*Calculateur!BL152*Calculateur!BN152*VLOOKUP('Données projet'!$B$11,Paramètres!$A$1:$I$89,3,0)*0.475*44/12</f>
        <v>1.6641170417118347</v>
      </c>
      <c r="BR152" s="21">
        <f>EXP(-LN(2)/2)*BR151+(1-EXP(-LN(2)/2))/(LN(2)/2)*BL152*BO152*VLOOKUP('Données projet'!$B$11,Paramètres!$A$1:$I$89,3,0)*0.475*44/12</f>
        <v>1.0851101236754838E-15</v>
      </c>
      <c r="BS152" s="22">
        <f t="shared" si="117"/>
        <v>4.297120904248322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1.1368683772161603E-12</v>
      </c>
      <c r="O153" s="13">
        <f>N153*VLOOKUP('Données projet'!$B$9,Paramètres!$A$1:$I$89,3,0)*VLOOKUP('Données projet'!$B$9,Paramètres!$A$1:$I$89,5,0)</f>
        <v>6.3550942286383359E-13</v>
      </c>
      <c r="P153" s="13">
        <f t="shared" si="141"/>
        <v>7.6982260417614606E-12</v>
      </c>
      <c r="Q153" s="20">
        <f t="shared" si="108"/>
        <v>1.4514589267555721E-11</v>
      </c>
      <c r="R153" s="59">
        <f t="shared" si="109"/>
        <v>293.33333333334781</v>
      </c>
      <c r="S153" s="59">
        <f ca="1">AVERAGE(OFFSET($R$3,0,0,'Données projet'!$E$9+1,1))-AVERAGE(OFFSET($H$3,0,0,'Données projet'!$E$9+1,1))</f>
        <v>490.7691633858222</v>
      </c>
      <c r="T153" s="59">
        <f t="shared" si="142"/>
        <v>490.82176582457072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1.1666772466647002</v>
      </c>
      <c r="AA153" s="21">
        <f>EXP(-LN(2)/25)*AA152+(1-EXP(-LN(2)/25))/(LN(2)/25)*Calculateur!V153*Calculateur!X153*VLOOKUP('Données projet'!$B$9,Paramètres!$A$1:$I$89,3,0)*0.475*44/12</f>
        <v>1.5890482854428298</v>
      </c>
      <c r="AB153" s="21">
        <f>EXP(-LN(2)/2)*AB152+(1-EXP(-LN(2)/2))/(LN(2)/2)*V153*Y153*VLOOKUP('Données projet'!$B$9,Paramètres!$A$1:$I$89,3,0)*0.475*44/12</f>
        <v>3.4888678326696137E-17</v>
      </c>
      <c r="AC153" s="22">
        <f t="shared" si="111"/>
        <v>2.75572553210753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-5.3205440053716299E-14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165.03539937460289</v>
      </c>
      <c r="AO153" s="59">
        <f t="shared" si="144"/>
        <v>142.05625724497401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8.0550413345681235E-2</v>
      </c>
      <c r="AV153" s="21">
        <f>EXP(-LN(2)/25)*AV152+(1-EXP(-LN(2)/25))/(LN(2)/25)*Calculateur!AQ153*Calculateur!AS153*VLOOKUP('Données projet'!$B$10,Paramètres!$A$1:$I$89,3,0)*0.475*44/12</f>
        <v>0.17147044657117128</v>
      </c>
      <c r="AW153" s="21">
        <f>EXP(-LN(2)/2)*AW152+(1-EXP(-LN(2)/2))/(LN(2)/2)*AQ153*AT153*VLOOKUP('Données projet'!$B$10,Paramètres!$A$1:$I$89,3,0)*0.475*44/12</f>
        <v>5.3027985571032928E-18</v>
      </c>
      <c r="AX153" s="21">
        <f t="shared" si="114"/>
        <v>0.25202085991685252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-7.9580786405131221E-13</v>
      </c>
      <c r="BE153" s="13">
        <f>BD153*VLOOKUP('Données projet'!$B$11,Paramètres!$A$1:$I$89,3,0)*VLOOKUP('Données projet'!$B$11,Paramètres!$A$1:$I$89,5,0)</f>
        <v>-3.8278358260868117E-13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402.22278907877927</v>
      </c>
      <c r="BJ153" s="59">
        <f t="shared" si="146"/>
        <v>393.06397734082458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2.581372262765925</v>
      </c>
      <c r="BQ153" s="21">
        <f>EXP(-LN(2)/25)*BQ152+(1-EXP(-LN(2)/25))/(LN(2)/25)*Calculateur!BL153*Calculateur!BN153*VLOOKUP('Données projet'!$B$11,Paramètres!$A$1:$I$89,3,0)*0.475*44/12</f>
        <v>1.6186116736941127</v>
      </c>
      <c r="BR153" s="21">
        <f>EXP(-LN(2)/2)*BR152+(1-EXP(-LN(2)/2))/(LN(2)/2)*BL153*BO153*VLOOKUP('Données projet'!$B$11,Paramètres!$A$1:$I$89,3,0)*0.475*44/12</f>
        <v>7.6728872678510784E-16</v>
      </c>
      <c r="BS153" s="22">
        <f t="shared" si="117"/>
        <v>4.1999839364600389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1.1368683772161603E-12</v>
      </c>
      <c r="O154" s="13">
        <f>N154*VLOOKUP('Données projet'!$B$9,Paramètres!$A$1:$I$89,3,0)*VLOOKUP('Données projet'!$B$9,Paramètres!$A$1:$I$89,5,0)</f>
        <v>6.3550942286383359E-13</v>
      </c>
      <c r="P154" s="13">
        <f t="shared" si="141"/>
        <v>7.6982260417614606E-12</v>
      </c>
      <c r="Q154" s="20">
        <f t="shared" ref="Q154:Q203" si="162">(O154+P154)*0.475*44/12</f>
        <v>1.4514589267555721E-11</v>
      </c>
      <c r="R154" s="59">
        <f t="shared" si="109"/>
        <v>293.33333333334781</v>
      </c>
      <c r="S154" s="59">
        <f ca="1">AVERAGE(OFFSET($R$3,0,0,'Données projet'!$E$9+1,1))-AVERAGE(OFFSET($H$3,0,0,'Données projet'!$E$9+1,1))</f>
        <v>490.7691633858222</v>
      </c>
      <c r="T154" s="59">
        <f t="shared" si="142"/>
        <v>490.82176582457072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1.1437994174604609</v>
      </c>
      <c r="AA154" s="21">
        <f>EXP(-LN(2)/25)*AA153+(1-EXP(-LN(2)/25))/(LN(2)/25)*Calculateur!V154*Calculateur!X154*VLOOKUP('Données projet'!$B$9,Paramètres!$A$1:$I$89,3,0)*0.475*44/12</f>
        <v>1.5455956765129781</v>
      </c>
      <c r="AB154" s="21">
        <f>EXP(-LN(2)/2)*AB153+(1-EXP(-LN(2)/2))/(LN(2)/2)*V154*Y154*VLOOKUP('Données projet'!$B$9,Paramètres!$A$1:$I$89,3,0)*0.475*44/12</f>
        <v>2.4670021031442969E-17</v>
      </c>
      <c r="AC154" s="22">
        <f t="shared" ref="AC154:AC203" si="163">SUM(Z154:AB154)</f>
        <v>2.689395093973439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-5.3205440053716299E-14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165.03539937460289</v>
      </c>
      <c r="AO154" s="59">
        <f t="shared" si="144"/>
        <v>142.05625724497401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7.897086887087329E-2</v>
      </c>
      <c r="AV154" s="21">
        <f>EXP(-LN(2)/25)*AV153+(1-EXP(-LN(2)/25))/(LN(2)/25)*Calculateur!AQ154*Calculateur!AS154*VLOOKUP('Données projet'!$B$10,Paramètres!$A$1:$I$89,3,0)*0.475*44/12</f>
        <v>0.16678157819244371</v>
      </c>
      <c r="AW154" s="21">
        <f>EXP(-LN(2)/2)*AW153+(1-EXP(-LN(2)/2))/(LN(2)/2)*AQ154*AT154*VLOOKUP('Données projet'!$B$10,Paramètres!$A$1:$I$89,3,0)*0.475*44/12</f>
        <v>3.7496448189939779E-18</v>
      </c>
      <c r="AX154" s="21">
        <f t="shared" ref="AX154:AX203" si="166">SUM(AU154:AW154)</f>
        <v>0.245752447063317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-7.9580786405131221E-13</v>
      </c>
      <c r="BE154" s="13">
        <f>BD154*VLOOKUP('Données projet'!$B$11,Paramètres!$A$1:$I$89,3,0)*VLOOKUP('Données projet'!$B$11,Paramètres!$A$1:$I$89,5,0)</f>
        <v>-3.8278358260868117E-13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402.22278907877927</v>
      </c>
      <c r="BJ154" s="59">
        <f t="shared" si="146"/>
        <v>393.06397734082458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2.5307531271746986</v>
      </c>
      <c r="BQ154" s="21">
        <f>EXP(-LN(2)/25)*BQ153+(1-EXP(-LN(2)/25))/(LN(2)/25)*Calculateur!BL154*Calculateur!BN154*VLOOKUP('Données projet'!$B$11,Paramètres!$A$1:$I$89,3,0)*0.475*44/12</f>
        <v>1.5743506523578588</v>
      </c>
      <c r="BR154" s="21">
        <f>EXP(-LN(2)/2)*BR153+(1-EXP(-LN(2)/2))/(LN(2)/2)*BL154*BO154*VLOOKUP('Données projet'!$B$11,Paramètres!$A$1:$I$89,3,0)*0.475*44/12</f>
        <v>5.4255506183774189E-16</v>
      </c>
      <c r="BS154" s="22">
        <f t="shared" ref="BS154:BS203" si="169">SUM(BP154:BR154)</f>
        <v>4.1051037795325582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1.1368683772161603E-12</v>
      </c>
      <c r="O155" s="13">
        <f>N155*VLOOKUP('Données projet'!$B$9,Paramètres!$A$1:$I$89,3,0)*VLOOKUP('Données projet'!$B$9,Paramètres!$A$1:$I$89,5,0)</f>
        <v>6.3550942286383359E-13</v>
      </c>
      <c r="P155" s="13">
        <f t="shared" si="141"/>
        <v>7.6982260417614606E-12</v>
      </c>
      <c r="Q155" s="20">
        <f t="shared" si="162"/>
        <v>1.4514589267555721E-11</v>
      </c>
      <c r="R155" s="59">
        <f t="shared" si="109"/>
        <v>293.33333333334781</v>
      </c>
      <c r="S155" s="59">
        <f ca="1">AVERAGE(OFFSET($R$3,0,0,'Données projet'!$E$9+1,1))-AVERAGE(OFFSET($H$3,0,0,'Données projet'!$E$9+1,1))</f>
        <v>490.7691633858222</v>
      </c>
      <c r="T155" s="59">
        <f t="shared" si="142"/>
        <v>490.82176582457072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1.1213702085328188</v>
      </c>
      <c r="AA155" s="21">
        <f>EXP(-LN(2)/25)*AA154+(1-EXP(-LN(2)/25))/(LN(2)/25)*Calculateur!V155*Calculateur!X155*VLOOKUP('Données projet'!$B$9,Paramètres!$A$1:$I$89,3,0)*0.475*44/12</f>
        <v>1.5033312814593867</v>
      </c>
      <c r="AB155" s="21">
        <f>EXP(-LN(2)/2)*AB154+(1-EXP(-LN(2)/2))/(LN(2)/2)*V155*Y155*VLOOKUP('Données projet'!$B$9,Paramètres!$A$1:$I$89,3,0)*0.475*44/12</f>
        <v>1.7444339163348069E-17</v>
      </c>
      <c r="AC155" s="22">
        <f t="shared" si="163"/>
        <v>2.6247014899922054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-5.3205440053716299E-14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165.03539937460289</v>
      </c>
      <c r="AO155" s="59">
        <f t="shared" si="144"/>
        <v>142.05625724497401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7.7422298299789333E-2</v>
      </c>
      <c r="AV155" s="21">
        <f>EXP(-LN(2)/25)*AV154+(1-EXP(-LN(2)/25))/(LN(2)/25)*Calculateur!AQ155*Calculateur!AS155*VLOOKUP('Données projet'!$B$10,Paramètres!$A$1:$I$89,3,0)*0.475*44/12</f>
        <v>0.16222092716610934</v>
      </c>
      <c r="AW155" s="21">
        <f>EXP(-LN(2)/2)*AW154+(1-EXP(-LN(2)/2))/(LN(2)/2)*AQ155*AT155*VLOOKUP('Données projet'!$B$10,Paramètres!$A$1:$I$89,3,0)*0.475*44/12</f>
        <v>2.6513992785516464E-18</v>
      </c>
      <c r="AX155" s="21">
        <f t="shared" si="166"/>
        <v>0.23964322546589867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-7.9580786405131221E-13</v>
      </c>
      <c r="BE155" s="13">
        <f>BD155*VLOOKUP('Données projet'!$B$11,Paramètres!$A$1:$I$89,3,0)*VLOOKUP('Données projet'!$B$11,Paramètres!$A$1:$I$89,5,0)</f>
        <v>-3.8278358260868117E-13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402.22278907877927</v>
      </c>
      <c r="BJ155" s="59">
        <f t="shared" si="146"/>
        <v>393.06397734082458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2.4811266019577918</v>
      </c>
      <c r="BQ155" s="21">
        <f>EXP(-LN(2)/25)*BQ154+(1-EXP(-LN(2)/25))/(LN(2)/25)*Calculateur!BL155*Calculateur!BN155*VLOOKUP('Données projet'!$B$11,Paramètres!$A$1:$I$89,3,0)*0.475*44/12</f>
        <v>1.5312999509776306</v>
      </c>
      <c r="BR155" s="21">
        <f>EXP(-LN(2)/2)*BR154+(1-EXP(-LN(2)/2))/(LN(2)/2)*BL155*BO155*VLOOKUP('Données projet'!$B$11,Paramètres!$A$1:$I$89,3,0)*0.475*44/12</f>
        <v>3.8364436339255392E-16</v>
      </c>
      <c r="BS155" s="22">
        <f t="shared" si="169"/>
        <v>4.0124265529354224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1.1368683772161603E-12</v>
      </c>
      <c r="O156" s="13">
        <f>N156*VLOOKUP('Données projet'!$B$9,Paramètres!$A$1:$I$89,3,0)*VLOOKUP('Données projet'!$B$9,Paramètres!$A$1:$I$89,5,0)</f>
        <v>6.3550942286383359E-13</v>
      </c>
      <c r="P156" s="13">
        <f t="shared" si="141"/>
        <v>7.6982260417614606E-12</v>
      </c>
      <c r="Q156" s="20">
        <f t="shared" si="162"/>
        <v>1.4514589267555721E-11</v>
      </c>
      <c r="R156" s="59">
        <f t="shared" si="109"/>
        <v>293.33333333334781</v>
      </c>
      <c r="S156" s="59">
        <f ca="1">AVERAGE(OFFSET($R$3,0,0,'Données projet'!$E$9+1,1))-AVERAGE(OFFSET($H$3,0,0,'Données projet'!$E$9+1,1))</f>
        <v>490.7691633858222</v>
      </c>
      <c r="T156" s="59">
        <f t="shared" si="142"/>
        <v>490.82176582457072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1.0993808227117812</v>
      </c>
      <c r="AA156" s="21">
        <f>EXP(-LN(2)/25)*AA155+(1-EXP(-LN(2)/25))/(LN(2)/25)*Calculateur!V156*Calculateur!X156*VLOOKUP('Données projet'!$B$9,Paramètres!$A$1:$I$89,3,0)*0.475*44/12</f>
        <v>1.4622226085111236</v>
      </c>
      <c r="AB156" s="21">
        <f>EXP(-LN(2)/2)*AB155+(1-EXP(-LN(2)/2))/(LN(2)/2)*V156*Y156*VLOOKUP('Données projet'!$B$9,Paramètres!$A$1:$I$89,3,0)*0.475*44/12</f>
        <v>1.2335010515721485E-17</v>
      </c>
      <c r="AC156" s="22">
        <f t="shared" si="163"/>
        <v>2.5616034312229048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-5.3205440053716299E-14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165.03539937460289</v>
      </c>
      <c r="AO156" s="59">
        <f t="shared" si="144"/>
        <v>142.05625724497401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7.5904094253069543E-2</v>
      </c>
      <c r="AV156" s="21">
        <f>EXP(-LN(2)/25)*AV155+(1-EXP(-LN(2)/25))/(LN(2)/25)*Calculateur!AQ156*Calculateur!AS156*VLOOKUP('Données projet'!$B$10,Paramètres!$A$1:$I$89,3,0)*0.475*44/12</f>
        <v>0.15778498738192429</v>
      </c>
      <c r="AW156" s="21">
        <f>EXP(-LN(2)/2)*AW155+(1-EXP(-LN(2)/2))/(LN(2)/2)*AQ156*AT156*VLOOKUP('Données projet'!$B$10,Paramètres!$A$1:$I$89,3,0)*0.475*44/12</f>
        <v>1.874822409496989E-18</v>
      </c>
      <c r="AX156" s="21">
        <f t="shared" si="166"/>
        <v>0.23368908163499383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-7.9580786405131221E-13</v>
      </c>
      <c r="BE156" s="13">
        <f>BD156*VLOOKUP('Données projet'!$B$11,Paramètres!$A$1:$I$89,3,0)*VLOOKUP('Données projet'!$B$11,Paramètres!$A$1:$I$89,5,0)</f>
        <v>-3.8278358260868117E-13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402.22278907877927</v>
      </c>
      <c r="BJ156" s="59">
        <f t="shared" si="146"/>
        <v>393.06397734082458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2.4324732226311969</v>
      </c>
      <c r="BQ156" s="21">
        <f>EXP(-LN(2)/25)*BQ155+(1-EXP(-LN(2)/25))/(LN(2)/25)*Calculateur!BL156*Calculateur!BN156*VLOOKUP('Données projet'!$B$11,Paramètres!$A$1:$I$89,3,0)*0.475*44/12</f>
        <v>1.4894264732905826</v>
      </c>
      <c r="BR156" s="21">
        <f>EXP(-LN(2)/2)*BR155+(1-EXP(-LN(2)/2))/(LN(2)/2)*BL156*BO156*VLOOKUP('Données projet'!$B$11,Paramètres!$A$1:$I$89,3,0)*0.475*44/12</f>
        <v>2.7127753091887094E-16</v>
      </c>
      <c r="BS156" s="22">
        <f t="shared" si="169"/>
        <v>3.92189969592178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1.1368683772161603E-12</v>
      </c>
      <c r="O157" s="13">
        <f>N157*VLOOKUP('Données projet'!$B$9,Paramètres!$A$1:$I$89,3,0)*VLOOKUP('Données projet'!$B$9,Paramètres!$A$1:$I$89,5,0)</f>
        <v>6.3550942286383359E-13</v>
      </c>
      <c r="P157" s="13">
        <f t="shared" si="141"/>
        <v>7.6982260417614606E-12</v>
      </c>
      <c r="Q157" s="20">
        <f t="shared" si="162"/>
        <v>1.4514589267555721E-11</v>
      </c>
      <c r="R157" s="59">
        <f t="shared" si="109"/>
        <v>293.33333333334781</v>
      </c>
      <c r="S157" s="59">
        <f ca="1">AVERAGE(OFFSET($R$3,0,0,'Données projet'!$E$9+1,1))-AVERAGE(OFFSET($H$3,0,0,'Données projet'!$E$9+1,1))</f>
        <v>490.7691633858222</v>
      </c>
      <c r="T157" s="59">
        <f t="shared" si="142"/>
        <v>490.82176582457072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1.0778226353344931</v>
      </c>
      <c r="AA157" s="21">
        <f>EXP(-LN(2)/25)*AA156+(1-EXP(-LN(2)/25))/(LN(2)/25)*Calculateur!V157*Calculateur!X157*VLOOKUP('Données projet'!$B$9,Paramètres!$A$1:$I$89,3,0)*0.475*44/12</f>
        <v>1.4222380543864419</v>
      </c>
      <c r="AB157" s="21">
        <f>EXP(-LN(2)/2)*AB156+(1-EXP(-LN(2)/2))/(LN(2)/2)*V157*Y157*VLOOKUP('Données projet'!$B$9,Paramètres!$A$1:$I$89,3,0)*0.475*44/12</f>
        <v>8.7221695816740343E-18</v>
      </c>
      <c r="AC157" s="22">
        <f t="shared" si="163"/>
        <v>2.500060689720935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-5.3205440053716299E-14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165.03539937460289</v>
      </c>
      <c r="AO157" s="59">
        <f t="shared" si="144"/>
        <v>142.05625724497401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7.4415661261692898E-2</v>
      </c>
      <c r="AV157" s="21">
        <f>EXP(-LN(2)/25)*AV156+(1-EXP(-LN(2)/25))/(LN(2)/25)*Calculateur!AQ157*Calculateur!AS157*VLOOKUP('Données projet'!$B$10,Paramètres!$A$1:$I$89,3,0)*0.475*44/12</f>
        <v>0.15347034860441369</v>
      </c>
      <c r="AW157" s="21">
        <f>EXP(-LN(2)/2)*AW156+(1-EXP(-LN(2)/2))/(LN(2)/2)*AQ157*AT157*VLOOKUP('Données projet'!$B$10,Paramètres!$A$1:$I$89,3,0)*0.475*44/12</f>
        <v>1.3256996392758232E-18</v>
      </c>
      <c r="AX157" s="21">
        <f t="shared" si="166"/>
        <v>0.22788600986610658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-7.9580786405131221E-13</v>
      </c>
      <c r="BE157" s="13">
        <f>BD157*VLOOKUP('Données projet'!$B$11,Paramètres!$A$1:$I$89,3,0)*VLOOKUP('Données projet'!$B$11,Paramètres!$A$1:$I$89,5,0)</f>
        <v>-3.8278358260868117E-13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402.22278907877927</v>
      </c>
      <c r="BJ157" s="59">
        <f t="shared" si="146"/>
        <v>393.06397734082458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2.3847739063975655</v>
      </c>
      <c r="BQ157" s="21">
        <f>EXP(-LN(2)/25)*BQ156+(1-EXP(-LN(2)/25))/(LN(2)/25)*Calculateur!BL157*Calculateur!BN157*VLOOKUP('Données projet'!$B$11,Paramètres!$A$1:$I$89,3,0)*0.475*44/12</f>
        <v>1.4486980280529176</v>
      </c>
      <c r="BR157" s="21">
        <f>EXP(-LN(2)/2)*BR156+(1-EXP(-LN(2)/2))/(LN(2)/2)*BL157*BO157*VLOOKUP('Données projet'!$B$11,Paramètres!$A$1:$I$89,3,0)*0.475*44/12</f>
        <v>1.9182218169627696E-16</v>
      </c>
      <c r="BS157" s="22">
        <f t="shared" si="169"/>
        <v>3.8334719344504831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1.1368683772161603E-12</v>
      </c>
      <c r="O158" s="13">
        <f>N158*VLOOKUP('Données projet'!$B$9,Paramètres!$A$1:$I$89,3,0)*VLOOKUP('Données projet'!$B$9,Paramètres!$A$1:$I$89,5,0)</f>
        <v>6.3550942286383359E-13</v>
      </c>
      <c r="P158" s="13">
        <f t="shared" si="141"/>
        <v>7.6982260417614606E-12</v>
      </c>
      <c r="Q158" s="20">
        <f t="shared" si="162"/>
        <v>1.4514589267555721E-11</v>
      </c>
      <c r="R158" s="59">
        <f t="shared" si="109"/>
        <v>293.33333333334781</v>
      </c>
      <c r="S158" s="59">
        <f ca="1">AVERAGE(OFFSET($R$3,0,0,'Données projet'!$E$9+1,1))-AVERAGE(OFFSET($H$3,0,0,'Données projet'!$E$9+1,1))</f>
        <v>490.7691633858222</v>
      </c>
      <c r="T158" s="59">
        <f t="shared" si="142"/>
        <v>490.82176582457072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1.0566871908624778</v>
      </c>
      <c r="AA158" s="21">
        <f>EXP(-LN(2)/25)*AA157+(1-EXP(-LN(2)/25))/(LN(2)/25)*Calculateur!V158*Calculateur!X158*VLOOKUP('Données projet'!$B$9,Paramètres!$A$1:$I$89,3,0)*0.475*44/12</f>
        <v>1.3833468799969959</v>
      </c>
      <c r="AB158" s="21">
        <f>EXP(-LN(2)/2)*AB157+(1-EXP(-LN(2)/2))/(LN(2)/2)*V158*Y158*VLOOKUP('Données projet'!$B$9,Paramètres!$A$1:$I$89,3,0)*0.475*44/12</f>
        <v>6.1675052578607423E-18</v>
      </c>
      <c r="AC158" s="22">
        <f t="shared" si="163"/>
        <v>2.4400340708594737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-5.3205440053716299E-14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165.03539937460289</v>
      </c>
      <c r="AO158" s="59">
        <f t="shared" si="144"/>
        <v>142.05625724497401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7.2956415533422678E-2</v>
      </c>
      <c r="AV158" s="21">
        <f>EXP(-LN(2)/25)*AV157+(1-EXP(-LN(2)/25))/(LN(2)/25)*Calculateur!AQ158*Calculateur!AS158*VLOOKUP('Données projet'!$B$10,Paramètres!$A$1:$I$89,3,0)*0.475*44/12</f>
        <v>0.14927369385117112</v>
      </c>
      <c r="AW158" s="21">
        <f>EXP(-LN(2)/2)*AW157+(1-EXP(-LN(2)/2))/(LN(2)/2)*AQ158*AT158*VLOOKUP('Données projet'!$B$10,Paramètres!$A$1:$I$89,3,0)*0.475*44/12</f>
        <v>9.3741120474849448E-19</v>
      </c>
      <c r="AX158" s="21">
        <f t="shared" si="166"/>
        <v>0.22223010938459381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-7.9580786405131221E-13</v>
      </c>
      <c r="BE158" s="13">
        <f>BD158*VLOOKUP('Données projet'!$B$11,Paramètres!$A$1:$I$89,3,0)*VLOOKUP('Données projet'!$B$11,Paramètres!$A$1:$I$89,5,0)</f>
        <v>-3.8278358260868117E-13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402.22278907877927</v>
      </c>
      <c r="BJ158" s="59">
        <f t="shared" si="146"/>
        <v>393.06397734082458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2.3380099446615654</v>
      </c>
      <c r="BQ158" s="21">
        <f>EXP(-LN(2)/25)*BQ157+(1-EXP(-LN(2)/25))/(LN(2)/25)*Calculateur!BL158*Calculateur!BN158*VLOOKUP('Données projet'!$B$11,Paramètres!$A$1:$I$89,3,0)*0.475*44/12</f>
        <v>1.4090833042920923</v>
      </c>
      <c r="BR158" s="21">
        <f>EXP(-LN(2)/2)*BR157+(1-EXP(-LN(2)/2))/(LN(2)/2)*BL158*BO158*VLOOKUP('Données projet'!$B$11,Paramètres!$A$1:$I$89,3,0)*0.475*44/12</f>
        <v>1.3563876545943547E-16</v>
      </c>
      <c r="BS158" s="22">
        <f t="shared" si="169"/>
        <v>3.7470932489536577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1.1368683772161603E-12</v>
      </c>
      <c r="O159" s="13">
        <f>N159*VLOOKUP('Données projet'!$B$9,Paramètres!$A$1:$I$89,3,0)*VLOOKUP('Données projet'!$B$9,Paramètres!$A$1:$I$89,5,0)</f>
        <v>6.3550942286383359E-13</v>
      </c>
      <c r="P159" s="13">
        <f t="shared" si="141"/>
        <v>7.6982260417614606E-12</v>
      </c>
      <c r="Q159" s="20">
        <f t="shared" si="162"/>
        <v>1.4514589267555721E-11</v>
      </c>
      <c r="R159" s="59">
        <f t="shared" si="109"/>
        <v>293.33333333334781</v>
      </c>
      <c r="S159" s="59">
        <f ca="1">AVERAGE(OFFSET($R$3,0,0,'Données projet'!$E$9+1,1))-AVERAGE(OFFSET($H$3,0,0,'Données projet'!$E$9+1,1))</f>
        <v>490.7691633858222</v>
      </c>
      <c r="T159" s="59">
        <f t="shared" si="142"/>
        <v>490.82176582457072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1.0359661995652103</v>
      </c>
      <c r="AA159" s="21">
        <f>EXP(-LN(2)/25)*AA158+(1-EXP(-LN(2)/25))/(LN(2)/25)*Calculateur!V159*Calculateur!X159*VLOOKUP('Données projet'!$B$9,Paramètres!$A$1:$I$89,3,0)*0.475*44/12</f>
        <v>1.3455191868164273</v>
      </c>
      <c r="AB159" s="21">
        <f>EXP(-LN(2)/2)*AB158+(1-EXP(-LN(2)/2))/(LN(2)/2)*V159*Y159*VLOOKUP('Données projet'!$B$9,Paramètres!$A$1:$I$89,3,0)*0.475*44/12</f>
        <v>4.3610847908370172E-18</v>
      </c>
      <c r="AC159" s="22">
        <f t="shared" si="163"/>
        <v>2.3814853863816374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-5.3205440053716299E-14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165.03539937460289</v>
      </c>
      <c r="AO159" s="59">
        <f t="shared" si="144"/>
        <v>142.05625724497401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7.1525784723831823E-2</v>
      </c>
      <c r="AV159" s="21">
        <f>EXP(-LN(2)/25)*AV158+(1-EXP(-LN(2)/25))/(LN(2)/25)*Calculateur!AQ159*Calculateur!AS159*VLOOKUP('Données projet'!$B$10,Paramètres!$A$1:$I$89,3,0)*0.475*44/12</f>
        <v>0.14519179684284844</v>
      </c>
      <c r="AW159" s="21">
        <f>EXP(-LN(2)/2)*AW158+(1-EXP(-LN(2)/2))/(LN(2)/2)*AQ159*AT159*VLOOKUP('Données projet'!$B$10,Paramètres!$A$1:$I$89,3,0)*0.475*44/12</f>
        <v>6.628498196379116E-19</v>
      </c>
      <c r="AX159" s="21">
        <f t="shared" si="166"/>
        <v>0.21671758156668025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-7.9580786405131221E-13</v>
      </c>
      <c r="BE159" s="13">
        <f>BD159*VLOOKUP('Données projet'!$B$11,Paramètres!$A$1:$I$89,3,0)*VLOOKUP('Données projet'!$B$11,Paramètres!$A$1:$I$89,5,0)</f>
        <v>-3.8278358260868117E-13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402.22278907877927</v>
      </c>
      <c r="BJ159" s="59">
        <f t="shared" si="146"/>
        <v>393.06397734082458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2.2921629956920082</v>
      </c>
      <c r="BQ159" s="21">
        <f>EXP(-LN(2)/25)*BQ158+(1-EXP(-LN(2)/25))/(LN(2)/25)*Calculateur!BL159*Calculateur!BN159*VLOOKUP('Données projet'!$B$11,Paramètres!$A$1:$I$89,3,0)*0.475*44/12</f>
        <v>1.3705518472357545</v>
      </c>
      <c r="BR159" s="21">
        <f>EXP(-LN(2)/2)*BR158+(1-EXP(-LN(2)/2))/(LN(2)/2)*BL159*BO159*VLOOKUP('Données projet'!$B$11,Paramètres!$A$1:$I$89,3,0)*0.475*44/12</f>
        <v>9.591109084813848E-17</v>
      </c>
      <c r="BS159" s="22">
        <f t="shared" si="169"/>
        <v>3.6627148429277625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1.1368683772161603E-12</v>
      </c>
      <c r="O160" s="13">
        <f>N160*VLOOKUP('Données projet'!$B$9,Paramètres!$A$1:$I$89,3,0)*VLOOKUP('Données projet'!$B$9,Paramètres!$A$1:$I$89,5,0)</f>
        <v>6.3550942286383359E-13</v>
      </c>
      <c r="P160" s="13">
        <f t="shared" si="141"/>
        <v>7.6982260417614606E-12</v>
      </c>
      <c r="Q160" s="20">
        <f t="shared" si="162"/>
        <v>1.4514589267555721E-11</v>
      </c>
      <c r="R160" s="59">
        <f t="shared" si="109"/>
        <v>293.33333333334781</v>
      </c>
      <c r="S160" s="59">
        <f ca="1">AVERAGE(OFFSET($R$3,0,0,'Données projet'!$E$9+1,1))-AVERAGE(OFFSET($H$3,0,0,'Données projet'!$E$9+1,1))</f>
        <v>490.7691633858222</v>
      </c>
      <c r="T160" s="59">
        <f t="shared" si="142"/>
        <v>490.82176582457072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1.0156515342687256</v>
      </c>
      <c r="AA160" s="21">
        <f>EXP(-LN(2)/25)*AA159+(1-EXP(-LN(2)/25))/(LN(2)/25)*Calculateur!V160*Calculateur!X160*VLOOKUP('Données projet'!$B$9,Paramètres!$A$1:$I$89,3,0)*0.475*44/12</f>
        <v>1.3087258938951534</v>
      </c>
      <c r="AB160" s="21">
        <f>EXP(-LN(2)/2)*AB159+(1-EXP(-LN(2)/2))/(LN(2)/2)*V160*Y160*VLOOKUP('Données projet'!$B$9,Paramètres!$A$1:$I$89,3,0)*0.475*44/12</f>
        <v>3.0837526289303711E-18</v>
      </c>
      <c r="AC160" s="22">
        <f t="shared" si="163"/>
        <v>2.3243774281638787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-5.3205440053716299E-14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165.03539937460289</v>
      </c>
      <c r="AO160" s="59">
        <f t="shared" si="144"/>
        <v>142.05625724497401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7.0123207711818417E-2</v>
      </c>
      <c r="AV160" s="21">
        <f>EXP(-LN(2)/25)*AV159+(1-EXP(-LN(2)/25))/(LN(2)/25)*Calculateur!AQ160*Calculateur!AS160*VLOOKUP('Données projet'!$B$10,Paramètres!$A$1:$I$89,3,0)*0.475*44/12</f>
        <v>0.14122151952287598</v>
      </c>
      <c r="AW160" s="21">
        <f>EXP(-LN(2)/2)*AW159+(1-EXP(-LN(2)/2))/(LN(2)/2)*AQ160*AT160*VLOOKUP('Données projet'!$B$10,Paramètres!$A$1:$I$89,3,0)*0.475*44/12</f>
        <v>4.6870560237424724E-19</v>
      </c>
      <c r="AX160" s="21">
        <f t="shared" si="166"/>
        <v>0.21134472723469439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-7.9580786405131221E-13</v>
      </c>
      <c r="BE160" s="13">
        <f>BD160*VLOOKUP('Données projet'!$B$11,Paramètres!$A$1:$I$89,3,0)*VLOOKUP('Données projet'!$B$11,Paramètres!$A$1:$I$89,5,0)</f>
        <v>-3.8278358260868117E-13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402.22278907877927</v>
      </c>
      <c r="BJ160" s="59">
        <f t="shared" si="146"/>
        <v>393.06397734082458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2.2472150774278661</v>
      </c>
      <c r="BQ160" s="21">
        <f>EXP(-LN(2)/25)*BQ159+(1-EXP(-LN(2)/25))/(LN(2)/25)*Calculateur!BL160*Calculateur!BN160*VLOOKUP('Données projet'!$B$11,Paramètres!$A$1:$I$89,3,0)*0.475*44/12</f>
        <v>1.3330740348989036</v>
      </c>
      <c r="BR160" s="21">
        <f>EXP(-LN(2)/2)*BR159+(1-EXP(-LN(2)/2))/(LN(2)/2)*BL160*BO160*VLOOKUP('Données projet'!$B$11,Paramètres!$A$1:$I$89,3,0)*0.475*44/12</f>
        <v>6.7819382729717736E-17</v>
      </c>
      <c r="BS160" s="22">
        <f t="shared" si="169"/>
        <v>3.5802891123267697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1.1368683772161603E-12</v>
      </c>
      <c r="O161" s="13">
        <f>N161*VLOOKUP('Données projet'!$B$9,Paramètres!$A$1:$I$89,3,0)*VLOOKUP('Données projet'!$B$9,Paramètres!$A$1:$I$89,5,0)</f>
        <v>6.3550942286383359E-13</v>
      </c>
      <c r="P161" s="13">
        <f t="shared" si="141"/>
        <v>7.6982260417614606E-12</v>
      </c>
      <c r="Q161" s="20">
        <f t="shared" si="162"/>
        <v>1.4514589267555721E-11</v>
      </c>
      <c r="R161" s="59">
        <f t="shared" si="109"/>
        <v>293.33333333334781</v>
      </c>
      <c r="S161" s="59">
        <f ca="1">AVERAGE(OFFSET($R$3,0,0,'Données projet'!$E$9+1,1))-AVERAGE(OFFSET($H$3,0,0,'Données projet'!$E$9+1,1))</f>
        <v>490.7691633858222</v>
      </c>
      <c r="T161" s="59">
        <f t="shared" si="142"/>
        <v>490.82176582457072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0.99573522716798257</v>
      </c>
      <c r="AA161" s="21">
        <f>EXP(-LN(2)/25)*AA160+(1-EXP(-LN(2)/25))/(LN(2)/25)*Calculateur!V161*Calculateur!X161*VLOOKUP('Données projet'!$B$9,Paramètres!$A$1:$I$89,3,0)*0.475*44/12</f>
        <v>1.2729387155036869</v>
      </c>
      <c r="AB161" s="21">
        <f>EXP(-LN(2)/2)*AB160+(1-EXP(-LN(2)/2))/(LN(2)/2)*V161*Y161*VLOOKUP('Données projet'!$B$9,Paramètres!$A$1:$I$89,3,0)*0.475*44/12</f>
        <v>2.1805423954185086E-18</v>
      </c>
      <c r="AC161" s="22">
        <f t="shared" si="163"/>
        <v>2.2686739426716693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-5.3205440053716299E-14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165.03539937460289</v>
      </c>
      <c r="AO161" s="59">
        <f t="shared" si="144"/>
        <v>142.05625724497401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6.8748134379523082E-2</v>
      </c>
      <c r="AV161" s="21">
        <f>EXP(-LN(2)/25)*AV160+(1-EXP(-LN(2)/25))/(LN(2)/25)*Calculateur!AQ161*Calculateur!AS161*VLOOKUP('Données projet'!$B$10,Paramètres!$A$1:$I$89,3,0)*0.475*44/12</f>
        <v>0.13735980964500599</v>
      </c>
      <c r="AW161" s="21">
        <f>EXP(-LN(2)/2)*AW160+(1-EXP(-LN(2)/2))/(LN(2)/2)*AQ161*AT161*VLOOKUP('Données projet'!$B$10,Paramètres!$A$1:$I$89,3,0)*0.475*44/12</f>
        <v>3.314249098189558E-19</v>
      </c>
      <c r="AX161" s="21">
        <f t="shared" si="166"/>
        <v>0.20610794402452909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-7.9580786405131221E-13</v>
      </c>
      <c r="BE161" s="13">
        <f>BD161*VLOOKUP('Données projet'!$B$11,Paramètres!$A$1:$I$89,3,0)*VLOOKUP('Données projet'!$B$11,Paramètres!$A$1:$I$89,5,0)</f>
        <v>-3.8278358260868117E-13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402.22278907877927</v>
      </c>
      <c r="BJ161" s="59">
        <f t="shared" si="146"/>
        <v>393.06397734082458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2.2031485604253609</v>
      </c>
      <c r="BQ161" s="21">
        <f>EXP(-LN(2)/25)*BQ160+(1-EXP(-LN(2)/25))/(LN(2)/25)*Calculateur!BL161*Calculateur!BN161*VLOOKUP('Données projet'!$B$11,Paramètres!$A$1:$I$89,3,0)*0.475*44/12</f>
        <v>1.2966210553112765</v>
      </c>
      <c r="BR161" s="21">
        <f>EXP(-LN(2)/2)*BR160+(1-EXP(-LN(2)/2))/(LN(2)/2)*BL161*BO161*VLOOKUP('Données projet'!$B$11,Paramètres!$A$1:$I$89,3,0)*0.475*44/12</f>
        <v>4.795554542406924E-17</v>
      </c>
      <c r="BS161" s="22">
        <f t="shared" si="169"/>
        <v>3.4997696157366374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1.1368683772161603E-12</v>
      </c>
      <c r="O162" s="13">
        <f>N162*VLOOKUP('Données projet'!$B$9,Paramètres!$A$1:$I$89,3,0)*VLOOKUP('Données projet'!$B$9,Paramètres!$A$1:$I$89,5,0)</f>
        <v>6.3550942286383359E-13</v>
      </c>
      <c r="P162" s="13">
        <f t="shared" si="141"/>
        <v>7.6982260417614606E-12</v>
      </c>
      <c r="Q162" s="20">
        <f t="shared" si="162"/>
        <v>1.4514589267555721E-11</v>
      </c>
      <c r="R162" s="59">
        <f t="shared" si="109"/>
        <v>293.33333333334781</v>
      </c>
      <c r="S162" s="59">
        <f ca="1">AVERAGE(OFFSET($R$3,0,0,'Données projet'!$E$9+1,1))-AVERAGE(OFFSET($H$3,0,0,'Données projet'!$E$9+1,1))</f>
        <v>490.7691633858222</v>
      </c>
      <c r="T162" s="59">
        <f t="shared" si="142"/>
        <v>490.82176582457072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0.97620946670173736</v>
      </c>
      <c r="AA162" s="21">
        <f>EXP(-LN(2)/25)*AA161+(1-EXP(-LN(2)/25))/(LN(2)/25)*Calculateur!V162*Calculateur!X162*VLOOKUP('Données projet'!$B$9,Paramètres!$A$1:$I$89,3,0)*0.475*44/12</f>
        <v>1.2381301393873008</v>
      </c>
      <c r="AB162" s="21">
        <f>EXP(-LN(2)/2)*AB161+(1-EXP(-LN(2)/2))/(LN(2)/2)*V162*Y162*VLOOKUP('Données projet'!$B$9,Paramètres!$A$1:$I$89,3,0)*0.475*44/12</f>
        <v>1.5418763144651856E-18</v>
      </c>
      <c r="AC162" s="22">
        <f t="shared" si="163"/>
        <v>2.2143396060890383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-5.3205440053716299E-14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165.03539937460289</v>
      </c>
      <c r="AO162" s="59">
        <f t="shared" si="144"/>
        <v>142.05625724497401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6.7400025396562147E-2</v>
      </c>
      <c r="AV162" s="21">
        <f>EXP(-LN(2)/25)*AV161+(1-EXP(-LN(2)/25))/(LN(2)/25)*Calculateur!AQ162*Calculateur!AS162*VLOOKUP('Données projet'!$B$10,Paramètres!$A$1:$I$89,3,0)*0.475*44/12</f>
        <v>0.13360369842682485</v>
      </c>
      <c r="AW162" s="21">
        <f>EXP(-LN(2)/2)*AW161+(1-EXP(-LN(2)/2))/(LN(2)/2)*AQ162*AT162*VLOOKUP('Données projet'!$B$10,Paramètres!$A$1:$I$89,3,0)*0.475*44/12</f>
        <v>2.3435280118712362E-19</v>
      </c>
      <c r="AX162" s="21">
        <f t="shared" si="166"/>
        <v>0.20100372382338699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-7.9580786405131221E-13</v>
      </c>
      <c r="BE162" s="13">
        <f>BD162*VLOOKUP('Données projet'!$B$11,Paramètres!$A$1:$I$89,3,0)*VLOOKUP('Données projet'!$B$11,Paramètres!$A$1:$I$89,5,0)</f>
        <v>-3.8278358260868117E-13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402.22278907877927</v>
      </c>
      <c r="BJ162" s="59">
        <f t="shared" si="146"/>
        <v>393.06397734082458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2.1599461609433535</v>
      </c>
      <c r="BQ162" s="21">
        <f>EXP(-LN(2)/25)*BQ161+(1-EXP(-LN(2)/25))/(LN(2)/25)*Calculateur!BL162*Calculateur!BN162*VLOOKUP('Données projet'!$B$11,Paramètres!$A$1:$I$89,3,0)*0.475*44/12</f>
        <v>1.2611648843674519</v>
      </c>
      <c r="BR162" s="21">
        <f>EXP(-LN(2)/2)*BR161+(1-EXP(-LN(2)/2))/(LN(2)/2)*BL162*BO162*VLOOKUP('Données projet'!$B$11,Paramètres!$A$1:$I$89,3,0)*0.475*44/12</f>
        <v>3.3909691364858868E-17</v>
      </c>
      <c r="BS162" s="22">
        <f t="shared" si="169"/>
        <v>3.4211110453108056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1.1368683772161603E-12</v>
      </c>
      <c r="O163" s="13">
        <f>N163*VLOOKUP('Données projet'!$B$9,Paramètres!$A$1:$I$89,3,0)*VLOOKUP('Données projet'!$B$9,Paramètres!$A$1:$I$89,5,0)</f>
        <v>6.3550942286383359E-13</v>
      </c>
      <c r="P163" s="13">
        <f t="shared" si="141"/>
        <v>7.6982260417614606E-12</v>
      </c>
      <c r="Q163" s="20">
        <f t="shared" si="162"/>
        <v>1.4514589267555721E-11</v>
      </c>
      <c r="R163" s="59">
        <f t="shared" si="109"/>
        <v>293.33333333334781</v>
      </c>
      <c r="S163" s="59">
        <f ca="1">AVERAGE(OFFSET($R$3,0,0,'Données projet'!$E$9+1,1))-AVERAGE(OFFSET($H$3,0,0,'Données projet'!$E$9+1,1))</f>
        <v>490.7691633858222</v>
      </c>
      <c r="T163" s="59">
        <f t="shared" si="142"/>
        <v>490.82176582457072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0.95706659448869724</v>
      </c>
      <c r="AA163" s="21">
        <f>EXP(-LN(2)/25)*AA162+(1-EXP(-LN(2)/25))/(LN(2)/25)*Calculateur!V163*Calculateur!X163*VLOOKUP('Données projet'!$B$9,Paramètres!$A$1:$I$89,3,0)*0.475*44/12</f>
        <v>1.2042734056153208</v>
      </c>
      <c r="AB163" s="21">
        <f>EXP(-LN(2)/2)*AB162+(1-EXP(-LN(2)/2))/(LN(2)/2)*V163*Y163*VLOOKUP('Données projet'!$B$9,Paramètres!$A$1:$I$89,3,0)*0.475*44/12</f>
        <v>1.0902711977092543E-18</v>
      </c>
      <c r="AC163" s="22">
        <f t="shared" si="163"/>
        <v>2.1613400001040182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-5.3205440053716299E-14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165.03539937460289</v>
      </c>
      <c r="AO163" s="59">
        <f t="shared" si="144"/>
        <v>142.05625724497401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6.6078352008491784E-2</v>
      </c>
      <c r="AV163" s="21">
        <f>EXP(-LN(2)/25)*AV162+(1-EXP(-LN(2)/25))/(LN(2)/25)*Calculateur!AQ163*Calculateur!AS163*VLOOKUP('Données projet'!$B$10,Paramètres!$A$1:$I$89,3,0)*0.475*44/12</f>
        <v>0.12995029826743018</v>
      </c>
      <c r="AW163" s="21">
        <f>EXP(-LN(2)/2)*AW162+(1-EXP(-LN(2)/2))/(LN(2)/2)*AQ163*AT163*VLOOKUP('Données projet'!$B$10,Paramètres!$A$1:$I$89,3,0)*0.475*44/12</f>
        <v>1.657124549094779E-19</v>
      </c>
      <c r="AX163" s="21">
        <f t="shared" si="166"/>
        <v>0.19602865027592198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-7.9580786405131221E-13</v>
      </c>
      <c r="BE163" s="13">
        <f>BD163*VLOOKUP('Données projet'!$B$11,Paramètres!$A$1:$I$89,3,0)*VLOOKUP('Données projet'!$B$11,Paramètres!$A$1:$I$89,5,0)</f>
        <v>-3.8278358260868117E-13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402.22278907877927</v>
      </c>
      <c r="BJ163" s="59">
        <f t="shared" si="146"/>
        <v>393.06397734082458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2.1175909341643262</v>
      </c>
      <c r="BQ163" s="21">
        <f>EXP(-LN(2)/25)*BQ162+(1-EXP(-LN(2)/25))/(LN(2)/25)*Calculateur!BL163*Calculateur!BN163*VLOOKUP('Données projet'!$B$11,Paramètres!$A$1:$I$89,3,0)*0.475*44/12</f>
        <v>1.226678264282645</v>
      </c>
      <c r="BR163" s="21">
        <f>EXP(-LN(2)/2)*BR162+(1-EXP(-LN(2)/2))/(LN(2)/2)*BL163*BO163*VLOOKUP('Données projet'!$B$11,Paramètres!$A$1:$I$89,3,0)*0.475*44/12</f>
        <v>2.397777271203462E-17</v>
      </c>
      <c r="BS163" s="22">
        <f t="shared" si="169"/>
        <v>3.3442691984469715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1.1368683772161603E-12</v>
      </c>
      <c r="O164" s="13">
        <f>N164*VLOOKUP('Données projet'!$B$9,Paramètres!$A$1:$I$89,3,0)*VLOOKUP('Données projet'!$B$9,Paramètres!$A$1:$I$89,5,0)</f>
        <v>6.3550942286383359E-13</v>
      </c>
      <c r="P164" s="13">
        <f t="shared" si="141"/>
        <v>7.6982260417614606E-12</v>
      </c>
      <c r="Q164" s="20">
        <f t="shared" si="162"/>
        <v>1.4514589267555721E-11</v>
      </c>
      <c r="R164" s="59">
        <f t="shared" si="109"/>
        <v>293.33333333334781</v>
      </c>
      <c r="S164" s="59">
        <f ca="1">AVERAGE(OFFSET($R$3,0,0,'Données projet'!$E$9+1,1))-AVERAGE(OFFSET($H$3,0,0,'Données projet'!$E$9+1,1))</f>
        <v>490.7691633858222</v>
      </c>
      <c r="T164" s="59">
        <f t="shared" si="142"/>
        <v>490.82176582457072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0.93829910232375568</v>
      </c>
      <c r="AA164" s="21">
        <f>EXP(-LN(2)/25)*AA163+(1-EXP(-LN(2)/25))/(LN(2)/25)*Calculateur!V164*Calculateur!X164*VLOOKUP('Données projet'!$B$9,Paramètres!$A$1:$I$89,3,0)*0.475*44/12</f>
        <v>1.1713424860087838</v>
      </c>
      <c r="AB164" s="21">
        <f>EXP(-LN(2)/2)*AB163+(1-EXP(-LN(2)/2))/(LN(2)/2)*V164*Y164*VLOOKUP('Données projet'!$B$9,Paramètres!$A$1:$I$89,3,0)*0.475*44/12</f>
        <v>7.7093815723259278E-19</v>
      </c>
      <c r="AC164" s="22">
        <f t="shared" si="163"/>
        <v>2.1096415883325395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-5.3205440053716299E-14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165.03539937460289</v>
      </c>
      <c r="AO164" s="59">
        <f t="shared" si="144"/>
        <v>142.05625724497401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6.4782595829420309E-2</v>
      </c>
      <c r="AV164" s="21">
        <f>EXP(-LN(2)/25)*AV163+(1-EXP(-LN(2)/25))/(LN(2)/25)*Calculateur!AQ164*Calculateur!AS164*VLOOKUP('Données projet'!$B$10,Paramètres!$A$1:$I$89,3,0)*0.475*44/12</f>
        <v>0.12639680052751812</v>
      </c>
      <c r="AW164" s="21">
        <f>EXP(-LN(2)/2)*AW163+(1-EXP(-LN(2)/2))/(LN(2)/2)*AQ164*AT164*VLOOKUP('Données projet'!$B$10,Paramètres!$A$1:$I$89,3,0)*0.475*44/12</f>
        <v>1.1717640059356181E-19</v>
      </c>
      <c r="AX164" s="21">
        <f t="shared" si="166"/>
        <v>0.19117939635693842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-7.9580786405131221E-13</v>
      </c>
      <c r="BE164" s="13">
        <f>BD164*VLOOKUP('Données projet'!$B$11,Paramètres!$A$1:$I$89,3,0)*VLOOKUP('Données projet'!$B$11,Paramètres!$A$1:$I$89,5,0)</f>
        <v>-3.8278358260868117E-13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402.22278907877927</v>
      </c>
      <c r="BJ164" s="59">
        <f t="shared" si="146"/>
        <v>393.06397734082458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2.0760662675482986</v>
      </c>
      <c r="BQ164" s="21">
        <f>EXP(-LN(2)/25)*BQ163+(1-EXP(-LN(2)/25))/(LN(2)/25)*Calculateur!BL164*Calculateur!BN164*VLOOKUP('Données projet'!$B$11,Paramètres!$A$1:$I$89,3,0)*0.475*44/12</f>
        <v>1.1931346826376299</v>
      </c>
      <c r="BR164" s="21">
        <f>EXP(-LN(2)/2)*BR163+(1-EXP(-LN(2)/2))/(LN(2)/2)*BL164*BO164*VLOOKUP('Données projet'!$B$11,Paramètres!$A$1:$I$89,3,0)*0.475*44/12</f>
        <v>1.6954845682429434E-17</v>
      </c>
      <c r="BS164" s="22">
        <f t="shared" si="169"/>
        <v>3.2692009501859287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1.1368683772161603E-12</v>
      </c>
      <c r="O165" s="13">
        <f>N165*VLOOKUP('Données projet'!$B$9,Paramètres!$A$1:$I$89,3,0)*VLOOKUP('Données projet'!$B$9,Paramètres!$A$1:$I$89,5,0)</f>
        <v>6.3550942286383359E-13</v>
      </c>
      <c r="P165" s="13">
        <f t="shared" si="141"/>
        <v>7.6982260417614606E-12</v>
      </c>
      <c r="Q165" s="20">
        <f t="shared" si="162"/>
        <v>1.4514589267555721E-11</v>
      </c>
      <c r="R165" s="59">
        <f t="shared" si="109"/>
        <v>293.33333333334781</v>
      </c>
      <c r="S165" s="59">
        <f ca="1">AVERAGE(OFFSET($R$3,0,0,'Données projet'!$E$9+1,1))-AVERAGE(OFFSET($H$3,0,0,'Données projet'!$E$9+1,1))</f>
        <v>490.7691633858222</v>
      </c>
      <c r="T165" s="59">
        <f t="shared" si="142"/>
        <v>490.82176582457072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0.91989962923312873</v>
      </c>
      <c r="AA165" s="21">
        <f>EXP(-LN(2)/25)*AA164+(1-EXP(-LN(2)/25))/(LN(2)/25)*Calculateur!V165*Calculateur!X165*VLOOKUP('Données projet'!$B$9,Paramètres!$A$1:$I$89,3,0)*0.475*44/12</f>
        <v>1.1393120641306493</v>
      </c>
      <c r="AB165" s="21">
        <f>EXP(-LN(2)/2)*AB164+(1-EXP(-LN(2)/2))/(LN(2)/2)*V165*Y165*VLOOKUP('Données projet'!$B$9,Paramètres!$A$1:$I$89,3,0)*0.475*44/12</f>
        <v>5.4513559885462714E-19</v>
      </c>
      <c r="AC165" s="22">
        <f t="shared" si="163"/>
        <v>2.0592116933637783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-5.3205440053716299E-14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165.03539937460289</v>
      </c>
      <c r="AO165" s="59">
        <f t="shared" si="144"/>
        <v>142.05625724497401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6.3512248638687194E-2</v>
      </c>
      <c r="AV165" s="21">
        <f>EXP(-LN(2)/25)*AV164+(1-EXP(-LN(2)/25))/(LN(2)/25)*Calculateur!AQ165*Calculateur!AS165*VLOOKUP('Données projet'!$B$10,Paramètres!$A$1:$I$89,3,0)*0.475*44/12</f>
        <v>0.12294047337017427</v>
      </c>
      <c r="AW165" s="21">
        <f>EXP(-LN(2)/2)*AW164+(1-EXP(-LN(2)/2))/(LN(2)/2)*AQ165*AT165*VLOOKUP('Données projet'!$B$10,Paramètres!$A$1:$I$89,3,0)*0.475*44/12</f>
        <v>8.285622745473895E-20</v>
      </c>
      <c r="AX165" s="21">
        <f t="shared" si="166"/>
        <v>0.18645272200886148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-7.9580786405131221E-13</v>
      </c>
      <c r="BE165" s="13">
        <f>BD165*VLOOKUP('Données projet'!$B$11,Paramètres!$A$1:$I$89,3,0)*VLOOKUP('Données projet'!$B$11,Paramètres!$A$1:$I$89,5,0)</f>
        <v>-3.8278358260868117E-13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402.22278907877927</v>
      </c>
      <c r="BJ165" s="59">
        <f t="shared" si="146"/>
        <v>393.06397734082458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2.0353558743170654</v>
      </c>
      <c r="BQ165" s="21">
        <f>EXP(-LN(2)/25)*BQ164+(1-EXP(-LN(2)/25))/(LN(2)/25)*Calculateur!BL165*Calculateur!BN165*VLOOKUP('Données projet'!$B$11,Paramètres!$A$1:$I$89,3,0)*0.475*44/12</f>
        <v>1.1605083519966779</v>
      </c>
      <c r="BR165" s="21">
        <f>EXP(-LN(2)/2)*BR164+(1-EXP(-LN(2)/2))/(LN(2)/2)*BL165*BO165*VLOOKUP('Données projet'!$B$11,Paramètres!$A$1:$I$89,3,0)*0.475*44/12</f>
        <v>1.198888635601731E-17</v>
      </c>
      <c r="BS165" s="22">
        <f t="shared" si="169"/>
        <v>3.1958642263137431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1.1368683772161603E-12</v>
      </c>
      <c r="O166" s="13">
        <f>N166*VLOOKUP('Données projet'!$B$9,Paramètres!$A$1:$I$89,3,0)*VLOOKUP('Données projet'!$B$9,Paramètres!$A$1:$I$89,5,0)</f>
        <v>6.3550942286383359E-13</v>
      </c>
      <c r="P166" s="13">
        <f t="shared" si="141"/>
        <v>7.6982260417614606E-12</v>
      </c>
      <c r="Q166" s="20">
        <f t="shared" si="162"/>
        <v>1.4514589267555721E-11</v>
      </c>
      <c r="R166" s="59">
        <f t="shared" si="109"/>
        <v>293.33333333334781</v>
      </c>
      <c r="S166" s="59">
        <f ca="1">AVERAGE(OFFSET($R$3,0,0,'Données projet'!$E$9+1,1))-AVERAGE(OFFSET($H$3,0,0,'Données projet'!$E$9+1,1))</f>
        <v>490.7691633858222</v>
      </c>
      <c r="T166" s="59">
        <f t="shared" si="142"/>
        <v>490.82176582457072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0.90186095858723858</v>
      </c>
      <c r="AA166" s="21">
        <f>EXP(-LN(2)/25)*AA165+(1-EXP(-LN(2)/25))/(LN(2)/25)*Calculateur!V166*Calculateur!X166*VLOOKUP('Données projet'!$B$9,Paramètres!$A$1:$I$89,3,0)*0.475*44/12</f>
        <v>1.1081575158231791</v>
      </c>
      <c r="AB166" s="21">
        <f>EXP(-LN(2)/2)*AB165+(1-EXP(-LN(2)/2))/(LN(2)/2)*V166*Y166*VLOOKUP('Données projet'!$B$9,Paramètres!$A$1:$I$89,3,0)*0.475*44/12</f>
        <v>3.8546907861629639E-19</v>
      </c>
      <c r="AC166" s="22">
        <f t="shared" si="163"/>
        <v>2.0100184744104177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-5.3205440053716299E-14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165.03539937460289</v>
      </c>
      <c r="AO166" s="59">
        <f t="shared" si="144"/>
        <v>142.05625724497401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6.2266812181529081E-2</v>
      </c>
      <c r="AV166" s="21">
        <f>EXP(-LN(2)/25)*AV165+(1-EXP(-LN(2)/25))/(LN(2)/25)*Calculateur!AQ166*Calculateur!AS166*VLOOKUP('Données projet'!$B$10,Paramètres!$A$1:$I$89,3,0)*0.475*44/12</f>
        <v>0.11957865966070835</v>
      </c>
      <c r="AW166" s="21">
        <f>EXP(-LN(2)/2)*AW165+(1-EXP(-LN(2)/2))/(LN(2)/2)*AQ166*AT166*VLOOKUP('Données projet'!$B$10,Paramètres!$A$1:$I$89,3,0)*0.475*44/12</f>
        <v>5.8588200296780905E-20</v>
      </c>
      <c r="AX166" s="21">
        <f t="shared" si="166"/>
        <v>0.18184547184223743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-7.9580786405131221E-13</v>
      </c>
      <c r="BE166" s="13">
        <f>BD166*VLOOKUP('Données projet'!$B$11,Paramètres!$A$1:$I$89,3,0)*VLOOKUP('Données projet'!$B$11,Paramètres!$A$1:$I$89,5,0)</f>
        <v>-3.8278358260868117E-13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402.22278907877927</v>
      </c>
      <c r="BJ166" s="59">
        <f t="shared" si="146"/>
        <v>393.06397734082458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1.9954437870662087</v>
      </c>
      <c r="BQ166" s="21">
        <f>EXP(-LN(2)/25)*BQ165+(1-EXP(-LN(2)/25))/(LN(2)/25)*Calculateur!BL166*Calculateur!BN166*VLOOKUP('Données projet'!$B$11,Paramètres!$A$1:$I$89,3,0)*0.475*44/12</f>
        <v>1.128774190082847</v>
      </c>
      <c r="BR166" s="21">
        <f>EXP(-LN(2)/2)*BR165+(1-EXP(-LN(2)/2))/(LN(2)/2)*BL166*BO166*VLOOKUP('Données projet'!$B$11,Paramètres!$A$1:$I$89,3,0)*0.475*44/12</f>
        <v>8.477422841214717E-18</v>
      </c>
      <c r="BS166" s="22">
        <f t="shared" si="169"/>
        <v>3.1242179771490557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1.1368683772161603E-12</v>
      </c>
      <c r="O167" s="13">
        <f>N167*VLOOKUP('Données projet'!$B$9,Paramètres!$A$1:$I$89,3,0)*VLOOKUP('Données projet'!$B$9,Paramètres!$A$1:$I$89,5,0)</f>
        <v>6.3550942286383359E-13</v>
      </c>
      <c r="P167" s="13">
        <f t="shared" si="141"/>
        <v>7.6982260417614606E-12</v>
      </c>
      <c r="Q167" s="20">
        <f t="shared" si="162"/>
        <v>1.4514589267555721E-11</v>
      </c>
      <c r="R167" s="59">
        <f t="shared" si="109"/>
        <v>293.33333333334781</v>
      </c>
      <c r="S167" s="59">
        <f ca="1">AVERAGE(OFFSET($R$3,0,0,'Données projet'!$E$9+1,1))-AVERAGE(OFFSET($H$3,0,0,'Données projet'!$E$9+1,1))</f>
        <v>490.7691633858222</v>
      </c>
      <c r="T167" s="59">
        <f t="shared" si="142"/>
        <v>490.82176582457072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0.88417601527021161</v>
      </c>
      <c r="AA167" s="21">
        <f>EXP(-LN(2)/25)*AA166+(1-EXP(-LN(2)/25))/(LN(2)/25)*Calculateur!V167*Calculateur!X167*VLOOKUP('Données projet'!$B$9,Paramètres!$A$1:$I$89,3,0)*0.475*44/12</f>
        <v>1.0778548902775233</v>
      </c>
      <c r="AB167" s="21">
        <f>EXP(-LN(2)/2)*AB166+(1-EXP(-LN(2)/2))/(LN(2)/2)*V167*Y167*VLOOKUP('Données projet'!$B$9,Paramètres!$A$1:$I$89,3,0)*0.475*44/12</f>
        <v>2.7256779942731357E-19</v>
      </c>
      <c r="AC167" s="22">
        <f t="shared" si="163"/>
        <v>1.962030905547735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-5.3205440053716299E-14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165.03539937460289</v>
      </c>
      <c r="AO167" s="59">
        <f t="shared" si="144"/>
        <v>142.05625724497401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6.1045797973654614E-2</v>
      </c>
      <c r="AV167" s="21">
        <f>EXP(-LN(2)/25)*AV166+(1-EXP(-LN(2)/25))/(LN(2)/25)*Calculateur!AQ167*Calculateur!AS167*VLOOKUP('Données projet'!$B$10,Paramètres!$A$1:$I$89,3,0)*0.475*44/12</f>
        <v>0.11630877492391788</v>
      </c>
      <c r="AW167" s="21">
        <f>EXP(-LN(2)/2)*AW166+(1-EXP(-LN(2)/2))/(LN(2)/2)*AQ167*AT167*VLOOKUP('Données projet'!$B$10,Paramètres!$A$1:$I$89,3,0)*0.475*44/12</f>
        <v>4.1428113727369475E-20</v>
      </c>
      <c r="AX167" s="21">
        <f t="shared" si="166"/>
        <v>0.1773545728975725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-7.9580786405131221E-13</v>
      </c>
      <c r="BE167" s="13">
        <f>BD167*VLOOKUP('Données projet'!$B$11,Paramètres!$A$1:$I$89,3,0)*VLOOKUP('Données projet'!$B$11,Paramètres!$A$1:$I$89,5,0)</f>
        <v>-3.8278358260868117E-13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402.22278907877927</v>
      </c>
      <c r="BJ167" s="59">
        <f t="shared" si="146"/>
        <v>393.06397734082458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1.9563143515023718</v>
      </c>
      <c r="BQ167" s="21">
        <f>EXP(-LN(2)/25)*BQ166+(1-EXP(-LN(2)/25))/(LN(2)/25)*Calculateur!BL167*Calculateur!BN167*VLOOKUP('Données projet'!$B$11,Paramètres!$A$1:$I$89,3,0)*0.475*44/12</f>
        <v>1.0979078004953766</v>
      </c>
      <c r="BR167" s="21">
        <f>EXP(-LN(2)/2)*BR166+(1-EXP(-LN(2)/2))/(LN(2)/2)*BL167*BO167*VLOOKUP('Données projet'!$B$11,Paramètres!$A$1:$I$89,3,0)*0.475*44/12</f>
        <v>5.994443178008655E-18</v>
      </c>
      <c r="BS167" s="22">
        <f t="shared" si="169"/>
        <v>3.0542221519977484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1.1368683772161603E-12</v>
      </c>
      <c r="O168" s="13">
        <f>N168*VLOOKUP('Données projet'!$B$9,Paramètres!$A$1:$I$89,3,0)*VLOOKUP('Données projet'!$B$9,Paramètres!$A$1:$I$89,5,0)</f>
        <v>6.3550942286383359E-13</v>
      </c>
      <c r="P168" s="13">
        <f t="shared" si="141"/>
        <v>7.6982260417614606E-12</v>
      </c>
      <c r="Q168" s="20">
        <f t="shared" si="162"/>
        <v>1.4514589267555721E-11</v>
      </c>
      <c r="R168" s="59">
        <f t="shared" si="109"/>
        <v>293.33333333334781</v>
      </c>
      <c r="S168" s="59">
        <f ca="1">AVERAGE(OFFSET($R$3,0,0,'Données projet'!$E$9+1,1))-AVERAGE(OFFSET($H$3,0,0,'Données projet'!$E$9+1,1))</f>
        <v>490.7691633858222</v>
      </c>
      <c r="T168" s="59">
        <f t="shared" si="142"/>
        <v>490.82176582457072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0.86683786290488118</v>
      </c>
      <c r="AA168" s="21">
        <f>EXP(-LN(2)/25)*AA167+(1-EXP(-LN(2)/25))/(LN(2)/25)*Calculateur!V168*Calculateur!X168*VLOOKUP('Données projet'!$B$9,Paramètres!$A$1:$I$89,3,0)*0.475*44/12</f>
        <v>1.0483808916209592</v>
      </c>
      <c r="AB168" s="21">
        <f>EXP(-LN(2)/2)*AB167+(1-EXP(-LN(2)/2))/(LN(2)/2)*V168*Y168*VLOOKUP('Données projet'!$B$9,Paramètres!$A$1:$I$89,3,0)*0.475*44/12</f>
        <v>1.927345393081482E-19</v>
      </c>
      <c r="AC168" s="22">
        <f t="shared" si="163"/>
        <v>1.9152187545258403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-5.3205440053716299E-14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165.03539937460289</v>
      </c>
      <c r="AO168" s="59">
        <f t="shared" si="144"/>
        <v>142.05625724497401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5.9848727109651431E-2</v>
      </c>
      <c r="AV168" s="21">
        <f>EXP(-LN(2)/25)*AV167+(1-EXP(-LN(2)/25))/(LN(2)/25)*Calculateur!AQ168*Calculateur!AS168*VLOOKUP('Données projet'!$B$10,Paramètres!$A$1:$I$89,3,0)*0.475*44/12</f>
        <v>0.11312830535721069</v>
      </c>
      <c r="AW168" s="21">
        <f>EXP(-LN(2)/2)*AW167+(1-EXP(-LN(2)/2))/(LN(2)/2)*AQ168*AT168*VLOOKUP('Données projet'!$B$10,Paramètres!$A$1:$I$89,3,0)*0.475*44/12</f>
        <v>2.9294100148390453E-20</v>
      </c>
      <c r="AX168" s="21">
        <f t="shared" si="166"/>
        <v>0.17297703246686214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-7.9580786405131221E-13</v>
      </c>
      <c r="BE168" s="13">
        <f>BD168*VLOOKUP('Données projet'!$B$11,Paramètres!$A$1:$I$89,3,0)*VLOOKUP('Données projet'!$B$11,Paramètres!$A$1:$I$89,5,0)</f>
        <v>-3.8278358260868117E-13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402.22278907877927</v>
      </c>
      <c r="BJ168" s="59">
        <f t="shared" si="146"/>
        <v>393.06397734082458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1.9179522203033426</v>
      </c>
      <c r="BQ168" s="21">
        <f>EXP(-LN(2)/25)*BQ167+(1-EXP(-LN(2)/25))/(LN(2)/25)*Calculateur!BL168*Calculateur!BN168*VLOOKUP('Données projet'!$B$11,Paramètres!$A$1:$I$89,3,0)*0.475*44/12</f>
        <v>1.0678854539543685</v>
      </c>
      <c r="BR168" s="21">
        <f>EXP(-LN(2)/2)*BR167+(1-EXP(-LN(2)/2))/(LN(2)/2)*BL168*BO168*VLOOKUP('Données projet'!$B$11,Paramètres!$A$1:$I$89,3,0)*0.475*44/12</f>
        <v>4.2387114206073585E-18</v>
      </c>
      <c r="BS168" s="22">
        <f t="shared" si="169"/>
        <v>2.9858376742577111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1.1368683772161603E-12</v>
      </c>
      <c r="O169" s="13">
        <f>N169*VLOOKUP('Données projet'!$B$9,Paramètres!$A$1:$I$89,3,0)*VLOOKUP('Données projet'!$B$9,Paramètres!$A$1:$I$89,5,0)</f>
        <v>6.3550942286383359E-13</v>
      </c>
      <c r="P169" s="13">
        <f t="shared" si="141"/>
        <v>7.6982260417614606E-12</v>
      </c>
      <c r="Q169" s="20">
        <f t="shared" si="162"/>
        <v>1.4514589267555721E-11</v>
      </c>
      <c r="R169" s="59">
        <f t="shared" si="109"/>
        <v>293.33333333334781</v>
      </c>
      <c r="S169" s="59">
        <f ca="1">AVERAGE(OFFSET($R$3,0,0,'Données projet'!$E$9+1,1))-AVERAGE(OFFSET($H$3,0,0,'Données projet'!$E$9+1,1))</f>
        <v>490.7691633858222</v>
      </c>
      <c r="T169" s="59">
        <f t="shared" si="142"/>
        <v>490.82176582457072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0.84983970113220619</v>
      </c>
      <c r="AA169" s="21">
        <f>EXP(-LN(2)/25)*AA168+(1-EXP(-LN(2)/25))/(LN(2)/25)*Calculateur!V169*Calculateur!X169*VLOOKUP('Données projet'!$B$9,Paramètres!$A$1:$I$89,3,0)*0.475*44/12</f>
        <v>1.0197128610076291</v>
      </c>
      <c r="AB169" s="21">
        <f>EXP(-LN(2)/2)*AB168+(1-EXP(-LN(2)/2))/(LN(2)/2)*V169*Y169*VLOOKUP('Données projet'!$B$9,Paramètres!$A$1:$I$89,3,0)*0.475*44/12</f>
        <v>1.3628389971365679E-19</v>
      </c>
      <c r="AC169" s="22">
        <f t="shared" si="163"/>
        <v>1.8695525621398352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-5.3205440053716299E-14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165.03539937460289</v>
      </c>
      <c r="AO169" s="59">
        <f t="shared" si="144"/>
        <v>142.05625724497401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5.8675130075150218E-2</v>
      </c>
      <c r="AV169" s="21">
        <f>EXP(-LN(2)/25)*AV168+(1-EXP(-LN(2)/25))/(LN(2)/25)*Calculateur!AQ169*Calculateur!AS169*VLOOKUP('Données projet'!$B$10,Paramètres!$A$1:$I$89,3,0)*0.475*44/12</f>
        <v>0.11003480589805874</v>
      </c>
      <c r="AW169" s="21">
        <f>EXP(-LN(2)/2)*AW168+(1-EXP(-LN(2)/2))/(LN(2)/2)*AQ169*AT169*VLOOKUP('Données projet'!$B$10,Paramètres!$A$1:$I$89,3,0)*0.475*44/12</f>
        <v>2.0714056863684738E-20</v>
      </c>
      <c r="AX169" s="21">
        <f t="shared" si="166"/>
        <v>0.16870993597320896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-7.9580786405131221E-13</v>
      </c>
      <c r="BE169" s="13">
        <f>BD169*VLOOKUP('Données projet'!$B$11,Paramètres!$A$1:$I$89,3,0)*VLOOKUP('Données projet'!$B$11,Paramètres!$A$1:$I$89,5,0)</f>
        <v>-3.8278358260868117E-13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402.22278907877927</v>
      </c>
      <c r="BJ169" s="59">
        <f t="shared" si="146"/>
        <v>393.06397734082458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1.8803423470985368</v>
      </c>
      <c r="BQ169" s="21">
        <f>EXP(-LN(2)/25)*BQ168+(1-EXP(-LN(2)/25))/(LN(2)/25)*Calculateur!BL169*Calculateur!BN169*VLOOKUP('Données projet'!$B$11,Paramètres!$A$1:$I$89,3,0)*0.475*44/12</f>
        <v>1.0386840700583311</v>
      </c>
      <c r="BR169" s="21">
        <f>EXP(-LN(2)/2)*BR168+(1-EXP(-LN(2)/2))/(LN(2)/2)*BL169*BO169*VLOOKUP('Données projet'!$B$11,Paramètres!$A$1:$I$89,3,0)*0.475*44/12</f>
        <v>2.9972215890043275E-18</v>
      </c>
      <c r="BS169" s="22">
        <f t="shared" si="169"/>
        <v>2.9190264171568678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1.1368683772161603E-12</v>
      </c>
      <c r="O170" s="13">
        <f>N170*VLOOKUP('Données projet'!$B$9,Paramètres!$A$1:$I$89,3,0)*VLOOKUP('Données projet'!$B$9,Paramètres!$A$1:$I$89,5,0)</f>
        <v>6.3550942286383359E-13</v>
      </c>
      <c r="P170" s="13">
        <f t="shared" si="141"/>
        <v>7.6982260417614606E-12</v>
      </c>
      <c r="Q170" s="20">
        <f t="shared" si="162"/>
        <v>1.4514589267555721E-11</v>
      </c>
      <c r="R170" s="59">
        <f t="shared" si="109"/>
        <v>293.33333333334781</v>
      </c>
      <c r="S170" s="59">
        <f ca="1">AVERAGE(OFFSET($R$3,0,0,'Données projet'!$E$9+1,1))-AVERAGE(OFFSET($H$3,0,0,'Données projet'!$E$9+1,1))</f>
        <v>490.7691633858222</v>
      </c>
      <c r="T170" s="59">
        <f t="shared" si="142"/>
        <v>490.82176582457072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0.83317486294403842</v>
      </c>
      <c r="AA170" s="21">
        <f>EXP(-LN(2)/25)*AA169+(1-EXP(-LN(2)/25))/(LN(2)/25)*Calculateur!V170*Calculateur!X170*VLOOKUP('Données projet'!$B$9,Paramètres!$A$1:$I$89,3,0)*0.475*44/12</f>
        <v>0.9918287591990067</v>
      </c>
      <c r="AB170" s="21">
        <f>EXP(-LN(2)/2)*AB169+(1-EXP(-LN(2)/2))/(LN(2)/2)*V170*Y170*VLOOKUP('Données projet'!$B$9,Paramètres!$A$1:$I$89,3,0)*0.475*44/12</f>
        <v>9.6367269654074098E-20</v>
      </c>
      <c r="AC170" s="22">
        <f t="shared" si="163"/>
        <v>1.8250036221430452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-5.3205440053716299E-14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165.03539937460289</v>
      </c>
      <c r="AO170" s="59">
        <f t="shared" si="144"/>
        <v>142.05625724497401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5.7524546562672065E-2</v>
      </c>
      <c r="AV170" s="21">
        <f>EXP(-LN(2)/25)*AV169+(1-EXP(-LN(2)/25))/(LN(2)/25)*Calculateur!AQ170*Calculateur!AS170*VLOOKUP('Données projet'!$B$10,Paramètres!$A$1:$I$89,3,0)*0.475*44/12</f>
        <v>0.10702589834429736</v>
      </c>
      <c r="AW170" s="21">
        <f>EXP(-LN(2)/2)*AW169+(1-EXP(-LN(2)/2))/(LN(2)/2)*AQ170*AT170*VLOOKUP('Données projet'!$B$10,Paramètres!$A$1:$I$89,3,0)*0.475*44/12</f>
        <v>1.4647050074195226E-20</v>
      </c>
      <c r="AX170" s="21">
        <f t="shared" si="166"/>
        <v>0.16455044490696943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-7.9580786405131221E-13</v>
      </c>
      <c r="BE170" s="13">
        <f>BD170*VLOOKUP('Données projet'!$B$11,Paramètres!$A$1:$I$89,3,0)*VLOOKUP('Données projet'!$B$11,Paramètres!$A$1:$I$89,5,0)</f>
        <v>-3.8278358260868117E-13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402.22278907877927</v>
      </c>
      <c r="BJ170" s="59">
        <f t="shared" si="146"/>
        <v>393.06397734082458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1.8434699805675197</v>
      </c>
      <c r="BQ170" s="21">
        <f>EXP(-LN(2)/25)*BQ169+(1-EXP(-LN(2)/25))/(LN(2)/25)*Calculateur!BL170*Calculateur!BN170*VLOOKUP('Données projet'!$B$11,Paramètres!$A$1:$I$89,3,0)*0.475*44/12</f>
        <v>1.0102811995405647</v>
      </c>
      <c r="BR170" s="21">
        <f>EXP(-LN(2)/2)*BR169+(1-EXP(-LN(2)/2))/(LN(2)/2)*BL170*BO170*VLOOKUP('Données projet'!$B$11,Paramètres!$A$1:$I$89,3,0)*0.475*44/12</f>
        <v>2.1193557103036793E-18</v>
      </c>
      <c r="BS170" s="22">
        <f t="shared" si="169"/>
        <v>2.8537511801080844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1.1368683772161603E-12</v>
      </c>
      <c r="O171" s="13">
        <f>N171*VLOOKUP('Données projet'!$B$9,Paramètres!$A$1:$I$89,3,0)*VLOOKUP('Données projet'!$B$9,Paramètres!$A$1:$I$89,5,0)</f>
        <v>6.3550942286383359E-13</v>
      </c>
      <c r="P171" s="13">
        <f t="shared" si="141"/>
        <v>7.6982260417614606E-12</v>
      </c>
      <c r="Q171" s="20">
        <f t="shared" si="162"/>
        <v>1.4514589267555721E-11</v>
      </c>
      <c r="R171" s="59">
        <f t="shared" si="109"/>
        <v>293.33333333334781</v>
      </c>
      <c r="S171" s="59">
        <f ca="1">AVERAGE(OFFSET($R$3,0,0,'Données projet'!$E$9+1,1))-AVERAGE(OFFSET($H$3,0,0,'Données projet'!$E$9+1,1))</f>
        <v>490.7691633858222</v>
      </c>
      <c r="T171" s="59">
        <f t="shared" si="142"/>
        <v>490.82176582457072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0.81683681206819292</v>
      </c>
      <c r="AA171" s="21">
        <f>EXP(-LN(2)/25)*AA170+(1-EXP(-LN(2)/25))/(LN(2)/25)*Calculateur!V171*Calculateur!X171*VLOOKUP('Données projet'!$B$9,Paramètres!$A$1:$I$89,3,0)*0.475*44/12</f>
        <v>0.96470714962070225</v>
      </c>
      <c r="AB171" s="21">
        <f>EXP(-LN(2)/2)*AB170+(1-EXP(-LN(2)/2))/(LN(2)/2)*V171*Y171*VLOOKUP('Données projet'!$B$9,Paramètres!$A$1:$I$89,3,0)*0.475*44/12</f>
        <v>6.8141949856828393E-20</v>
      </c>
      <c r="AC171" s="22">
        <f t="shared" si="163"/>
        <v>1.7815439616888953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-5.3205440053716299E-14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165.03539937460289</v>
      </c>
      <c r="AO171" s="59">
        <f t="shared" si="144"/>
        <v>142.05625724497401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5.6396525291086963E-2</v>
      </c>
      <c r="AV171" s="21">
        <f>EXP(-LN(2)/25)*AV170+(1-EXP(-LN(2)/25))/(LN(2)/25)*Calculateur!AQ171*Calculateur!AS171*VLOOKUP('Données projet'!$B$10,Paramètres!$A$1:$I$89,3,0)*0.475*44/12</f>
        <v>0.10409926952582517</v>
      </c>
      <c r="AW171" s="21">
        <f>EXP(-LN(2)/2)*AW170+(1-EXP(-LN(2)/2))/(LN(2)/2)*AQ171*AT171*VLOOKUP('Données projet'!$B$10,Paramètres!$A$1:$I$89,3,0)*0.475*44/12</f>
        <v>1.0357028431842369E-20</v>
      </c>
      <c r="AX171" s="21">
        <f t="shared" si="166"/>
        <v>0.16049579481691212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-7.9580786405131221E-13</v>
      </c>
      <c r="BE171" s="13">
        <f>BD171*VLOOKUP('Données projet'!$B$11,Paramètres!$A$1:$I$89,3,0)*VLOOKUP('Données projet'!$B$11,Paramètres!$A$1:$I$89,5,0)</f>
        <v>-3.8278358260868117E-13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402.22278907877927</v>
      </c>
      <c r="BJ171" s="59">
        <f t="shared" si="146"/>
        <v>393.06397734082458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1.807320658654253</v>
      </c>
      <c r="BQ171" s="21">
        <f>EXP(-LN(2)/25)*BQ170+(1-EXP(-LN(2)/25))/(LN(2)/25)*Calculateur!BL171*Calculateur!BN171*VLOOKUP('Données projet'!$B$11,Paramètres!$A$1:$I$89,3,0)*0.475*44/12</f>
        <v>0.9826550070107487</v>
      </c>
      <c r="BR171" s="21">
        <f>EXP(-LN(2)/2)*BR170+(1-EXP(-LN(2)/2))/(LN(2)/2)*BL171*BO171*VLOOKUP('Données projet'!$B$11,Paramètres!$A$1:$I$89,3,0)*0.475*44/12</f>
        <v>1.4986107945021638E-18</v>
      </c>
      <c r="BS171" s="22">
        <f t="shared" si="169"/>
        <v>2.7899756656650014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1.1368683772161603E-12</v>
      </c>
      <c r="O172" s="13">
        <f>N172*VLOOKUP('Données projet'!$B$9,Paramètres!$A$1:$I$89,3,0)*VLOOKUP('Données projet'!$B$9,Paramètres!$A$1:$I$89,5,0)</f>
        <v>6.3550942286383359E-13</v>
      </c>
      <c r="P172" s="13">
        <f t="shared" si="141"/>
        <v>7.6982260417614606E-12</v>
      </c>
      <c r="Q172" s="20">
        <f t="shared" si="162"/>
        <v>1.4514589267555721E-11</v>
      </c>
      <c r="R172" s="59">
        <f t="shared" si="109"/>
        <v>293.33333333334781</v>
      </c>
      <c r="S172" s="59">
        <f ca="1">AVERAGE(OFFSET($R$3,0,0,'Données projet'!$E$9+1,1))-AVERAGE(OFFSET($H$3,0,0,'Données projet'!$E$9+1,1))</f>
        <v>490.7691633858222</v>
      </c>
      <c r="T172" s="59">
        <f t="shared" si="142"/>
        <v>490.82176582457072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0.80081914040479574</v>
      </c>
      <c r="AA172" s="21">
        <f>EXP(-LN(2)/25)*AA171+(1-EXP(-LN(2)/25))/(LN(2)/25)*Calculateur!V172*Calculateur!X172*VLOOKUP('Données projet'!$B$9,Paramètres!$A$1:$I$89,3,0)*0.475*44/12</f>
        <v>0.93832718188258002</v>
      </c>
      <c r="AB172" s="21">
        <f>EXP(-LN(2)/2)*AB171+(1-EXP(-LN(2)/2))/(LN(2)/2)*V172*Y172*VLOOKUP('Données projet'!$B$9,Paramètres!$A$1:$I$89,3,0)*0.475*44/12</f>
        <v>4.8183634827037049E-20</v>
      </c>
      <c r="AC172" s="22">
        <f t="shared" si="163"/>
        <v>1.7391463222873758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-5.3205440053716299E-14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165.03539937460289</v>
      </c>
      <c r="AO172" s="59">
        <f t="shared" si="144"/>
        <v>142.05625724497401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5.5290623828612606E-2</v>
      </c>
      <c r="AV172" s="21">
        <f>EXP(-LN(2)/25)*AV171+(1-EXP(-LN(2)/25))/(LN(2)/25)*Calculateur!AQ172*Calculateur!AS172*VLOOKUP('Données projet'!$B$10,Paramètres!$A$1:$I$89,3,0)*0.475*44/12</f>
        <v>0.10125266952629881</v>
      </c>
      <c r="AW172" s="21">
        <f>EXP(-LN(2)/2)*AW171+(1-EXP(-LN(2)/2))/(LN(2)/2)*AQ172*AT172*VLOOKUP('Données projet'!$B$10,Paramètres!$A$1:$I$89,3,0)*0.475*44/12</f>
        <v>7.3235250370976132E-21</v>
      </c>
      <c r="AX172" s="21">
        <f t="shared" si="166"/>
        <v>0.15654329335491141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-7.9580786405131221E-13</v>
      </c>
      <c r="BE172" s="13">
        <f>BD172*VLOOKUP('Données projet'!$B$11,Paramètres!$A$1:$I$89,3,0)*VLOOKUP('Données projet'!$B$11,Paramètres!$A$1:$I$89,5,0)</f>
        <v>-3.8278358260868117E-13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402.22278907877927</v>
      </c>
      <c r="BJ172" s="59">
        <f t="shared" si="146"/>
        <v>393.06397734082458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1.7718802028947962</v>
      </c>
      <c r="BQ172" s="21">
        <f>EXP(-LN(2)/25)*BQ171+(1-EXP(-LN(2)/25))/(LN(2)/25)*Calculateur!BL172*Calculateur!BN172*VLOOKUP('Données projet'!$B$11,Paramètres!$A$1:$I$89,3,0)*0.475*44/12</f>
        <v>0.9557842541684588</v>
      </c>
      <c r="BR172" s="21">
        <f>EXP(-LN(2)/2)*BR171+(1-EXP(-LN(2)/2))/(LN(2)/2)*BL172*BO172*VLOOKUP('Données projet'!$B$11,Paramètres!$A$1:$I$89,3,0)*0.475*44/12</f>
        <v>1.0596778551518396E-18</v>
      </c>
      <c r="BS172" s="22">
        <f t="shared" si="169"/>
        <v>2.7276644570632551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1.1368683772161603E-12</v>
      </c>
      <c r="O173" s="13">
        <f>N173*VLOOKUP('Données projet'!$B$9,Paramètres!$A$1:$I$89,3,0)*VLOOKUP('Données projet'!$B$9,Paramètres!$A$1:$I$89,5,0)</f>
        <v>6.3550942286383359E-13</v>
      </c>
      <c r="P173" s="13">
        <f t="shared" si="141"/>
        <v>7.6982260417614606E-12</v>
      </c>
      <c r="Q173" s="20">
        <f t="shared" si="162"/>
        <v>1.4514589267555721E-11</v>
      </c>
      <c r="R173" s="59">
        <f t="shared" si="109"/>
        <v>293.33333333334781</v>
      </c>
      <c r="S173" s="59">
        <f ca="1">AVERAGE(OFFSET($R$3,0,0,'Données projet'!$E$9+1,1))-AVERAGE(OFFSET($H$3,0,0,'Données projet'!$E$9+1,1))</f>
        <v>490.7691633858222</v>
      </c>
      <c r="T173" s="59">
        <f t="shared" si="142"/>
        <v>490.82176582457072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0.78511556551290274</v>
      </c>
      <c r="AA173" s="21">
        <f>EXP(-LN(2)/25)*AA172+(1-EXP(-LN(2)/25))/(LN(2)/25)*Calculateur!V173*Calculateur!X173*VLOOKUP('Données projet'!$B$9,Paramètres!$A$1:$I$89,3,0)*0.475*44/12</f>
        <v>0.91266857574951898</v>
      </c>
      <c r="AB173" s="21">
        <f>EXP(-LN(2)/2)*AB172+(1-EXP(-LN(2)/2))/(LN(2)/2)*V173*Y173*VLOOKUP('Données projet'!$B$9,Paramètres!$A$1:$I$89,3,0)*0.475*44/12</f>
        <v>3.4070974928414197E-20</v>
      </c>
      <c r="AC173" s="22">
        <f t="shared" si="163"/>
        <v>1.6977841412624217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-5.3205440053716299E-14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165.03539937460289</v>
      </c>
      <c r="AO173" s="59">
        <f t="shared" si="144"/>
        <v>142.05625724497401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5.4206408419284084E-2</v>
      </c>
      <c r="AV173" s="21">
        <f>EXP(-LN(2)/25)*AV172+(1-EXP(-LN(2)/25))/(LN(2)/25)*Calculateur!AQ173*Calculateur!AS173*VLOOKUP('Données projet'!$B$10,Paramètres!$A$1:$I$89,3,0)*0.475*44/12</f>
        <v>9.8483909953455698E-2</v>
      </c>
      <c r="AW173" s="21">
        <f>EXP(-LN(2)/2)*AW172+(1-EXP(-LN(2)/2))/(LN(2)/2)*AQ173*AT173*VLOOKUP('Données projet'!$B$10,Paramètres!$A$1:$I$89,3,0)*0.475*44/12</f>
        <v>5.1785142159211844E-21</v>
      </c>
      <c r="AX173" s="21">
        <f t="shared" si="166"/>
        <v>0.15269031837273978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-7.9580786405131221E-13</v>
      </c>
      <c r="BE173" s="13">
        <f>BD173*VLOOKUP('Données projet'!$B$11,Paramètres!$A$1:$I$89,3,0)*VLOOKUP('Données projet'!$B$11,Paramètres!$A$1:$I$89,5,0)</f>
        <v>-3.8278358260868117E-13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402.22278907877927</v>
      </c>
      <c r="BJ173" s="59">
        <f t="shared" si="146"/>
        <v>393.06397734082458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1.7371347128562389</v>
      </c>
      <c r="BQ173" s="21">
        <f>EXP(-LN(2)/25)*BQ172+(1-EXP(-LN(2)/25))/(LN(2)/25)*Calculateur!BL173*Calculateur!BN173*VLOOKUP('Données projet'!$B$11,Paramètres!$A$1:$I$89,3,0)*0.475*44/12</f>
        <v>0.92964828347571282</v>
      </c>
      <c r="BR173" s="21">
        <f>EXP(-LN(2)/2)*BR172+(1-EXP(-LN(2)/2))/(LN(2)/2)*BL173*BO173*VLOOKUP('Données projet'!$B$11,Paramètres!$A$1:$I$89,3,0)*0.475*44/12</f>
        <v>7.4930539725108188E-19</v>
      </c>
      <c r="BS173" s="22">
        <f t="shared" si="169"/>
        <v>2.6667829963319516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1.1368683772161603E-12</v>
      </c>
      <c r="O174" s="13">
        <f>N174*VLOOKUP('Données projet'!$B$9,Paramètres!$A$1:$I$89,3,0)*VLOOKUP('Données projet'!$B$9,Paramètres!$A$1:$I$89,5,0)</f>
        <v>6.3550942286383359E-13</v>
      </c>
      <c r="P174" s="13">
        <f t="shared" si="141"/>
        <v>7.6982260417614606E-12</v>
      </c>
      <c r="Q174" s="20">
        <f t="shared" si="162"/>
        <v>1.4514589267555721E-11</v>
      </c>
      <c r="R174" s="59">
        <f t="shared" si="109"/>
        <v>293.33333333334781</v>
      </c>
      <c r="S174" s="59">
        <f ca="1">AVERAGE(OFFSET($R$3,0,0,'Données projet'!$E$9+1,1))-AVERAGE(OFFSET($H$3,0,0,'Données projet'!$E$9+1,1))</f>
        <v>490.7691633858222</v>
      </c>
      <c r="T174" s="59">
        <f t="shared" si="142"/>
        <v>490.82176582457072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0.76971992814640489</v>
      </c>
      <c r="AA174" s="21">
        <f>EXP(-LN(2)/25)*AA173+(1-EXP(-LN(2)/25))/(LN(2)/25)*Calculateur!V174*Calculateur!X174*VLOOKUP('Données projet'!$B$9,Paramètres!$A$1:$I$89,3,0)*0.475*44/12</f>
        <v>0.88771160555049389</v>
      </c>
      <c r="AB174" s="21">
        <f>EXP(-LN(2)/2)*AB173+(1-EXP(-LN(2)/2))/(LN(2)/2)*V174*Y174*VLOOKUP('Données projet'!$B$9,Paramètres!$A$1:$I$89,3,0)*0.475*44/12</f>
        <v>2.4091817413518524E-20</v>
      </c>
      <c r="AC174" s="22">
        <f t="shared" si="163"/>
        <v>1.6574315336968988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-5.3205440053716299E-14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165.03539937460289</v>
      </c>
      <c r="AO174" s="59">
        <f t="shared" si="144"/>
        <v>142.05625724497401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5.3143453812826397E-2</v>
      </c>
      <c r="AV174" s="21">
        <f>EXP(-LN(2)/25)*AV173+(1-EXP(-LN(2)/25))/(LN(2)/25)*Calculateur!AQ174*Calculateur!AS174*VLOOKUP('Données projet'!$B$10,Paramètres!$A$1:$I$89,3,0)*0.475*44/12</f>
        <v>9.5790862256734721E-2</v>
      </c>
      <c r="AW174" s="21">
        <f>EXP(-LN(2)/2)*AW173+(1-EXP(-LN(2)/2))/(LN(2)/2)*AQ174*AT174*VLOOKUP('Données projet'!$B$10,Paramètres!$A$1:$I$89,3,0)*0.475*44/12</f>
        <v>3.6617625185488066E-21</v>
      </c>
      <c r="AX174" s="21">
        <f t="shared" si="166"/>
        <v>0.14893431606956112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-7.9580786405131221E-13</v>
      </c>
      <c r="BE174" s="13">
        <f>BD174*VLOOKUP('Données projet'!$B$11,Paramètres!$A$1:$I$89,3,0)*VLOOKUP('Données projet'!$B$11,Paramètres!$A$1:$I$89,5,0)</f>
        <v>-3.8278358260868117E-13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402.22278907877927</v>
      </c>
      <c r="BJ174" s="59">
        <f t="shared" si="146"/>
        <v>393.06397734082458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1.7030705606846812</v>
      </c>
      <c r="BQ174" s="21">
        <f>EXP(-LN(2)/25)*BQ173+(1-EXP(-LN(2)/25))/(LN(2)/25)*Calculateur!BL174*Calculateur!BN174*VLOOKUP('Données projet'!$B$11,Paramètres!$A$1:$I$89,3,0)*0.475*44/12</f>
        <v>0.90422700227599095</v>
      </c>
      <c r="BR174" s="21">
        <f>EXP(-LN(2)/2)*BR173+(1-EXP(-LN(2)/2))/(LN(2)/2)*BL174*BO174*VLOOKUP('Données projet'!$B$11,Paramètres!$A$1:$I$89,3,0)*0.475*44/12</f>
        <v>5.2983892757591981E-19</v>
      </c>
      <c r="BS174" s="22">
        <f t="shared" si="169"/>
        <v>2.6072975629606723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1.1368683772161603E-12</v>
      </c>
      <c r="O175" s="13">
        <f>N175*VLOOKUP('Données projet'!$B$9,Paramètres!$A$1:$I$89,3,0)*VLOOKUP('Données projet'!$B$9,Paramètres!$A$1:$I$89,5,0)</f>
        <v>6.3550942286383359E-13</v>
      </c>
      <c r="P175" s="13">
        <f t="shared" si="141"/>
        <v>7.6982260417614606E-12</v>
      </c>
      <c r="Q175" s="20">
        <f t="shared" si="162"/>
        <v>1.4514589267555721E-11</v>
      </c>
      <c r="R175" s="59">
        <f t="shared" si="109"/>
        <v>293.33333333334781</v>
      </c>
      <c r="S175" s="59">
        <f ca="1">AVERAGE(OFFSET($R$3,0,0,'Données projet'!$E$9+1,1))-AVERAGE(OFFSET($H$3,0,0,'Données projet'!$E$9+1,1))</f>
        <v>490.7691633858222</v>
      </c>
      <c r="T175" s="59">
        <f t="shared" si="142"/>
        <v>490.82176582457072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0.75462618983825247</v>
      </c>
      <c r="AA175" s="21">
        <f>EXP(-LN(2)/25)*AA174+(1-EXP(-LN(2)/25))/(LN(2)/25)*Calculateur!V175*Calculateur!X175*VLOOKUP('Données projet'!$B$9,Paramètres!$A$1:$I$89,3,0)*0.475*44/12</f>
        <v>0.86343708501399119</v>
      </c>
      <c r="AB175" s="21">
        <f>EXP(-LN(2)/2)*AB174+(1-EXP(-LN(2)/2))/(LN(2)/2)*V175*Y175*VLOOKUP('Données projet'!$B$9,Paramètres!$A$1:$I$89,3,0)*0.475*44/12</f>
        <v>1.7035487464207098E-20</v>
      </c>
      <c r="AC175" s="22">
        <f t="shared" si="163"/>
        <v>1.6180632748522437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-5.3205440053716299E-14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165.03539937460289</v>
      </c>
      <c r="AO175" s="59">
        <f t="shared" si="144"/>
        <v>142.05625724497401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5.2101343097863052E-2</v>
      </c>
      <c r="AV175" s="21">
        <f>EXP(-LN(2)/25)*AV174+(1-EXP(-LN(2)/25))/(LN(2)/25)*Calculateur!AQ175*Calculateur!AS175*VLOOKUP('Données projet'!$B$10,Paramètres!$A$1:$I$89,3,0)*0.475*44/12</f>
        <v>9.31714560909018E-2</v>
      </c>
      <c r="AW175" s="21">
        <f>EXP(-LN(2)/2)*AW174+(1-EXP(-LN(2)/2))/(LN(2)/2)*AQ175*AT175*VLOOKUP('Données projet'!$B$10,Paramètres!$A$1:$I$89,3,0)*0.475*44/12</f>
        <v>2.5892571079605922E-21</v>
      </c>
      <c r="AX175" s="21">
        <f t="shared" si="166"/>
        <v>0.14527279918876485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-7.9580786405131221E-13</v>
      </c>
      <c r="BE175" s="13">
        <f>BD175*VLOOKUP('Données projet'!$B$11,Paramètres!$A$1:$I$89,3,0)*VLOOKUP('Données projet'!$B$11,Paramètres!$A$1:$I$89,5,0)</f>
        <v>-3.8278358260868117E-13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402.22278907877927</v>
      </c>
      <c r="BJ175" s="59">
        <f t="shared" si="146"/>
        <v>393.06397734082458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1.6696743857601266</v>
      </c>
      <c r="BQ175" s="21">
        <f>EXP(-LN(2)/25)*BQ174+(1-EXP(-LN(2)/25))/(LN(2)/25)*Calculateur!BL175*Calculateur!BN175*VLOOKUP('Données projet'!$B$11,Paramètres!$A$1:$I$89,3,0)*0.475*44/12</f>
        <v>0.87950086734752253</v>
      </c>
      <c r="BR175" s="21">
        <f>EXP(-LN(2)/2)*BR174+(1-EXP(-LN(2)/2))/(LN(2)/2)*BL175*BO175*VLOOKUP('Données projet'!$B$11,Paramètres!$A$1:$I$89,3,0)*0.475*44/12</f>
        <v>3.7465269862554094E-19</v>
      </c>
      <c r="BS175" s="22">
        <f t="shared" si="169"/>
        <v>2.549175253107649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1.1368683772161603E-12</v>
      </c>
      <c r="O176" s="13">
        <f>N176*VLOOKUP('Données projet'!$B$9,Paramètres!$A$1:$I$89,3,0)*VLOOKUP('Données projet'!$B$9,Paramètres!$A$1:$I$89,5,0)</f>
        <v>6.3550942286383359E-13</v>
      </c>
      <c r="P176" s="13">
        <f t="shared" si="141"/>
        <v>7.6982260417614606E-12</v>
      </c>
      <c r="Q176" s="20">
        <f t="shared" si="162"/>
        <v>1.4514589267555721E-11</v>
      </c>
      <c r="R176" s="59">
        <f t="shared" si="109"/>
        <v>293.33333333334781</v>
      </c>
      <c r="S176" s="59">
        <f ca="1">AVERAGE(OFFSET($R$3,0,0,'Données projet'!$E$9+1,1))-AVERAGE(OFFSET($H$3,0,0,'Données projet'!$E$9+1,1))</f>
        <v>490.7691633858222</v>
      </c>
      <c r="T176" s="59">
        <f t="shared" si="142"/>
        <v>490.82176582457072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0.73982843053205161</v>
      </c>
      <c r="AA176" s="21">
        <f>EXP(-LN(2)/25)*AA175+(1-EXP(-LN(2)/25))/(LN(2)/25)*Calculateur!V176*Calculateur!X176*VLOOKUP('Données projet'!$B$9,Paramètres!$A$1:$I$89,3,0)*0.475*44/12</f>
        <v>0.83982635251810067</v>
      </c>
      <c r="AB176" s="21">
        <f>EXP(-LN(2)/2)*AB175+(1-EXP(-LN(2)/2))/(LN(2)/2)*V176*Y176*VLOOKUP('Données projet'!$B$9,Paramètres!$A$1:$I$89,3,0)*0.475*44/12</f>
        <v>1.2045908706759262E-20</v>
      </c>
      <c r="AC176" s="22">
        <f t="shared" si="163"/>
        <v>1.5796547830501524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-5.3205440053716299E-14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165.03539937460289</v>
      </c>
      <c r="AO176" s="59">
        <f t="shared" si="144"/>
        <v>142.05625724497401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5.1079667538395365E-2</v>
      </c>
      <c r="AV176" s="21">
        <f>EXP(-LN(2)/25)*AV175+(1-EXP(-LN(2)/25))/(LN(2)/25)*Calculateur!AQ176*Calculateur!AS176*VLOOKUP('Données projet'!$B$10,Paramètres!$A$1:$I$89,3,0)*0.475*44/12</f>
        <v>9.0623677724422161E-2</v>
      </c>
      <c r="AW176" s="21">
        <f>EXP(-LN(2)/2)*AW175+(1-EXP(-LN(2)/2))/(LN(2)/2)*AQ176*AT176*VLOOKUP('Données projet'!$B$10,Paramètres!$A$1:$I$89,3,0)*0.475*44/12</f>
        <v>1.8308812592744033E-21</v>
      </c>
      <c r="AX176" s="21">
        <f t="shared" si="166"/>
        <v>0.14170334526281753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-7.9580786405131221E-13</v>
      </c>
      <c r="BE176" s="13">
        <f>BD176*VLOOKUP('Données projet'!$B$11,Paramètres!$A$1:$I$89,3,0)*VLOOKUP('Données projet'!$B$11,Paramètres!$A$1:$I$89,5,0)</f>
        <v>-3.8278358260868117E-13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402.22278907877927</v>
      </c>
      <c r="BJ176" s="59">
        <f t="shared" si="146"/>
        <v>393.06397734082458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1.6369330894561871</v>
      </c>
      <c r="BQ176" s="21">
        <f>EXP(-LN(2)/25)*BQ175+(1-EXP(-LN(2)/25))/(LN(2)/25)*Calculateur!BL176*Calculateur!BN176*VLOOKUP('Données projet'!$B$11,Paramètres!$A$1:$I$89,3,0)*0.475*44/12</f>
        <v>0.85545086987896402</v>
      </c>
      <c r="BR176" s="21">
        <f>EXP(-LN(2)/2)*BR175+(1-EXP(-LN(2)/2))/(LN(2)/2)*BL176*BO176*VLOOKUP('Données projet'!$B$11,Paramètres!$A$1:$I$89,3,0)*0.475*44/12</f>
        <v>2.6491946378795991E-19</v>
      </c>
      <c r="BS176" s="22">
        <f t="shared" si="169"/>
        <v>2.4923839593351511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1.1368683772161603E-12</v>
      </c>
      <c r="O177" s="13">
        <f>N177*VLOOKUP('Données projet'!$B$9,Paramètres!$A$1:$I$89,3,0)*VLOOKUP('Données projet'!$B$9,Paramètres!$A$1:$I$89,5,0)</f>
        <v>6.3550942286383359E-13</v>
      </c>
      <c r="P177" s="13">
        <f t="shared" si="141"/>
        <v>7.6982260417614606E-12</v>
      </c>
      <c r="Q177" s="20">
        <f t="shared" si="162"/>
        <v>1.4514589267555721E-11</v>
      </c>
      <c r="R177" s="59">
        <f t="shared" si="109"/>
        <v>293.33333333334781</v>
      </c>
      <c r="S177" s="59">
        <f ca="1">AVERAGE(OFFSET($R$3,0,0,'Données projet'!$E$9+1,1))-AVERAGE(OFFSET($H$3,0,0,'Données projet'!$E$9+1,1))</f>
        <v>490.7691633858222</v>
      </c>
      <c r="T177" s="59">
        <f t="shared" si="142"/>
        <v>490.82176582457072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0.7253208462601034</v>
      </c>
      <c r="AA177" s="21">
        <f>EXP(-LN(2)/25)*AA176+(1-EXP(-LN(2)/25))/(LN(2)/25)*Calculateur!V177*Calculateur!X177*VLOOKUP('Données projet'!$B$9,Paramètres!$A$1:$I$89,3,0)*0.475*44/12</f>
        <v>0.81686125674394483</v>
      </c>
      <c r="AB177" s="21">
        <f>EXP(-LN(2)/2)*AB176+(1-EXP(-LN(2)/2))/(LN(2)/2)*V177*Y177*VLOOKUP('Données projet'!$B$9,Paramètres!$A$1:$I$89,3,0)*0.475*44/12</f>
        <v>8.5177437321035491E-21</v>
      </c>
      <c r="AC177" s="22">
        <f t="shared" si="163"/>
        <v>1.5421821030040483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-5.3205440053716299E-14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165.03539937460289</v>
      </c>
      <c r="AO177" s="59">
        <f t="shared" si="144"/>
        <v>142.05625724497401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5.0078026413488276E-2</v>
      </c>
      <c r="AV177" s="21">
        <f>EXP(-LN(2)/25)*AV176+(1-EXP(-LN(2)/25))/(LN(2)/25)*Calculateur!AQ177*Calculateur!AS177*VLOOKUP('Données projet'!$B$10,Paramètres!$A$1:$I$89,3,0)*0.475*44/12</f>
        <v>8.8145568491355755E-2</v>
      </c>
      <c r="AW177" s="21">
        <f>EXP(-LN(2)/2)*AW176+(1-EXP(-LN(2)/2))/(LN(2)/2)*AQ177*AT177*VLOOKUP('Données projet'!$B$10,Paramètres!$A$1:$I$89,3,0)*0.475*44/12</f>
        <v>1.2946285539802961E-21</v>
      </c>
      <c r="AX177" s="21">
        <f t="shared" si="166"/>
        <v>0.13822359490484404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-7.9580786405131221E-13</v>
      </c>
      <c r="BE177" s="13">
        <f>BD177*VLOOKUP('Données projet'!$B$11,Paramètres!$A$1:$I$89,3,0)*VLOOKUP('Données projet'!$B$11,Paramètres!$A$1:$I$89,5,0)</f>
        <v>-3.8278358260868117E-13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402.22278907877927</v>
      </c>
      <c r="BJ177" s="59">
        <f t="shared" si="146"/>
        <v>393.06397734082458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1.6048338300025491</v>
      </c>
      <c r="BQ177" s="21">
        <f>EXP(-LN(2)/25)*BQ176+(1-EXP(-LN(2)/25))/(LN(2)/25)*Calculateur!BL177*Calculateur!BN177*VLOOKUP('Données projet'!$B$11,Paramètres!$A$1:$I$89,3,0)*0.475*44/12</f>
        <v>0.83205852085591769</v>
      </c>
      <c r="BR177" s="21">
        <f>EXP(-LN(2)/2)*BR176+(1-EXP(-LN(2)/2))/(LN(2)/2)*BL177*BO177*VLOOKUP('Données projet'!$B$11,Paramètres!$A$1:$I$89,3,0)*0.475*44/12</f>
        <v>1.8732634931277047E-19</v>
      </c>
      <c r="BS177" s="22">
        <f t="shared" si="169"/>
        <v>2.436892350858467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1.1368683772161603E-12</v>
      </c>
      <c r="O178" s="13">
        <f>N178*VLOOKUP('Données projet'!$B$9,Paramètres!$A$1:$I$89,3,0)*VLOOKUP('Données projet'!$B$9,Paramètres!$A$1:$I$89,5,0)</f>
        <v>6.3550942286383359E-13</v>
      </c>
      <c r="P178" s="13">
        <f t="shared" si="141"/>
        <v>7.6982260417614606E-12</v>
      </c>
      <c r="Q178" s="20">
        <f t="shared" si="162"/>
        <v>1.4514589267555721E-11</v>
      </c>
      <c r="R178" s="59">
        <f t="shared" si="109"/>
        <v>293.33333333334781</v>
      </c>
      <c r="S178" s="59">
        <f ca="1">AVERAGE(OFFSET($R$3,0,0,'Données projet'!$E$9+1,1))-AVERAGE(OFFSET($H$3,0,0,'Données projet'!$E$9+1,1))</f>
        <v>490.7691633858222</v>
      </c>
      <c r="T178" s="59">
        <f t="shared" si="142"/>
        <v>490.82176582457072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0.71109774686697547</v>
      </c>
      <c r="AA178" s="21">
        <f>EXP(-LN(2)/25)*AA177+(1-EXP(-LN(2)/25))/(LN(2)/25)*Calculateur!V178*Calculateur!X178*VLOOKUP('Données projet'!$B$9,Paramètres!$A$1:$I$89,3,0)*0.475*44/12</f>
        <v>0.79452414272141514</v>
      </c>
      <c r="AB178" s="21">
        <f>EXP(-LN(2)/2)*AB177+(1-EXP(-LN(2)/2))/(LN(2)/2)*V178*Y178*VLOOKUP('Données projet'!$B$9,Paramètres!$A$1:$I$89,3,0)*0.475*44/12</f>
        <v>6.0229543533796311E-21</v>
      </c>
      <c r="AC178" s="22">
        <f t="shared" si="163"/>
        <v>1.5056218895883906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-5.3205440053716299E-14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165.03539937460289</v>
      </c>
      <c r="AO178" s="59">
        <f t="shared" si="144"/>
        <v>142.05625724497401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4.9096026860099853E-2</v>
      </c>
      <c r="AV178" s="21">
        <f>EXP(-LN(2)/25)*AV177+(1-EXP(-LN(2)/25))/(LN(2)/25)*Calculateur!AQ178*Calculateur!AS178*VLOOKUP('Données projet'!$B$10,Paramètres!$A$1:$I$89,3,0)*0.475*44/12</f>
        <v>8.5735223285585638E-2</v>
      </c>
      <c r="AW178" s="21">
        <f>EXP(-LN(2)/2)*AW177+(1-EXP(-LN(2)/2))/(LN(2)/2)*AQ178*AT178*VLOOKUP('Données projet'!$B$10,Paramètres!$A$1:$I$89,3,0)*0.475*44/12</f>
        <v>9.1544062963720164E-22</v>
      </c>
      <c r="AX178" s="21">
        <f t="shared" si="166"/>
        <v>0.13483125014568548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-7.9580786405131221E-13</v>
      </c>
      <c r="BE178" s="13">
        <f>BD178*VLOOKUP('Données projet'!$B$11,Paramètres!$A$1:$I$89,3,0)*VLOOKUP('Données projet'!$B$11,Paramètres!$A$1:$I$89,5,0)</f>
        <v>-3.8278358260868117E-13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402.22278907877927</v>
      </c>
      <c r="BJ178" s="59">
        <f t="shared" si="146"/>
        <v>393.06397734082458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1.5733640174481818</v>
      </c>
      <c r="BQ178" s="21">
        <f>EXP(-LN(2)/25)*BQ177+(1-EXP(-LN(2)/25))/(LN(2)/25)*Calculateur!BL178*Calculateur!BN178*VLOOKUP('Données projet'!$B$11,Paramètres!$A$1:$I$89,3,0)*0.475*44/12</f>
        <v>0.8093058368470567</v>
      </c>
      <c r="BR178" s="21">
        <f>EXP(-LN(2)/2)*BR177+(1-EXP(-LN(2)/2))/(LN(2)/2)*BL178*BO178*VLOOKUP('Données projet'!$B$11,Paramètres!$A$1:$I$89,3,0)*0.475*44/12</f>
        <v>1.3245973189397995E-19</v>
      </c>
      <c r="BS178" s="22">
        <f t="shared" si="169"/>
        <v>2.3826698542952385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1.1368683772161603E-12</v>
      </c>
      <c r="O179" s="13">
        <f>N179*VLOOKUP('Données projet'!$B$9,Paramètres!$A$1:$I$89,3,0)*VLOOKUP('Données projet'!$B$9,Paramètres!$A$1:$I$89,5,0)</f>
        <v>6.3550942286383359E-13</v>
      </c>
      <c r="P179" s="13">
        <f t="shared" si="141"/>
        <v>7.6982260417614606E-12</v>
      </c>
      <c r="Q179" s="20">
        <f t="shared" si="162"/>
        <v>1.4514589267555721E-11</v>
      </c>
      <c r="R179" s="59">
        <f t="shared" si="109"/>
        <v>293.33333333334781</v>
      </c>
      <c r="S179" s="59">
        <f ca="1">AVERAGE(OFFSET($R$3,0,0,'Données projet'!$E$9+1,1))-AVERAGE(OFFSET($H$3,0,0,'Données projet'!$E$9+1,1))</f>
        <v>490.7691633858222</v>
      </c>
      <c r="T179" s="59">
        <f t="shared" si="142"/>
        <v>490.82176582457072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0.69715355377771271</v>
      </c>
      <c r="AA179" s="21">
        <f>EXP(-LN(2)/25)*AA178+(1-EXP(-LN(2)/25))/(LN(2)/25)*Calculateur!V179*Calculateur!X179*VLOOKUP('Données projet'!$B$9,Paramètres!$A$1:$I$89,3,0)*0.475*44/12</f>
        <v>0.77279783825648929</v>
      </c>
      <c r="AB179" s="21">
        <f>EXP(-LN(2)/2)*AB178+(1-EXP(-LN(2)/2))/(LN(2)/2)*V179*Y179*VLOOKUP('Données projet'!$B$9,Paramètres!$A$1:$I$89,3,0)*0.475*44/12</f>
        <v>4.2588718660517746E-21</v>
      </c>
      <c r="AC179" s="22">
        <f t="shared" si="163"/>
        <v>1.469951392034202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-5.3205440053716299E-14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165.03539937460289</v>
      </c>
      <c r="AO179" s="59">
        <f t="shared" si="144"/>
        <v>142.05625724497401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4.8133283718992795E-2</v>
      </c>
      <c r="AV179" s="21">
        <f>EXP(-LN(2)/25)*AV178+(1-EXP(-LN(2)/25))/(LN(2)/25)*Calculateur!AQ179*Calculateur!AS179*VLOOKUP('Données projet'!$B$10,Paramètres!$A$1:$I$89,3,0)*0.475*44/12</f>
        <v>8.3390789096221857E-2</v>
      </c>
      <c r="AW179" s="21">
        <f>EXP(-LN(2)/2)*AW178+(1-EXP(-LN(2)/2))/(LN(2)/2)*AQ179*AT179*VLOOKUP('Données projet'!$B$10,Paramètres!$A$1:$I$89,3,0)*0.475*44/12</f>
        <v>6.4731427699014805E-22</v>
      </c>
      <c r="AX179" s="21">
        <f t="shared" si="166"/>
        <v>0.13152407281521467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-7.9580786405131221E-13</v>
      </c>
      <c r="BE179" s="13">
        <f>BD179*VLOOKUP('Données projet'!$B$11,Paramètres!$A$1:$I$89,3,0)*VLOOKUP('Données projet'!$B$11,Paramètres!$A$1:$I$89,5,0)</f>
        <v>-3.8278358260868117E-13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402.22278907877927</v>
      </c>
      <c r="BJ179" s="59">
        <f t="shared" si="146"/>
        <v>393.06397734082458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1.5425113087233153</v>
      </c>
      <c r="BQ179" s="21">
        <f>EXP(-LN(2)/25)*BQ178+(1-EXP(-LN(2)/25))/(LN(2)/25)*Calculateur!BL179*Calculateur!BN179*VLOOKUP('Données projet'!$B$11,Paramètres!$A$1:$I$89,3,0)*0.475*44/12</f>
        <v>0.78717532617892971</v>
      </c>
      <c r="BR179" s="21">
        <f>EXP(-LN(2)/2)*BR178+(1-EXP(-LN(2)/2))/(LN(2)/2)*BL179*BO179*VLOOKUP('Données projet'!$B$11,Paramètres!$A$1:$I$89,3,0)*0.475*44/12</f>
        <v>9.3663174656385235E-20</v>
      </c>
      <c r="BS179" s="22">
        <f t="shared" si="169"/>
        <v>2.3296866349022451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1.1368683772161603E-12</v>
      </c>
      <c r="O180" s="13">
        <f>N180*VLOOKUP('Données projet'!$B$9,Paramètres!$A$1:$I$89,3,0)*VLOOKUP('Données projet'!$B$9,Paramètres!$A$1:$I$89,5,0)</f>
        <v>6.3550942286383359E-13</v>
      </c>
      <c r="P180" s="13">
        <f t="shared" si="141"/>
        <v>7.6982260417614606E-12</v>
      </c>
      <c r="Q180" s="20">
        <f t="shared" si="162"/>
        <v>1.4514589267555721E-11</v>
      </c>
      <c r="R180" s="59">
        <f t="shared" si="109"/>
        <v>293.33333333334781</v>
      </c>
      <c r="S180" s="59">
        <f ca="1">AVERAGE(OFFSET($R$3,0,0,'Données projet'!$E$9+1,1))-AVERAGE(OFFSET($H$3,0,0,'Données projet'!$E$9+1,1))</f>
        <v>490.7691633858222</v>
      </c>
      <c r="T180" s="59">
        <f t="shared" si="142"/>
        <v>490.82176582457072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0.68348279780981236</v>
      </c>
      <c r="AA180" s="21">
        <f>EXP(-LN(2)/25)*AA179+(1-EXP(-LN(2)/25))/(LN(2)/25)*Calculateur!V180*Calculateur!X180*VLOOKUP('Données projet'!$B$9,Paramètres!$A$1:$I$89,3,0)*0.475*44/12</f>
        <v>0.75166564072969355</v>
      </c>
      <c r="AB180" s="21">
        <f>EXP(-LN(2)/2)*AB179+(1-EXP(-LN(2)/2))/(LN(2)/2)*V180*Y180*VLOOKUP('Données projet'!$B$9,Paramètres!$A$1:$I$89,3,0)*0.475*44/12</f>
        <v>3.0114771766898156E-21</v>
      </c>
      <c r="AC180" s="22">
        <f t="shared" si="163"/>
        <v>1.4351484385395059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-5.3205440053716299E-14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165.03539937460289</v>
      </c>
      <c r="AO180" s="59">
        <f t="shared" si="144"/>
        <v>142.05625724497401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4.7189419383667511E-2</v>
      </c>
      <c r="AV180" s="21">
        <f>EXP(-LN(2)/25)*AV179+(1-EXP(-LN(2)/25))/(LN(2)/25)*Calculateur!AQ180*Calculateur!AS180*VLOOKUP('Données projet'!$B$10,Paramètres!$A$1:$I$89,3,0)*0.475*44/12</f>
        <v>8.1110463583054668E-2</v>
      </c>
      <c r="AW180" s="21">
        <f>EXP(-LN(2)/2)*AW179+(1-EXP(-LN(2)/2))/(LN(2)/2)*AQ180*AT180*VLOOKUP('Données projet'!$B$10,Paramètres!$A$1:$I$89,3,0)*0.475*44/12</f>
        <v>4.5772031481860082E-22</v>
      </c>
      <c r="AX180" s="21">
        <f t="shared" si="166"/>
        <v>0.12829988296672218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-7.9580786405131221E-13</v>
      </c>
      <c r="BE180" s="13">
        <f>BD180*VLOOKUP('Données projet'!$B$11,Paramètres!$A$1:$I$89,3,0)*VLOOKUP('Données projet'!$B$11,Paramètres!$A$1:$I$89,5,0)</f>
        <v>-3.8278358260868117E-13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402.22278907877927</v>
      </c>
      <c r="BJ180" s="59">
        <f t="shared" si="146"/>
        <v>393.06397734082458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1.5122636027982492</v>
      </c>
      <c r="BQ180" s="21">
        <f>EXP(-LN(2)/25)*BQ179+(1-EXP(-LN(2)/25))/(LN(2)/25)*Calculateur!BL180*Calculateur!BN180*VLOOKUP('Données projet'!$B$11,Paramètres!$A$1:$I$89,3,0)*0.475*44/12</f>
        <v>0.76564997548881564</v>
      </c>
      <c r="BR180" s="21">
        <f>EXP(-LN(2)/2)*BR179+(1-EXP(-LN(2)/2))/(LN(2)/2)*BL180*BO180*VLOOKUP('Données projet'!$B$11,Paramètres!$A$1:$I$89,3,0)*0.475*44/12</f>
        <v>6.6229865946989977E-20</v>
      </c>
      <c r="BS180" s="22">
        <f t="shared" si="169"/>
        <v>2.2779135782870648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1.1368683772161603E-12</v>
      </c>
      <c r="O181" s="13">
        <f>N181*VLOOKUP('Données projet'!$B$9,Paramètres!$A$1:$I$89,3,0)*VLOOKUP('Données projet'!$B$9,Paramètres!$A$1:$I$89,5,0)</f>
        <v>6.3550942286383359E-13</v>
      </c>
      <c r="P181" s="13">
        <f t="shared" si="141"/>
        <v>7.6982260417614606E-12</v>
      </c>
      <c r="Q181" s="20">
        <f t="shared" si="162"/>
        <v>1.4514589267555721E-11</v>
      </c>
      <c r="R181" s="59">
        <f t="shared" si="109"/>
        <v>293.33333333334781</v>
      </c>
      <c r="S181" s="59">
        <f ca="1">AVERAGE(OFFSET($R$3,0,0,'Données projet'!$E$9+1,1))-AVERAGE(OFFSET($H$3,0,0,'Données projet'!$E$9+1,1))</f>
        <v>490.7691633858222</v>
      </c>
      <c r="T181" s="59">
        <f t="shared" si="142"/>
        <v>490.82176582457072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0.67008011702810477</v>
      </c>
      <c r="AA181" s="21">
        <f>EXP(-LN(2)/25)*AA180+(1-EXP(-LN(2)/25))/(LN(2)/25)*Calculateur!V181*Calculateur!X181*VLOOKUP('Données projet'!$B$9,Paramètres!$A$1:$I$89,3,0)*0.475*44/12</f>
        <v>0.73111130425556203</v>
      </c>
      <c r="AB181" s="21">
        <f>EXP(-LN(2)/2)*AB180+(1-EXP(-LN(2)/2))/(LN(2)/2)*V181*Y181*VLOOKUP('Données projet'!$B$9,Paramètres!$A$1:$I$89,3,0)*0.475*44/12</f>
        <v>2.1294359330258873E-21</v>
      </c>
      <c r="AC181" s="22">
        <f t="shared" si="163"/>
        <v>1.4011914212836669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-5.3205440053716299E-14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165.03539937460289</v>
      </c>
      <c r="AO181" s="59">
        <f t="shared" si="144"/>
        <v>142.05625724497401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4.6264063652257562E-2</v>
      </c>
      <c r="AV181" s="21">
        <f>EXP(-LN(2)/25)*AV180+(1-EXP(-LN(2)/25))/(LN(2)/25)*Calculateur!AQ181*Calculateur!AS181*VLOOKUP('Données projet'!$B$10,Paramètres!$A$1:$I$89,3,0)*0.475*44/12</f>
        <v>7.8892493690962143E-2</v>
      </c>
      <c r="AW181" s="21">
        <f>EXP(-LN(2)/2)*AW180+(1-EXP(-LN(2)/2))/(LN(2)/2)*AQ181*AT181*VLOOKUP('Données projet'!$B$10,Paramètres!$A$1:$I$89,3,0)*0.475*44/12</f>
        <v>3.2365713849507402E-22</v>
      </c>
      <c r="AX181" s="21">
        <f t="shared" si="166"/>
        <v>0.1251565573432197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-7.9580786405131221E-13</v>
      </c>
      <c r="BE181" s="13">
        <f>BD181*VLOOKUP('Données projet'!$B$11,Paramètres!$A$1:$I$89,3,0)*VLOOKUP('Données projet'!$B$11,Paramètres!$A$1:$I$89,5,0)</f>
        <v>-3.8278358260868117E-13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402.22278907877927</v>
      </c>
      <c r="BJ181" s="59">
        <f t="shared" si="146"/>
        <v>393.06397734082458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1.4826090359370949</v>
      </c>
      <c r="BQ181" s="21">
        <f>EXP(-LN(2)/25)*BQ180+(1-EXP(-LN(2)/25))/(LN(2)/25)*Calculateur!BL181*Calculateur!BN181*VLOOKUP('Données projet'!$B$11,Paramètres!$A$1:$I$89,3,0)*0.475*44/12</f>
        <v>0.74471323664529165</v>
      </c>
      <c r="BR181" s="21">
        <f>EXP(-LN(2)/2)*BR180+(1-EXP(-LN(2)/2))/(LN(2)/2)*BL181*BO181*VLOOKUP('Données projet'!$B$11,Paramètres!$A$1:$I$89,3,0)*0.475*44/12</f>
        <v>4.6831587328192617E-20</v>
      </c>
      <c r="BS181" s="22">
        <f t="shared" si="169"/>
        <v>2.2273222725823865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1.1368683772161603E-12</v>
      </c>
      <c r="O182" s="13">
        <f>N182*VLOOKUP('Données projet'!$B$9,Paramètres!$A$1:$I$89,3,0)*VLOOKUP('Données projet'!$B$9,Paramètres!$A$1:$I$89,5,0)</f>
        <v>6.3550942286383359E-13</v>
      </c>
      <c r="P182" s="13">
        <f t="shared" si="141"/>
        <v>7.6982260417614606E-12</v>
      </c>
      <c r="Q182" s="20">
        <f t="shared" si="162"/>
        <v>1.4514589267555721E-11</v>
      </c>
      <c r="R182" s="59">
        <f t="shared" si="109"/>
        <v>293.33333333334781</v>
      </c>
      <c r="S182" s="59">
        <f ca="1">AVERAGE(OFFSET($R$3,0,0,'Données projet'!$E$9+1,1))-AVERAGE(OFFSET($H$3,0,0,'Données projet'!$E$9+1,1))</f>
        <v>490.7691633858222</v>
      </c>
      <c r="T182" s="59">
        <f t="shared" si="142"/>
        <v>490.82176582457072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0.65694025464169836</v>
      </c>
      <c r="AA182" s="21">
        <f>EXP(-LN(2)/25)*AA181+(1-EXP(-LN(2)/25))/(LN(2)/25)*Calculateur!V182*Calculateur!X182*VLOOKUP('Données projet'!$B$9,Paramètres!$A$1:$I$89,3,0)*0.475*44/12</f>
        <v>0.71111902719322118</v>
      </c>
      <c r="AB182" s="21">
        <f>EXP(-LN(2)/2)*AB181+(1-EXP(-LN(2)/2))/(LN(2)/2)*V182*Y182*VLOOKUP('Données projet'!$B$9,Paramètres!$A$1:$I$89,3,0)*0.475*44/12</f>
        <v>1.5057385883449078E-21</v>
      </c>
      <c r="AC182" s="22">
        <f t="shared" si="163"/>
        <v>1.3680592818349195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-5.3205440053716299E-14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165.03539937460289</v>
      </c>
      <c r="AO182" s="59">
        <f t="shared" si="144"/>
        <v>142.05625724497401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4.5356853582329291E-2</v>
      </c>
      <c r="AV182" s="21">
        <f>EXP(-LN(2)/25)*AV181+(1-EXP(-LN(2)/25))/(LN(2)/25)*Calculateur!AQ182*Calculateur!AS182*VLOOKUP('Données projet'!$B$10,Paramètres!$A$1:$I$89,3,0)*0.475*44/12</f>
        <v>7.6735174302206846E-2</v>
      </c>
      <c r="AW182" s="21">
        <f>EXP(-LN(2)/2)*AW181+(1-EXP(-LN(2)/2))/(LN(2)/2)*AQ182*AT182*VLOOKUP('Données projet'!$B$10,Paramètres!$A$1:$I$89,3,0)*0.475*44/12</f>
        <v>2.2886015740930041E-22</v>
      </c>
      <c r="AX182" s="21">
        <f t="shared" si="166"/>
        <v>0.12209202788453613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-7.9580786405131221E-13</v>
      </c>
      <c r="BE182" s="13">
        <f>BD182*VLOOKUP('Données projet'!$B$11,Paramètres!$A$1:$I$89,3,0)*VLOOKUP('Données projet'!$B$11,Paramètres!$A$1:$I$89,5,0)</f>
        <v>-3.8278358260868117E-13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402.22278907877927</v>
      </c>
      <c r="BJ182" s="59">
        <f t="shared" si="146"/>
        <v>393.06397734082458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1.4535359770445879</v>
      </c>
      <c r="BQ182" s="21">
        <f>EXP(-LN(2)/25)*BQ181+(1-EXP(-LN(2)/25))/(LN(2)/25)*Calculateur!BL182*Calculateur!BN182*VLOOKUP('Données projet'!$B$11,Paramètres!$A$1:$I$89,3,0)*0.475*44/12</f>
        <v>0.72434901402645913</v>
      </c>
      <c r="BR182" s="21">
        <f>EXP(-LN(2)/2)*BR181+(1-EXP(-LN(2)/2))/(LN(2)/2)*BL182*BO182*VLOOKUP('Données projet'!$B$11,Paramètres!$A$1:$I$89,3,0)*0.475*44/12</f>
        <v>3.3114932973494988E-20</v>
      </c>
      <c r="BS182" s="22">
        <f t="shared" si="169"/>
        <v>2.1778849910710472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1.1368683772161603E-12</v>
      </c>
      <c r="O183" s="13">
        <f>N183*VLOOKUP('Données projet'!$B$9,Paramètres!$A$1:$I$89,3,0)*VLOOKUP('Données projet'!$B$9,Paramètres!$A$1:$I$89,5,0)</f>
        <v>6.3550942286383359E-13</v>
      </c>
      <c r="P183" s="13">
        <f t="shared" si="141"/>
        <v>7.6982260417614606E-12</v>
      </c>
      <c r="Q183" s="20">
        <f t="shared" si="162"/>
        <v>1.4514589267555721E-11</v>
      </c>
      <c r="R183" s="59">
        <f t="shared" si="109"/>
        <v>293.33333333334781</v>
      </c>
      <c r="S183" s="59">
        <f ca="1">AVERAGE(OFFSET($R$3,0,0,'Données projet'!$E$9+1,1))-AVERAGE(OFFSET($H$3,0,0,'Données projet'!$E$9+1,1))</f>
        <v>490.7691633858222</v>
      </c>
      <c r="T183" s="59">
        <f t="shared" si="142"/>
        <v>490.82176582457072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0.64405805694216478</v>
      </c>
      <c r="AA183" s="21">
        <f>EXP(-LN(2)/25)*AA182+(1-EXP(-LN(2)/25))/(LN(2)/25)*Calculateur!V183*Calculateur!X183*VLOOKUP('Données projet'!$B$9,Paramètres!$A$1:$I$89,3,0)*0.475*44/12</f>
        <v>0.69167343999849817</v>
      </c>
      <c r="AB183" s="21">
        <f>EXP(-LN(2)/2)*AB182+(1-EXP(-LN(2)/2))/(LN(2)/2)*V183*Y183*VLOOKUP('Données projet'!$B$9,Paramètres!$A$1:$I$89,3,0)*0.475*44/12</f>
        <v>1.0647179665129436E-21</v>
      </c>
      <c r="AC183" s="22">
        <f t="shared" si="163"/>
        <v>1.3357314969406628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-5.3205440053716299E-14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165.03539937460289</v>
      </c>
      <c r="AO183" s="59">
        <f t="shared" si="144"/>
        <v>142.05625724497401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4.4467433348528811E-2</v>
      </c>
      <c r="AV183" s="21">
        <f>EXP(-LN(2)/25)*AV182+(1-EXP(-LN(2)/25))/(LN(2)/25)*Calculateur!AQ183*Calculateur!AS183*VLOOKUP('Données projet'!$B$10,Paramètres!$A$1:$I$89,3,0)*0.475*44/12</f>
        <v>7.4636846925585559E-2</v>
      </c>
      <c r="AW183" s="21">
        <f>EXP(-LN(2)/2)*AW182+(1-EXP(-LN(2)/2))/(LN(2)/2)*AQ183*AT183*VLOOKUP('Données projet'!$B$10,Paramètres!$A$1:$I$89,3,0)*0.475*44/12</f>
        <v>1.6182856924753701E-22</v>
      </c>
      <c r="AX183" s="21">
        <f t="shared" si="166"/>
        <v>0.11910428027411438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-7.9580786405131221E-13</v>
      </c>
      <c r="BE183" s="13">
        <f>BD183*VLOOKUP('Données projet'!$B$11,Paramètres!$A$1:$I$89,3,0)*VLOOKUP('Données projet'!$B$11,Paramètres!$A$1:$I$89,5,0)</f>
        <v>-3.8278358260868117E-13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402.22278907877927</v>
      </c>
      <c r="BJ183" s="59">
        <f t="shared" si="146"/>
        <v>393.06397734082458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1.4250330231041481</v>
      </c>
      <c r="BQ183" s="21">
        <f>EXP(-LN(2)/25)*BQ182+(1-EXP(-LN(2)/25))/(LN(2)/25)*Calculateur!BL183*Calculateur!BN183*VLOOKUP('Données projet'!$B$11,Paramètres!$A$1:$I$89,3,0)*0.475*44/12</f>
        <v>0.70454165214604647</v>
      </c>
      <c r="BR183" s="21">
        <f>EXP(-LN(2)/2)*BR182+(1-EXP(-LN(2)/2))/(LN(2)/2)*BL183*BO183*VLOOKUP('Données projet'!$B$11,Paramètres!$A$1:$I$89,3,0)*0.475*44/12</f>
        <v>2.3415793664096309E-20</v>
      </c>
      <c r="BS183" s="22">
        <f t="shared" si="169"/>
        <v>2.1295746752501947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1.1368683772161603E-12</v>
      </c>
      <c r="O184" s="13">
        <f>N184*VLOOKUP('Données projet'!$B$9,Paramètres!$A$1:$I$89,3,0)*VLOOKUP('Données projet'!$B$9,Paramètres!$A$1:$I$89,5,0)</f>
        <v>6.3550942286383359E-13</v>
      </c>
      <c r="P184" s="13">
        <f t="shared" si="141"/>
        <v>7.6982260417614606E-12</v>
      </c>
      <c r="Q184" s="20">
        <f t="shared" si="162"/>
        <v>1.4514589267555721E-11</v>
      </c>
      <c r="R184" s="59">
        <f t="shared" si="109"/>
        <v>293.33333333334781</v>
      </c>
      <c r="S184" s="59">
        <f ca="1">AVERAGE(OFFSET($R$3,0,0,'Données projet'!$E$9+1,1))-AVERAGE(OFFSET($H$3,0,0,'Données projet'!$E$9+1,1))</f>
        <v>490.7691633858222</v>
      </c>
      <c r="T184" s="59">
        <f t="shared" si="142"/>
        <v>490.82176582457072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0.63142847128215429</v>
      </c>
      <c r="AA184" s="21">
        <f>EXP(-LN(2)/25)*AA183+(1-EXP(-LN(2)/25))/(LN(2)/25)*Calculateur!V184*Calculateur!X184*VLOOKUP('Données projet'!$B$9,Paramètres!$A$1:$I$89,3,0)*0.475*44/12</f>
        <v>0.6727595934082139</v>
      </c>
      <c r="AB184" s="21">
        <f>EXP(-LN(2)/2)*AB183+(1-EXP(-LN(2)/2))/(LN(2)/2)*V184*Y184*VLOOKUP('Données projet'!$B$9,Paramètres!$A$1:$I$89,3,0)*0.475*44/12</f>
        <v>7.5286929417245389E-22</v>
      </c>
      <c r="AC184" s="22">
        <f t="shared" si="163"/>
        <v>1.3041880646903681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-5.3205440053716299E-14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165.03539937460289</v>
      </c>
      <c r="AO184" s="59">
        <f t="shared" si="144"/>
        <v>142.05625724497401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4.3595454103020383E-2</v>
      </c>
      <c r="AV184" s="21">
        <f>EXP(-LN(2)/25)*AV183+(1-EXP(-LN(2)/25))/(LN(2)/25)*Calculateur!AQ184*Calculateur!AS184*VLOOKUP('Données projet'!$B$10,Paramètres!$A$1:$I$89,3,0)*0.475*44/12</f>
        <v>7.2595898421424221E-2</v>
      </c>
      <c r="AW184" s="21">
        <f>EXP(-LN(2)/2)*AW183+(1-EXP(-LN(2)/2))/(LN(2)/2)*AQ184*AT184*VLOOKUP('Données projet'!$B$10,Paramètres!$A$1:$I$89,3,0)*0.475*44/12</f>
        <v>1.1443007870465021E-22</v>
      </c>
      <c r="AX184" s="21">
        <f t="shared" si="166"/>
        <v>0.1161913525244446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-7.9580786405131221E-13</v>
      </c>
      <c r="BE184" s="13">
        <f>BD184*VLOOKUP('Données projet'!$B$11,Paramètres!$A$1:$I$89,3,0)*VLOOKUP('Données projet'!$B$11,Paramètres!$A$1:$I$89,5,0)</f>
        <v>-3.8278358260868117E-13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402.22278907877927</v>
      </c>
      <c r="BJ184" s="59">
        <f t="shared" si="146"/>
        <v>393.06397734082458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1.397088994705395</v>
      </c>
      <c r="BQ184" s="21">
        <f>EXP(-LN(2)/25)*BQ183+(1-EXP(-LN(2)/25))/(LN(2)/25)*Calculateur!BL184*Calculateur!BN184*VLOOKUP('Données projet'!$B$11,Paramètres!$A$1:$I$89,3,0)*0.475*44/12</f>
        <v>0.68527592361787759</v>
      </c>
      <c r="BR184" s="21">
        <f>EXP(-LN(2)/2)*BR183+(1-EXP(-LN(2)/2))/(LN(2)/2)*BL184*BO184*VLOOKUP('Données projet'!$B$11,Paramètres!$A$1:$I$89,3,0)*0.475*44/12</f>
        <v>1.6557466486747494E-20</v>
      </c>
      <c r="BS184" s="22">
        <f t="shared" si="169"/>
        <v>2.0823649183232726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1.1368683772161603E-12</v>
      </c>
      <c r="O185" s="13">
        <f>N185*VLOOKUP('Données projet'!$B$9,Paramètres!$A$1:$I$89,3,0)*VLOOKUP('Données projet'!$B$9,Paramètres!$A$1:$I$89,5,0)</f>
        <v>6.3550942286383359E-13</v>
      </c>
      <c r="P185" s="13">
        <f t="shared" si="141"/>
        <v>7.6982260417614606E-12</v>
      </c>
      <c r="Q185" s="20">
        <f t="shared" si="162"/>
        <v>1.4514589267555721E-11</v>
      </c>
      <c r="R185" s="59">
        <f t="shared" si="109"/>
        <v>293.33333333334781</v>
      </c>
      <c r="S185" s="59">
        <f ca="1">AVERAGE(OFFSET($R$3,0,0,'Données projet'!$E$9+1,1))-AVERAGE(OFFSET($H$3,0,0,'Données projet'!$E$9+1,1))</f>
        <v>490.7691633858222</v>
      </c>
      <c r="T185" s="59">
        <f t="shared" si="142"/>
        <v>490.82176582457072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0.61904654409365001</v>
      </c>
      <c r="AA185" s="21">
        <f>EXP(-LN(2)/25)*AA184+(1-EXP(-LN(2)/25))/(LN(2)/25)*Calculateur!V185*Calculateur!X185*VLOOKUP('Données projet'!$B$9,Paramètres!$A$1:$I$89,3,0)*0.475*44/12</f>
        <v>0.65436294694757691</v>
      </c>
      <c r="AB185" s="21">
        <f>EXP(-LN(2)/2)*AB184+(1-EXP(-LN(2)/2))/(LN(2)/2)*V185*Y185*VLOOKUP('Données projet'!$B$9,Paramètres!$A$1:$I$89,3,0)*0.475*44/12</f>
        <v>5.3235898325647182E-22</v>
      </c>
      <c r="AC185" s="22">
        <f t="shared" si="163"/>
        <v>1.2734094910412268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-5.3205440053716299E-14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165.03539937460289</v>
      </c>
      <c r="AO185" s="59">
        <f t="shared" si="144"/>
        <v>142.05625724497401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4.2740573838661554E-2</v>
      </c>
      <c r="AV185" s="21">
        <f>EXP(-LN(2)/25)*AV184+(1-EXP(-LN(2)/25))/(LN(2)/25)*Calculateur!AQ185*Calculateur!AS185*VLOOKUP('Données projet'!$B$10,Paramètres!$A$1:$I$89,3,0)*0.475*44/12</f>
        <v>7.0610759761437991E-2</v>
      </c>
      <c r="AW185" s="21">
        <f>EXP(-LN(2)/2)*AW184+(1-EXP(-LN(2)/2))/(LN(2)/2)*AQ185*AT185*VLOOKUP('Données projet'!$B$10,Paramètres!$A$1:$I$89,3,0)*0.475*44/12</f>
        <v>8.0914284623768506E-23</v>
      </c>
      <c r="AX185" s="21">
        <f t="shared" si="166"/>
        <v>0.11335133360009955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-7.9580786405131221E-13</v>
      </c>
      <c r="BE185" s="13">
        <f>BD185*VLOOKUP('Données projet'!$B$11,Paramètres!$A$1:$I$89,3,0)*VLOOKUP('Données projet'!$B$11,Paramètres!$A$1:$I$89,5,0)</f>
        <v>-3.8278358260868117E-13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402.22278907877927</v>
      </c>
      <c r="BJ185" s="59">
        <f t="shared" si="146"/>
        <v>393.06397734082458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1.3696929316593671</v>
      </c>
      <c r="BQ185" s="21">
        <f>EXP(-LN(2)/25)*BQ184+(1-EXP(-LN(2)/25))/(LN(2)/25)*Calculateur!BL185*Calculateur!BN185*VLOOKUP('Données projet'!$B$11,Paramètres!$A$1:$I$89,3,0)*0.475*44/12</f>
        <v>0.66653701744945215</v>
      </c>
      <c r="BR185" s="21">
        <f>EXP(-LN(2)/2)*BR184+(1-EXP(-LN(2)/2))/(LN(2)/2)*BL185*BO185*VLOOKUP('Données projet'!$B$11,Paramètres!$A$1:$I$89,3,0)*0.475*44/12</f>
        <v>1.1707896832048154E-20</v>
      </c>
      <c r="BS185" s="22">
        <f t="shared" si="169"/>
        <v>2.0362299491088192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1.1368683772161603E-12</v>
      </c>
      <c r="O186" s="13">
        <f>N186*VLOOKUP('Données projet'!$B$9,Paramètres!$A$1:$I$89,3,0)*VLOOKUP('Données projet'!$B$9,Paramètres!$A$1:$I$89,5,0)</f>
        <v>6.3550942286383359E-13</v>
      </c>
      <c r="P186" s="13">
        <f t="shared" si="141"/>
        <v>7.6982260417614606E-12</v>
      </c>
      <c r="Q186" s="20">
        <f t="shared" si="162"/>
        <v>1.4514589267555721E-11</v>
      </c>
      <c r="R186" s="59">
        <f t="shared" si="109"/>
        <v>293.33333333334781</v>
      </c>
      <c r="S186" s="59">
        <f ca="1">AVERAGE(OFFSET($R$3,0,0,'Données projet'!$E$9+1,1))-AVERAGE(OFFSET($H$3,0,0,'Données projet'!$E$9+1,1))</f>
        <v>490.7691633858222</v>
      </c>
      <c r="T186" s="59">
        <f t="shared" si="142"/>
        <v>490.82176582457072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0.60690741894508238</v>
      </c>
      <c r="AA186" s="21">
        <f>EXP(-LN(2)/25)*AA185+(1-EXP(-LN(2)/25))/(LN(2)/25)*Calculateur!V186*Calculateur!X186*VLOOKUP('Données projet'!$B$9,Paramètres!$A$1:$I$89,3,0)*0.475*44/12</f>
        <v>0.63646935775184366</v>
      </c>
      <c r="AB186" s="21">
        <f>EXP(-LN(2)/2)*AB185+(1-EXP(-LN(2)/2))/(LN(2)/2)*V186*Y186*VLOOKUP('Données projet'!$B$9,Paramètres!$A$1:$I$89,3,0)*0.475*44/12</f>
        <v>3.7643464708622694E-22</v>
      </c>
      <c r="AC186" s="22">
        <f t="shared" si="163"/>
        <v>1.2433767766969259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-5.3205440053716299E-14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165.03539937460289</v>
      </c>
      <c r="AO186" s="59">
        <f t="shared" si="144"/>
        <v>142.05625724497401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4.1902457254861324E-2</v>
      </c>
      <c r="AV186" s="21">
        <f>EXP(-LN(2)/25)*AV185+(1-EXP(-LN(2)/25))/(LN(2)/25)*Calculateur!AQ186*Calculateur!AS186*VLOOKUP('Données projet'!$B$10,Paramètres!$A$1:$I$89,3,0)*0.475*44/12</f>
        <v>6.8679904822502996E-2</v>
      </c>
      <c r="AW186" s="21">
        <f>EXP(-LN(2)/2)*AW185+(1-EXP(-LN(2)/2))/(LN(2)/2)*AQ186*AT186*VLOOKUP('Données projet'!$B$10,Paramètres!$A$1:$I$89,3,0)*0.475*44/12</f>
        <v>5.7215039352325103E-23</v>
      </c>
      <c r="AX186" s="21">
        <f t="shared" si="166"/>
        <v>0.11058236207736433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-7.9580786405131221E-13</v>
      </c>
      <c r="BE186" s="13">
        <f>BD186*VLOOKUP('Données projet'!$B$11,Paramètres!$A$1:$I$89,3,0)*VLOOKUP('Données projet'!$B$11,Paramètres!$A$1:$I$89,5,0)</f>
        <v>-3.8278358260868117E-13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402.22278907877927</v>
      </c>
      <c r="BJ186" s="59">
        <f t="shared" si="146"/>
        <v>393.06397734082458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1.3428340886997234</v>
      </c>
      <c r="BQ186" s="21">
        <f>EXP(-LN(2)/25)*BQ185+(1-EXP(-LN(2)/25))/(LN(2)/25)*Calculateur!BL186*Calculateur!BN186*VLOOKUP('Données projet'!$B$11,Paramètres!$A$1:$I$89,3,0)*0.475*44/12</f>
        <v>0.64831052765563857</v>
      </c>
      <c r="BR186" s="21">
        <f>EXP(-LN(2)/2)*BR185+(1-EXP(-LN(2)/2))/(LN(2)/2)*BL186*BO186*VLOOKUP('Données projet'!$B$11,Paramètres!$A$1:$I$89,3,0)*0.475*44/12</f>
        <v>8.2787332433737471E-21</v>
      </c>
      <c r="BS186" s="22">
        <f t="shared" si="169"/>
        <v>1.9911446163553621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1.1368683772161603E-12</v>
      </c>
      <c r="O187" s="13">
        <f>N187*VLOOKUP('Données projet'!$B$9,Paramètres!$A$1:$I$89,3,0)*VLOOKUP('Données projet'!$B$9,Paramètres!$A$1:$I$89,5,0)</f>
        <v>6.3550942286383359E-13</v>
      </c>
      <c r="P187" s="13">
        <f t="shared" si="141"/>
        <v>7.6982260417614606E-12</v>
      </c>
      <c r="Q187" s="20">
        <f t="shared" si="162"/>
        <v>1.4514589267555721E-11</v>
      </c>
      <c r="R187" s="59">
        <f t="shared" si="109"/>
        <v>293.33333333334781</v>
      </c>
      <c r="S187" s="59">
        <f ca="1">AVERAGE(OFFSET($R$3,0,0,'Données projet'!$E$9+1,1))-AVERAGE(OFFSET($H$3,0,0,'Données projet'!$E$9+1,1))</f>
        <v>490.7691633858222</v>
      </c>
      <c r="T187" s="59">
        <f t="shared" si="142"/>
        <v>490.82176582457072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0.59500633463654296</v>
      </c>
      <c r="AA187" s="21">
        <f>EXP(-LN(2)/25)*AA186+(1-EXP(-LN(2)/25))/(LN(2)/25)*Calculateur!V187*Calculateur!X187*VLOOKUP('Données projet'!$B$9,Paramètres!$A$1:$I$89,3,0)*0.475*44/12</f>
        <v>0.6190650696936506</v>
      </c>
      <c r="AB187" s="21">
        <f>EXP(-LN(2)/2)*AB186+(1-EXP(-LN(2)/2))/(LN(2)/2)*V187*Y187*VLOOKUP('Données projet'!$B$9,Paramètres!$A$1:$I$89,3,0)*0.475*44/12</f>
        <v>2.6617949162823591E-22</v>
      </c>
      <c r="AC187" s="22">
        <f t="shared" si="163"/>
        <v>1.2140714043301934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-5.3205440053716299E-14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165.03539937460289</v>
      </c>
      <c r="AO187" s="59">
        <f t="shared" si="144"/>
        <v>142.05625724497401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4.108077562606878E-2</v>
      </c>
      <c r="AV187" s="21">
        <f>EXP(-LN(2)/25)*AV186+(1-EXP(-LN(2)/25))/(LN(2)/25)*Calculateur!AQ187*Calculateur!AS187*VLOOKUP('Données projet'!$B$10,Paramètres!$A$1:$I$89,3,0)*0.475*44/12</f>
        <v>6.6801849213412423E-2</v>
      </c>
      <c r="AW187" s="21">
        <f>EXP(-LN(2)/2)*AW186+(1-EXP(-LN(2)/2))/(LN(2)/2)*AQ187*AT187*VLOOKUP('Données projet'!$B$10,Paramètres!$A$1:$I$89,3,0)*0.475*44/12</f>
        <v>4.0457142311884253E-23</v>
      </c>
      <c r="AX187" s="21">
        <f t="shared" si="166"/>
        <v>0.1078826248394812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-7.9580786405131221E-13</v>
      </c>
      <c r="BE187" s="13">
        <f>BD187*VLOOKUP('Données projet'!$B$11,Paramètres!$A$1:$I$89,3,0)*VLOOKUP('Données projet'!$B$11,Paramètres!$A$1:$I$89,5,0)</f>
        <v>-3.8278358260868117E-13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402.22278907877927</v>
      </c>
      <c r="BJ187" s="59">
        <f t="shared" si="146"/>
        <v>393.06397734082458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1.3165019312682418</v>
      </c>
      <c r="BQ187" s="21">
        <f>EXP(-LN(2)/25)*BQ186+(1-EXP(-LN(2)/25))/(LN(2)/25)*Calculateur!BL187*Calculateur!BN187*VLOOKUP('Données projet'!$B$11,Paramètres!$A$1:$I$89,3,0)*0.475*44/12</f>
        <v>0.63058244218372617</v>
      </c>
      <c r="BR187" s="21">
        <f>EXP(-LN(2)/2)*BR186+(1-EXP(-LN(2)/2))/(LN(2)/2)*BL187*BO187*VLOOKUP('Données projet'!$B$11,Paramètres!$A$1:$I$89,3,0)*0.475*44/12</f>
        <v>5.8539484160240772E-21</v>
      </c>
      <c r="BS187" s="22">
        <f t="shared" si="169"/>
        <v>1.9470843734519678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1.1368683772161603E-12</v>
      </c>
      <c r="O188" s="13">
        <f>N188*VLOOKUP('Données projet'!$B$9,Paramètres!$A$1:$I$89,3,0)*VLOOKUP('Données projet'!$B$9,Paramètres!$A$1:$I$89,5,0)</f>
        <v>6.3550942286383359E-13</v>
      </c>
      <c r="P188" s="13">
        <f t="shared" si="141"/>
        <v>7.6982260417614606E-12</v>
      </c>
      <c r="Q188" s="20">
        <f t="shared" si="162"/>
        <v>1.4514589267555721E-11</v>
      </c>
      <c r="R188" s="59">
        <f t="shared" si="109"/>
        <v>293.33333333334781</v>
      </c>
      <c r="S188" s="59">
        <f ca="1">AVERAGE(OFFSET($R$3,0,0,'Données projet'!$E$9+1,1))-AVERAGE(OFFSET($H$3,0,0,'Données projet'!$E$9+1,1))</f>
        <v>490.7691633858222</v>
      </c>
      <c r="T188" s="59">
        <f t="shared" si="142"/>
        <v>490.82176582457072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0.58333862333234932</v>
      </c>
      <c r="AA188" s="21">
        <f>EXP(-LN(2)/25)*AA187+(1-EXP(-LN(2)/25))/(LN(2)/25)*Calculateur!V188*Calculateur!X188*VLOOKUP('Données projet'!$B$9,Paramètres!$A$1:$I$89,3,0)*0.475*44/12</f>
        <v>0.60213670280766063</v>
      </c>
      <c r="AB188" s="21">
        <f>EXP(-LN(2)/2)*AB187+(1-EXP(-LN(2)/2))/(LN(2)/2)*V188*Y188*VLOOKUP('Données projet'!$B$9,Paramètres!$A$1:$I$89,3,0)*0.475*44/12</f>
        <v>1.8821732354311347E-22</v>
      </c>
      <c r="AC188" s="22">
        <f t="shared" si="163"/>
        <v>1.1854753261400099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-5.3205440053716299E-14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165.03539937460289</v>
      </c>
      <c r="AO188" s="59">
        <f t="shared" si="144"/>
        <v>142.05625724497401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4.0275206672840548E-2</v>
      </c>
      <c r="AV188" s="21">
        <f>EXP(-LN(2)/25)*AV187+(1-EXP(-LN(2)/25))/(LN(2)/25)*Calculateur!AQ188*Calculateur!AS188*VLOOKUP('Données projet'!$B$10,Paramètres!$A$1:$I$89,3,0)*0.475*44/12</f>
        <v>6.497514913371509E-2</v>
      </c>
      <c r="AW188" s="21">
        <f>EXP(-LN(2)/2)*AW187+(1-EXP(-LN(2)/2))/(LN(2)/2)*AQ188*AT188*VLOOKUP('Données projet'!$B$10,Paramètres!$A$1:$I$89,3,0)*0.475*44/12</f>
        <v>2.8607519676162551E-23</v>
      </c>
      <c r="AX188" s="21">
        <f t="shared" si="166"/>
        <v>0.10525035580655565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-7.9580786405131221E-13</v>
      </c>
      <c r="BE188" s="13">
        <f>BD188*VLOOKUP('Données projet'!$B$11,Paramètres!$A$1:$I$89,3,0)*VLOOKUP('Données projet'!$B$11,Paramètres!$A$1:$I$89,5,0)</f>
        <v>-3.8278358260868117E-13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402.22278907877927</v>
      </c>
      <c r="BJ188" s="59">
        <f t="shared" si="146"/>
        <v>393.06397734082458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1.2906861313829612</v>
      </c>
      <c r="BQ188" s="21">
        <f>EXP(-LN(2)/25)*BQ187+(1-EXP(-LN(2)/25))/(LN(2)/25)*Calculateur!BL188*Calculateur!BN188*VLOOKUP('Données projet'!$B$11,Paramètres!$A$1:$I$89,3,0)*0.475*44/12</f>
        <v>0.61333913214132274</v>
      </c>
      <c r="BR188" s="21">
        <f>EXP(-LN(2)/2)*BR187+(1-EXP(-LN(2)/2))/(LN(2)/2)*BL188*BO188*VLOOKUP('Données projet'!$B$11,Paramètres!$A$1:$I$89,3,0)*0.475*44/12</f>
        <v>4.1393666216868735E-21</v>
      </c>
      <c r="BS188" s="22">
        <f t="shared" si="169"/>
        <v>1.904025263524284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1.1368683772161603E-12</v>
      </c>
      <c r="O189" s="13">
        <f>N189*VLOOKUP('Données projet'!$B$9,Paramètres!$A$1:$I$89,3,0)*VLOOKUP('Données projet'!$B$9,Paramètres!$A$1:$I$89,5,0)</f>
        <v>6.3550942286383359E-13</v>
      </c>
      <c r="P189" s="13">
        <f t="shared" si="141"/>
        <v>7.6982260417614606E-12</v>
      </c>
      <c r="Q189" s="20">
        <f t="shared" si="162"/>
        <v>1.4514589267555721E-11</v>
      </c>
      <c r="R189" s="59">
        <f t="shared" si="109"/>
        <v>293.33333333334781</v>
      </c>
      <c r="S189" s="59">
        <f ca="1">AVERAGE(OFFSET($R$3,0,0,'Données projet'!$E$9+1,1))-AVERAGE(OFFSET($H$3,0,0,'Données projet'!$E$9+1,1))</f>
        <v>490.7691633858222</v>
      </c>
      <c r="T189" s="59">
        <f t="shared" si="142"/>
        <v>490.82176582457072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0.57189970873022966</v>
      </c>
      <c r="AA189" s="21">
        <f>EXP(-LN(2)/25)*AA188+(1-EXP(-LN(2)/25))/(LN(2)/25)*Calculateur!V189*Calculateur!X189*VLOOKUP('Données projet'!$B$9,Paramètres!$A$1:$I$89,3,0)*0.475*44/12</f>
        <v>0.58567124300439211</v>
      </c>
      <c r="AB189" s="21">
        <f>EXP(-LN(2)/2)*AB188+(1-EXP(-LN(2)/2))/(LN(2)/2)*V189*Y189*VLOOKUP('Données projet'!$B$9,Paramètres!$A$1:$I$89,3,0)*0.475*44/12</f>
        <v>1.3308974581411796E-22</v>
      </c>
      <c r="AC189" s="22">
        <f t="shared" si="163"/>
        <v>1.1575709517346218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-5.3205440053716299E-14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165.03539937460289</v>
      </c>
      <c r="AO189" s="59">
        <f t="shared" si="144"/>
        <v>142.05625724497401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3.9485434435436575E-2</v>
      </c>
      <c r="AV189" s="21">
        <f>EXP(-LN(2)/25)*AV188+(1-EXP(-LN(2)/25))/(LN(2)/25)*Calculateur!AQ189*Calculateur!AS189*VLOOKUP('Données projet'!$B$10,Paramètres!$A$1:$I$89,3,0)*0.475*44/12</f>
        <v>6.3198400263759058E-2</v>
      </c>
      <c r="AW189" s="21">
        <f>EXP(-LN(2)/2)*AW188+(1-EXP(-LN(2)/2))/(LN(2)/2)*AQ189*AT189*VLOOKUP('Données projet'!$B$10,Paramètres!$A$1:$I$89,3,0)*0.475*44/12</f>
        <v>2.0228571155942126E-23</v>
      </c>
      <c r="AX189" s="21">
        <f t="shared" si="166"/>
        <v>0.10268383469919563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-7.9580786405131221E-13</v>
      </c>
      <c r="BE189" s="13">
        <f>BD189*VLOOKUP('Données projet'!$B$11,Paramètres!$A$1:$I$89,3,0)*VLOOKUP('Données projet'!$B$11,Paramètres!$A$1:$I$89,5,0)</f>
        <v>-3.8278358260868117E-13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402.22278907877927</v>
      </c>
      <c r="BJ189" s="59">
        <f t="shared" si="146"/>
        <v>393.06397734082458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1.265376563587348</v>
      </c>
      <c r="BQ189" s="21">
        <f>EXP(-LN(2)/25)*BQ188+(1-EXP(-LN(2)/25))/(LN(2)/25)*Calculateur!BL189*Calculateur!BN189*VLOOKUP('Données projet'!$B$11,Paramètres!$A$1:$I$89,3,0)*0.475*44/12</f>
        <v>0.59656734131881517</v>
      </c>
      <c r="BR189" s="21">
        <f>EXP(-LN(2)/2)*BR188+(1-EXP(-LN(2)/2))/(LN(2)/2)*BL189*BO189*VLOOKUP('Données projet'!$B$11,Paramètres!$A$1:$I$89,3,0)*0.475*44/12</f>
        <v>2.9269742080120386E-21</v>
      </c>
      <c r="BS189" s="22">
        <f t="shared" si="169"/>
        <v>1.861943904906163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1.1368683772161603E-12</v>
      </c>
      <c r="O190" s="13">
        <f>N190*VLOOKUP('Données projet'!$B$9,Paramètres!$A$1:$I$89,3,0)*VLOOKUP('Données projet'!$B$9,Paramètres!$A$1:$I$89,5,0)</f>
        <v>6.3550942286383359E-13</v>
      </c>
      <c r="P190" s="13">
        <f t="shared" si="141"/>
        <v>7.6982260417614606E-12</v>
      </c>
      <c r="Q190" s="20">
        <f t="shared" si="162"/>
        <v>1.4514589267555721E-11</v>
      </c>
      <c r="R190" s="59">
        <f t="shared" si="109"/>
        <v>293.33333333334781</v>
      </c>
      <c r="S190" s="59">
        <f ca="1">AVERAGE(OFFSET($R$3,0,0,'Données projet'!$E$9+1,1))-AVERAGE(OFFSET($H$3,0,0,'Données projet'!$E$9+1,1))</f>
        <v>490.7691633858222</v>
      </c>
      <c r="T190" s="59">
        <f t="shared" si="142"/>
        <v>490.82176582457072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0.56068510426640861</v>
      </c>
      <c r="AA190" s="21">
        <f>EXP(-LN(2)/25)*AA189+(1-EXP(-LN(2)/25))/(LN(2)/25)*Calculateur!V190*Calculateur!X190*VLOOKUP('Données projet'!$B$9,Paramètres!$A$1:$I$89,3,0)*0.475*44/12</f>
        <v>0.56965603206532489</v>
      </c>
      <c r="AB190" s="21">
        <f>EXP(-LN(2)/2)*AB189+(1-EXP(-LN(2)/2))/(LN(2)/2)*V190*Y190*VLOOKUP('Données projet'!$B$9,Paramètres!$A$1:$I$89,3,0)*0.475*44/12</f>
        <v>9.4108661771556736E-23</v>
      </c>
      <c r="AC190" s="22">
        <f t="shared" si="163"/>
        <v>1.1303411363317335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-5.3205440053716299E-14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165.03539937460289</v>
      </c>
      <c r="AO190" s="59">
        <f t="shared" si="144"/>
        <v>142.05625724497401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3.8711149149894597E-2</v>
      </c>
      <c r="AV190" s="21">
        <f>EXP(-LN(2)/25)*AV189+(1-EXP(-LN(2)/25))/(LN(2)/25)*Calculateur!AQ190*Calculateur!AS190*VLOOKUP('Données projet'!$B$10,Paramètres!$A$1:$I$89,3,0)*0.475*44/12</f>
        <v>6.1470236685087137E-2</v>
      </c>
      <c r="AW190" s="21">
        <f>EXP(-LN(2)/2)*AW189+(1-EXP(-LN(2)/2))/(LN(2)/2)*AQ190*AT190*VLOOKUP('Données projet'!$B$10,Paramètres!$A$1:$I$89,3,0)*0.475*44/12</f>
        <v>1.4303759838081276E-23</v>
      </c>
      <c r="AX190" s="21">
        <f t="shared" si="166"/>
        <v>0.10018138583498173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-7.9580786405131221E-13</v>
      </c>
      <c r="BE190" s="13">
        <f>BD190*VLOOKUP('Données projet'!$B$11,Paramètres!$A$1:$I$89,3,0)*VLOOKUP('Données projet'!$B$11,Paramètres!$A$1:$I$89,5,0)</f>
        <v>-3.8278358260868117E-13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402.22278907877927</v>
      </c>
      <c r="BJ190" s="59">
        <f t="shared" si="146"/>
        <v>393.06397734082458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1.2405633009788946</v>
      </c>
      <c r="BQ190" s="21">
        <f>EXP(-LN(2)/25)*BQ189+(1-EXP(-LN(2)/25))/(LN(2)/25)*Calculateur!BL190*Calculateur!BN190*VLOOKUP('Données projet'!$B$11,Paramètres!$A$1:$I$89,3,0)*0.475*44/12</f>
        <v>0.58025417599833917</v>
      </c>
      <c r="BR190" s="21">
        <f>EXP(-LN(2)/2)*BR189+(1-EXP(-LN(2)/2))/(LN(2)/2)*BL190*BO190*VLOOKUP('Données projet'!$B$11,Paramètres!$A$1:$I$89,3,0)*0.475*44/12</f>
        <v>2.0696833108434368E-21</v>
      </c>
      <c r="BS190" s="22">
        <f t="shared" si="169"/>
        <v>1.8208174769772336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1.1368683772161603E-12</v>
      </c>
      <c r="O191" s="13">
        <f>N191*VLOOKUP('Données projet'!$B$9,Paramètres!$A$1:$I$89,3,0)*VLOOKUP('Données projet'!$B$9,Paramètres!$A$1:$I$89,5,0)</f>
        <v>6.3550942286383359E-13</v>
      </c>
      <c r="P191" s="13">
        <f t="shared" si="141"/>
        <v>7.6982260417614606E-12</v>
      </c>
      <c r="Q191" s="20">
        <f t="shared" si="162"/>
        <v>1.4514589267555721E-11</v>
      </c>
      <c r="R191" s="59">
        <f t="shared" si="109"/>
        <v>293.33333333334781</v>
      </c>
      <c r="S191" s="59">
        <f ca="1">AVERAGE(OFFSET($R$3,0,0,'Données projet'!$E$9+1,1))-AVERAGE(OFFSET($H$3,0,0,'Données projet'!$E$9+1,1))</f>
        <v>490.7691633858222</v>
      </c>
      <c r="T191" s="59">
        <f t="shared" si="142"/>
        <v>490.82176582457072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0.54969041135588981</v>
      </c>
      <c r="AA191" s="21">
        <f>EXP(-LN(2)/25)*AA190+(1-EXP(-LN(2)/25))/(LN(2)/25)*Calculateur!V191*Calculateur!X191*VLOOKUP('Données projet'!$B$9,Paramètres!$A$1:$I$89,3,0)*0.475*44/12</f>
        <v>0.55407875791158978</v>
      </c>
      <c r="AB191" s="21">
        <f>EXP(-LN(2)/2)*AB190+(1-EXP(-LN(2)/2))/(LN(2)/2)*V191*Y191*VLOOKUP('Données projet'!$B$9,Paramètres!$A$1:$I$89,3,0)*0.475*44/12</f>
        <v>6.6544872907058978E-23</v>
      </c>
      <c r="AC191" s="22">
        <f t="shared" si="163"/>
        <v>1.1037691692674796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-5.3205440053716299E-14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165.03539937460289</v>
      </c>
      <c r="AO191" s="59">
        <f t="shared" si="144"/>
        <v>142.05625724497401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3.7952047126534709E-2</v>
      </c>
      <c r="AV191" s="21">
        <f>EXP(-LN(2)/25)*AV190+(1-EXP(-LN(2)/25))/(LN(2)/25)*Calculateur!AQ191*Calculateur!AS191*VLOOKUP('Données projet'!$B$10,Paramètres!$A$1:$I$89,3,0)*0.475*44/12</f>
        <v>5.9789329830354176E-2</v>
      </c>
      <c r="AW191" s="21">
        <f>EXP(-LN(2)/2)*AW190+(1-EXP(-LN(2)/2))/(LN(2)/2)*AQ191*AT191*VLOOKUP('Données projet'!$B$10,Paramètres!$A$1:$I$89,3,0)*0.475*44/12</f>
        <v>1.0114285577971063E-23</v>
      </c>
      <c r="AX191" s="21">
        <f t="shared" si="166"/>
        <v>9.7741376956888892E-2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-7.9580786405131221E-13</v>
      </c>
      <c r="BE191" s="13">
        <f>BD191*VLOOKUP('Données projet'!$B$11,Paramètres!$A$1:$I$89,3,0)*VLOOKUP('Données projet'!$B$11,Paramètres!$A$1:$I$89,5,0)</f>
        <v>-3.8278358260868117E-13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402.22278907877927</v>
      </c>
      <c r="BJ191" s="59">
        <f t="shared" si="146"/>
        <v>393.06397734082458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1.2162366113155971</v>
      </c>
      <c r="BQ191" s="21">
        <f>EXP(-LN(2)/25)*BQ190+(1-EXP(-LN(2)/25))/(LN(2)/25)*Calculateur!BL191*Calculateur!BN191*VLOOKUP('Données projet'!$B$11,Paramètres!$A$1:$I$89,3,0)*0.475*44/12</f>
        <v>0.5643870950414237</v>
      </c>
      <c r="BR191" s="21">
        <f>EXP(-LN(2)/2)*BR190+(1-EXP(-LN(2)/2))/(LN(2)/2)*BL191*BO191*VLOOKUP('Données projet'!$B$11,Paramètres!$A$1:$I$89,3,0)*0.475*44/12</f>
        <v>1.4634871040060193E-21</v>
      </c>
      <c r="BS191" s="22">
        <f t="shared" si="169"/>
        <v>1.7806237063570207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1.1368683772161603E-12</v>
      </c>
      <c r="O192" s="13">
        <f>N192*VLOOKUP('Données projet'!$B$9,Paramètres!$A$1:$I$89,3,0)*VLOOKUP('Données projet'!$B$9,Paramètres!$A$1:$I$89,5,0)</f>
        <v>6.3550942286383359E-13</v>
      </c>
      <c r="P192" s="13">
        <f t="shared" si="141"/>
        <v>7.6982260417614606E-12</v>
      </c>
      <c r="Q192" s="20">
        <f t="shared" si="162"/>
        <v>1.4514589267555721E-11</v>
      </c>
      <c r="R192" s="59">
        <f t="shared" si="109"/>
        <v>293.33333333334781</v>
      </c>
      <c r="S192" s="59">
        <f ca="1">AVERAGE(OFFSET($R$3,0,0,'Données projet'!$E$9+1,1))-AVERAGE(OFFSET($H$3,0,0,'Données projet'!$E$9+1,1))</f>
        <v>490.7691633858222</v>
      </c>
      <c r="T192" s="59">
        <f t="shared" si="142"/>
        <v>490.82176582457072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0.53891131766724576</v>
      </c>
      <c r="AA192" s="21">
        <f>EXP(-LN(2)/25)*AA191+(1-EXP(-LN(2)/25))/(LN(2)/25)*Calculateur!V192*Calculateur!X192*VLOOKUP('Données projet'!$B$9,Paramètres!$A$1:$I$89,3,0)*0.475*44/12</f>
        <v>0.5389274451387619</v>
      </c>
      <c r="AB192" s="21">
        <f>EXP(-LN(2)/2)*AB191+(1-EXP(-LN(2)/2))/(LN(2)/2)*V192*Y192*VLOOKUP('Données projet'!$B$9,Paramètres!$A$1:$I$89,3,0)*0.475*44/12</f>
        <v>4.7054330885778368E-23</v>
      </c>
      <c r="AC192" s="22">
        <f t="shared" si="163"/>
        <v>1.0778387628060075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-5.3205440053716299E-14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165.03539937460289</v>
      </c>
      <c r="AO192" s="59">
        <f t="shared" si="144"/>
        <v>142.05625724497401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3.7207830630846386E-2</v>
      </c>
      <c r="AV192" s="21">
        <f>EXP(-LN(2)/25)*AV191+(1-EXP(-LN(2)/25))/(LN(2)/25)*Calculateur!AQ192*Calculateur!AS192*VLOOKUP('Données projet'!$B$10,Paramètres!$A$1:$I$89,3,0)*0.475*44/12</f>
        <v>5.8154387461958938E-2</v>
      </c>
      <c r="AW192" s="21">
        <f>EXP(-LN(2)/2)*AW191+(1-EXP(-LN(2)/2))/(LN(2)/2)*AQ192*AT192*VLOOKUP('Données projet'!$B$10,Paramètres!$A$1:$I$89,3,0)*0.475*44/12</f>
        <v>7.1518799190406378E-24</v>
      </c>
      <c r="AX192" s="21">
        <f t="shared" si="166"/>
        <v>9.5362218092805318E-2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-7.9580786405131221E-13</v>
      </c>
      <c r="BE192" s="13">
        <f>BD192*VLOOKUP('Données projet'!$B$11,Paramètres!$A$1:$I$89,3,0)*VLOOKUP('Données projet'!$B$11,Paramètres!$A$1:$I$89,5,0)</f>
        <v>-3.8278358260868117E-13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402.22278907877927</v>
      </c>
      <c r="BJ192" s="59">
        <f t="shared" si="146"/>
        <v>393.06397734082458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1.1923869531987814</v>
      </c>
      <c r="BQ192" s="21">
        <f>EXP(-LN(2)/25)*BQ191+(1-EXP(-LN(2)/25))/(LN(2)/25)*Calculateur!BL192*Calculateur!BN192*VLOOKUP('Données projet'!$B$11,Paramètres!$A$1:$I$89,3,0)*0.475*44/12</f>
        <v>0.54895390024768853</v>
      </c>
      <c r="BR192" s="21">
        <f>EXP(-LN(2)/2)*BR191+(1-EXP(-LN(2)/2))/(LN(2)/2)*BL192*BO192*VLOOKUP('Données projet'!$B$11,Paramètres!$A$1:$I$89,3,0)*0.475*44/12</f>
        <v>1.0348416554217184E-21</v>
      </c>
      <c r="BS192" s="22">
        <f t="shared" si="169"/>
        <v>1.74134085344647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1.1368683772161603E-12</v>
      </c>
      <c r="O193" s="13">
        <f>N193*VLOOKUP('Données projet'!$B$9,Paramètres!$A$1:$I$89,3,0)*VLOOKUP('Données projet'!$B$9,Paramètres!$A$1:$I$89,5,0)</f>
        <v>6.3550942286383359E-13</v>
      </c>
      <c r="P193" s="13">
        <f t="shared" si="141"/>
        <v>7.6982260417614606E-12</v>
      </c>
      <c r="Q193" s="20">
        <f t="shared" si="162"/>
        <v>1.4514589267555721E-11</v>
      </c>
      <c r="R193" s="59">
        <f t="shared" si="109"/>
        <v>293.33333333334781</v>
      </c>
      <c r="S193" s="59">
        <f ca="1">AVERAGE(OFFSET($R$3,0,0,'Données projet'!$E$9+1,1))-AVERAGE(OFFSET($H$3,0,0,'Données projet'!$E$9+1,1))</f>
        <v>490.7691633858222</v>
      </c>
      <c r="T193" s="59">
        <f t="shared" si="142"/>
        <v>490.82176582457072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0.5283435954312381</v>
      </c>
      <c r="AA193" s="21">
        <f>EXP(-LN(2)/25)*AA192+(1-EXP(-LN(2)/25))/(LN(2)/25)*Calculateur!V193*Calculateur!X193*VLOOKUP('Données projet'!$B$9,Paramètres!$A$1:$I$89,3,0)*0.475*44/12</f>
        <v>0.5241904458104798</v>
      </c>
      <c r="AB193" s="21">
        <f>EXP(-LN(2)/2)*AB192+(1-EXP(-LN(2)/2))/(LN(2)/2)*V193*Y193*VLOOKUP('Données projet'!$B$9,Paramètres!$A$1:$I$89,3,0)*0.475*44/12</f>
        <v>3.3272436453529489E-23</v>
      </c>
      <c r="AC193" s="22">
        <f t="shared" si="163"/>
        <v>1.0525340412417179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-5.3205440053716299E-14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165.03539937460289</v>
      </c>
      <c r="AO193" s="59">
        <f t="shared" si="144"/>
        <v>142.05625724497401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3.6478207766711276E-2</v>
      </c>
      <c r="AV193" s="21">
        <f>EXP(-LN(2)/25)*AV192+(1-EXP(-LN(2)/25))/(LN(2)/25)*Calculateur!AQ193*Calculateur!AS193*VLOOKUP('Données projet'!$B$10,Paramètres!$A$1:$I$89,3,0)*0.475*44/12</f>
        <v>5.6564152678605345E-2</v>
      </c>
      <c r="AW193" s="21">
        <f>EXP(-LN(2)/2)*AW192+(1-EXP(-LN(2)/2))/(LN(2)/2)*AQ193*AT193*VLOOKUP('Données projet'!$B$10,Paramètres!$A$1:$I$89,3,0)*0.475*44/12</f>
        <v>5.0571427889855316E-24</v>
      </c>
      <c r="AX193" s="21">
        <f t="shared" si="166"/>
        <v>9.3042360445316621E-2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-7.9580786405131221E-13</v>
      </c>
      <c r="BE193" s="13">
        <f>BD193*VLOOKUP('Données projet'!$B$11,Paramètres!$A$1:$I$89,3,0)*VLOOKUP('Données projet'!$B$11,Paramètres!$A$1:$I$89,5,0)</f>
        <v>-3.8278358260868117E-13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402.22278907877927</v>
      </c>
      <c r="BJ193" s="59">
        <f t="shared" si="146"/>
        <v>393.06397734082458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1.1690049723307814</v>
      </c>
      <c r="BQ193" s="21">
        <f>EXP(-LN(2)/25)*BQ192+(1-EXP(-LN(2)/25))/(LN(2)/25)*Calculateur!BL193*Calculateur!BN193*VLOOKUP('Données projet'!$B$11,Paramètres!$A$1:$I$89,3,0)*0.475*44/12</f>
        <v>0.53394272697718448</v>
      </c>
      <c r="BR193" s="21">
        <f>EXP(-LN(2)/2)*BR192+(1-EXP(-LN(2)/2))/(LN(2)/2)*BL193*BO193*VLOOKUP('Données projet'!$B$11,Paramètres!$A$1:$I$89,3,0)*0.475*44/12</f>
        <v>7.3174355200300965E-22</v>
      </c>
      <c r="BS193" s="22">
        <f t="shared" si="169"/>
        <v>1.7029476993079657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1.1368683772161603E-12</v>
      </c>
      <c r="O194" s="13">
        <f>N194*VLOOKUP('Données projet'!$B$9,Paramètres!$A$1:$I$89,3,0)*VLOOKUP('Données projet'!$B$9,Paramètres!$A$1:$I$89,5,0)</f>
        <v>6.3550942286383359E-13</v>
      </c>
      <c r="P194" s="13">
        <f t="shared" si="141"/>
        <v>7.6982260417614606E-12</v>
      </c>
      <c r="Q194" s="20">
        <f t="shared" si="162"/>
        <v>1.4514589267555721E-11</v>
      </c>
      <c r="R194" s="59">
        <f t="shared" si="109"/>
        <v>293.33333333334781</v>
      </c>
      <c r="S194" s="59">
        <f ca="1">AVERAGE(OFFSET($R$3,0,0,'Données projet'!$E$9+1,1))-AVERAGE(OFFSET($H$3,0,0,'Données projet'!$E$9+1,1))</f>
        <v>490.7691633858222</v>
      </c>
      <c r="T194" s="59">
        <f t="shared" si="142"/>
        <v>490.82176582457072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0.51798309978260437</v>
      </c>
      <c r="AA194" s="21">
        <f>EXP(-LN(2)/25)*AA193+(1-EXP(-LN(2)/25))/(LN(2)/25)*Calculateur!V194*Calculateur!X194*VLOOKUP('Données projet'!$B$9,Paramètres!$A$1:$I$89,3,0)*0.475*44/12</f>
        <v>0.50985643050381468</v>
      </c>
      <c r="AB194" s="21">
        <f>EXP(-LN(2)/2)*AB193+(1-EXP(-LN(2)/2))/(LN(2)/2)*V194*Y194*VLOOKUP('Données projet'!$B$9,Paramètres!$A$1:$I$89,3,0)*0.475*44/12</f>
        <v>2.3527165442889184E-23</v>
      </c>
      <c r="AC194" s="22">
        <f t="shared" si="163"/>
        <v>1.0278395302864189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-5.3205440053716299E-14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165.03539937460289</v>
      </c>
      <c r="AO194" s="59">
        <f t="shared" si="144"/>
        <v>142.05625724497401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3.5762892361915849E-2</v>
      </c>
      <c r="AV194" s="21">
        <f>EXP(-LN(2)/25)*AV193+(1-EXP(-LN(2)/25))/(LN(2)/25)*Calculateur!AQ194*Calculateur!AS194*VLOOKUP('Données projet'!$B$10,Paramètres!$A$1:$I$89,3,0)*0.475*44/12</f>
        <v>5.5017402949029369E-2</v>
      </c>
      <c r="AW194" s="21">
        <f>EXP(-LN(2)/2)*AW193+(1-EXP(-LN(2)/2))/(LN(2)/2)*AQ194*AT194*VLOOKUP('Données projet'!$B$10,Paramètres!$A$1:$I$89,3,0)*0.475*44/12</f>
        <v>3.5759399595203189E-24</v>
      </c>
      <c r="AX194" s="21">
        <f t="shared" si="166"/>
        <v>9.0780295310945225E-2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-7.9580786405131221E-13</v>
      </c>
      <c r="BE194" s="13">
        <f>BD194*VLOOKUP('Données projet'!$B$11,Paramètres!$A$1:$I$89,3,0)*VLOOKUP('Données projet'!$B$11,Paramètres!$A$1:$I$89,5,0)</f>
        <v>-3.8278358260868117E-13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402.22278907877927</v>
      </c>
      <c r="BJ194" s="59">
        <f t="shared" si="146"/>
        <v>393.06397734082458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1.1460814978460028</v>
      </c>
      <c r="BQ194" s="21">
        <f>EXP(-LN(2)/25)*BQ193+(1-EXP(-LN(2)/25))/(LN(2)/25)*Calculateur!BL194*Calculateur!BN194*VLOOKUP('Données projet'!$B$11,Paramètres!$A$1:$I$89,3,0)*0.475*44/12</f>
        <v>0.51934203502916565</v>
      </c>
      <c r="BR194" s="21">
        <f>EXP(-LN(2)/2)*BR193+(1-EXP(-LN(2)/2))/(LN(2)/2)*BL194*BO194*VLOOKUP('Données projet'!$B$11,Paramètres!$A$1:$I$89,3,0)*0.475*44/12</f>
        <v>5.1742082771085919E-22</v>
      </c>
      <c r="BS194" s="22">
        <f t="shared" si="169"/>
        <v>1.6654235328751685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1.1368683772161603E-12</v>
      </c>
      <c r="O195" s="13">
        <f>N195*VLOOKUP('Données projet'!$B$9,Paramètres!$A$1:$I$89,3,0)*VLOOKUP('Données projet'!$B$9,Paramètres!$A$1:$I$89,5,0)</f>
        <v>6.3550942286383359E-13</v>
      </c>
      <c r="P195" s="13">
        <f t="shared" si="141"/>
        <v>7.6982260417614606E-12</v>
      </c>
      <c r="Q195" s="20">
        <f t="shared" si="162"/>
        <v>1.4514589267555721E-11</v>
      </c>
      <c r="R195" s="59">
        <f t="shared" ref="R195:R203" si="191">Q195+(I195+J195)*44/12</f>
        <v>293.33333333334781</v>
      </c>
      <c r="S195" s="59">
        <f ca="1">AVERAGE(OFFSET($R$3,0,0,'Données projet'!$E$9+1,1))-AVERAGE(OFFSET($H$3,0,0,'Données projet'!$E$9+1,1))</f>
        <v>490.7691633858222</v>
      </c>
      <c r="T195" s="59">
        <f t="shared" si="142"/>
        <v>490.82176582457072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0.507825767134362</v>
      </c>
      <c r="AA195" s="21">
        <f>EXP(-LN(2)/25)*AA194+(1-EXP(-LN(2)/25))/(LN(2)/25)*Calculateur!V195*Calculateur!X195*VLOOKUP('Données projet'!$B$9,Paramètres!$A$1:$I$89,3,0)*0.475*44/12</f>
        <v>0.49591437959950346</v>
      </c>
      <c r="AB195" s="21">
        <f>EXP(-LN(2)/2)*AB194+(1-EXP(-LN(2)/2))/(LN(2)/2)*V195*Y195*VLOOKUP('Données projet'!$B$9,Paramètres!$A$1:$I$89,3,0)*0.475*44/12</f>
        <v>1.6636218226764744E-23</v>
      </c>
      <c r="AC195" s="22">
        <f t="shared" si="163"/>
        <v>1.0037401467338656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-5.3205440053716299E-14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165.03539937460289</v>
      </c>
      <c r="AO195" s="59">
        <f t="shared" si="144"/>
        <v>142.05625724497401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3.5061603855909146E-2</v>
      </c>
      <c r="AV195" s="21">
        <f>EXP(-LN(2)/25)*AV194+(1-EXP(-LN(2)/25))/(LN(2)/25)*Calculateur!AQ195*Calculateur!AS195*VLOOKUP('Données projet'!$B$10,Paramètres!$A$1:$I$89,3,0)*0.475*44/12</f>
        <v>5.3512949172148681E-2</v>
      </c>
      <c r="AW195" s="21">
        <f>EXP(-LN(2)/2)*AW194+(1-EXP(-LN(2)/2))/(LN(2)/2)*AQ195*AT195*VLOOKUP('Données projet'!$B$10,Paramètres!$A$1:$I$89,3,0)*0.475*44/12</f>
        <v>2.5285713944927658E-24</v>
      </c>
      <c r="AX195" s="21">
        <f t="shared" si="166"/>
        <v>8.8574553028057834E-2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-7.9580786405131221E-13</v>
      </c>
      <c r="BE195" s="13">
        <f>BD195*VLOOKUP('Données projet'!$B$11,Paramètres!$A$1:$I$89,3,0)*VLOOKUP('Données projet'!$B$11,Paramètres!$A$1:$I$89,5,0)</f>
        <v>-3.8278358260868117E-13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402.22278907877927</v>
      </c>
      <c r="BJ195" s="59">
        <f t="shared" si="146"/>
        <v>393.06397734082458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1.1236075387139317</v>
      </c>
      <c r="BQ195" s="21">
        <f>EXP(-LN(2)/25)*BQ194+(1-EXP(-LN(2)/25))/(LN(2)/25)*Calculateur!BL195*Calculateur!BN195*VLOOKUP('Données projet'!$B$11,Paramètres!$A$1:$I$89,3,0)*0.475*44/12</f>
        <v>0.50514059977028247</v>
      </c>
      <c r="BR195" s="21">
        <f>EXP(-LN(2)/2)*BR194+(1-EXP(-LN(2)/2))/(LN(2)/2)*BL195*BO195*VLOOKUP('Données projet'!$B$11,Paramètres!$A$1:$I$89,3,0)*0.475*44/12</f>
        <v>3.6587177600150482E-22</v>
      </c>
      <c r="BS195" s="22">
        <f t="shared" si="169"/>
        <v>1.6287481384842142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1.1368683772161603E-12</v>
      </c>
      <c r="O196" s="13">
        <f>N196*VLOOKUP('Données projet'!$B$9,Paramètres!$A$1:$I$89,3,0)*VLOOKUP('Données projet'!$B$9,Paramètres!$A$1:$I$89,5,0)</f>
        <v>6.3550942286383359E-13</v>
      </c>
      <c r="P196" s="13">
        <f t="shared" si="141"/>
        <v>7.6982260417614606E-12</v>
      </c>
      <c r="Q196" s="20">
        <f t="shared" si="162"/>
        <v>1.4514589267555721E-11</v>
      </c>
      <c r="R196" s="59">
        <f t="shared" si="191"/>
        <v>293.33333333334781</v>
      </c>
      <c r="S196" s="59">
        <f ca="1">AVERAGE(OFFSET($R$3,0,0,'Données projet'!$E$9+1,1))-AVERAGE(OFFSET($H$3,0,0,'Données projet'!$E$9+1,1))</f>
        <v>490.7691633858222</v>
      </c>
      <c r="T196" s="59">
        <f t="shared" si="142"/>
        <v>490.82176582457072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0.49786761358399051</v>
      </c>
      <c r="AA196" s="21">
        <f>EXP(-LN(2)/25)*AA195+(1-EXP(-LN(2)/25))/(LN(2)/25)*Calculateur!V196*Calculateur!X196*VLOOKUP('Données projet'!$B$9,Paramètres!$A$1:$I$89,3,0)*0.475*44/12</f>
        <v>0.48235357481035124</v>
      </c>
      <c r="AB196" s="21">
        <f>EXP(-LN(2)/2)*AB195+(1-EXP(-LN(2)/2))/(LN(2)/2)*V196*Y196*VLOOKUP('Données projet'!$B$9,Paramètres!$A$1:$I$89,3,0)*0.475*44/12</f>
        <v>1.1763582721444592E-23</v>
      </c>
      <c r="AC196" s="22">
        <f t="shared" si="163"/>
        <v>0.98022118839434169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-5.3205440053716299E-14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165.03539937460289</v>
      </c>
      <c r="AO196" s="59">
        <f t="shared" si="144"/>
        <v>142.05625724497401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3.4374067189761479E-2</v>
      </c>
      <c r="AV196" s="21">
        <f>EXP(-LN(2)/25)*AV195+(1-EXP(-LN(2)/25))/(LN(2)/25)*Calculateur!AQ196*Calculateur!AS196*VLOOKUP('Données projet'!$B$10,Paramètres!$A$1:$I$89,3,0)*0.475*44/12</f>
        <v>5.2049634762912585E-2</v>
      </c>
      <c r="AW196" s="21">
        <f>EXP(-LN(2)/2)*AW195+(1-EXP(-LN(2)/2))/(LN(2)/2)*AQ196*AT196*VLOOKUP('Données projet'!$B$10,Paramètres!$A$1:$I$89,3,0)*0.475*44/12</f>
        <v>1.7879699797601595E-24</v>
      </c>
      <c r="AX196" s="21">
        <f t="shared" si="166"/>
        <v>8.642370195267407E-2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-7.9580786405131221E-13</v>
      </c>
      <c r="BE196" s="13">
        <f>BD196*VLOOKUP('Données projet'!$B$11,Paramètres!$A$1:$I$89,3,0)*VLOOKUP('Données projet'!$B$11,Paramètres!$A$1:$I$89,5,0)</f>
        <v>-3.8278358260868117E-13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402.22278907877927</v>
      </c>
      <c r="BJ196" s="59">
        <f t="shared" si="146"/>
        <v>393.06397734082458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1.1015742802126791</v>
      </c>
      <c r="BQ196" s="21">
        <f>EXP(-LN(2)/25)*BQ195+(1-EXP(-LN(2)/25))/(LN(2)/25)*Calculateur!BL196*Calculateur!BN196*VLOOKUP('Données projet'!$B$11,Paramètres!$A$1:$I$89,3,0)*0.475*44/12</f>
        <v>0.49132750350537446</v>
      </c>
      <c r="BR196" s="21">
        <f>EXP(-LN(2)/2)*BR195+(1-EXP(-LN(2)/2))/(LN(2)/2)*BL196*BO196*VLOOKUP('Données projet'!$B$11,Paramètres!$A$1:$I$89,3,0)*0.475*44/12</f>
        <v>2.587104138554296E-22</v>
      </c>
      <c r="BS196" s="22">
        <f t="shared" si="169"/>
        <v>1.5929017837180535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1.1368683772161603E-12</v>
      </c>
      <c r="O197" s="13">
        <f>N197*VLOOKUP('Données projet'!$B$9,Paramètres!$A$1:$I$89,3,0)*VLOOKUP('Données projet'!$B$9,Paramètres!$A$1:$I$89,5,0)</f>
        <v>6.3550942286383359E-13</v>
      </c>
      <c r="P197" s="13">
        <f t="shared" ref="P197:P203" si="203">EXP(-1.0587+0.8836*LN(O197)+0.284)</f>
        <v>7.6982260417614606E-12</v>
      </c>
      <c r="Q197" s="20">
        <f t="shared" si="162"/>
        <v>1.4514589267555721E-11</v>
      </c>
      <c r="R197" s="59">
        <f t="shared" si="191"/>
        <v>293.33333333334781</v>
      </c>
      <c r="S197" s="59">
        <f ca="1">AVERAGE(OFFSET($R$3,0,0,'Données projet'!$E$9+1,1))-AVERAGE(OFFSET($H$3,0,0,'Données projet'!$E$9+1,1))</f>
        <v>490.7691633858222</v>
      </c>
      <c r="T197" s="59">
        <f t="shared" ref="T197:T203" si="204">$T$3</f>
        <v>490.82176582457072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0.4881047333508679</v>
      </c>
      <c r="AA197" s="21">
        <f>EXP(-LN(2)/25)*AA196+(1-EXP(-LN(2)/25))/(LN(2)/25)*Calculateur!V197*Calculateur!X197*VLOOKUP('Données projet'!$B$9,Paramètres!$A$1:$I$89,3,0)*0.475*44/12</f>
        <v>0.46916359094129012</v>
      </c>
      <c r="AB197" s="21">
        <f>EXP(-LN(2)/2)*AB196+(1-EXP(-LN(2)/2))/(LN(2)/2)*V197*Y197*VLOOKUP('Données projet'!$B$9,Paramètres!$A$1:$I$89,3,0)*0.475*44/12</f>
        <v>8.3181091133823722E-24</v>
      </c>
      <c r="AC197" s="22">
        <f t="shared" si="163"/>
        <v>0.95726832429215802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-5.3205440053716299E-14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165.03539937460289</v>
      </c>
      <c r="AO197" s="59">
        <f t="shared" ref="AO197:AO203" si="205">$AO$3</f>
        <v>142.05625724497401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3.3700012698281011E-2</v>
      </c>
      <c r="AV197" s="21">
        <f>EXP(-LN(2)/25)*AV196+(1-EXP(-LN(2)/25))/(LN(2)/25)*Calculateur!AQ197*Calculateur!AS197*VLOOKUP('Données projet'!$B$10,Paramètres!$A$1:$I$89,3,0)*0.475*44/12</f>
        <v>5.0626334763149407E-2</v>
      </c>
      <c r="AW197" s="21">
        <f>EXP(-LN(2)/2)*AW196+(1-EXP(-LN(2)/2))/(LN(2)/2)*AQ197*AT197*VLOOKUP('Données projet'!$B$10,Paramètres!$A$1:$I$89,3,0)*0.475*44/12</f>
        <v>1.2642856972463829E-24</v>
      </c>
      <c r="AX197" s="21">
        <f t="shared" si="166"/>
        <v>8.4326347461430418E-2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-7.9580786405131221E-13</v>
      </c>
      <c r="BE197" s="13">
        <f>BD197*VLOOKUP('Données projet'!$B$11,Paramètres!$A$1:$I$89,3,0)*VLOOKUP('Données projet'!$B$11,Paramètres!$A$1:$I$89,5,0)</f>
        <v>-3.8278358260868117E-13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402.22278907877927</v>
      </c>
      <c r="BJ197" s="59">
        <f t="shared" ref="BJ197:BJ203" si="206">$BJ$3</f>
        <v>393.06397734082458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1.0799730804716754</v>
      </c>
      <c r="BQ197" s="21">
        <f>EXP(-LN(2)/25)*BQ196+(1-EXP(-LN(2)/25))/(LN(2)/25)*Calculateur!BL197*Calculateur!BN197*VLOOKUP('Données projet'!$B$11,Paramètres!$A$1:$I$89,3,0)*0.475*44/12</f>
        <v>0.47789212708422951</v>
      </c>
      <c r="BR197" s="21">
        <f>EXP(-LN(2)/2)*BR196+(1-EXP(-LN(2)/2))/(LN(2)/2)*BL197*BO197*VLOOKUP('Données projet'!$B$11,Paramètres!$A$1:$I$89,3,0)*0.475*44/12</f>
        <v>1.8293588800075241E-22</v>
      </c>
      <c r="BS197" s="22">
        <f t="shared" si="169"/>
        <v>1.557865207555905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1.1368683772161603E-12</v>
      </c>
      <c r="O198" s="13">
        <f>N198*VLOOKUP('Données projet'!$B$9,Paramètres!$A$1:$I$89,3,0)*VLOOKUP('Données projet'!$B$9,Paramètres!$A$1:$I$89,5,0)</f>
        <v>6.3550942286383359E-13</v>
      </c>
      <c r="P198" s="13">
        <f t="shared" si="203"/>
        <v>7.6982260417614606E-12</v>
      </c>
      <c r="Q198" s="20">
        <f t="shared" si="162"/>
        <v>1.4514589267555721E-11</v>
      </c>
      <c r="R198" s="59">
        <f t="shared" si="191"/>
        <v>293.33333333334781</v>
      </c>
      <c r="S198" s="59">
        <f ca="1">AVERAGE(OFFSET($R$3,0,0,'Données projet'!$E$9+1,1))-AVERAGE(OFFSET($H$3,0,0,'Données projet'!$E$9+1,1))</f>
        <v>490.7691633858222</v>
      </c>
      <c r="T198" s="59">
        <f t="shared" si="204"/>
        <v>490.82176582457072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0.47853329724434784</v>
      </c>
      <c r="AA198" s="21">
        <f>EXP(-LN(2)/25)*AA197+(1-EXP(-LN(2)/25))/(LN(2)/25)*Calculateur!V198*Calculateur!X198*VLOOKUP('Données projet'!$B$9,Paramètres!$A$1:$I$89,3,0)*0.475*44/12</f>
        <v>0.4563342878747596</v>
      </c>
      <c r="AB198" s="21">
        <f>EXP(-LN(2)/2)*AB197+(1-EXP(-LN(2)/2))/(LN(2)/2)*V198*Y198*VLOOKUP('Données projet'!$B$9,Paramètres!$A$1:$I$89,3,0)*0.475*44/12</f>
        <v>5.881791360722296E-24</v>
      </c>
      <c r="AC198" s="22">
        <f t="shared" si="163"/>
        <v>0.9348675851191075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-5.3205440053716299E-14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165.03539937460289</v>
      </c>
      <c r="AO198" s="59">
        <f t="shared" si="205"/>
        <v>142.05625724497401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3.3039176004245829E-2</v>
      </c>
      <c r="AV198" s="21">
        <f>EXP(-LN(2)/25)*AV197+(1-EXP(-LN(2)/25))/(LN(2)/25)*Calculateur!AQ198*Calculateur!AS198*VLOOKUP('Données projet'!$B$10,Paramètres!$A$1:$I$89,3,0)*0.475*44/12</f>
        <v>4.9241954976727849E-2</v>
      </c>
      <c r="AW198" s="21">
        <f>EXP(-LN(2)/2)*AW197+(1-EXP(-LN(2)/2))/(LN(2)/2)*AQ198*AT198*VLOOKUP('Données projet'!$B$10,Paramètres!$A$1:$I$89,3,0)*0.475*44/12</f>
        <v>8.9398498988007973E-25</v>
      </c>
      <c r="AX198" s="21">
        <f t="shared" si="166"/>
        <v>8.2281130980973671E-2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-7.9580786405131221E-13</v>
      </c>
      <c r="BE198" s="13">
        <f>BD198*VLOOKUP('Données projet'!$B$11,Paramètres!$A$1:$I$89,3,0)*VLOOKUP('Données projet'!$B$11,Paramètres!$A$1:$I$89,5,0)</f>
        <v>-3.8278358260868117E-13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402.22278907877927</v>
      </c>
      <c r="BJ198" s="59">
        <f t="shared" si="206"/>
        <v>393.06397734082458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1.0587954670821618</v>
      </c>
      <c r="BQ198" s="21">
        <f>EXP(-LN(2)/25)*BQ197+(1-EXP(-LN(2)/25))/(LN(2)/25)*Calculateur!BL198*Calculateur!BN198*VLOOKUP('Données projet'!$B$11,Paramètres!$A$1:$I$89,3,0)*0.475*44/12</f>
        <v>0.46482414173785652</v>
      </c>
      <c r="BR198" s="21">
        <f>EXP(-LN(2)/2)*BR197+(1-EXP(-LN(2)/2))/(LN(2)/2)*BL198*BO198*VLOOKUP('Données projet'!$B$11,Paramètres!$A$1:$I$89,3,0)*0.475*44/12</f>
        <v>1.293552069277148E-22</v>
      </c>
      <c r="BS198" s="22">
        <f t="shared" si="169"/>
        <v>1.5236196088200182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1.1368683772161603E-12</v>
      </c>
      <c r="O199" s="13">
        <f>N199*VLOOKUP('Données projet'!$B$9,Paramètres!$A$1:$I$89,3,0)*VLOOKUP('Données projet'!$B$9,Paramètres!$A$1:$I$89,5,0)</f>
        <v>6.3550942286383359E-13</v>
      </c>
      <c r="P199" s="13">
        <f t="shared" si="203"/>
        <v>7.6982260417614606E-12</v>
      </c>
      <c r="Q199" s="20">
        <f t="shared" si="162"/>
        <v>1.4514589267555721E-11</v>
      </c>
      <c r="R199" s="59">
        <f t="shared" si="191"/>
        <v>293.33333333334781</v>
      </c>
      <c r="S199" s="59">
        <f ca="1">AVERAGE(OFFSET($R$3,0,0,'Données projet'!$E$9+1,1))-AVERAGE(OFFSET($H$3,0,0,'Données projet'!$E$9+1,1))</f>
        <v>490.7691633858222</v>
      </c>
      <c r="T199" s="59">
        <f t="shared" si="204"/>
        <v>490.82176582457072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0.46914955116187707</v>
      </c>
      <c r="AA199" s="21">
        <f>EXP(-LN(2)/25)*AA198+(1-EXP(-LN(2)/25))/(LN(2)/25)*Calculateur!V199*Calculateur!X199*VLOOKUP('Données projet'!$B$9,Paramètres!$A$1:$I$89,3,0)*0.475*44/12</f>
        <v>0.44385580277524705</v>
      </c>
      <c r="AB199" s="21">
        <f>EXP(-LN(2)/2)*AB198+(1-EXP(-LN(2)/2))/(LN(2)/2)*V199*Y199*VLOOKUP('Données projet'!$B$9,Paramètres!$A$1:$I$89,3,0)*0.475*44/12</f>
        <v>4.1590545566911861E-24</v>
      </c>
      <c r="AC199" s="22">
        <f t="shared" si="163"/>
        <v>0.91300535393712412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-5.3205440053716299E-14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165.03539937460289</v>
      </c>
      <c r="AO199" s="59">
        <f t="shared" si="205"/>
        <v>142.05625724497401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3.2391297914710099E-2</v>
      </c>
      <c r="AV199" s="21">
        <f>EXP(-LN(2)/25)*AV198+(1-EXP(-LN(2)/25))/(LN(2)/25)*Calculateur!AQ199*Calculateur!AS199*VLOOKUP('Données projet'!$B$10,Paramètres!$A$1:$I$89,3,0)*0.475*44/12</f>
        <v>4.7895431128367361E-2</v>
      </c>
      <c r="AW199" s="21">
        <f>EXP(-LN(2)/2)*AW198+(1-EXP(-LN(2)/2))/(LN(2)/2)*AQ199*AT199*VLOOKUP('Données projet'!$B$10,Paramètres!$A$1:$I$89,3,0)*0.475*44/12</f>
        <v>6.3214284862319145E-25</v>
      </c>
      <c r="AX199" s="21">
        <f t="shared" si="166"/>
        <v>8.0286729043077459E-2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-7.9580786405131221E-13</v>
      </c>
      <c r="BE199" s="13">
        <f>BD199*VLOOKUP('Données projet'!$B$11,Paramètres!$A$1:$I$89,3,0)*VLOOKUP('Données projet'!$B$11,Paramètres!$A$1:$I$89,5,0)</f>
        <v>-3.8278358260868117E-13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402.22278907877927</v>
      </c>
      <c r="BJ199" s="59">
        <f t="shared" si="206"/>
        <v>393.06397734082458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1.038033133774148</v>
      </c>
      <c r="BQ199" s="21">
        <f>EXP(-LN(2)/25)*BQ198+(1-EXP(-LN(2)/25))/(LN(2)/25)*Calculateur!BL199*Calculateur!BN199*VLOOKUP('Données projet'!$B$11,Paramètres!$A$1:$I$89,3,0)*0.475*44/12</f>
        <v>0.45211350113799559</v>
      </c>
      <c r="BR199" s="21">
        <f>EXP(-LN(2)/2)*BR198+(1-EXP(-LN(2)/2))/(LN(2)/2)*BL199*BO199*VLOOKUP('Données projet'!$B$11,Paramètres!$A$1:$I$89,3,0)*0.475*44/12</f>
        <v>9.1467944000376206E-23</v>
      </c>
      <c r="BS199" s="22">
        <f t="shared" si="169"/>
        <v>1.4901466349121435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1.1368683772161603E-12</v>
      </c>
      <c r="O200" s="13">
        <f>N200*VLOOKUP('Données projet'!$B$9,Paramètres!$A$1:$I$89,3,0)*VLOOKUP('Données projet'!$B$9,Paramètres!$A$1:$I$89,5,0)</f>
        <v>6.3550942286383359E-13</v>
      </c>
      <c r="P200" s="13">
        <f t="shared" si="203"/>
        <v>7.6982260417614606E-12</v>
      </c>
      <c r="Q200" s="20">
        <f t="shared" si="162"/>
        <v>1.4514589267555721E-11</v>
      </c>
      <c r="R200" s="59">
        <f t="shared" si="191"/>
        <v>293.33333333334781</v>
      </c>
      <c r="S200" s="59">
        <f ca="1">AVERAGE(OFFSET($R$3,0,0,'Données projet'!$E$9+1,1))-AVERAGE(OFFSET($H$3,0,0,'Données projet'!$E$9+1,1))</f>
        <v>490.7691633858222</v>
      </c>
      <c r="T200" s="59">
        <f t="shared" si="204"/>
        <v>490.82176582457072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0.45994981461656359</v>
      </c>
      <c r="AA200" s="21">
        <f>EXP(-LN(2)/25)*AA199+(1-EXP(-LN(2)/25))/(LN(2)/25)*Calculateur!V200*Calculateur!X200*VLOOKUP('Données projet'!$B$9,Paramètres!$A$1:$I$89,3,0)*0.475*44/12</f>
        <v>0.43171854250699571</v>
      </c>
      <c r="AB200" s="21">
        <f>EXP(-LN(2)/2)*AB199+(1-EXP(-LN(2)/2))/(LN(2)/2)*V200*Y200*VLOOKUP('Données projet'!$B$9,Paramètres!$A$1:$I$89,3,0)*0.475*44/12</f>
        <v>2.940895680361148E-24</v>
      </c>
      <c r="AC200" s="22">
        <f t="shared" si="163"/>
        <v>0.8916683571235593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-5.3205440053716299E-14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165.03539937460289</v>
      </c>
      <c r="AO200" s="59">
        <f t="shared" si="205"/>
        <v>142.05625724497401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3.1756124319343548E-2</v>
      </c>
      <c r="AV200" s="21">
        <f>EXP(-LN(2)/25)*AV199+(1-EXP(-LN(2)/25))/(LN(2)/25)*Calculateur!AQ200*Calculateur!AS200*VLOOKUP('Données projet'!$B$10,Paramètres!$A$1:$I$89,3,0)*0.475*44/12</f>
        <v>4.65857280454509E-2</v>
      </c>
      <c r="AW200" s="21">
        <f>EXP(-LN(2)/2)*AW199+(1-EXP(-LN(2)/2))/(LN(2)/2)*AQ200*AT200*VLOOKUP('Données projet'!$B$10,Paramètres!$A$1:$I$89,3,0)*0.475*44/12</f>
        <v>4.4699249494003987E-25</v>
      </c>
      <c r="AX200" s="21">
        <f t="shared" si="166"/>
        <v>7.8341852364794448E-2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-7.9580786405131221E-13</v>
      </c>
      <c r="BE200" s="13">
        <f>BD200*VLOOKUP('Données projet'!$B$11,Paramètres!$A$1:$I$89,3,0)*VLOOKUP('Données projet'!$B$11,Paramètres!$A$1:$I$89,5,0)</f>
        <v>-3.8278358260868117E-13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402.22278907877927</v>
      </c>
      <c r="BJ200" s="59">
        <f t="shared" si="206"/>
        <v>393.06397734082458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1.0176779371585314</v>
      </c>
      <c r="BQ200" s="21">
        <f>EXP(-LN(2)/25)*BQ199+(1-EXP(-LN(2)/25))/(LN(2)/25)*Calculateur!BL200*Calculateur!BN200*VLOOKUP('Données projet'!$B$11,Paramètres!$A$1:$I$89,3,0)*0.475*44/12</f>
        <v>0.43975043367376138</v>
      </c>
      <c r="BR200" s="21">
        <f>EXP(-LN(2)/2)*BR199+(1-EXP(-LN(2)/2))/(LN(2)/2)*BL200*BO200*VLOOKUP('Données projet'!$B$11,Paramètres!$A$1:$I$89,3,0)*0.475*44/12</f>
        <v>6.4677603463857399E-23</v>
      </c>
      <c r="BS200" s="22">
        <f t="shared" si="169"/>
        <v>1.4574283708322928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1.1368683772161603E-12</v>
      </c>
      <c r="O201" s="13">
        <f>N201*VLOOKUP('Données projet'!$B$9,Paramètres!$A$1:$I$89,3,0)*VLOOKUP('Données projet'!$B$9,Paramètres!$A$1:$I$89,5,0)</f>
        <v>6.3550942286383359E-13</v>
      </c>
      <c r="P201" s="13">
        <f t="shared" si="203"/>
        <v>7.6982260417614606E-12</v>
      </c>
      <c r="Q201" s="20">
        <f t="shared" si="162"/>
        <v>1.4514589267555721E-11</v>
      </c>
      <c r="R201" s="59">
        <f t="shared" si="191"/>
        <v>293.33333333334781</v>
      </c>
      <c r="S201" s="59">
        <f ca="1">AVERAGE(OFFSET($R$3,0,0,'Données projet'!$E$9+1,1))-AVERAGE(OFFSET($H$3,0,0,'Données projet'!$E$9+1,1))</f>
        <v>490.7691633858222</v>
      </c>
      <c r="T201" s="59">
        <f t="shared" si="204"/>
        <v>490.82176582457072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0.45093047929361851</v>
      </c>
      <c r="AA201" s="21">
        <f>EXP(-LN(2)/25)*AA200+(1-EXP(-LN(2)/25))/(LN(2)/25)*Calculateur!V201*Calculateur!X201*VLOOKUP('Données projet'!$B$9,Paramètres!$A$1:$I$89,3,0)*0.475*44/12</f>
        <v>0.41991317625905045</v>
      </c>
      <c r="AB201" s="21">
        <f>EXP(-LN(2)/2)*AB200+(1-EXP(-LN(2)/2))/(LN(2)/2)*V201*Y201*VLOOKUP('Données projet'!$B$9,Paramètres!$A$1:$I$89,3,0)*0.475*44/12</f>
        <v>2.079527278345593E-24</v>
      </c>
      <c r="AC201" s="22">
        <f t="shared" si="163"/>
        <v>0.87084365555266896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-5.3205440053716299E-14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165.03539937460289</v>
      </c>
      <c r="AO201" s="59">
        <f t="shared" si="205"/>
        <v>142.05625724497401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3.1133406090764495E-2</v>
      </c>
      <c r="AV201" s="21">
        <f>EXP(-LN(2)/25)*AV200+(1-EXP(-LN(2)/25))/(LN(2)/25)*Calculateur!AQ201*Calculateur!AS201*VLOOKUP('Données projet'!$B$10,Paramètres!$A$1:$I$89,3,0)*0.475*44/12</f>
        <v>4.531183886221108E-2</v>
      </c>
      <c r="AW201" s="21">
        <f>EXP(-LN(2)/2)*AW200+(1-EXP(-LN(2)/2))/(LN(2)/2)*AQ201*AT201*VLOOKUP('Données projet'!$B$10,Paramètres!$A$1:$I$89,3,0)*0.475*44/12</f>
        <v>3.1607142431159573E-25</v>
      </c>
      <c r="AX201" s="21">
        <f t="shared" si="166"/>
        <v>7.6445244952975583E-2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-7.9580786405131221E-13</v>
      </c>
      <c r="BE201" s="13">
        <f>BD201*VLOOKUP('Données projet'!$B$11,Paramètres!$A$1:$I$89,3,0)*VLOOKUP('Données projet'!$B$11,Paramètres!$A$1:$I$89,5,0)</f>
        <v>-3.8278358260868117E-13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402.22278907877927</v>
      </c>
      <c r="BJ201" s="59">
        <f t="shared" si="206"/>
        <v>393.06397734082458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0.99772189353310303</v>
      </c>
      <c r="BQ201" s="21">
        <f>EXP(-LN(2)/25)*BQ200+(1-EXP(-LN(2)/25))/(LN(2)/25)*Calculateur!BL201*Calculateur!BN201*VLOOKUP('Données projet'!$B$11,Paramètres!$A$1:$I$89,3,0)*0.475*44/12</f>
        <v>0.42772543493948212</v>
      </c>
      <c r="BR201" s="21">
        <f>EXP(-LN(2)/2)*BR200+(1-EXP(-LN(2)/2))/(LN(2)/2)*BL201*BO201*VLOOKUP('Données projet'!$B$11,Paramètres!$A$1:$I$89,3,0)*0.475*44/12</f>
        <v>4.5733972000188103E-23</v>
      </c>
      <c r="BS201" s="22">
        <f t="shared" si="169"/>
        <v>1.4254473284725853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1.1368683772161603E-12</v>
      </c>
      <c r="O202" s="13">
        <f>N202*VLOOKUP('Données projet'!$B$9,Paramètres!$A$1:$I$89,3,0)*VLOOKUP('Données projet'!$B$9,Paramètres!$A$1:$I$89,5,0)</f>
        <v>6.3550942286383359E-13</v>
      </c>
      <c r="P202" s="13">
        <f t="shared" si="203"/>
        <v>7.6982260417614606E-12</v>
      </c>
      <c r="Q202" s="20">
        <f t="shared" si="162"/>
        <v>1.4514589267555721E-11</v>
      </c>
      <c r="R202" s="59">
        <f t="shared" si="191"/>
        <v>293.33333333334781</v>
      </c>
      <c r="S202" s="59">
        <f ca="1">AVERAGE(OFFSET($R$3,0,0,'Données projet'!$E$9+1,1))-AVERAGE(OFFSET($H$3,0,0,'Données projet'!$E$9+1,1))</f>
        <v>490.7691633858222</v>
      </c>
      <c r="T202" s="59">
        <f t="shared" si="204"/>
        <v>490.82176582457072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0.44208800763510503</v>
      </c>
      <c r="AA202" s="21">
        <f>EXP(-LN(2)/25)*AA201+(1-EXP(-LN(2)/25))/(LN(2)/25)*Calculateur!V202*Calculateur!X202*VLOOKUP('Données projet'!$B$9,Paramètres!$A$1:$I$89,3,0)*0.475*44/12</f>
        <v>0.40843062837197247</v>
      </c>
      <c r="AB202" s="21">
        <f>EXP(-LN(2)/2)*AB201+(1-EXP(-LN(2)/2))/(LN(2)/2)*V202*Y202*VLOOKUP('Données projet'!$B$9,Paramètres!$A$1:$I$89,3,0)*0.475*44/12</f>
        <v>1.470447840180574E-24</v>
      </c>
      <c r="AC202" s="22">
        <f t="shared" si="163"/>
        <v>0.85051863600707756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-5.3205440053716299E-14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165.03539937460289</v>
      </c>
      <c r="AO202" s="59">
        <f t="shared" si="205"/>
        <v>142.05625724497401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3.0522898986827262E-2</v>
      </c>
      <c r="AV202" s="21">
        <f>EXP(-LN(2)/25)*AV201+(1-EXP(-LN(2)/25))/(LN(2)/25)*Calculateur!AQ202*Calculateur!AS202*VLOOKUP('Données projet'!$B$10,Paramètres!$A$1:$I$89,3,0)*0.475*44/12</f>
        <v>4.4072784245677878E-2</v>
      </c>
      <c r="AW202" s="21">
        <f>EXP(-LN(2)/2)*AW201+(1-EXP(-LN(2)/2))/(LN(2)/2)*AQ202*AT202*VLOOKUP('Données projet'!$B$10,Paramètres!$A$1:$I$89,3,0)*0.475*44/12</f>
        <v>2.2349624747001993E-25</v>
      </c>
      <c r="AX202" s="21">
        <f t="shared" si="166"/>
        <v>7.4595683232505136E-2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-7.9580786405131221E-13</v>
      </c>
      <c r="BE202" s="13">
        <f>BD202*VLOOKUP('Données projet'!$B$11,Paramètres!$A$1:$I$89,3,0)*VLOOKUP('Données projet'!$B$11,Paramètres!$A$1:$I$89,5,0)</f>
        <v>-3.8278358260868117E-13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402.22278907877927</v>
      </c>
      <c r="BJ202" s="59">
        <f t="shared" si="206"/>
        <v>393.06397734082458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0.97815717575118455</v>
      </c>
      <c r="BQ202" s="21">
        <f>EXP(-LN(2)/25)*BQ201+(1-EXP(-LN(2)/25))/(LN(2)/25)*Calculateur!BL202*Calculateur!BN202*VLOOKUP('Données projet'!$B$11,Paramètres!$A$1:$I$89,3,0)*0.475*44/12</f>
        <v>0.41602926042795896</v>
      </c>
      <c r="BR202" s="21">
        <f>EXP(-LN(2)/2)*BR201+(1-EXP(-LN(2)/2))/(LN(2)/2)*BL202*BO202*VLOOKUP('Données projet'!$B$11,Paramètres!$A$1:$I$89,3,0)*0.475*44/12</f>
        <v>3.23388017319287E-23</v>
      </c>
      <c r="BS202" s="22">
        <f t="shared" si="169"/>
        <v>1.3941864361791434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1.1368683772161603E-12</v>
      </c>
      <c r="O203" s="13">
        <f>N203*VLOOKUP('Données projet'!$B$9,Paramètres!$A$1:$I$89,3,0)*VLOOKUP('Données projet'!$B$9,Paramètres!$A$1:$I$89,5,0)</f>
        <v>6.3550942286383359E-13</v>
      </c>
      <c r="P203" s="13">
        <f t="shared" si="203"/>
        <v>7.6982260417614606E-12</v>
      </c>
      <c r="Q203" s="20">
        <f t="shared" si="162"/>
        <v>1.4514589267555721E-11</v>
      </c>
      <c r="R203" s="59">
        <f t="shared" si="191"/>
        <v>293.33333333334781</v>
      </c>
      <c r="S203" s="59">
        <f ca="1">AVERAGE(OFFSET($R$3,0,0,'Données projet'!$E$9+1,1))-AVERAGE(OFFSET($H$3,0,0,'Données projet'!$E$9+1,1))</f>
        <v>490.7691633858222</v>
      </c>
      <c r="T203" s="59">
        <f t="shared" si="204"/>
        <v>490.82176582457072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0.43341893145243982</v>
      </c>
      <c r="AA203" s="21">
        <f>EXP(-LN(2)/25)*AA202+(1-EXP(-LN(2)/25))/(LN(2)/25)*Calculateur!V203*Calculateur!X203*VLOOKUP('Données projet'!$B$9,Paramètres!$A$1:$I$89,3,0)*0.475*44/12</f>
        <v>0.39726207136070762</v>
      </c>
      <c r="AB203" s="21">
        <f>EXP(-LN(2)/2)*AB202+(1-EXP(-LN(2)/2))/(LN(2)/2)*V203*Y203*VLOOKUP('Données projet'!$B$9,Paramètres!$A$1:$I$89,3,0)*0.475*44/12</f>
        <v>1.0397636391727965E-24</v>
      </c>
      <c r="AC203" s="22">
        <f t="shared" si="163"/>
        <v>0.8306810028131475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-5.3205440053716299E-14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165.03539937460289</v>
      </c>
      <c r="AO203" s="59">
        <f t="shared" si="205"/>
        <v>142.05625724497401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2.9924363554825674E-2</v>
      </c>
      <c r="AV203" s="21">
        <f>EXP(-LN(2)/25)*AV202+(1-EXP(-LN(2)/25))/(LN(2)/25)*Calculateur!AQ203*Calculateur!AS203*VLOOKUP('Données projet'!$B$10,Paramètres!$A$1:$I$89,3,0)*0.475*44/12</f>
        <v>4.2867611642792819E-2</v>
      </c>
      <c r="AW203" s="21">
        <f>EXP(-LN(2)/2)*AW202+(1-EXP(-LN(2)/2))/(LN(2)/2)*AQ203*AT203*VLOOKUP('Données projet'!$B$10,Paramètres!$A$1:$I$89,3,0)*0.475*44/12</f>
        <v>1.5803571215579786E-25</v>
      </c>
      <c r="AX203" s="21">
        <f t="shared" si="166"/>
        <v>7.2791975197618486E-2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-7.9580786405131221E-13</v>
      </c>
      <c r="BE203" s="13">
        <f>BD203*VLOOKUP('Données projet'!$B$11,Paramètres!$A$1:$I$89,3,0)*VLOOKUP('Données projet'!$B$11,Paramètres!$A$1:$I$89,5,0)</f>
        <v>-3.8278358260868117E-13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402.22278907877927</v>
      </c>
      <c r="BJ203" s="59">
        <f t="shared" si="206"/>
        <v>393.06397734082458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0.95897611015166995</v>
      </c>
      <c r="BQ203" s="21">
        <f>EXP(-LN(2)/25)*BQ202+(1-EXP(-LN(2)/25))/(LN(2)/25)*Calculateur!BL203*Calculateur!BN203*VLOOKUP('Données projet'!$B$11,Paramètres!$A$1:$I$89,3,0)*0.475*44/12</f>
        <v>0.40465291842352846</v>
      </c>
      <c r="BR203" s="21">
        <f>EXP(-LN(2)/2)*BR202+(1-EXP(-LN(2)/2))/(LN(2)/2)*BL203*BO203*VLOOKUP('Données projet'!$B$11,Paramètres!$A$1:$I$89,3,0)*0.475*44/12</f>
        <v>2.2866986000094051E-23</v>
      </c>
      <c r="BS203" s="22">
        <f t="shared" si="169"/>
        <v>1.3636290285751984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1.4348951656753595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1.2677537154322802</v>
      </c>
      <c r="BA205" s="82">
        <f>EXP(LN('Données projet'!B88)/'Données projet'!A88)</f>
        <v>1.2872302285303792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2" zoomScale="90" zoomScaleNormal="90" workbookViewId="0">
      <selection activeCell="I8" sqref="I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Douglas</v>
      </c>
      <c r="B6" s="146">
        <f>'Données projet'!D9</f>
        <v>2.4430890000000001</v>
      </c>
      <c r="C6" s="147">
        <f ca="1">IF(OR('Données projet'!B9="",'Données projet'!C9="",'Données projet'!C9=0%),0,Calculateur!S3)</f>
        <v>490.7691633858222</v>
      </c>
      <c r="D6" s="147">
        <f>IF(OR('Données projet'!B9="",'Données projet'!C9="",'Données projet'!C9=0%),0,Calculateur!T3)</f>
        <v>490.82176582457072</v>
      </c>
      <c r="E6" s="147">
        <f ca="1">MIN(C6,D6)</f>
        <v>490.7691633858222</v>
      </c>
      <c r="F6" s="147">
        <f ca="1">E6*B6</f>
        <v>1198.9927446071049</v>
      </c>
      <c r="G6" s="147">
        <f ca="1">F6*(100%-'Données projet'!$C$24)*(100%-'Données projet'!$C$25)*(100%-'Données projet'!$C$26)*(100%-'Données projet'!$C$27)</f>
        <v>1079.0934701463943</v>
      </c>
      <c r="H6" s="148">
        <f>IF(OR('Données projet'!B9="",'Données projet'!C9="",'Données projet'!C9=0%),0,AVERAGE(Calculateur!$AC$3:$AC$33)*B6)</f>
        <v>35.678775043111173</v>
      </c>
      <c r="I6" s="149">
        <f>H6*(100%-'Données projet'!$C$24)*(100%-'Données projet'!$C$25)*(100%-'Données projet'!$C$26)*(100%-'Données projet'!$C$27)</f>
        <v>32.11089753880006</v>
      </c>
      <c r="J6" s="150">
        <f>IF(OR('Données projet'!B9="",'Données projet'!C9="",'Données projet'!C9=0%),0,SUM(Calculateur!$V$3:$V$33)*VLOOKUP('Données projet'!$B$9,Paramètres!$A$1:$I$89,9,0)*B6)</f>
        <v>293.09738733</v>
      </c>
      <c r="K6" s="151">
        <f>J6*(100%-'Données projet'!$C$24)*(100%-'Données projet'!$C$25)*(100%-'Données projet'!$C$26)*(100%-'Données projet'!$C$27)</f>
        <v>263.78764859699999</v>
      </c>
      <c r="L6" s="152">
        <f ca="1">G6+I6+K6</f>
        <v>1374.9920162821945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Cèdre de l'Atlas</v>
      </c>
      <c r="B7" s="154">
        <f>'Données projet'!D10</f>
        <v>2.4430890000000001</v>
      </c>
      <c r="C7" s="147">
        <f ca="1">IF(OR('Données projet'!B10="",'Données projet'!C10="",'Données projet'!C10=0%),0,Calculateur!AN3)</f>
        <v>165.03539937460289</v>
      </c>
      <c r="D7" s="147">
        <f>IF(OR('Données projet'!B10="",'Données projet'!C10="",'Données projet'!C10=0%),0,Calculateur!AO3)</f>
        <v>142.05625724497401</v>
      </c>
      <c r="E7" s="147">
        <f t="shared" ref="E7:E15" ca="1" si="0">MIN(C7,D7)</f>
        <v>142.05625724497401</v>
      </c>
      <c r="F7" s="147">
        <f t="shared" ref="F7:F15" ca="1" si="1">E7*B7</f>
        <v>347.05607945636632</v>
      </c>
      <c r="G7" s="147">
        <f ca="1">F7*(100%-'Données projet'!$C$24)*(100%-'Données projet'!$C$25)*(100%-'Données projet'!$C$26)*(100%-'Données projet'!$C$27)</f>
        <v>312.35047151072968</v>
      </c>
      <c r="H7" s="155">
        <f>IF(OR('Données projet'!B10="",'Données projet'!C10="",'Données projet'!C10=0%),0,AVERAGE(Calculateur!$AX$3:$AX$33)*B7)</f>
        <v>2.2220039613232405</v>
      </c>
      <c r="I7" s="149">
        <f>H7*(100%-'Données projet'!$C$24)*(100%-'Données projet'!$C$25)*(100%-'Données projet'!$C$26)*(100%-'Données projet'!$C$27)</f>
        <v>1.9998035651909165</v>
      </c>
      <c r="J7" s="150">
        <f>IF(OR('Données projet'!B10="",'Données projet'!C10="",'Données projet'!C10=0%),0,SUM(Calculateur!$AQ$3:$AQ$33)*VLOOKUP('Données projet'!$B$10,Paramètres!$A$1:$I$89,9,0)*B7)</f>
        <v>33.932063120999999</v>
      </c>
      <c r="K7" s="151">
        <f>J7*(100%-'Données projet'!$C$24)*(100%-'Données projet'!$C$25)*(100%-'Données projet'!$C$26)*(100%-'Données projet'!$C$27)</f>
        <v>30.5388568089</v>
      </c>
      <c r="L7" s="152">
        <f t="shared" ref="L7:L15" ca="1" si="2">G7+I7+K7</f>
        <v>344.88913188482059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Sapin méditerranéen</v>
      </c>
      <c r="B8" s="154">
        <f>'Données projet'!D11</f>
        <v>2.4430890000000001</v>
      </c>
      <c r="C8" s="147">
        <f ca="1">IF(OR('Données projet'!B11="",'Données projet'!C11="",'Données projet'!C11=0%),0,Calculateur!BI3)</f>
        <v>402.22278907877927</v>
      </c>
      <c r="D8" s="147">
        <f>IF(OR('Données projet'!B11="",'Données projet'!C11="",'Données projet'!C11=0%),0,Calculateur!BJ3)</f>
        <v>393.06397734082458</v>
      </c>
      <c r="E8" s="147">
        <f t="shared" ca="1" si="0"/>
        <v>393.06397734082458</v>
      </c>
      <c r="F8" s="147">
        <f t="shared" ca="1" si="1"/>
        <v>960.29027933761779</v>
      </c>
      <c r="G8" s="147">
        <f ca="1">F8*(100%-'Données projet'!$C$24)*(100%-'Données projet'!$C$25)*(100%-'Données projet'!$C$26)*(100%-'Données projet'!$C$27)</f>
        <v>864.26125140385602</v>
      </c>
      <c r="H8" s="155">
        <f>IF(OR('Données projet'!B11="",'Données projet'!C11="",'Données projet'!C11=0%),0,AVERAGE(Calculateur!$BS$3:$BS$33)*B8)</f>
        <v>9.2099903217047085</v>
      </c>
      <c r="I8" s="149">
        <f>H8*(100%-'Données projet'!$C$24)*(100%-'Données projet'!$C$25)*(100%-'Données projet'!$C$26)*(100%-'Données projet'!$C$27)</f>
        <v>8.2889912895342377</v>
      </c>
      <c r="J8" s="150">
        <f>IF(OR('Données projet'!B11="",'Données projet'!C11="",'Données projet'!C11=0%),0,SUM(Calculateur!$BL$3:$BL$33)*VLOOKUP('Données projet'!$B$11,Paramètres!$A$1:$I$89,9,0)*B8)</f>
        <v>170.18557974000001</v>
      </c>
      <c r="K8" s="151">
        <f>J8*(100%-'Données projet'!$C$24)*(100%-'Données projet'!$C$25)*(100%-'Données projet'!$C$26)*(100%-'Données projet'!$C$27)</f>
        <v>153.167021766</v>
      </c>
      <c r="L8" s="152">
        <f t="shared" ca="1" si="2"/>
        <v>1025.7172644593902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2506.3391034010892</v>
      </c>
      <c r="G16" s="166">
        <f t="shared" ca="1" si="3"/>
        <v>2255.70519306098</v>
      </c>
      <c r="H16" s="167">
        <f t="shared" si="3"/>
        <v>47.11076932613912</v>
      </c>
      <c r="I16" s="167">
        <f t="shared" si="3"/>
        <v>42.399692393525214</v>
      </c>
      <c r="J16" s="168">
        <f t="shared" si="3"/>
        <v>497.21503019099998</v>
      </c>
      <c r="K16" s="168">
        <f t="shared" si="3"/>
        <v>447.49352717189998</v>
      </c>
      <c r="L16" s="169">
        <f t="shared" ca="1" si="3"/>
        <v>2745.5984126264052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Cèdre de l'Atlas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Sapin méditerranéen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H6" zoomScale="80" zoomScaleNormal="80" workbookViewId="0">
      <selection activeCell="U34" sqref="U34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3" t="s">
        <v>315</v>
      </c>
      <c r="I4" s="263"/>
      <c r="K4" s="287" t="s">
        <v>253</v>
      </c>
      <c r="L4" s="288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7" t="s">
        <v>310</v>
      </c>
      <c r="S7" s="298"/>
      <c r="T7" s="298"/>
      <c r="U7" s="298"/>
      <c r="V7" s="299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3784.6059993194676</v>
      </c>
      <c r="U10" s="178">
        <f>'Données projet'!D9</f>
        <v>2.4430890000000001</v>
      </c>
      <c r="V10" s="177">
        <f>U10*T10</f>
        <v>9246.1292862713999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Cèdre de l'Atlas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-2193.7553337703721</v>
      </c>
      <c r="U11" s="178">
        <f>'Données projet'!D10</f>
        <v>2.4430890000000001</v>
      </c>
      <c r="V11" s="177">
        <f t="shared" ref="V11" si="0">U11*T11</f>
        <v>-5359.5395246257249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Sapin méditerranéen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1884.4937001526987</v>
      </c>
      <c r="U12" s="178">
        <f>'Données projet'!D11</f>
        <v>2.4430890000000001</v>
      </c>
      <c r="V12" s="177">
        <f t="shared" ref="V12:V19" si="1">U12*T12</f>
        <v>4603.9858294123569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90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0"/>
      <c r="H16" s="190"/>
      <c r="I16" s="191"/>
      <c r="J16" s="202"/>
      <c r="K16" s="208"/>
      <c r="L16" s="287" t="s">
        <v>254</v>
      </c>
      <c r="M16" s="288"/>
      <c r="N16" s="2">
        <v>80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v>2390</v>
      </c>
      <c r="F17" s="230"/>
      <c r="G17" s="290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79.999999999999929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90"/>
      <c r="J18" s="202"/>
      <c r="K18" s="208"/>
      <c r="L18" s="260" t="s">
        <v>255</v>
      </c>
      <c r="M18" s="262"/>
      <c r="N18" s="192">
        <v>40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90"/>
      <c r="H19" s="212" t="s">
        <v>178</v>
      </c>
      <c r="I19" s="212" t="s">
        <v>287</v>
      </c>
      <c r="J19" s="93"/>
      <c r="K19" s="173"/>
      <c r="L19" s="287" t="s">
        <v>288</v>
      </c>
      <c r="M19" s="288"/>
      <c r="N19" s="179">
        <f>N17*N18</f>
        <v>3199.9999999999973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90"/>
      <c r="H20" s="190">
        <v>0</v>
      </c>
      <c r="I20" s="191">
        <v>1689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600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600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5</v>
      </c>
      <c r="I23" s="191">
        <v>600</v>
      </c>
      <c r="K23" s="208"/>
      <c r="L23" s="289" t="s">
        <v>260</v>
      </c>
      <c r="M23" s="289"/>
      <c r="N23" s="289"/>
      <c r="O23" s="23"/>
      <c r="P23" s="23"/>
      <c r="Q23" s="234"/>
      <c r="R23" s="23"/>
      <c r="S23" s="36" t="s">
        <v>264</v>
      </c>
      <c r="T23" s="30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-15481.539016276854</v>
      </c>
      <c r="U23" s="302"/>
      <c r="V23" s="302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20</v>
      </c>
      <c r="B24" s="181">
        <f>'Données projet'!D37</f>
        <v>125</v>
      </c>
      <c r="C24" s="191">
        <v>12</v>
      </c>
      <c r="D24" s="182">
        <f t="shared" ref="D24:D42" si="2">B24*C24</f>
        <v>1500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3">
        <f ca="1">'Scénario référence'!$B$8*$M$30*'Données projet'!$C$5+('Scénario référence'!B9+'Scénario référence'!B10+'Scénario référence'!F8+'Scénario référence'!F9)*$N$19/(1+M4)^N16*'Données projet'!$C$5</f>
        <v>693.34712201035893</v>
      </c>
      <c r="U24" s="303"/>
      <c r="V24" s="303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30</v>
      </c>
      <c r="B25" s="181">
        <f>'Données projet'!D38</f>
        <v>154</v>
      </c>
      <c r="C25" s="191">
        <v>35</v>
      </c>
      <c r="D25" s="182">
        <f t="shared" si="2"/>
        <v>5390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4">
        <f ca="1">T23-T24</f>
        <v>-16174.886138287213</v>
      </c>
      <c r="U25" s="304"/>
      <c r="V25" s="30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40</v>
      </c>
      <c r="B26" s="181">
        <f>'Données projet'!D39</f>
        <v>154</v>
      </c>
      <c r="C26" s="191">
        <v>45</v>
      </c>
      <c r="D26" s="182">
        <f t="shared" si="2"/>
        <v>6930</v>
      </c>
      <c r="E26" s="193"/>
      <c r="F26" s="233"/>
      <c r="G26" s="229"/>
      <c r="H26" s="190"/>
      <c r="I26" s="191"/>
      <c r="K26" s="208"/>
      <c r="L26" s="291" t="s">
        <v>258</v>
      </c>
      <c r="M26" s="292"/>
      <c r="N26" s="292"/>
      <c r="O26" s="292"/>
      <c r="P26" s="293"/>
      <c r="Q26" s="234"/>
      <c r="R26" s="23"/>
      <c r="S26" s="186" t="s">
        <v>265</v>
      </c>
      <c r="T26" s="301" t="str">
        <f ca="1">IF(T25&lt;0,"Votre projet est additionnel","Votre projet n'est pas additionnel")</f>
        <v>Votre projet est additionnel</v>
      </c>
      <c r="U26" s="301"/>
      <c r="V26" s="301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50</v>
      </c>
      <c r="B27" s="181">
        <f>'Données projet'!D40</f>
        <v>138</v>
      </c>
      <c r="C27" s="191">
        <v>50</v>
      </c>
      <c r="D27" s="182">
        <f t="shared" si="2"/>
        <v>6900</v>
      </c>
      <c r="E27" s="193"/>
      <c r="F27" s="233"/>
      <c r="G27" s="229"/>
      <c r="H27" s="190"/>
      <c r="I27" s="191"/>
      <c r="K27" s="208"/>
      <c r="L27" s="294"/>
      <c r="M27" s="295"/>
      <c r="N27" s="295"/>
      <c r="O27" s="295"/>
      <c r="P27" s="296"/>
      <c r="Q27" s="234"/>
      <c r="R27" s="23"/>
      <c r="S27" s="300" t="s">
        <v>267</v>
      </c>
      <c r="T27" s="300"/>
      <c r="U27" s="300"/>
      <c r="V27" s="300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60</v>
      </c>
      <c r="B28" s="181">
        <f>'Données projet'!D41</f>
        <v>101</v>
      </c>
      <c r="C28" s="191">
        <v>55</v>
      </c>
      <c r="D28" s="182">
        <f t="shared" si="2"/>
        <v>5555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70</v>
      </c>
      <c r="B29" s="181">
        <f>'Données projet'!D42</f>
        <v>86</v>
      </c>
      <c r="C29" s="191">
        <v>60</v>
      </c>
      <c r="D29" s="182">
        <f t="shared" si="2"/>
        <v>5160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80</v>
      </c>
      <c r="B30" s="181">
        <f>'Données projet'!D43</f>
        <v>860</v>
      </c>
      <c r="C30" s="191">
        <v>60</v>
      </c>
      <c r="D30" s="182">
        <f t="shared" si="2"/>
        <v>51600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Cèdre de l'Atlas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v>3032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20</v>
      </c>
      <c r="B54" s="181">
        <f>'Données projet'!D62</f>
        <v>6.9</v>
      </c>
      <c r="C54" s="191">
        <v>8</v>
      </c>
      <c r="D54" s="179">
        <f>B54*C54</f>
        <v>55.2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30</v>
      </c>
      <c r="B55" s="181">
        <f>'Données projet'!D63</f>
        <v>25.4</v>
      </c>
      <c r="C55" s="191">
        <v>8</v>
      </c>
      <c r="D55" s="179">
        <f t="shared" ref="D55:D73" si="4">B55*C55</f>
        <v>203.2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40</v>
      </c>
      <c r="B56" s="181">
        <f>'Données projet'!D64</f>
        <v>46.3</v>
      </c>
      <c r="C56" s="191">
        <v>15</v>
      </c>
      <c r="D56" s="179">
        <f t="shared" si="4"/>
        <v>694.5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50</v>
      </c>
      <c r="B57" s="181">
        <f>'Données projet'!D65</f>
        <v>46.3</v>
      </c>
      <c r="C57" s="191">
        <v>25</v>
      </c>
      <c r="D57" s="179">
        <f t="shared" si="4"/>
        <v>1157.5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60</v>
      </c>
      <c r="B58" s="181">
        <f>'Données projet'!D66</f>
        <v>46.3</v>
      </c>
      <c r="C58" s="191">
        <v>30</v>
      </c>
      <c r="D58" s="179">
        <f t="shared" si="4"/>
        <v>1389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70</v>
      </c>
      <c r="B59" s="181">
        <f>'Données projet'!D67</f>
        <v>46.3</v>
      </c>
      <c r="C59" s="191">
        <v>50</v>
      </c>
      <c r="D59" s="179">
        <f t="shared" si="4"/>
        <v>2315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80</v>
      </c>
      <c r="B60" s="181">
        <f>'Données projet'!D68</f>
        <v>46.3</v>
      </c>
      <c r="C60" s="191">
        <v>50</v>
      </c>
      <c r="D60" s="179">
        <f t="shared" si="4"/>
        <v>2315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90</v>
      </c>
      <c r="B61" s="181">
        <f>'Données projet'!D69</f>
        <v>46.3</v>
      </c>
      <c r="C61" s="191">
        <v>50</v>
      </c>
      <c r="D61" s="179">
        <f t="shared" si="4"/>
        <v>2315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100</v>
      </c>
      <c r="B62" s="181">
        <f>'Données projet'!D70</f>
        <v>46.3</v>
      </c>
      <c r="C62" s="191">
        <v>60</v>
      </c>
      <c r="D62" s="179">
        <f t="shared" si="4"/>
        <v>2778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110</v>
      </c>
      <c r="B63" s="181">
        <f>'Données projet'!D71</f>
        <v>448.6</v>
      </c>
      <c r="C63" s="191">
        <v>61</v>
      </c>
      <c r="D63" s="179">
        <f t="shared" si="4"/>
        <v>27364.600000000002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Sapin méditerranéen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v>1936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20</v>
      </c>
      <c r="B85" s="181">
        <f>'Données projet'!D88</f>
        <v>22</v>
      </c>
      <c r="C85" s="191">
        <v>5</v>
      </c>
      <c r="D85" s="179">
        <f>B85*C85</f>
        <v>110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30</v>
      </c>
      <c r="B86" s="181">
        <f>'Données projet'!D89</f>
        <v>140</v>
      </c>
      <c r="C86" s="191">
        <v>5</v>
      </c>
      <c r="D86" s="179">
        <f t="shared" ref="D86:D104" si="6">B86*C86</f>
        <v>700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40</v>
      </c>
      <c r="B87" s="181">
        <f>'Données projet'!D90</f>
        <v>140</v>
      </c>
      <c r="C87" s="191">
        <v>8</v>
      </c>
      <c r="D87" s="179">
        <f t="shared" si="6"/>
        <v>1120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50</v>
      </c>
      <c r="B88" s="181">
        <f>'Données projet'!D91</f>
        <v>140</v>
      </c>
      <c r="C88" s="191">
        <v>15</v>
      </c>
      <c r="D88" s="179">
        <f t="shared" si="6"/>
        <v>2100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60</v>
      </c>
      <c r="B89" s="181">
        <f>'Données projet'!D92</f>
        <v>128</v>
      </c>
      <c r="C89" s="191">
        <v>30</v>
      </c>
      <c r="D89" s="179">
        <f t="shared" si="6"/>
        <v>3840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70</v>
      </c>
      <c r="B90" s="181">
        <f>'Données projet'!D93</f>
        <v>110</v>
      </c>
      <c r="C90" s="191">
        <v>50</v>
      </c>
      <c r="D90" s="179">
        <f t="shared" si="6"/>
        <v>5500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80</v>
      </c>
      <c r="B91" s="181">
        <f>'Données projet'!D94</f>
        <v>892</v>
      </c>
      <c r="C91" s="191">
        <v>100</v>
      </c>
      <c r="D91" s="179">
        <f t="shared" si="6"/>
        <v>89200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Florent Corniaux</cp:lastModifiedBy>
  <dcterms:created xsi:type="dcterms:W3CDTF">2021-02-01T08:22:39Z</dcterms:created>
  <dcterms:modified xsi:type="dcterms:W3CDTF">2023-03-17T13:37:43Z</dcterms:modified>
</cp:coreProperties>
</file>