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193-R-FILLOL-NAQ(40)-BAYLE-GFLandeDeThus-Mano/"/>
    </mc:Choice>
  </mc:AlternateContent>
  <xr:revisionPtr revIDLastSave="0" documentId="13_ncr:1_{69438427-A490-A643-AEF4-C1B1C7493F5E}" xr6:coauthVersionLast="47" xr6:coauthVersionMax="47" xr10:uidLastSave="{00000000-0000-0000-0000-000000000000}"/>
  <bookViews>
    <workbookView xWindow="-4320" yWindow="-21100" windowWidth="28120" windowHeight="211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BQ4" i="2" s="1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BR4" i="2"/>
  <c r="FQ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A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V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H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G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H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FR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H130" i="2"/>
  <c r="HI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EC140" i="2"/>
  <c r="EB140" i="2"/>
  <c r="HG140" i="2"/>
  <c r="EX140" i="2"/>
  <c r="FS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FS156" i="2"/>
  <c r="EX156" i="2"/>
  <c r="DH156" i="2"/>
  <c r="HG156" i="2"/>
  <c r="HH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EB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W178" i="2"/>
  <c r="HH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EA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D185" i="2"/>
  <c r="EW186" i="2"/>
  <c r="HH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HI192" i="2"/>
  <c r="EC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HI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X195" i="2" l="1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HG199" i="2"/>
  <c r="EA199" i="2"/>
  <c r="EW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R202" i="2" l="1"/>
  <c r="HH202" i="2"/>
  <c r="HI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56" i="2" l="1" a="1"/>
  <c r="DN56" i="2" s="1"/>
  <c r="DN184" i="2" a="1"/>
  <c r="DN184" i="2" s="1"/>
  <c r="AH92" i="2" a="1"/>
  <c r="AH92" i="2" s="1"/>
  <c r="DN103" i="2" a="1"/>
  <c r="DN103" i="2" s="1"/>
  <c r="DN86" i="2" a="1"/>
  <c r="DN86" i="2" s="1"/>
  <c r="DN152" i="2" a="1"/>
  <c r="DN152" i="2" s="1"/>
  <c r="DN155" i="2" a="1"/>
  <c r="DN155" i="2" s="1"/>
  <c r="FY165" i="2" a="1"/>
  <c r="FY165" i="2" s="1"/>
  <c r="FY47" i="2" a="1"/>
  <c r="FY47" i="2" s="1"/>
  <c r="FS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<sst xmlns="http://schemas.openxmlformats.org/spreadsheetml/2006/main" count="1170" uniqueCount="324">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</sst>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147.43366176898456</c:v>
                </c:pt>
                <c:pt idx="15">
                  <c:v>175.15013994164227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226.42350612832965</c:v>
                </c:pt>
                <c:pt idx="20">
                  <c:v>252.59871949023648</c:v>
                </c:pt>
                <c:pt idx="21">
                  <c:v>278.7124764590701</c:v>
                </c:pt>
                <c:pt idx="22">
                  <c:v>304.3445602390621</c:v>
                </c:pt>
                <c:pt idx="23">
                  <c:v>253.02728945651555</c:v>
                </c:pt>
                <c:pt idx="24">
                  <c:v>275.29097608691217</c:v>
                </c:pt>
                <c:pt idx="25">
                  <c:v>297.51422498707058</c:v>
                </c:pt>
                <c:pt idx="26">
                  <c:v>319.7004800513119</c:v>
                </c:pt>
                <c:pt idx="27">
                  <c:v>340.57553734988892</c:v>
                </c:pt>
                <c:pt idx="28">
                  <c:v>361.42246215684605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" zoomScale="125" zoomScaleNormal="80" workbookViewId="0">
      <selection activeCell="C6" sqref="C6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22.284800000000001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36</v>
      </c>
      <c r="C9" s="35">
        <v>1</v>
      </c>
      <c r="D9" s="36">
        <f t="shared" ref="D9:D18" si="0">C9*$C$5</f>
        <v>22.284800000000001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22.284800000000001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Pin maritime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11</v>
      </c>
      <c r="B36" s="63">
        <v>83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7.5454545454545459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12</v>
      </c>
      <c r="B37" s="63">
        <v>106</v>
      </c>
      <c r="C37" s="63">
        <v>2</v>
      </c>
      <c r="D37" s="63">
        <v>34</v>
      </c>
      <c r="E37" s="54">
        <v>0.2</v>
      </c>
      <c r="F37" s="54">
        <v>0.45</v>
      </c>
      <c r="G37" s="54">
        <v>0.35</v>
      </c>
      <c r="H37" s="54"/>
      <c r="I37" s="56">
        <f t="shared" ref="I37:I55" si="1">IF(A37&lt;&gt;0,(B37-(B36-D36))/(A37-A36),"")</f>
        <v>23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13</v>
      </c>
      <c r="B38" s="63">
        <v>89</v>
      </c>
      <c r="C38" s="63">
        <v>3</v>
      </c>
      <c r="D38" s="63">
        <v>0</v>
      </c>
      <c r="E38" s="54"/>
      <c r="F38" s="54"/>
      <c r="G38" s="54"/>
      <c r="H38" s="54"/>
      <c r="I38" s="56">
        <f t="shared" si="1"/>
        <v>17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16</v>
      </c>
      <c r="B39" s="63">
        <v>153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21.333333333333332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17</v>
      </c>
      <c r="B40" s="63">
        <v>176</v>
      </c>
      <c r="C40" s="63">
        <v>5</v>
      </c>
      <c r="D40" s="63">
        <v>43</v>
      </c>
      <c r="E40" s="54">
        <v>0.4</v>
      </c>
      <c r="F40" s="54">
        <v>0.34</v>
      </c>
      <c r="G40" s="54">
        <v>0.36</v>
      </c>
      <c r="H40" s="54"/>
      <c r="I40" s="52">
        <f t="shared" si="1"/>
        <v>23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18</v>
      </c>
      <c r="B41" s="63">
        <v>151</v>
      </c>
      <c r="C41" s="63">
        <v>6</v>
      </c>
      <c r="D41" s="63">
        <v>0</v>
      </c>
      <c r="E41" s="54"/>
      <c r="F41" s="54"/>
      <c r="G41" s="54"/>
      <c r="H41" s="54"/>
      <c r="I41" s="56">
        <f t="shared" si="1"/>
        <v>18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21</v>
      </c>
      <c r="B42" s="63">
        <v>212</v>
      </c>
      <c r="C42" s="63">
        <v>7</v>
      </c>
      <c r="D42" s="63">
        <v>0</v>
      </c>
      <c r="E42" s="54"/>
      <c r="F42" s="54"/>
      <c r="G42" s="54"/>
      <c r="H42" s="54"/>
      <c r="I42" s="56">
        <f t="shared" si="1"/>
        <v>20.333333333333332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>
        <v>22</v>
      </c>
      <c r="B43" s="63">
        <v>232</v>
      </c>
      <c r="C43" s="63">
        <v>8</v>
      </c>
      <c r="D43" s="63">
        <v>56</v>
      </c>
      <c r="E43" s="54">
        <v>0.6</v>
      </c>
      <c r="F43" s="54">
        <v>0.34</v>
      </c>
      <c r="G43" s="54">
        <v>0.26</v>
      </c>
      <c r="H43" s="54"/>
      <c r="I43" s="52">
        <f t="shared" si="1"/>
        <v>20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>
        <v>23</v>
      </c>
      <c r="B44" s="63">
        <v>192</v>
      </c>
      <c r="C44" s="63">
        <v>9</v>
      </c>
      <c r="D44" s="63">
        <v>0</v>
      </c>
      <c r="E44" s="54"/>
      <c r="F44" s="54"/>
      <c r="G44" s="54"/>
      <c r="H44" s="54"/>
      <c r="I44" s="52">
        <f t="shared" si="1"/>
        <v>16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>
        <v>26</v>
      </c>
      <c r="B45" s="63">
        <v>244</v>
      </c>
      <c r="C45" s="63">
        <v>10</v>
      </c>
      <c r="D45" s="63">
        <v>0</v>
      </c>
      <c r="E45" s="54"/>
      <c r="F45" s="54"/>
      <c r="G45" s="54"/>
      <c r="H45" s="54"/>
      <c r="I45" s="52">
        <f t="shared" si="1"/>
        <v>17.333333333333332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>
        <v>29</v>
      </c>
      <c r="B46" s="63">
        <v>293</v>
      </c>
      <c r="C46" s="63">
        <v>11</v>
      </c>
      <c r="D46" s="63">
        <v>0</v>
      </c>
      <c r="E46" s="54"/>
      <c r="F46" s="54"/>
      <c r="G46" s="54"/>
      <c r="H46" s="54"/>
      <c r="I46" s="52">
        <f t="shared" si="1"/>
        <v>16.333333333333332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>
        <v>30</v>
      </c>
      <c r="B47" s="63">
        <v>309</v>
      </c>
      <c r="C47" s="63">
        <v>12</v>
      </c>
      <c r="D47" s="63">
        <v>309</v>
      </c>
      <c r="E47" s="54">
        <v>0.8</v>
      </c>
      <c r="F47" s="54">
        <v>0.11</v>
      </c>
      <c r="G47" s="54">
        <v>0.09</v>
      </c>
      <c r="H47" s="54"/>
      <c r="I47" s="52">
        <f t="shared" si="1"/>
        <v>16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/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/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2" sqref="G22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Pin maritime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/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/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150.21793637331223</v>
      </c>
      <c r="T3" s="62">
        <f>IF('Données projet'!E9&gt;30,$R$33-$H$33,LOOKUP('Données projet'!$E$9,$A$3:$A$203,R3:R203)-LOOKUP('Données projet'!$E$9,$A$3:$A$203,$H$3:$H$203))</f>
        <v>364.59164590134486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7.5454545454545459</v>
      </c>
      <c r="N4" s="14">
        <f>IF('Données projet'!$A$36&gt;35,N3+M4-V3,IF(A4&lt;'Données projet'!$A$36,$K$205^A4,IF(A4='Données projet'!$A$36,'Données projet'!$B$36,N3+M4-V3)))</f>
        <v>1.4943820583928935</v>
      </c>
      <c r="O4" s="14">
        <f>N4*VLOOKUP('Données projet'!$B$9,Paramètres!$A$1:$I$89,3,0)*VLOOKUP('Données projet'!$B$9,Paramètres!$A$1:$I$89,5,0)</f>
        <v>0.89364047091895038</v>
      </c>
      <c r="P4" s="14">
        <f>EXP(-1.0587+0.8836*LN(O4)+0.284)</f>
        <v>0.41725306962072783</v>
      </c>
      <c r="Q4" s="22">
        <f t="shared" ref="Q4:Q34" si="2">(O4+P4)*0.475*44/12</f>
        <v>2.2831395831066059</v>
      </c>
      <c r="R4" s="62">
        <f t="shared" si="0"/>
        <v>295.61647291643993</v>
      </c>
      <c r="S4" s="62">
        <f ca="1">AVERAGE(OFFSET($R$3,0,0,'Données projet'!$E$9+1,1))-AVERAGE(OFFSET($H$3,0,0,'Données projet'!$E$9+1,1))</f>
        <v>150.21793637331223</v>
      </c>
      <c r="T4" s="62">
        <f>$T$3</f>
        <v>364.59164590134486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7.5454545454545459</v>
      </c>
      <c r="N5" s="14">
        <f>IF('Données projet'!$A$36&gt;35,N4+M5-V4,IF(A5&lt;'Données projet'!$A$36,$K$205^A5,IF(A5='Données projet'!$A$36,'Données projet'!$B$36,N4+M5-V4)))</f>
        <v>2.2331777364465815</v>
      </c>
      <c r="O5" s="14">
        <f>N5*VLOOKUP('Données projet'!$B$9,Paramètres!$A$1:$I$89,3,0)*VLOOKUP('Données projet'!$B$9,Paramètres!$A$1:$I$89,5,0)</f>
        <v>1.3354402863950559</v>
      </c>
      <c r="P5" s="14">
        <f t="shared" ref="P5:P68" si="33">EXP(-1.0587+0.8836*LN(O5)+0.284)</f>
        <v>0.59505053454406853</v>
      </c>
      <c r="Q5" s="22">
        <f t="shared" si="2"/>
        <v>3.3622715131356418</v>
      </c>
      <c r="R5" s="62">
        <f t="shared" si="0"/>
        <v>296.69560484646894</v>
      </c>
      <c r="S5" s="62">
        <f ca="1">AVERAGE(OFFSET($R$3,0,0,'Données projet'!$E$9+1,1))-AVERAGE(OFFSET($H$3,0,0,'Données projet'!$E$9+1,1))</f>
        <v>150.21793637331223</v>
      </c>
      <c r="T5" s="62">
        <f t="shared" ref="T5:T68" si="34">$T$3</f>
        <v>364.59164590134486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7.5454545454545459</v>
      </c>
      <c r="N6" s="14">
        <f>IF('Données projet'!$A$36&gt;35,N5+M6-V5,IF(A6&lt;'Données projet'!$A$36,$K$205^A6,IF(A6='Données projet'!$A$36,'Données projet'!$B$36,N5+M6-V5)))</f>
        <v>3.337220742548225</v>
      </c>
      <c r="O6" s="14">
        <f>N6*VLOOKUP('Données projet'!$B$9,Paramètres!$A$1:$I$89,3,0)*VLOOKUP('Données projet'!$B$9,Paramètres!$A$1:$I$89,5,0)</f>
        <v>1.9956580040438385</v>
      </c>
      <c r="P6" s="14">
        <f t="shared" si="33"/>
        <v>0.84861002696285914</v>
      </c>
      <c r="Q6" s="22">
        <f t="shared" si="2"/>
        <v>4.9537668206699985</v>
      </c>
      <c r="R6" s="62">
        <f t="shared" si="0"/>
        <v>298.28710015400333</v>
      </c>
      <c r="S6" s="62">
        <f ca="1">AVERAGE(OFFSET($R$3,0,0,'Données projet'!$E$9+1,1))-AVERAGE(OFFSET($H$3,0,0,'Données projet'!$E$9+1,1))</f>
        <v>150.21793637331223</v>
      </c>
      <c r="T6" s="62">
        <f t="shared" si="34"/>
        <v>364.59164590134486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7.5454545454545459</v>
      </c>
      <c r="N7" s="14">
        <f>IF('Données projet'!$A$36&gt;35,N6+M7-V6,IF(A7&lt;'Données projet'!$A$36,$K$205^A7,IF(A7='Données projet'!$A$36,'Données projet'!$B$36,N6+M7-V6)))</f>
        <v>4.9870828025606775</v>
      </c>
      <c r="O7" s="14">
        <f>N7*VLOOKUP('Données projet'!$B$9,Paramètres!$A$1:$I$89,3,0)*VLOOKUP('Données projet'!$B$9,Paramètres!$A$1:$I$89,5,0)</f>
        <v>2.9822755159312857</v>
      </c>
      <c r="P7" s="14">
        <f t="shared" si="33"/>
        <v>1.2102148238782438</v>
      </c>
      <c r="Q7" s="22">
        <f t="shared" si="2"/>
        <v>7.3019206751682626</v>
      </c>
      <c r="R7" s="62">
        <f t="shared" si="0"/>
        <v>300.63525400850159</v>
      </c>
      <c r="S7" s="62">
        <f ca="1">AVERAGE(OFFSET($R$3,0,0,'Données projet'!$E$9+1,1))-AVERAGE(OFFSET($H$3,0,0,'Données projet'!$E$9+1,1))</f>
        <v>150.21793637331223</v>
      </c>
      <c r="T7" s="62">
        <f t="shared" si="34"/>
        <v>364.59164590134486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7.5454545454545459</v>
      </c>
      <c r="N8" s="14">
        <f>IF('Données projet'!$A$36&gt;35,N7+M8-V7,IF(A8&lt;'Données projet'!$A$36,$K$205^A8,IF(A8='Données projet'!$A$36,'Données projet'!$B$36,N7+M8-V7)))</f>
        <v>7.4526070638664255</v>
      </c>
      <c r="O8" s="14">
        <f>N8*VLOOKUP('Données projet'!$B$9,Paramètres!$A$1:$I$89,3,0)*VLOOKUP('Données projet'!$B$9,Paramètres!$A$1:$I$89,5,0)</f>
        <v>4.4566590241921231</v>
      </c>
      <c r="P8" s="14">
        <f t="shared" si="33"/>
        <v>1.7259045655829262</v>
      </c>
      <c r="Q8" s="22">
        <f t="shared" si="2"/>
        <v>10.76796491885821</v>
      </c>
      <c r="R8" s="62">
        <f t="shared" si="0"/>
        <v>304.1012982521915</v>
      </c>
      <c r="S8" s="62">
        <f ca="1">AVERAGE(OFFSET($R$3,0,0,'Données projet'!$E$9+1,1))-AVERAGE(OFFSET($H$3,0,0,'Données projet'!$E$9+1,1))</f>
        <v>150.21793637331223</v>
      </c>
      <c r="T8" s="62">
        <f t="shared" si="34"/>
        <v>364.59164590134486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7.5454545454545459</v>
      </c>
      <c r="N9" s="14">
        <f>IF('Données projet'!$A$36&gt;35,N8+M9-V8,IF(A9&lt;'Données projet'!$A$36,$K$205^A9,IF(A9='Données projet'!$A$36,'Données projet'!$B$36,N8+M9-V8)))</f>
        <v>11.137042284494127</v>
      </c>
      <c r="O9" s="14">
        <f>N9*VLOOKUP('Données projet'!$B$9,Paramètres!$A$1:$I$89,3,0)*VLOOKUP('Données projet'!$B$9,Paramètres!$A$1:$I$89,5,0)</f>
        <v>6.6599512861274883</v>
      </c>
      <c r="P9" s="14">
        <f t="shared" si="33"/>
        <v>2.461337037629669</v>
      </c>
      <c r="Q9" s="22">
        <f t="shared" si="2"/>
        <v>15.886243830543714</v>
      </c>
      <c r="R9" s="62">
        <f t="shared" si="0"/>
        <v>309.21957716387703</v>
      </c>
      <c r="S9" s="62">
        <f ca="1">AVERAGE(OFFSET($R$3,0,0,'Données projet'!$E$9+1,1))-AVERAGE(OFFSET($H$3,0,0,'Données projet'!$E$9+1,1))</f>
        <v>150.21793637331223</v>
      </c>
      <c r="T9" s="62">
        <f t="shared" si="34"/>
        <v>364.59164590134486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7.5454545454545459</v>
      </c>
      <c r="N10" s="14">
        <f>IF('Données projet'!$A$36&gt;35,N9+M10-V9,IF(A10&lt;'Données projet'!$A$36,$K$205^A10,IF(A10='Données projet'!$A$36,'Données projet'!$B$36,N9+M10-V9)))</f>
        <v>16.642996173511026</v>
      </c>
      <c r="O10" s="14">
        <f>N10*VLOOKUP('Données projet'!$B$9,Paramètres!$A$1:$I$89,3,0)*VLOOKUP('Données projet'!$B$9,Paramètres!$A$1:$I$89,5,0)</f>
        <v>9.9525117117595947</v>
      </c>
      <c r="P10" s="14">
        <f t="shared" si="33"/>
        <v>3.5101477414317164</v>
      </c>
      <c r="Q10" s="22">
        <f t="shared" si="2"/>
        <v>23.447465214308199</v>
      </c>
      <c r="R10" s="62">
        <f t="shared" si="0"/>
        <v>316.7807985476415</v>
      </c>
      <c r="S10" s="62">
        <f ca="1">AVERAGE(OFFSET($R$3,0,0,'Données projet'!$E$9+1,1))-AVERAGE(OFFSET($H$3,0,0,'Données projet'!$E$9+1,1))</f>
        <v>150.21793637331223</v>
      </c>
      <c r="T10" s="62">
        <f t="shared" si="34"/>
        <v>364.59164590134486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7.5454545454545459</v>
      </c>
      <c r="N11" s="14">
        <f>IF('Données projet'!$A$36&gt;35,N10+M11-V10,IF(A11&lt;'Données projet'!$A$36,$K$205^A11,IF(A11='Données projet'!$A$36,'Données projet'!$B$36,N10+M11-V10)))</f>
        <v>24.870994879596463</v>
      </c>
      <c r="O11" s="14">
        <f>N11*VLOOKUP('Données projet'!$B$9,Paramètres!$A$1:$I$89,3,0)*VLOOKUP('Données projet'!$B$9,Paramètres!$A$1:$I$89,5,0)</f>
        <v>14.872854937998687</v>
      </c>
      <c r="P11" s="14">
        <f t="shared" si="33"/>
        <v>5.0058715967414829</v>
      </c>
      <c r="Q11" s="22">
        <f t="shared" si="2"/>
        <v>34.622115381339128</v>
      </c>
      <c r="R11" s="62">
        <f t="shared" si="0"/>
        <v>327.95544871467246</v>
      </c>
      <c r="S11" s="62">
        <f ca="1">AVERAGE(OFFSET($R$3,0,0,'Données projet'!$E$9+1,1))-AVERAGE(OFFSET($H$3,0,0,'Données projet'!$E$9+1,1))</f>
        <v>150.21793637331223</v>
      </c>
      <c r="T11" s="62">
        <f t="shared" si="34"/>
        <v>364.59164590134486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7.5454545454545459</v>
      </c>
      <c r="N12" s="14">
        <f>IF('Données projet'!$A$36&gt;35,N11+M12-V11,IF(A12&lt;'Données projet'!$A$36,$K$205^A12,IF(A12='Données projet'!$A$36,'Données projet'!$B$36,N11+M12-V11)))</f>
        <v>37.166768522450475</v>
      </c>
      <c r="O12" s="14">
        <f>N12*VLOOKUP('Données projet'!$B$9,Paramètres!$A$1:$I$89,3,0)*VLOOKUP('Données projet'!$B$9,Paramètres!$A$1:$I$89,5,0)</f>
        <v>22.225727576425388</v>
      </c>
      <c r="P12" s="14">
        <f t="shared" si="33"/>
        <v>7.1389446510425687</v>
      </c>
      <c r="Q12" s="22">
        <f t="shared" si="2"/>
        <v>51.143470796173354</v>
      </c>
      <c r="R12" s="62">
        <f t="shared" si="0"/>
        <v>344.47680412950666</v>
      </c>
      <c r="S12" s="62">
        <f ca="1">AVERAGE(OFFSET($R$3,0,0,'Données projet'!$E$9+1,1))-AVERAGE(OFFSET($H$3,0,0,'Données projet'!$E$9+1,1))</f>
        <v>150.21793637331223</v>
      </c>
      <c r="T12" s="62">
        <f t="shared" si="34"/>
        <v>364.59164590134486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7.5454545454545459</v>
      </c>
      <c r="N13" s="14">
        <f>IF('Données projet'!$A$36&gt;35,N12+M13-V12,IF(A13&lt;'Données projet'!$A$36,$K$205^A13,IF(A13='Données projet'!$A$36,'Données projet'!$B$36,N12+M13-V12)))</f>
        <v>55.541352048391744</v>
      </c>
      <c r="O13" s="14">
        <f>N13*VLOOKUP('Données projet'!$B$9,Paramètres!$A$1:$I$89,3,0)*VLOOKUP('Données projet'!$B$9,Paramètres!$A$1:$I$89,5,0)</f>
        <v>33.213728524938269</v>
      </c>
      <c r="P13" s="14">
        <f t="shared" si="33"/>
        <v>10.180950459021789</v>
      </c>
      <c r="Q13" s="22">
        <f t="shared" si="2"/>
        <v>75.579065897063757</v>
      </c>
      <c r="R13" s="62">
        <f t="shared" si="0"/>
        <v>368.91239923039706</v>
      </c>
      <c r="S13" s="62">
        <f ca="1">AVERAGE(OFFSET($R$3,0,0,'Données projet'!$E$9+1,1))-AVERAGE(OFFSET($H$3,0,0,'Données projet'!$E$9+1,1))</f>
        <v>150.21793637331223</v>
      </c>
      <c r="T13" s="62">
        <f t="shared" si="34"/>
        <v>364.59164590134486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>
        <f>VLOOKUP(A14,'Données projet'!$A$35:$I$55,2,0)</f>
        <v>83</v>
      </c>
      <c r="L14" s="13">
        <f>VLOOKUP(A14,'Données projet'!$A$35:$I$55,9,0)</f>
        <v>7.5454545454545459</v>
      </c>
      <c r="M14" s="13">
        <f t="array" ref="M14">INDEX(L:L,MIN(IF(ISNUMBER(L14:L210),ROW(L14:L210),"")))</f>
        <v>7.5454545454545459</v>
      </c>
      <c r="N14" s="14">
        <f>IF('Données projet'!$A$36&gt;35,N13+M14-V13,IF(A14&lt;'Données projet'!$A$36,$K$205^A14,IF(A14='Données projet'!$A$36,'Données projet'!$B$36,N13+M14-V13)))</f>
        <v>83</v>
      </c>
      <c r="O14" s="14">
        <f>N14*VLOOKUP('Données projet'!$B$9,Paramètres!$A$1:$I$89,3,0)*VLOOKUP('Données projet'!$B$9,Paramètres!$A$1:$I$89,5,0)</f>
        <v>49.634</v>
      </c>
      <c r="P14" s="14">
        <f t="shared" si="33"/>
        <v>14.519198189037462</v>
      </c>
      <c r="Q14" s="22">
        <f t="shared" si="2"/>
        <v>111.73348684590691</v>
      </c>
      <c r="R14" s="62">
        <f t="shared" si="0"/>
        <v>405.06682017924021</v>
      </c>
      <c r="S14" s="62">
        <f ca="1">AVERAGE(OFFSET($R$3,0,0,'Données projet'!$E$9+1,1))-AVERAGE(OFFSET($H$3,0,0,'Données projet'!$E$9+1,1))</f>
        <v>150.21793637331223</v>
      </c>
      <c r="T14" s="62">
        <f t="shared" si="34"/>
        <v>364.59164590134486</v>
      </c>
      <c r="U14" s="16">
        <f>IF(ISNA(VLOOKUP(A14,'Données projet'!$A$35:$I$55,3,0)),0,VLOOKUP(A14,'Données projet'!$A$35:$I$55,3,0))</f>
        <v>1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23</v>
      </c>
      <c r="M15" s="13">
        <f t="array" ref="M15">INDEX(L:L,MIN(IF(ISNUMBER(L15:L211),ROW(L15:L211),"")))</f>
        <v>23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150.21793637331223</v>
      </c>
      <c r="T15" s="62">
        <f t="shared" si="34"/>
        <v>364.59164590134486</v>
      </c>
      <c r="U15" s="16">
        <f>IF(ISNA(VLOOKUP(A15,'Données projet'!$A$35:$I$55,3,0)),0,VLOOKUP(A15,'Données projet'!$A$35:$I$55,3,0))</f>
        <v>2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9.0000000000000011E-2</v>
      </c>
      <c r="X15" s="17">
        <f>IF(ISNA(VLOOKUP(A15,'Données projet'!$A$35:$I$55,6,0)),0%,VLOOKUP(A15,'Données projet'!$A$35:$I$55,6,0)*VLOOKUP('Données projet'!$B$9,Paramètres!$A$1:$I$89,7,0))</f>
        <v>0.20250000000000001</v>
      </c>
      <c r="Y15" s="17">
        <f>IF(ISNA(VLOOKUP(A15,'Données projet'!$A$35:$I$55,7,0)),0%,VLOOKUP(A15,'Données projet'!$A$35:$I$55,7,0))</f>
        <v>0.35</v>
      </c>
      <c r="Z15" s="23">
        <f>EXP(-LN(2)/35)*Z14+(1-EXP(-LN(2)/35))/(LN(2)/35)*V15*W15*VLOOKUP('Données projet'!$B$9,Paramètres!$A$1:$I$89,3,0)*0.475*44/12</f>
        <v>2.4274537657197062</v>
      </c>
      <c r="AA15" s="23">
        <f>EXP(-LN(2)/25)*AA14+(1-EXP(-LN(2)/25))/(LN(2)/25)*Calculateur!V15*Calculateur!X15*VLOOKUP('Données projet'!$B$9,Paramètres!$A$1:$I$89,3,0)*0.475*44/12</f>
        <v>5.4402658994512558</v>
      </c>
      <c r="AB15" s="23">
        <f>EXP(-LN(2)/2)*AB14+(1-EXP(-LN(2)/2))/(LN(2)/2)*V15*Y15*VLOOKUP('Données projet'!$B$9,Paramètres!$A$1:$I$89,3,0)*0.475*44/12</f>
        <v>8.0571914756578362</v>
      </c>
      <c r="AC15" s="24">
        <f t="shared" si="3"/>
        <v>15.924911140828797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89</v>
      </c>
      <c r="L16" s="13">
        <f>VLOOKUP(A16,'Données projet'!$A$35:$I$55,9,0)</f>
        <v>17</v>
      </c>
      <c r="M16" s="13">
        <f t="array" ref="M16">INDEX(L:L,MIN(IF(ISNUMBER(L16:L212),ROW(L16:L212),"")))</f>
        <v>17</v>
      </c>
      <c r="N16" s="14">
        <f>IF('Données projet'!$A$36&gt;35,N15+M16-V15,IF(A16&lt;'Données projet'!$A$36,$K$205^A16,IF(A16='Données projet'!$A$36,'Données projet'!$B$36,N15+M16-V15)))</f>
        <v>89</v>
      </c>
      <c r="O16" s="14">
        <f>N16*VLOOKUP('Données projet'!$B$9,Paramètres!$A$1:$I$89,3,0)*VLOOKUP('Données projet'!$B$9,Paramètres!$A$1:$I$89,5,0)</f>
        <v>53.222000000000008</v>
      </c>
      <c r="P16" s="14">
        <f t="shared" si="33"/>
        <v>15.442806897867877</v>
      </c>
      <c r="Q16" s="22">
        <f t="shared" si="2"/>
        <v>119.59120534711991</v>
      </c>
      <c r="R16" s="62">
        <f t="shared" si="0"/>
        <v>412.92453868045322</v>
      </c>
      <c r="S16" s="62">
        <f ca="1">AVERAGE(OFFSET($R$3,0,0,'Données projet'!$E$9+1,1))-AVERAGE(OFFSET($H$3,0,0,'Données projet'!$E$9+1,1))</f>
        <v>150.21793637331223</v>
      </c>
      <c r="T16" s="62">
        <f t="shared" si="34"/>
        <v>364.59164590134486</v>
      </c>
      <c r="U16" s="16">
        <f>IF(ISNA(VLOOKUP(A16,'Données projet'!$A$35:$I$55,3,0)),0,VLOOKUP(A16,'Données projet'!$A$35:$I$55,3,0))</f>
        <v>3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2.3798528779745425</v>
      </c>
      <c r="AA16" s="23">
        <f>EXP(-LN(2)/25)*AA15+(1-EXP(-LN(2)/25))/(LN(2)/25)*Calculateur!V16*Calculateur!X16*VLOOKUP('Données projet'!$B$9,Paramètres!$A$1:$I$89,3,0)*0.475*44/12</f>
        <v>5.2915015423396117</v>
      </c>
      <c r="AB16" s="23">
        <f>EXP(-LN(2)/2)*AB15+(1-EXP(-LN(2)/2))/(LN(2)/2)*V16*Y16*VLOOKUP('Données projet'!$B$9,Paramètres!$A$1:$I$89,3,0)*0.475*44/12</f>
        <v>5.6972947297561021</v>
      </c>
      <c r="AC16" s="24">
        <f t="shared" si="3"/>
        <v>13.368649150070256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21.333333333333332</v>
      </c>
      <c r="N17" s="14">
        <f>IF('Données projet'!$A$36&gt;35,N16+M17-V16,IF(A17&lt;'Données projet'!$A$36,$K$205^A17,IF(A17='Données projet'!$A$36,'Données projet'!$B$36,N16+M17-V16)))</f>
        <v>110.33333333333333</v>
      </c>
      <c r="O17" s="14">
        <f>N17*VLOOKUP('Données projet'!$B$9,Paramètres!$A$1:$I$89,3,0)*VLOOKUP('Données projet'!$B$9,Paramètres!$A$1:$I$89,5,0)</f>
        <v>65.979333333333329</v>
      </c>
      <c r="P17" s="14">
        <f t="shared" si="33"/>
        <v>18.671572945509482</v>
      </c>
      <c r="Q17" s="22">
        <f t="shared" si="2"/>
        <v>147.43366176898456</v>
      </c>
      <c r="R17" s="62">
        <f t="shared" si="0"/>
        <v>440.76699510231788</v>
      </c>
      <c r="S17" s="62">
        <f ca="1">AVERAGE(OFFSET($R$3,0,0,'Données projet'!$E$9+1,1))-AVERAGE(OFFSET($H$3,0,0,'Données projet'!$E$9+1,1))</f>
        <v>150.21793637331223</v>
      </c>
      <c r="T17" s="62">
        <f t="shared" si="34"/>
        <v>364.59164590134486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2.3331854146043871</v>
      </c>
      <c r="AA17" s="23">
        <f>EXP(-LN(2)/25)*AA16+(1-EXP(-LN(2)/25))/(LN(2)/25)*Calculateur!V17*Calculateur!X17*VLOOKUP('Données projet'!$B$9,Paramètres!$A$1:$I$89,3,0)*0.475*44/12</f>
        <v>5.1468051543963629</v>
      </c>
      <c r="AB17" s="23">
        <f>EXP(-LN(2)/2)*AB16+(1-EXP(-LN(2)/2))/(LN(2)/2)*V17*Y17*VLOOKUP('Données projet'!$B$9,Paramètres!$A$1:$I$89,3,0)*0.475*44/12</f>
        <v>4.028595737828919</v>
      </c>
      <c r="AC17" s="24">
        <f t="shared" si="3"/>
        <v>11.508586306829669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21.333333333333332</v>
      </c>
      <c r="N18" s="14">
        <f>IF('Données projet'!$A$36&gt;35,N17+M18-V17,IF(A18&lt;'Données projet'!$A$36,$K$205^A18,IF(A18='Données projet'!$A$36,'Données projet'!$B$36,N17+M18-V17)))</f>
        <v>131.66666666666666</v>
      </c>
      <c r="O18" s="14">
        <f>N18*VLOOKUP('Données projet'!$B$9,Paramètres!$A$1:$I$89,3,0)*VLOOKUP('Données projet'!$B$9,Paramètres!$A$1:$I$89,5,0)</f>
        <v>78.736666666666665</v>
      </c>
      <c r="P18" s="14">
        <f t="shared" si="33"/>
        <v>21.828006984037042</v>
      </c>
      <c r="Q18" s="22">
        <f t="shared" si="2"/>
        <v>175.15013994164227</v>
      </c>
      <c r="R18" s="62">
        <f t="shared" si="0"/>
        <v>468.48347327497561</v>
      </c>
      <c r="S18" s="62">
        <f ca="1">AVERAGE(OFFSET($R$3,0,0,'Données projet'!$E$9+1,1))-AVERAGE(OFFSET($H$3,0,0,'Données projet'!$E$9+1,1))</f>
        <v>150.21793637331223</v>
      </c>
      <c r="T18" s="62">
        <f t="shared" si="34"/>
        <v>364.59164590134486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2.2874330717265781</v>
      </c>
      <c r="AA18" s="23">
        <f>EXP(-LN(2)/25)*AA17+(1-EXP(-LN(2)/25))/(LN(2)/25)*Calculateur!V18*Calculateur!X18*VLOOKUP('Données projet'!$B$9,Paramètres!$A$1:$I$89,3,0)*0.475*44/12</f>
        <v>5.0060654967906748</v>
      </c>
      <c r="AB18" s="23">
        <f>EXP(-LN(2)/2)*AB17+(1-EXP(-LN(2)/2))/(LN(2)/2)*V18*Y18*VLOOKUP('Données projet'!$B$9,Paramètres!$A$1:$I$89,3,0)*0.475*44/12</f>
        <v>2.8486473648780515</v>
      </c>
      <c r="AC18" s="24">
        <f t="shared" si="3"/>
        <v>10.142145933395303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153</v>
      </c>
      <c r="L19" s="13">
        <f>VLOOKUP(A19,'Données projet'!$A$35:$I$55,9,0)</f>
        <v>21.333333333333332</v>
      </c>
      <c r="M19" s="13">
        <f t="array" ref="M19">INDEX(L:L,MIN(IF(ISNUMBER(L19:L215),ROW(L19:L215),"")))</f>
        <v>21.333333333333332</v>
      </c>
      <c r="N19" s="14">
        <f>IF('Données projet'!$A$36&gt;35,N18+M19-V18,IF(A19&lt;'Données projet'!$A$36,$K$205^A19,IF(A19='Données projet'!$A$36,'Données projet'!$B$36,N18+M19-V18)))</f>
        <v>153</v>
      </c>
      <c r="O19" s="14">
        <f>N19*VLOOKUP('Données projet'!$B$9,Paramètres!$A$1:$I$89,3,0)*VLOOKUP('Données projet'!$B$9,Paramètres!$A$1:$I$89,5,0)</f>
        <v>91.494000000000014</v>
      </c>
      <c r="P19" s="14">
        <f t="shared" si="33"/>
        <v>24.925195840896542</v>
      </c>
      <c r="Q19" s="22">
        <f t="shared" si="2"/>
        <v>202.76343275622813</v>
      </c>
      <c r="R19" s="62">
        <f t="shared" si="0"/>
        <v>496.09676608956147</v>
      </c>
      <c r="S19" s="62">
        <f ca="1">AVERAGE(OFFSET($R$3,0,0,'Données projet'!$E$9+1,1))-AVERAGE(OFFSET($H$3,0,0,'Données projet'!$E$9+1,1))</f>
        <v>150.21793637331223</v>
      </c>
      <c r="T19" s="62">
        <f t="shared" si="34"/>
        <v>364.59164590134486</v>
      </c>
      <c r="U19" s="16">
        <f>IF(ISNA(VLOOKUP(A19,'Données projet'!$A$35:$I$55,3,0)),0,VLOOKUP(A19,'Données projet'!$A$35:$I$55,3,0))</f>
        <v>4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2.2425779043864296</v>
      </c>
      <c r="AA19" s="23">
        <f>EXP(-LN(2)/25)*AA18+(1-EXP(-LN(2)/25))/(LN(2)/25)*Calculateur!V19*Calculateur!X19*VLOOKUP('Données projet'!$B$9,Paramètres!$A$1:$I$89,3,0)*0.475*44/12</f>
        <v>4.8691743725233909</v>
      </c>
      <c r="AB19" s="23">
        <f>EXP(-LN(2)/2)*AB18+(1-EXP(-LN(2)/2))/(LN(2)/2)*V19*Y19*VLOOKUP('Données projet'!$B$9,Paramètres!$A$1:$I$89,3,0)*0.475*44/12</f>
        <v>2.0142978689144595</v>
      </c>
      <c r="AC19" s="24">
        <f t="shared" si="3"/>
        <v>9.12605014582428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23</v>
      </c>
      <c r="M20" s="13">
        <f t="array" ref="M20">INDEX(L:L,MIN(IF(ISNUMBER(L20:L216),ROW(L20:L216),"")))</f>
        <v>23</v>
      </c>
      <c r="N20" s="14">
        <f>IF('Données projet'!$A$36&gt;35,N19+M20-V19,IF(A20&lt;'Données projet'!$A$36,$K$205^A20,IF(A20='Données projet'!$A$36,'Données projet'!$B$36,N19+M20-V19)))</f>
        <v>176</v>
      </c>
      <c r="O20" s="14">
        <f>N20*VLOOKUP('Données projet'!$B$9,Paramètres!$A$1:$I$89,3,0)*VLOOKUP('Données projet'!$B$9,Paramètres!$A$1:$I$89,5,0)</f>
        <v>105.24800000000002</v>
      </c>
      <c r="P20" s="14">
        <f t="shared" si="33"/>
        <v>28.208515027560551</v>
      </c>
      <c r="Q20" s="22">
        <f t="shared" si="2"/>
        <v>232.43676367300131</v>
      </c>
      <c r="R20" s="62">
        <f t="shared" si="0"/>
        <v>525.77009700633459</v>
      </c>
      <c r="S20" s="62">
        <f ca="1">AVERAGE(OFFSET($R$3,0,0,'Données projet'!$E$9+1,1))-AVERAGE(OFFSET($H$3,0,0,'Données projet'!$E$9+1,1))</f>
        <v>150.21793637331223</v>
      </c>
      <c r="T20" s="62">
        <f t="shared" si="34"/>
        <v>364.59164590134486</v>
      </c>
      <c r="U20" s="16">
        <f>IF(ISNA(VLOOKUP(A20,'Données projet'!$A$35:$I$55,3,0)),0,VLOOKUP(A20,'Données projet'!$A$35:$I$55,3,0))</f>
        <v>5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0.18000000000000002</v>
      </c>
      <c r="X20" s="17">
        <f>IF(ISNA(VLOOKUP(A20,'Données projet'!$A$35:$I$55,6,0)),0%,VLOOKUP(A20,'Données projet'!$A$35:$I$55,6,0)*VLOOKUP('Données projet'!$B$9,Paramètres!$A$1:$I$89,7,0))</f>
        <v>0.15300000000000002</v>
      </c>
      <c r="Y20" s="17">
        <f>IF(ISNA(VLOOKUP(A20,'Données projet'!$A$35:$I$55,7,0)),0%,VLOOKUP(A20,'Données projet'!$A$35:$I$55,7,0))</f>
        <v>0.36</v>
      </c>
      <c r="Z20" s="23">
        <f>EXP(-LN(2)/35)*Z19+(1-EXP(-LN(2)/35))/(LN(2)/35)*V20*W20*VLOOKUP('Données projet'!$B$9,Paramètres!$A$1:$I$89,3,0)*0.475*44/12</f>
        <v>8.3386324328098915</v>
      </c>
      <c r="AA20" s="23">
        <f>EXP(-LN(2)/25)*AA19+(1-EXP(-LN(2)/25))/(LN(2)/25)*Calculateur!V20*Calculateur!X20*VLOOKUP('Données projet'!$B$9,Paramètres!$A$1:$I$89,3,0)*0.475*44/12</f>
        <v>9.9345028471680763</v>
      </c>
      <c r="AB20" s="23">
        <f>EXP(-LN(2)/2)*AB19+(1-EXP(-LN(2)/2))/(LN(2)/2)*V20*Y20*VLOOKUP('Données projet'!$B$9,Paramètres!$A$1:$I$89,3,0)*0.475*44/12</f>
        <v>11.905443349933421</v>
      </c>
      <c r="AC20" s="24">
        <f t="shared" si="3"/>
        <v>30.178578629911389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151</v>
      </c>
      <c r="L21" s="13">
        <f>VLOOKUP(A21,'Données projet'!$A$35:$I$55,9,0)</f>
        <v>18</v>
      </c>
      <c r="M21" s="13">
        <f t="array" ref="M21">INDEX(L:L,MIN(IF(ISNUMBER(L21:L217),ROW(L21:L217),"")))</f>
        <v>18</v>
      </c>
      <c r="N21" s="14">
        <f>IF('Données projet'!$A$36&gt;35,N20+M21-V20,IF(A21&lt;'Données projet'!$A$36,$K$205^A21,IF(A21='Données projet'!$A$36,'Données projet'!$B$36,N20+M21-V20)))</f>
        <v>151</v>
      </c>
      <c r="O21" s="14">
        <f>N21*VLOOKUP('Données projet'!$B$9,Paramètres!$A$1:$I$89,3,0)*VLOOKUP('Données projet'!$B$9,Paramètres!$A$1:$I$89,5,0)</f>
        <v>90.298000000000016</v>
      </c>
      <c r="P21" s="14">
        <f t="shared" si="33"/>
        <v>24.637081585210524</v>
      </c>
      <c r="Q21" s="22">
        <f t="shared" si="2"/>
        <v>200.17860042757502</v>
      </c>
      <c r="R21" s="62">
        <f t="shared" si="0"/>
        <v>493.51193376090833</v>
      </c>
      <c r="S21" s="62">
        <f ca="1">AVERAGE(OFFSET($R$3,0,0,'Données projet'!$E$9+1,1))-AVERAGE(OFFSET($H$3,0,0,'Données projet'!$E$9+1,1))</f>
        <v>150.21793637331223</v>
      </c>
      <c r="T21" s="62">
        <f t="shared" si="34"/>
        <v>364.59164590134486</v>
      </c>
      <c r="U21" s="16">
        <f>IF(ISNA(VLOOKUP(A21,'Données projet'!$A$35:$I$55,3,0)),0,VLOOKUP(A21,'Données projet'!$A$35:$I$55,3,0))</f>
        <v>6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8.1751169368660666</v>
      </c>
      <c r="AA21" s="23">
        <f>EXP(-LN(2)/25)*AA20+(1-EXP(-LN(2)/25))/(LN(2)/25)*Calculateur!V21*Calculateur!X21*VLOOKUP('Données projet'!$B$9,Paramètres!$A$1:$I$89,3,0)*0.475*44/12</f>
        <v>9.6628433443794659</v>
      </c>
      <c r="AB21" s="23">
        <f>EXP(-LN(2)/2)*AB20+(1-EXP(-LN(2)/2))/(LN(2)/2)*V21*Y21*VLOOKUP('Données projet'!$B$9,Paramètres!$A$1:$I$89,3,0)*0.475*44/12</f>
        <v>8.4184197257702102</v>
      </c>
      <c r="AC21" s="24">
        <f t="shared" si="3"/>
        <v>26.256380007015743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20.333333333333332</v>
      </c>
      <c r="N22" s="14">
        <f>IF('Données projet'!$A$36&gt;35,N21+M22-V21,IF(A22&lt;'Données projet'!$A$36,$K$205^A22,IF(A22='Données projet'!$A$36,'Données projet'!$B$36,N21+M22-V21)))</f>
        <v>171.33333333333334</v>
      </c>
      <c r="O22" s="14">
        <f>N22*VLOOKUP('Données projet'!$B$9,Paramètres!$A$1:$I$89,3,0)*VLOOKUP('Données projet'!$B$9,Paramètres!$A$1:$I$89,5,0)</f>
        <v>102.45733333333335</v>
      </c>
      <c r="P22" s="14">
        <f t="shared" si="33"/>
        <v>27.546593630300897</v>
      </c>
      <c r="Q22" s="22">
        <f t="shared" si="2"/>
        <v>226.42350612832965</v>
      </c>
      <c r="R22" s="62">
        <f t="shared" si="0"/>
        <v>519.75683946166293</v>
      </c>
      <c r="S22" s="62">
        <f ca="1">AVERAGE(OFFSET($R$3,0,0,'Données projet'!$E$9+1,1))-AVERAGE(OFFSET($H$3,0,0,'Données projet'!$E$9+1,1))</f>
        <v>150.21793637331223</v>
      </c>
      <c r="T22" s="62">
        <f t="shared" si="34"/>
        <v>364.59164590134486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8.0148078800630955</v>
      </c>
      <c r="AA22" s="23">
        <f>EXP(-LN(2)/25)*AA21+(1-EXP(-LN(2)/25))/(LN(2)/25)*Calculateur!V22*Calculateur!X22*VLOOKUP('Données projet'!$B$9,Paramètres!$A$1:$I$89,3,0)*0.475*44/12</f>
        <v>9.398612384980563</v>
      </c>
      <c r="AB22" s="23">
        <f>EXP(-LN(2)/2)*AB21+(1-EXP(-LN(2)/2))/(LN(2)/2)*V22*Y22*VLOOKUP('Données projet'!$B$9,Paramètres!$A$1:$I$89,3,0)*0.475*44/12</f>
        <v>5.9527216749667122</v>
      </c>
      <c r="AC22" s="24">
        <f t="shared" si="3"/>
        <v>23.366141940010372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20.333333333333332</v>
      </c>
      <c r="N23" s="14">
        <f>IF('Données projet'!$A$36&gt;35,N22+M23-V22,IF(A23&lt;'Données projet'!$A$36,$K$205^A23,IF(A23='Données projet'!$A$36,'Données projet'!$B$36,N22+M23-V22)))</f>
        <v>191.66666666666669</v>
      </c>
      <c r="O23" s="14">
        <f>N23*VLOOKUP('Données projet'!$B$9,Paramètres!$A$1:$I$89,3,0)*VLOOKUP('Données projet'!$B$9,Paramètres!$A$1:$I$89,5,0)</f>
        <v>114.61666666666669</v>
      </c>
      <c r="P23" s="14">
        <f t="shared" si="33"/>
        <v>30.416090935382968</v>
      </c>
      <c r="Q23" s="22">
        <f t="shared" si="2"/>
        <v>252.59871949023648</v>
      </c>
      <c r="R23" s="62">
        <f t="shared" si="0"/>
        <v>545.93205282356985</v>
      </c>
      <c r="S23" s="62">
        <f ca="1">AVERAGE(OFFSET($R$3,0,0,'Données projet'!$E$9+1,1))-AVERAGE(OFFSET($H$3,0,0,'Données projet'!$E$9+1,1))</f>
        <v>150.21793637331223</v>
      </c>
      <c r="T23" s="62">
        <f t="shared" si="34"/>
        <v>364.59164590134486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7.8576423860851605</v>
      </c>
      <c r="AA23" s="23">
        <f>EXP(-LN(2)/25)*AA22+(1-EXP(-LN(2)/25))/(LN(2)/25)*Calculateur!V23*Calculateur!X23*VLOOKUP('Données projet'!$B$9,Paramètres!$A$1:$I$89,3,0)*0.475*44/12</f>
        <v>9.1416068350617241</v>
      </c>
      <c r="AB23" s="23">
        <f>EXP(-LN(2)/2)*AB22+(1-EXP(-LN(2)/2))/(LN(2)/2)*V23*Y23*VLOOKUP('Données projet'!$B$9,Paramètres!$A$1:$I$89,3,0)*0.475*44/12</f>
        <v>4.209209862885106</v>
      </c>
      <c r="AC23" s="24">
        <f t="shared" si="3"/>
        <v>21.20845908403199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212</v>
      </c>
      <c r="L24" s="13">
        <f>VLOOKUP(A24,'Données projet'!$A$35:$I$55,9,0)</f>
        <v>20.333333333333332</v>
      </c>
      <c r="M24" s="13">
        <f t="array" ref="M24">INDEX(L:L,MIN(IF(ISNUMBER(L24:L220),ROW(L24:L220),"")))</f>
        <v>20.333333333333332</v>
      </c>
      <c r="N24" s="14">
        <f>IF('Données projet'!$A$36&gt;35,N23+M24-V23,IF(A24&lt;'Données projet'!$A$36,$K$205^A24,IF(A24='Données projet'!$A$36,'Données projet'!$B$36,N23+M24-V23)))</f>
        <v>212.00000000000003</v>
      </c>
      <c r="O24" s="14">
        <f>N24*VLOOKUP('Données projet'!$B$9,Paramètres!$A$1:$I$89,3,0)*VLOOKUP('Données projet'!$B$9,Paramètres!$A$1:$I$89,5,0)</f>
        <v>126.77600000000002</v>
      </c>
      <c r="P24" s="14">
        <f t="shared" si="33"/>
        <v>33.250302273150254</v>
      </c>
      <c r="Q24" s="22">
        <f t="shared" si="2"/>
        <v>278.7124764590701</v>
      </c>
      <c r="R24" s="62">
        <f t="shared" si="0"/>
        <v>572.04580979240336</v>
      </c>
      <c r="S24" s="62">
        <f ca="1">AVERAGE(OFFSET($R$3,0,0,'Données projet'!$E$9+1,1))-AVERAGE(OFFSET($H$3,0,0,'Données projet'!$E$9+1,1))</f>
        <v>150.21793637331223</v>
      </c>
      <c r="T24" s="62">
        <f t="shared" si="34"/>
        <v>364.59164590134486</v>
      </c>
      <c r="U24" s="16">
        <f>IF(ISNA(VLOOKUP(A24,'Données projet'!$A$35:$I$55,3,0)),0,VLOOKUP(A24,'Données projet'!$A$35:$I$55,3,0))</f>
        <v>7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7.7035588115826474</v>
      </c>
      <c r="AA24" s="23">
        <f>EXP(-LN(2)/25)*AA23+(1-EXP(-LN(2)/25))/(LN(2)/25)*Calculateur!V24*Calculateur!X24*VLOOKUP('Données projet'!$B$9,Paramètres!$A$1:$I$89,3,0)*0.475*44/12</f>
        <v>8.8916291154207521</v>
      </c>
      <c r="AB24" s="23">
        <f>EXP(-LN(2)/2)*AB23+(1-EXP(-LN(2)/2))/(LN(2)/2)*V24*Y24*VLOOKUP('Données projet'!$B$9,Paramètres!$A$1:$I$89,3,0)*0.475*44/12</f>
        <v>2.9763608374833566</v>
      </c>
      <c r="AC24" s="24">
        <f t="shared" si="3"/>
        <v>19.571548764486757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20</v>
      </c>
      <c r="M25" s="13">
        <f t="array" ref="M25">INDEX(L:L,MIN(IF(ISNUMBER(L25:L221),ROW(L25:L221),"")))</f>
        <v>20</v>
      </c>
      <c r="N25" s="14">
        <f>IF('Données projet'!$A$36&gt;35,N24+M25-V24,IF(A25&lt;'Données projet'!$A$36,$K$205^A25,IF(A25='Données projet'!$A$36,'Données projet'!$B$36,N24+M25-V24)))</f>
        <v>232.00000000000003</v>
      </c>
      <c r="O25" s="14">
        <f>N25*VLOOKUP('Données projet'!$B$9,Paramètres!$A$1:$I$89,3,0)*VLOOKUP('Données projet'!$B$9,Paramètres!$A$1:$I$89,5,0)</f>
        <v>138.73600000000002</v>
      </c>
      <c r="P25" s="14">
        <f t="shared" si="33"/>
        <v>36.007288175538044</v>
      </c>
      <c r="Q25" s="22">
        <f t="shared" si="2"/>
        <v>304.3445602390621</v>
      </c>
      <c r="R25" s="62">
        <f t="shared" si="0"/>
        <v>597.67789357239542</v>
      </c>
      <c r="S25" s="62">
        <f ca="1">AVERAGE(OFFSET($R$3,0,0,'Données projet'!$E$9+1,1))-AVERAGE(OFFSET($H$3,0,0,'Données projet'!$E$9+1,1))</f>
        <v>150.21793637331223</v>
      </c>
      <c r="T25" s="62">
        <f t="shared" si="34"/>
        <v>364.59164590134486</v>
      </c>
      <c r="U25" s="16">
        <f>IF(ISNA(VLOOKUP(A25,'Données projet'!$A$35:$I$55,3,0)),0,VLOOKUP(A25,'Données projet'!$A$35:$I$55,3,0))</f>
        <v>8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0.27</v>
      </c>
      <c r="X25" s="17">
        <f>IF(ISNA(VLOOKUP(A25,'Données projet'!$A$35:$I$55,6,0)),0%,VLOOKUP(A25,'Données projet'!$A$35:$I$55,6,0)*VLOOKUP('Données projet'!$B$9,Paramètres!$A$1:$I$89,7,0))</f>
        <v>0.15300000000000002</v>
      </c>
      <c r="Y25" s="17">
        <f>IF(ISNA(VLOOKUP(A25,'Données projet'!$A$35:$I$55,7,0)),0%,VLOOKUP(A25,'Données projet'!$A$35:$I$55,7,0))</f>
        <v>0.26</v>
      </c>
      <c r="Z25" s="23">
        <f>EXP(-LN(2)/35)*Z24+(1-EXP(-LN(2)/35))/(LN(2)/35)*V25*W25*VLOOKUP('Données projet'!$B$9,Paramètres!$A$1:$I$89,3,0)*0.475*44/12</f>
        <v>19.546974152609447</v>
      </c>
      <c r="AA25" s="23">
        <f>EXP(-LN(2)/25)*AA24+(1-EXP(-LN(2)/25))/(LN(2)/25)*Calculateur!V25*Calculateur!X25*VLOOKUP('Données projet'!$B$9,Paramètres!$A$1:$I$89,3,0)*0.475*44/12</f>
        <v>15.418595724541795</v>
      </c>
      <c r="AB25" s="23">
        <f>EXP(-LN(2)/2)*AB24+(1-EXP(-LN(2)/2))/(LN(2)/2)*V25*Y25*VLOOKUP('Données projet'!$B$9,Paramètres!$A$1:$I$89,3,0)*0.475*44/12</f>
        <v>11.96281567812979</v>
      </c>
      <c r="AC25" s="24">
        <f t="shared" si="3"/>
        <v>46.928385555281025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192</v>
      </c>
      <c r="L26" s="13">
        <f>VLOOKUP(A26,'Données projet'!$A$35:$I$55,9,0)</f>
        <v>16</v>
      </c>
      <c r="M26" s="13">
        <f t="array" ref="M26">INDEX(L:L,MIN(IF(ISNUMBER(L26:L222),ROW(L26:L222),"")))</f>
        <v>16</v>
      </c>
      <c r="N26" s="14">
        <f>IF('Données projet'!$A$36&gt;35,N25+M26-V25,IF(A26&lt;'Données projet'!$A$36,$K$205^A26,IF(A26='Données projet'!$A$36,'Données projet'!$B$36,N25+M26-V25)))</f>
        <v>192.00000000000003</v>
      </c>
      <c r="O26" s="14">
        <f>N26*VLOOKUP('Données projet'!$B$9,Paramètres!$A$1:$I$89,3,0)*VLOOKUP('Données projet'!$B$9,Paramètres!$A$1:$I$89,5,0)</f>
        <v>114.81600000000003</v>
      </c>
      <c r="P26" s="14">
        <f t="shared" si="33"/>
        <v>30.462826482209856</v>
      </c>
      <c r="Q26" s="22">
        <f t="shared" si="2"/>
        <v>253.02728945651555</v>
      </c>
      <c r="R26" s="62">
        <f t="shared" si="0"/>
        <v>546.36062278984889</v>
      </c>
      <c r="S26" s="62">
        <f ca="1">AVERAGE(OFFSET($R$3,0,0,'Données projet'!$E$9+1,1))-AVERAGE(OFFSET($H$3,0,0,'Données projet'!$E$9+1,1))</f>
        <v>150.21793637331223</v>
      </c>
      <c r="T26" s="62">
        <f t="shared" si="34"/>
        <v>364.59164590134486</v>
      </c>
      <c r="U26" s="16">
        <f>IF(ISNA(VLOOKUP(A26,'Données projet'!$A$35:$I$55,3,0)),0,VLOOKUP(A26,'Données projet'!$A$35:$I$55,3,0))</f>
        <v>9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19.163669911953761</v>
      </c>
      <c r="AA26" s="23">
        <f>EXP(-LN(2)/25)*AA25+(1-EXP(-LN(2)/25))/(LN(2)/25)*Calculateur!V26*Calculateur!X26*VLOOKUP('Données projet'!$B$9,Paramètres!$A$1:$I$89,3,0)*0.475*44/12</f>
        <v>14.99697341362549</v>
      </c>
      <c r="AB26" s="23">
        <f>EXP(-LN(2)/2)*AB25+(1-EXP(-LN(2)/2))/(LN(2)/2)*V26*Y26*VLOOKUP('Données projet'!$B$9,Paramètres!$A$1:$I$89,3,0)*0.475*44/12</f>
        <v>8.4589880880903223</v>
      </c>
      <c r="AC26" s="24">
        <f t="shared" si="3"/>
        <v>42.619631413669573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17.333333333333332</v>
      </c>
      <c r="N27" s="14">
        <f>IF('Données projet'!$A$36&gt;35,N26+M27-V26,IF(A27&lt;'Données projet'!$A$36,$K$205^A27,IF(A27='Données projet'!$A$36,'Données projet'!$B$36,N26+M27-V26)))</f>
        <v>209.33333333333337</v>
      </c>
      <c r="O27" s="14">
        <f>N27*VLOOKUP('Données projet'!$B$9,Paramètres!$A$1:$I$89,3,0)*VLOOKUP('Données projet'!$B$9,Paramètres!$A$1:$I$89,5,0)</f>
        <v>125.18133333333336</v>
      </c>
      <c r="P27" s="14">
        <f t="shared" si="33"/>
        <v>32.880471118482241</v>
      </c>
      <c r="Q27" s="22">
        <f t="shared" si="2"/>
        <v>275.29097608691217</v>
      </c>
      <c r="R27" s="62">
        <f t="shared" si="0"/>
        <v>568.62430942024548</v>
      </c>
      <c r="S27" s="62">
        <f ca="1">AVERAGE(OFFSET($R$3,0,0,'Données projet'!$E$9+1,1))-AVERAGE(OFFSET($H$3,0,0,'Données projet'!$E$9+1,1))</f>
        <v>150.21793637331223</v>
      </c>
      <c r="T27" s="62">
        <f t="shared" si="34"/>
        <v>364.59164590134486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18.787882033664832</v>
      </c>
      <c r="AA27" s="23">
        <f>EXP(-LN(2)/25)*AA26+(1-EXP(-LN(2)/25))/(LN(2)/25)*Calculateur!V27*Calculateur!X27*VLOOKUP('Données projet'!$B$9,Paramètres!$A$1:$I$89,3,0)*0.475*44/12</f>
        <v>14.586880386973345</v>
      </c>
      <c r="AB27" s="23">
        <f>EXP(-LN(2)/2)*AB26+(1-EXP(-LN(2)/2))/(LN(2)/2)*V27*Y27*VLOOKUP('Données projet'!$B$9,Paramètres!$A$1:$I$89,3,0)*0.475*44/12</f>
        <v>5.9814078390648957</v>
      </c>
      <c r="AC27" s="24">
        <f t="shared" si="3"/>
        <v>39.35617025970307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17.333333333333332</v>
      </c>
      <c r="N28" s="14">
        <f>IF('Données projet'!$A$36&gt;35,N27+M28-V27,IF(A28&lt;'Données projet'!$A$36,$K$205^A28,IF(A28='Données projet'!$A$36,'Données projet'!$B$36,N27+M28-V27)))</f>
        <v>226.66666666666671</v>
      </c>
      <c r="O28" s="14">
        <f>N28*VLOOKUP('Données projet'!$B$9,Paramètres!$A$1:$I$89,3,0)*VLOOKUP('Données projet'!$B$9,Paramètres!$A$1:$I$89,5,0)</f>
        <v>135.54666666666671</v>
      </c>
      <c r="P28" s="14">
        <f t="shared" si="33"/>
        <v>35.274897919211121</v>
      </c>
      <c r="Q28" s="22">
        <f t="shared" si="2"/>
        <v>297.51422498707058</v>
      </c>
      <c r="R28" s="62">
        <f t="shared" si="0"/>
        <v>590.84755832040389</v>
      </c>
      <c r="S28" s="62">
        <f ca="1">AVERAGE(OFFSET($R$3,0,0,'Données projet'!$E$9+1,1))-AVERAGE(OFFSET($H$3,0,0,'Données projet'!$E$9+1,1))</f>
        <v>150.21793637331223</v>
      </c>
      <c r="T28" s="62">
        <f t="shared" si="34"/>
        <v>364.59164590134486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18.419463126461178</v>
      </c>
      <c r="AA28" s="23">
        <f>EXP(-LN(2)/25)*AA27+(1-EXP(-LN(2)/25))/(LN(2)/25)*Calculateur!V28*Calculateur!X28*VLOOKUP('Données projet'!$B$9,Paramètres!$A$1:$I$89,3,0)*0.475*44/12</f>
        <v>14.188001375700859</v>
      </c>
      <c r="AB28" s="23">
        <f>EXP(-LN(2)/2)*AB27+(1-EXP(-LN(2)/2))/(LN(2)/2)*V28*Y28*VLOOKUP('Données projet'!$B$9,Paramètres!$A$1:$I$89,3,0)*0.475*44/12</f>
        <v>4.2294940440451612</v>
      </c>
      <c r="AC28" s="24">
        <f t="shared" si="3"/>
        <v>36.8369585462072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>
        <f>VLOOKUP(A29,'Données projet'!$A$35:$I$55,2,0)</f>
        <v>244</v>
      </c>
      <c r="L29" s="13">
        <f>VLOOKUP(A29,'Données projet'!$A$35:$I$55,9,0)</f>
        <v>17.333333333333332</v>
      </c>
      <c r="M29" s="13">
        <f t="array" ref="M29">INDEX(L:L,MIN(IF(ISNUMBER(L29:L225),ROW(L29:L225),"")))</f>
        <v>17.333333333333332</v>
      </c>
      <c r="N29" s="14">
        <f>IF('Données projet'!$A$36&gt;35,N28+M29-V28,IF(A29&lt;'Données projet'!$A$36,$K$205^A29,IF(A29='Données projet'!$A$36,'Données projet'!$B$36,N28+M29-V28)))</f>
        <v>244.00000000000006</v>
      </c>
      <c r="O29" s="14">
        <f>N29*VLOOKUP('Données projet'!$B$9,Paramètres!$A$1:$I$89,3,0)*VLOOKUP('Données projet'!$B$9,Paramètres!$A$1:$I$89,5,0)</f>
        <v>145.91200000000006</v>
      </c>
      <c r="P29" s="14">
        <f t="shared" si="33"/>
        <v>37.648084239987625</v>
      </c>
      <c r="Q29" s="22">
        <f t="shared" si="2"/>
        <v>319.7004800513119</v>
      </c>
      <c r="R29" s="62">
        <f t="shared" si="0"/>
        <v>613.03381338464521</v>
      </c>
      <c r="S29" s="62">
        <f ca="1">AVERAGE(OFFSET($R$3,0,0,'Données projet'!$E$9+1,1))-AVERAGE(OFFSET($H$3,0,0,'Données projet'!$E$9+1,1))</f>
        <v>150.21793637331223</v>
      </c>
      <c r="T29" s="62">
        <f t="shared" si="34"/>
        <v>364.59164590134486</v>
      </c>
      <c r="U29" s="16">
        <f>IF(ISNA(VLOOKUP(A29,'Données projet'!$A$35:$I$55,3,0)),0,VLOOKUP(A29,'Données projet'!$A$35:$I$55,3,0))</f>
        <v>10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18.058268689314442</v>
      </c>
      <c r="AA29" s="23">
        <f>EXP(-LN(2)/25)*AA28+(1-EXP(-LN(2)/25))/(LN(2)/25)*Calculateur!V29*Calculateur!X29*VLOOKUP('Données projet'!$B$9,Paramètres!$A$1:$I$89,3,0)*0.475*44/12</f>
        <v>13.800029731967754</v>
      </c>
      <c r="AB29" s="23">
        <f>EXP(-LN(2)/2)*AB28+(1-EXP(-LN(2)/2))/(LN(2)/2)*V29*Y29*VLOOKUP('Données projet'!$B$9,Paramètres!$A$1:$I$89,3,0)*0.475*44/12</f>
        <v>2.9907039195324479</v>
      </c>
      <c r="AC29" s="24">
        <f t="shared" si="3"/>
        <v>34.849002340814643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16.333333333333332</v>
      </c>
      <c r="N30" s="14">
        <f>IF('Données projet'!$A$36&gt;35,N29+M30-V29,IF(A30&lt;'Données projet'!$A$36,$K$205^A30,IF(A30='Données projet'!$A$36,'Données projet'!$B$36,N29+M30-V29)))</f>
        <v>260.33333333333337</v>
      </c>
      <c r="O30" s="14">
        <f>N30*VLOOKUP('Données projet'!$B$9,Paramètres!$A$1:$I$89,3,0)*VLOOKUP('Données projet'!$B$9,Paramètres!$A$1:$I$89,5,0)</f>
        <v>155.67933333333337</v>
      </c>
      <c r="P30" s="14">
        <f t="shared" si="33"/>
        <v>39.866429738373206</v>
      </c>
      <c r="Q30" s="22">
        <f t="shared" si="2"/>
        <v>340.57553734988892</v>
      </c>
      <c r="R30" s="62">
        <f t="shared" si="0"/>
        <v>633.90887068322218</v>
      </c>
      <c r="S30" s="62">
        <f ca="1">AVERAGE(OFFSET($R$3,0,0,'Données projet'!$E$9+1,1))-AVERAGE(OFFSET($H$3,0,0,'Données projet'!$E$9+1,1))</f>
        <v>150.21793637331223</v>
      </c>
      <c r="T30" s="62">
        <f t="shared" si="34"/>
        <v>364.59164590134486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17.704157054773297</v>
      </c>
      <c r="AA30" s="23">
        <f>EXP(-LN(2)/25)*AA29+(1-EXP(-LN(2)/25))/(LN(2)/25)*Calculateur!V30*Calculateur!X30*VLOOKUP('Données projet'!$B$9,Paramètres!$A$1:$I$89,3,0)*0.475*44/12</f>
        <v>13.422667193235073</v>
      </c>
      <c r="AB30" s="23">
        <f>EXP(-LN(2)/2)*AB29+(1-EXP(-LN(2)/2))/(LN(2)/2)*V30*Y30*VLOOKUP('Données projet'!$B$9,Paramètres!$A$1:$I$89,3,0)*0.475*44/12</f>
        <v>2.1147470220225806</v>
      </c>
      <c r="AC30" s="24">
        <f t="shared" si="3"/>
        <v>33.241571270030946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16.333333333333332</v>
      </c>
      <c r="N31" s="14">
        <f>IF('Données projet'!$A$36&gt;35,N30+M31-V30,IF(A31&lt;'Données projet'!$A$36,$K$205^A31,IF(A31='Données projet'!$A$36,'Données projet'!$B$36,N30+M31-V30)))</f>
        <v>276.66666666666669</v>
      </c>
      <c r="O31" s="14">
        <f>N31*VLOOKUP('Données projet'!$B$9,Paramètres!$A$1:$I$89,3,0)*VLOOKUP('Données projet'!$B$9,Paramètres!$A$1:$I$89,5,0)</f>
        <v>165.44666666666669</v>
      </c>
      <c r="P31" s="14">
        <f t="shared" si="33"/>
        <v>42.06862260999138</v>
      </c>
      <c r="Q31" s="22">
        <f t="shared" si="2"/>
        <v>361.42246215684605</v>
      </c>
      <c r="R31" s="62">
        <f t="shared" si="0"/>
        <v>654.75579549017937</v>
      </c>
      <c r="S31" s="62">
        <f ca="1">AVERAGE(OFFSET($R$3,0,0,'Données projet'!$E$9+1,1))-AVERAGE(OFFSET($H$3,0,0,'Données projet'!$E$9+1,1))</f>
        <v>150.21793637331223</v>
      </c>
      <c r="T31" s="62">
        <f t="shared" si="34"/>
        <v>364.59164590134486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17.356989333398737</v>
      </c>
      <c r="AA31" s="23">
        <f>EXP(-LN(2)/25)*AA30+(1-EXP(-LN(2)/25))/(LN(2)/25)*Calculateur!V31*Calculateur!X31*VLOOKUP('Données projet'!$B$9,Paramètres!$A$1:$I$89,3,0)*0.475*44/12</f>
        <v>13.05562365296867</v>
      </c>
      <c r="AB31" s="23">
        <f>EXP(-LN(2)/2)*AB30+(1-EXP(-LN(2)/2))/(LN(2)/2)*V31*Y31*VLOOKUP('Données projet'!$B$9,Paramètres!$A$1:$I$89,3,0)*0.475*44/12</f>
        <v>1.4953519597662239</v>
      </c>
      <c r="AC31" s="24">
        <f t="shared" si="3"/>
        <v>31.907964946133632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>
        <f>VLOOKUP(A32,'Données projet'!$A$35:$I$55,2,0)</f>
        <v>293</v>
      </c>
      <c r="L32" s="13">
        <f>VLOOKUP(A32,'Données projet'!$A$35:$I$55,9,0)</f>
        <v>16.333333333333332</v>
      </c>
      <c r="M32" s="13">
        <f t="array" ref="M32">INDEX(L:L,MIN(IF(ISNUMBER(L32:L228),ROW(L32:L228),"")))</f>
        <v>16.333333333333332</v>
      </c>
      <c r="N32" s="14">
        <f>IF('Données projet'!$A$36&gt;35,N31+M32-V31,IF(A32&lt;'Données projet'!$A$36,$K$205^A32,IF(A32='Données projet'!$A$36,'Données projet'!$B$36,N31+M32-V31)))</f>
        <v>293</v>
      </c>
      <c r="O32" s="14">
        <f>N32*VLOOKUP('Données projet'!$B$9,Paramètres!$A$1:$I$89,3,0)*VLOOKUP('Données projet'!$B$9,Paramètres!$A$1:$I$89,5,0)</f>
        <v>175.214</v>
      </c>
      <c r="P32" s="14">
        <f t="shared" si="33"/>
        <v>44.255725061661991</v>
      </c>
      <c r="Q32" s="22">
        <f t="shared" si="2"/>
        <v>382.24310448239459</v>
      </c>
      <c r="R32" s="62">
        <f t="shared" si="0"/>
        <v>675.5764378157279</v>
      </c>
      <c r="S32" s="62">
        <f ca="1">AVERAGE(OFFSET($R$3,0,0,'Données projet'!$E$9+1,1))-AVERAGE(OFFSET($H$3,0,0,'Données projet'!$E$9+1,1))</f>
        <v>150.21793637331223</v>
      </c>
      <c r="T32" s="62">
        <f t="shared" si="34"/>
        <v>364.59164590134486</v>
      </c>
      <c r="U32" s="16">
        <f>IF(ISNA(VLOOKUP(A32,'Données projet'!$A$35:$I$55,3,0)),0,VLOOKUP(A32,'Données projet'!$A$35:$I$55,3,0))</f>
        <v>11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17.016629359288928</v>
      </c>
      <c r="AA32" s="23">
        <f>EXP(-LN(2)/25)*AA31+(1-EXP(-LN(2)/25))/(LN(2)/25)*Calculateur!V32*Calculateur!X32*VLOOKUP('Données projet'!$B$9,Paramètres!$A$1:$I$89,3,0)*0.475*44/12</f>
        <v>12.698616937612833</v>
      </c>
      <c r="AB32" s="23">
        <f>EXP(-LN(2)/2)*AB31+(1-EXP(-LN(2)/2))/(LN(2)/2)*V32*Y32*VLOOKUP('Données projet'!$B$9,Paramètres!$A$1:$I$89,3,0)*0.475*44/12</f>
        <v>1.0573735110112903</v>
      </c>
      <c r="AC32" s="24">
        <f t="shared" si="3"/>
        <v>30.772619807913053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</v>
      </c>
      <c r="M33" s="13">
        <f t="array" ref="M33">INDEX(L:L,MIN(IF(ISNUMBER(L33:L229),ROW(L33:L229),"")))</f>
        <v>16</v>
      </c>
      <c r="N33" s="14">
        <f>IF('Données projet'!$A$36&gt;35,N32+M33-V32,IF(A33&lt;'Données projet'!$A$36,$K$205^A33,IF(A33='Données projet'!$A$36,'Données projet'!$B$36,N32+M33-V32)))</f>
        <v>309</v>
      </c>
      <c r="O33" s="14">
        <f>N33*VLOOKUP('Données projet'!$B$9,Paramètres!$A$1:$I$89,3,0)*VLOOKUP('Données projet'!$B$9,Paramètres!$A$1:$I$89,5,0)</f>
        <v>184.78200000000004</v>
      </c>
      <c r="P33" s="14">
        <f t="shared" si="33"/>
        <v>46.384464109944147</v>
      </c>
      <c r="Q33" s="22">
        <f t="shared" si="2"/>
        <v>402.61492499148608</v>
      </c>
      <c r="R33" s="62">
        <f t="shared" si="0"/>
        <v>695.94825832481934</v>
      </c>
      <c r="S33" s="62">
        <f ca="1">AVERAGE(OFFSET($R$3,0,0,'Données projet'!$E$9+1,1))-AVERAGE(OFFSET($H$3,0,0,'Données projet'!$E$9+1,1))</f>
        <v>150.21793637331223</v>
      </c>
      <c r="T33" s="62">
        <f t="shared" si="34"/>
        <v>364.59164590134486</v>
      </c>
      <c r="U33" s="16">
        <f>IF(ISNA(VLOOKUP(A33,'Données projet'!$A$35:$I$55,3,0)),0,VLOOKUP(A33,'Données projet'!$A$35:$I$55,3,0))</f>
        <v>12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0.36000000000000004</v>
      </c>
      <c r="X33" s="17">
        <f>IF(ISNA(VLOOKUP(A33,'Données projet'!$A$35:$I$55,6,0)),0%,VLOOKUP(A33,'Données projet'!$A$35:$I$55,6,0)*VLOOKUP('Données projet'!$B$9,Paramètres!$A$1:$I$89,7,0))</f>
        <v>4.9500000000000002E-2</v>
      </c>
      <c r="Y33" s="17">
        <f>IF(ISNA(VLOOKUP(A33,'Données projet'!$A$35:$I$55,7,0)),0%,VLOOKUP(A33,'Données projet'!$A$35:$I$55,7,0))</f>
        <v>0.09</v>
      </c>
      <c r="Z33" s="23">
        <f>EXP(-LN(2)/35)*Z32+(1-EXP(-LN(2)/35))/(LN(2)/35)*V33*W33*VLOOKUP('Données projet'!$B$9,Paramètres!$A$1:$I$89,3,0)*0.475*44/12</f>
        <v>104.92802759048283</v>
      </c>
      <c r="AA33" s="23">
        <f>EXP(-LN(2)/25)*AA32+(1-EXP(-LN(2)/25))/(LN(2)/25)*Calculateur!V33*Calculateur!X33*VLOOKUP('Données projet'!$B$9,Paramètres!$A$1:$I$89,3,0)*0.475*44/12</f>
        <v>24.437296636874869</v>
      </c>
      <c r="AB33" s="23">
        <f>EXP(-LN(2)/2)*AB32+(1-EXP(-LN(2)/2))/(LN(2)/2)*V33*Y33*VLOOKUP('Données projet'!$B$9,Paramètres!$A$1:$I$89,3,0)*0.475*44/12</f>
        <v>19.577129336021304</v>
      </c>
      <c r="AC33" s="24">
        <f t="shared" si="3"/>
        <v>148.94245356337899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150.21793637331223</v>
      </c>
      <c r="T34" s="62">
        <f t="shared" si="34"/>
        <v>364.59164590134486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102.87045296921083</v>
      </c>
      <c r="AA34" s="23">
        <f>EXP(-LN(2)/25)*AA33+(1-EXP(-LN(2)/25))/(LN(2)/25)*Calculateur!V34*Calculateur!X34*VLOOKUP('Données projet'!$B$9,Paramètres!$A$1:$I$89,3,0)*0.475*44/12</f>
        <v>23.769057475237947</v>
      </c>
      <c r="AB34" s="23">
        <f>EXP(-LN(2)/2)*AB33+(1-EXP(-LN(2)/2))/(LN(2)/2)*V34*Y34*VLOOKUP('Données projet'!$B$9,Paramètres!$A$1:$I$89,3,0)*0.475*44/12</f>
        <v>13.843120909666759</v>
      </c>
      <c r="AC34" s="24">
        <f t="shared" si="3"/>
        <v>140.48263135411554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150.21793637331223</v>
      </c>
      <c r="T35" s="62">
        <f t="shared" si="34"/>
        <v>364.59164590134486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100.85322613126539</v>
      </c>
      <c r="AA35" s="23">
        <f>EXP(-LN(2)/25)*AA34+(1-EXP(-LN(2)/25))/(LN(2)/25)*Calculateur!V35*Calculateur!X35*VLOOKUP('Données projet'!$B$9,Paramètres!$A$1:$I$89,3,0)*0.475*44/12</f>
        <v>23.119091348617157</v>
      </c>
      <c r="AB35" s="23">
        <f>EXP(-LN(2)/2)*AB34+(1-EXP(-LN(2)/2))/(LN(2)/2)*V35*Y35*VLOOKUP('Données projet'!$B$9,Paramètres!$A$1:$I$89,3,0)*0.475*44/12</f>
        <v>9.7885646680106539</v>
      </c>
      <c r="AC35" s="24">
        <f t="shared" si="3"/>
        <v>133.7608821478932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150.21793637331223</v>
      </c>
      <c r="T36" s="62">
        <f t="shared" si="34"/>
        <v>364.59164590134486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98.875555881225168</v>
      </c>
      <c r="AA36" s="23">
        <f>EXP(-LN(2)/25)*AA35+(1-EXP(-LN(2)/25))/(LN(2)/25)*Calculateur!V36*Calculateur!X36*VLOOKUP('Données projet'!$B$9,Paramètres!$A$1:$I$89,3,0)*0.475*44/12</f>
        <v>22.486898579909045</v>
      </c>
      <c r="AB36" s="23">
        <f>EXP(-LN(2)/2)*AB35+(1-EXP(-LN(2)/2))/(LN(2)/2)*V36*Y36*VLOOKUP('Données projet'!$B$9,Paramètres!$A$1:$I$89,3,0)*0.475*44/12</f>
        <v>6.9215604548333802</v>
      </c>
      <c r="AC36" s="24">
        <f t="shared" si="3"/>
        <v>128.28401491596759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150.21793637331223</v>
      </c>
      <c r="T37" s="62">
        <f t="shared" si="34"/>
        <v>364.59164590134486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96.936666538528499</v>
      </c>
      <c r="AA37" s="23">
        <f>EXP(-LN(2)/25)*AA36+(1-EXP(-LN(2)/25))/(LN(2)/25)*Calculateur!V37*Calculateur!X37*VLOOKUP('Données projet'!$B$9,Paramètres!$A$1:$I$89,3,0)*0.475*44/12</f>
        <v>21.871993155706832</v>
      </c>
      <c r="AB37" s="23">
        <f>EXP(-LN(2)/2)*AB36+(1-EXP(-LN(2)/2))/(LN(2)/2)*V37*Y37*VLOOKUP('Données projet'!$B$9,Paramètres!$A$1:$I$89,3,0)*0.475*44/12</f>
        <v>4.8942823340053279</v>
      </c>
      <c r="AC37" s="24">
        <f t="shared" si="3"/>
        <v>123.70294202824066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150.21793637331223</v>
      </c>
      <c r="T38" s="62">
        <f t="shared" si="34"/>
        <v>364.59164590134486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95.035797633236385</v>
      </c>
      <c r="AA38" s="23">
        <f>EXP(-LN(2)/25)*AA37+(1-EXP(-LN(2)/25))/(LN(2)/25)*Calculateur!V38*Calculateur!X38*VLOOKUP('Données projet'!$B$9,Paramètres!$A$1:$I$89,3,0)*0.475*44/12</f>
        <v>21.273902352665896</v>
      </c>
      <c r="AB38" s="23">
        <f>EXP(-LN(2)/2)*AB37+(1-EXP(-LN(2)/2))/(LN(2)/2)*V38*Y38*VLOOKUP('Données projet'!$B$9,Paramètres!$A$1:$I$89,3,0)*0.475*44/12</f>
        <v>3.4607802274166906</v>
      </c>
      <c r="AC38" s="24">
        <f t="shared" si="3"/>
        <v>119.77048021331898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150.21793637331223</v>
      </c>
      <c r="T39" s="62">
        <f t="shared" si="34"/>
        <v>364.59164590134486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93.172203607761503</v>
      </c>
      <c r="AA39" s="23">
        <f>EXP(-LN(2)/25)*AA38+(1-EXP(-LN(2)/25))/(LN(2)/25)*Calculateur!V39*Calculateur!X39*VLOOKUP('Données projet'!$B$9,Paramètres!$A$1:$I$89,3,0)*0.475*44/12</f>
        <v>20.692166374086344</v>
      </c>
      <c r="AB39" s="23">
        <f>EXP(-LN(2)/2)*AB38+(1-EXP(-LN(2)/2))/(LN(2)/2)*V39*Y39*VLOOKUP('Données projet'!$B$9,Paramètres!$A$1:$I$89,3,0)*0.475*44/12</f>
        <v>2.4471411670026644</v>
      </c>
      <c r="AC39" s="24">
        <f t="shared" si="3"/>
        <v>116.31151114885051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150.21793637331223</v>
      </c>
      <c r="T40" s="62">
        <f t="shared" si="34"/>
        <v>364.59164590134486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91.345153524446062</v>
      </c>
      <c r="AA40" s="23">
        <f>EXP(-LN(2)/25)*AA39+(1-EXP(-LN(2)/25))/(LN(2)/25)*Calculateur!V40*Calculateur!X40*VLOOKUP('Données projet'!$B$9,Paramètres!$A$1:$I$89,3,0)*0.475*44/12</f>
        <v>20.126337996433215</v>
      </c>
      <c r="AB40" s="23">
        <f>EXP(-LN(2)/2)*AB39+(1-EXP(-LN(2)/2))/(LN(2)/2)*V40*Y40*VLOOKUP('Données projet'!$B$9,Paramètres!$A$1:$I$89,3,0)*0.475*44/12</f>
        <v>1.7303901137083457</v>
      </c>
      <c r="AC40" s="24">
        <f t="shared" si="3"/>
        <v>113.20188163458764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150.21793637331223</v>
      </c>
      <c r="T41" s="62">
        <f t="shared" si="34"/>
        <v>364.59164590134486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89.553930778873919</v>
      </c>
      <c r="AA41" s="23">
        <f>EXP(-LN(2)/25)*AA40+(1-EXP(-LN(2)/25))/(LN(2)/25)*Calculateur!V41*Calculateur!X41*VLOOKUP('Données projet'!$B$9,Paramètres!$A$1:$I$89,3,0)*0.475*44/12</f>
        <v>19.575982225522633</v>
      </c>
      <c r="AB41" s="23">
        <f>EXP(-LN(2)/2)*AB40+(1-EXP(-LN(2)/2))/(LN(2)/2)*V41*Y41*VLOOKUP('Données projet'!$B$9,Paramètres!$A$1:$I$89,3,0)*0.475*44/12</f>
        <v>1.2235705835013324</v>
      </c>
      <c r="AC41" s="24">
        <f t="shared" si="3"/>
        <v>110.35348358789788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150.21793637331223</v>
      </c>
      <c r="T42" s="62">
        <f t="shared" si="34"/>
        <v>364.59164590134486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87.797832818804451</v>
      </c>
      <c r="AA42" s="23">
        <f>EXP(-LN(2)/25)*AA41+(1-EXP(-LN(2)/25))/(LN(2)/25)*Calculateur!V42*Calculateur!X42*VLOOKUP('Données projet'!$B$9,Paramètres!$A$1:$I$89,3,0)*0.475*44/12</f>
        <v>19.040675962109553</v>
      </c>
      <c r="AB42" s="23">
        <f>EXP(-LN(2)/2)*AB41+(1-EXP(-LN(2)/2))/(LN(2)/2)*V42*Y42*VLOOKUP('Données projet'!$B$9,Paramètres!$A$1:$I$89,3,0)*0.475*44/12</f>
        <v>0.86519505685417297</v>
      </c>
      <c r="AC42" s="24">
        <f t="shared" si="3"/>
        <v>107.70370383776817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150.21793637331223</v>
      </c>
      <c r="T43" s="62">
        <f t="shared" si="34"/>
        <v>364.59164590134486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86.07617086861795</v>
      </c>
      <c r="AA43" s="23">
        <f>EXP(-LN(2)/25)*AA42+(1-EXP(-LN(2)/25))/(LN(2)/25)*Calculateur!V43*Calculateur!X43*VLOOKUP('Données projet'!$B$9,Paramètres!$A$1:$I$89,3,0)*0.475*44/12</f>
        <v>18.520007676620036</v>
      </c>
      <c r="AB43" s="23">
        <f>EXP(-LN(2)/2)*AB42+(1-EXP(-LN(2)/2))/(LN(2)/2)*V43*Y43*VLOOKUP('Données projet'!$B$9,Paramètres!$A$1:$I$89,3,0)*0.475*44/12</f>
        <v>0.61178529175066632</v>
      </c>
      <c r="AC43" s="24">
        <f t="shared" si="3"/>
        <v>105.20796383698865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150.21793637331223</v>
      </c>
      <c r="T44" s="62">
        <f t="shared" si="34"/>
        <v>364.59164590134486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84.388269659164507</v>
      </c>
      <c r="AA44" s="23">
        <f>EXP(-LN(2)/25)*AA43+(1-EXP(-LN(2)/25))/(LN(2)/25)*Calculateur!V44*Calculateur!X44*VLOOKUP('Données projet'!$B$9,Paramètres!$A$1:$I$89,3,0)*0.475*44/12</f>
        <v>18.013577092777986</v>
      </c>
      <c r="AB44" s="23">
        <f>EXP(-LN(2)/2)*AB43+(1-EXP(-LN(2)/2))/(LN(2)/2)*V44*Y44*VLOOKUP('Données projet'!$B$9,Paramètres!$A$1:$I$89,3,0)*0.475*44/12</f>
        <v>0.4325975284270866</v>
      </c>
      <c r="AC44" s="24">
        <f t="shared" si="3"/>
        <v>102.83444428036957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150.21793637331223</v>
      </c>
      <c r="T45" s="62">
        <f t="shared" si="34"/>
        <v>364.59164590134486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82.733467162910372</v>
      </c>
      <c r="AA45" s="23">
        <f>EXP(-LN(2)/25)*AA44+(1-EXP(-LN(2)/25))/(LN(2)/25)*Calculateur!V45*Calculateur!X45*VLOOKUP('Données projet'!$B$9,Paramètres!$A$1:$I$89,3,0)*0.475*44/12</f>
        <v>17.520994879883123</v>
      </c>
      <c r="AB45" s="23">
        <f>EXP(-LN(2)/2)*AB44+(1-EXP(-LN(2)/2))/(LN(2)/2)*V45*Y45*VLOOKUP('Données projet'!$B$9,Paramètres!$A$1:$I$89,3,0)*0.475*44/12</f>
        <v>0.30589264587533321</v>
      </c>
      <c r="AC45" s="24">
        <f t="shared" si="3"/>
        <v>100.56035468866882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150.21793637331223</v>
      </c>
      <c r="T46" s="62">
        <f t="shared" si="34"/>
        <v>364.59164590134486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81.111114334277914</v>
      </c>
      <c r="AA46" s="23">
        <f>EXP(-LN(2)/25)*AA45+(1-EXP(-LN(2)/25))/(LN(2)/25)*Calculateur!V46*Calculateur!X46*VLOOKUP('Données projet'!$B$9,Paramètres!$A$1:$I$89,3,0)*0.475*44/12</f>
        <v>17.041882353503642</v>
      </c>
      <c r="AB46" s="23">
        <f>EXP(-LN(2)/2)*AB45+(1-EXP(-LN(2)/2))/(LN(2)/2)*V46*Y46*VLOOKUP('Données projet'!$B$9,Paramètres!$A$1:$I$89,3,0)*0.475*44/12</f>
        <v>0.21629876421354333</v>
      </c>
      <c r="AC46" s="24">
        <f t="shared" si="3"/>
        <v>98.3692954519951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150.21793637331223</v>
      </c>
      <c r="T47" s="62">
        <f t="shared" si="34"/>
        <v>364.59164590134486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79.520574855077427</v>
      </c>
      <c r="AA47" s="23">
        <f>EXP(-LN(2)/25)*AA46+(1-EXP(-LN(2)/25))/(LN(2)/25)*Calculateur!V47*Calculateur!X47*VLOOKUP('Données projet'!$B$9,Paramètres!$A$1:$I$89,3,0)*0.475*44/12</f>
        <v>16.575871184353442</v>
      </c>
      <c r="AB47" s="23">
        <f>EXP(-LN(2)/2)*AB46+(1-EXP(-LN(2)/2))/(LN(2)/2)*V47*Y47*VLOOKUP('Données projet'!$B$9,Paramètres!$A$1:$I$89,3,0)*0.475*44/12</f>
        <v>0.15294632293766663</v>
      </c>
      <c r="AC47" s="24">
        <f t="shared" si="3"/>
        <v>96.249392362368539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150.21793637331223</v>
      </c>
      <c r="T48" s="62">
        <f t="shared" si="34"/>
        <v>364.59164590134486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77.961224884930772</v>
      </c>
      <c r="AA48" s="23">
        <f>EXP(-LN(2)/25)*AA47+(1-EXP(-LN(2)/25))/(LN(2)/25)*Calculateur!V48*Calculateur!X48*VLOOKUP('Données projet'!$B$9,Paramètres!$A$1:$I$89,3,0)*0.475*44/12</f>
        <v>16.122603115130115</v>
      </c>
      <c r="AB48" s="23">
        <f>EXP(-LN(2)/2)*AB47+(1-EXP(-LN(2)/2))/(LN(2)/2)*V48*Y48*VLOOKUP('Données projet'!$B$9,Paramètres!$A$1:$I$89,3,0)*0.475*44/12</f>
        <v>0.10814938210677168</v>
      </c>
      <c r="AC48" s="24">
        <f t="shared" si="3"/>
        <v>94.191977382167664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150.21793637331223</v>
      </c>
      <c r="T49" s="62">
        <f t="shared" si="34"/>
        <v>364.59164590134486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76.432452816589119</v>
      </c>
      <c r="AA49" s="23">
        <f>EXP(-LN(2)/25)*AA48+(1-EXP(-LN(2)/25))/(LN(2)/25)*Calculateur!V49*Calculateur!X49*VLOOKUP('Données projet'!$B$9,Paramètres!$A$1:$I$89,3,0)*0.475*44/12</f>
        <v>15.681729685096032</v>
      </c>
      <c r="AB49" s="23">
        <f>EXP(-LN(2)/2)*AB48+(1-EXP(-LN(2)/2))/(LN(2)/2)*V49*Y49*VLOOKUP('Données projet'!$B$9,Paramètres!$A$1:$I$89,3,0)*0.475*44/12</f>
        <v>7.6473161468833317E-2</v>
      </c>
      <c r="AC49" s="24">
        <f t="shared" si="3"/>
        <v>92.19065566315399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150.21793637331223</v>
      </c>
      <c r="T50" s="62">
        <f t="shared" si="34"/>
        <v>364.59164590134486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74.933659036048766</v>
      </c>
      <c r="AA50" s="23">
        <f>EXP(-LN(2)/25)*AA49+(1-EXP(-LN(2)/25))/(LN(2)/25)*Calculateur!V50*Calculateur!X50*VLOOKUP('Données projet'!$B$9,Paramètres!$A$1:$I$89,3,0)*0.475*44/12</f>
        <v>15.252911962190758</v>
      </c>
      <c r="AB50" s="23">
        <f>EXP(-LN(2)/2)*AB49+(1-EXP(-LN(2)/2))/(LN(2)/2)*V50*Y50*VLOOKUP('Données projet'!$B$9,Paramètres!$A$1:$I$89,3,0)*0.475*44/12</f>
        <v>5.4074691053385839E-2</v>
      </c>
      <c r="AC50" s="24">
        <f t="shared" si="3"/>
        <v>90.240645689292904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150.21793637331223</v>
      </c>
      <c r="T51" s="62">
        <f t="shared" si="34"/>
        <v>364.59164590134486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73.464255687370866</v>
      </c>
      <c r="AA51" s="23">
        <f>EXP(-LN(2)/25)*AA50+(1-EXP(-LN(2)/25))/(LN(2)/25)*Calculateur!V51*Calculateur!X51*VLOOKUP('Données projet'!$B$9,Paramètres!$A$1:$I$89,3,0)*0.475*44/12</f>
        <v>14.835820282468873</v>
      </c>
      <c r="AB51" s="23">
        <f>EXP(-LN(2)/2)*AB50+(1-EXP(-LN(2)/2))/(LN(2)/2)*V51*Y51*VLOOKUP('Données projet'!$B$9,Paramètres!$A$1:$I$89,3,0)*0.475*44/12</f>
        <v>3.8236580734416659E-2</v>
      </c>
      <c r="AC51" s="24">
        <f t="shared" si="3"/>
        <v>88.338312550574159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150.21793637331223</v>
      </c>
      <c r="T52" s="62">
        <f t="shared" si="34"/>
        <v>364.59164590134486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72.023666442112997</v>
      </c>
      <c r="AA52" s="23">
        <f>EXP(-LN(2)/25)*AA51+(1-EXP(-LN(2)/25))/(LN(2)/25)*Calculateur!V52*Calculateur!X52*VLOOKUP('Données projet'!$B$9,Paramètres!$A$1:$I$89,3,0)*0.475*44/12</f>
        <v>14.430133996662882</v>
      </c>
      <c r="AB52" s="23">
        <f>EXP(-LN(2)/2)*AB51+(1-EXP(-LN(2)/2))/(LN(2)/2)*V52*Y52*VLOOKUP('Données projet'!$B$9,Paramètres!$A$1:$I$89,3,0)*0.475*44/12</f>
        <v>2.7037345526692919E-2</v>
      </c>
      <c r="AC52" s="24">
        <f t="shared" si="3"/>
        <v>86.48083778430258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150.21793637331223</v>
      </c>
      <c r="T53" s="62">
        <f t="shared" si="34"/>
        <v>364.59164590134486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70.611326273281961</v>
      </c>
      <c r="AA53" s="23">
        <f>EXP(-LN(2)/25)*AA52+(1-EXP(-LN(2)/25))/(LN(2)/25)*Calculateur!V53*Calculateur!X53*VLOOKUP('Données projet'!$B$9,Paramètres!$A$1:$I$89,3,0)*0.475*44/12</f>
        <v>14.035541223676368</v>
      </c>
      <c r="AB53" s="23">
        <f>EXP(-LN(2)/2)*AB52+(1-EXP(-LN(2)/2))/(LN(2)/2)*V53*Y53*VLOOKUP('Données projet'!$B$9,Paramètres!$A$1:$I$89,3,0)*0.475*44/12</f>
        <v>1.9118290367208329E-2</v>
      </c>
      <c r="AC53" s="24">
        <f t="shared" si="3"/>
        <v>84.665985787325525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150.21793637331223</v>
      </c>
      <c r="T54" s="62">
        <f t="shared" si="34"/>
        <v>364.59164590134486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69.226681233719248</v>
      </c>
      <c r="AA54" s="23">
        <f>EXP(-LN(2)/25)*AA53+(1-EXP(-LN(2)/25))/(LN(2)/25)*Calculateur!V54*Calculateur!X54*VLOOKUP('Données projet'!$B$9,Paramètres!$A$1:$I$89,3,0)*0.475*44/12</f>
        <v>13.651738610817905</v>
      </c>
      <c r="AB54" s="23">
        <f>EXP(-LN(2)/2)*AB53+(1-EXP(-LN(2)/2))/(LN(2)/2)*V54*Y54*VLOOKUP('Données projet'!$B$9,Paramètres!$A$1:$I$89,3,0)*0.475*44/12</f>
        <v>1.351867276334646E-2</v>
      </c>
      <c r="AC54" s="24">
        <f t="shared" si="3"/>
        <v>82.891938517300488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150.21793637331223</v>
      </c>
      <c r="T55" s="62">
        <f t="shared" si="34"/>
        <v>364.59164590134486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67.86918823883228</v>
      </c>
      <c r="AA55" s="23">
        <f>EXP(-LN(2)/25)*AA54+(1-EXP(-LN(2)/25))/(LN(2)/25)*Calculateur!V55*Calculateur!X55*VLOOKUP('Données projet'!$B$9,Paramètres!$A$1:$I$89,3,0)*0.475*44/12</f>
        <v>13.278431100591357</v>
      </c>
      <c r="AB55" s="23">
        <f>EXP(-LN(2)/2)*AB54+(1-EXP(-LN(2)/2))/(LN(2)/2)*V55*Y55*VLOOKUP('Données projet'!$B$9,Paramètres!$A$1:$I$89,3,0)*0.475*44/12</f>
        <v>9.5591451836041647E-3</v>
      </c>
      <c r="AC55" s="24">
        <f t="shared" si="3"/>
        <v>81.157178484607243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150.21793637331223</v>
      </c>
      <c r="T56" s="62">
        <f t="shared" si="34"/>
        <v>364.59164590134486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66.538314853586073</v>
      </c>
      <c r="AA56" s="23">
        <f>EXP(-LN(2)/25)*AA55+(1-EXP(-LN(2)/25))/(LN(2)/25)*Calculateur!V56*Calculateur!X56*VLOOKUP('Données projet'!$B$9,Paramètres!$A$1:$I$89,3,0)*0.475*44/12</f>
        <v>12.915331703863343</v>
      </c>
      <c r="AB56" s="23">
        <f>EXP(-LN(2)/2)*AB55+(1-EXP(-LN(2)/2))/(LN(2)/2)*V56*Y56*VLOOKUP('Données projet'!$B$9,Paramètres!$A$1:$I$89,3,0)*0.475*44/12</f>
        <v>6.7593363816732298E-3</v>
      </c>
      <c r="AC56" s="24">
        <f t="shared" si="3"/>
        <v>79.460405893831094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150.21793637331223</v>
      </c>
      <c r="T57" s="62">
        <f t="shared" si="34"/>
        <v>364.59164590134486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65.233539083671943</v>
      </c>
      <c r="AA57" s="23">
        <f>EXP(-LN(2)/25)*AA56+(1-EXP(-LN(2)/25))/(LN(2)/25)*Calculateur!V57*Calculateur!X57*VLOOKUP('Données projet'!$B$9,Paramètres!$A$1:$I$89,3,0)*0.475*44/12</f>
        <v>12.562161279233424</v>
      </c>
      <c r="AB57" s="23">
        <f>EXP(-LN(2)/2)*AB56+(1-EXP(-LN(2)/2))/(LN(2)/2)*V57*Y57*VLOOKUP('Données projet'!$B$9,Paramètres!$A$1:$I$89,3,0)*0.475*44/12</f>
        <v>4.7795725918020823E-3</v>
      </c>
      <c r="AC57" s="24">
        <f t="shared" si="3"/>
        <v>77.800479935497165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150.21793637331223</v>
      </c>
      <c r="T58" s="62">
        <f t="shared" si="34"/>
        <v>364.59164590134486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63.954349170771188</v>
      </c>
      <c r="AA58" s="23">
        <f>EXP(-LN(2)/25)*AA57+(1-EXP(-LN(2)/25))/(LN(2)/25)*Calculateur!V58*Calculateur!X58*VLOOKUP('Données projet'!$B$9,Paramètres!$A$1:$I$89,3,0)*0.475*44/12</f>
        <v>12.218648318437435</v>
      </c>
      <c r="AB58" s="23">
        <f>EXP(-LN(2)/2)*AB57+(1-EXP(-LN(2)/2))/(LN(2)/2)*V58*Y58*VLOOKUP('Données projet'!$B$9,Paramètres!$A$1:$I$89,3,0)*0.475*44/12</f>
        <v>3.3796681908366149E-3</v>
      </c>
      <c r="AC58" s="24">
        <f t="shared" si="3"/>
        <v>76.176377157399457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150.21793637331223</v>
      </c>
      <c r="T59" s="62">
        <f t="shared" si="34"/>
        <v>364.59164590134486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62.70024339183361</v>
      </c>
      <c r="AA59" s="23">
        <f>EXP(-LN(2)/25)*AA58+(1-EXP(-LN(2)/25))/(LN(2)/25)*Calculateur!V59*Calculateur!X59*VLOOKUP('Données projet'!$B$9,Paramètres!$A$1:$I$89,3,0)*0.475*44/12</f>
        <v>11.884528737618973</v>
      </c>
      <c r="AB59" s="23">
        <f>EXP(-LN(2)/2)*AB58+(1-EXP(-LN(2)/2))/(LN(2)/2)*V59*Y59*VLOOKUP('Données projet'!$B$9,Paramètres!$A$1:$I$89,3,0)*0.475*44/12</f>
        <v>2.3897862959010412E-3</v>
      </c>
      <c r="AC59" s="24">
        <f t="shared" si="3"/>
        <v>74.587161915748496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150.21793637331223</v>
      </c>
      <c r="T60" s="62">
        <f t="shared" si="34"/>
        <v>364.59164590134486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61.470729862292004</v>
      </c>
      <c r="AA60" s="23">
        <f>EXP(-LN(2)/25)*AA59+(1-EXP(-LN(2)/25))/(LN(2)/25)*Calculateur!V60*Calculateur!X60*VLOOKUP('Données projet'!$B$9,Paramètres!$A$1:$I$89,3,0)*0.475*44/12</f>
        <v>11.559545674308579</v>
      </c>
      <c r="AB60" s="23">
        <f>EXP(-LN(2)/2)*AB59+(1-EXP(-LN(2)/2))/(LN(2)/2)*V60*Y60*VLOOKUP('Données projet'!$B$9,Paramètres!$A$1:$I$89,3,0)*0.475*44/12</f>
        <v>1.6898340954183075E-3</v>
      </c>
      <c r="AC60" s="24">
        <f t="shared" si="3"/>
        <v>73.031965370696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150.21793637331223</v>
      </c>
      <c r="T61" s="62">
        <f t="shared" si="34"/>
        <v>364.59164590134486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60.265326343135506</v>
      </c>
      <c r="AA61" s="23">
        <f>EXP(-LN(2)/25)*AA60+(1-EXP(-LN(2)/25))/(LN(2)/25)*Calculateur!V61*Calculateur!X61*VLOOKUP('Données projet'!$B$9,Paramètres!$A$1:$I$89,3,0)*0.475*44/12</f>
        <v>11.243449289954523</v>
      </c>
      <c r="AB61" s="23">
        <f>EXP(-LN(2)/2)*AB60+(1-EXP(-LN(2)/2))/(LN(2)/2)*V61*Y61*VLOOKUP('Données projet'!$B$9,Paramètres!$A$1:$I$89,3,0)*0.475*44/12</f>
        <v>1.1948931479505206E-3</v>
      </c>
      <c r="AC61" s="24">
        <f t="shared" si="3"/>
        <v>71.509970526237979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150.21793637331223</v>
      </c>
      <c r="T62" s="62">
        <f t="shared" si="34"/>
        <v>364.59164590134486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59.083560051766113</v>
      </c>
      <c r="AA62" s="23">
        <f>EXP(-LN(2)/25)*AA61+(1-EXP(-LN(2)/25))/(LN(2)/25)*Calculateur!V62*Calculateur!X62*VLOOKUP('Données projet'!$B$9,Paramètres!$A$1:$I$89,3,0)*0.475*44/12</f>
        <v>10.935996577853416</v>
      </c>
      <c r="AB62" s="23">
        <f>EXP(-LN(2)/2)*AB61+(1-EXP(-LN(2)/2))/(LN(2)/2)*V62*Y62*VLOOKUP('Données projet'!$B$9,Paramètres!$A$1:$I$89,3,0)*0.475*44/12</f>
        <v>8.4491704770915373E-4</v>
      </c>
      <c r="AC62" s="24">
        <f t="shared" si="3"/>
        <v>70.020401546667244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150.21793637331223</v>
      </c>
      <c r="T63" s="62">
        <f t="shared" si="34"/>
        <v>364.59164590134486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57.924967476564213</v>
      </c>
      <c r="AA63" s="23">
        <f>EXP(-LN(2)/25)*AA62+(1-EXP(-LN(2)/25))/(LN(2)/25)*Calculateur!V63*Calculateur!X63*VLOOKUP('Données projet'!$B$9,Paramètres!$A$1:$I$89,3,0)*0.475*44/12</f>
        <v>10.636951176332948</v>
      </c>
      <c r="AB63" s="23">
        <f>EXP(-LN(2)/2)*AB62+(1-EXP(-LN(2)/2))/(LN(2)/2)*V63*Y63*VLOOKUP('Données projet'!$B$9,Paramètres!$A$1:$I$89,3,0)*0.475*44/12</f>
        <v>5.9744657397526029E-4</v>
      </c>
      <c r="AC63" s="24">
        <f t="shared" si="3"/>
        <v>68.562516099471139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150.21793637331223</v>
      </c>
      <c r="T64" s="62">
        <f t="shared" si="34"/>
        <v>364.59164590134486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56.789094195090328</v>
      </c>
      <c r="AA64" s="23">
        <f>EXP(-LN(2)/25)*AA63+(1-EXP(-LN(2)/25))/(LN(2)/25)*Calculateur!V64*Calculateur!X64*VLOOKUP('Données projet'!$B$9,Paramètres!$A$1:$I$89,3,0)*0.475*44/12</f>
        <v>10.346083187043172</v>
      </c>
      <c r="AB64" s="23">
        <f>EXP(-LN(2)/2)*AB63+(1-EXP(-LN(2)/2))/(LN(2)/2)*V64*Y64*VLOOKUP('Données projet'!$B$9,Paramètres!$A$1:$I$89,3,0)*0.475*44/12</f>
        <v>4.2245852385457686E-4</v>
      </c>
      <c r="AC64" s="24">
        <f t="shared" si="3"/>
        <v>67.135599840657363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150.21793637331223</v>
      </c>
      <c r="T65" s="62">
        <f t="shared" si="34"/>
        <v>364.59164590134486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55.675494695851853</v>
      </c>
      <c r="AA65" s="23">
        <f>EXP(-LN(2)/25)*AA64+(1-EXP(-LN(2)/25))/(LN(2)/25)*Calculateur!V65*Calculateur!X65*VLOOKUP('Données projet'!$B$9,Paramètres!$A$1:$I$89,3,0)*0.475*44/12</f>
        <v>10.063168998216607</v>
      </c>
      <c r="AB65" s="23">
        <f>EXP(-LN(2)/2)*AB64+(1-EXP(-LN(2)/2))/(LN(2)/2)*V65*Y65*VLOOKUP('Données projet'!$B$9,Paramètres!$A$1:$I$89,3,0)*0.475*44/12</f>
        <v>2.9872328698763015E-4</v>
      </c>
      <c r="AC65" s="24">
        <f t="shared" si="3"/>
        <v>65.738962417355452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150.21793637331223</v>
      </c>
      <c r="T66" s="62">
        <f t="shared" si="34"/>
        <v>364.59164590134486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54.583732203564821</v>
      </c>
      <c r="AA66" s="23">
        <f>EXP(-LN(2)/25)*AA65+(1-EXP(-LN(2)/25))/(LN(2)/25)*Calculateur!V66*Calculateur!X66*VLOOKUP('Données projet'!$B$9,Paramètres!$A$1:$I$89,3,0)*0.475*44/12</f>
        <v>9.7879911127613166</v>
      </c>
      <c r="AB66" s="23">
        <f>EXP(-LN(2)/2)*AB65+(1-EXP(-LN(2)/2))/(LN(2)/2)*V66*Y66*VLOOKUP('Données projet'!$B$9,Paramètres!$A$1:$I$89,3,0)*0.475*44/12</f>
        <v>2.1122926192728843E-4</v>
      </c>
      <c r="AC66" s="24">
        <f t="shared" si="3"/>
        <v>64.371934545588061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150.21793637331223</v>
      </c>
      <c r="T67" s="62">
        <f t="shared" si="34"/>
        <v>364.59164590134486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53.51337850784217</v>
      </c>
      <c r="AA67" s="23">
        <f>EXP(-LN(2)/25)*AA66+(1-EXP(-LN(2)/25))/(LN(2)/25)*Calculateur!V67*Calculateur!X67*VLOOKUP('Données projet'!$B$9,Paramètres!$A$1:$I$89,3,0)*0.475*44/12</f>
        <v>9.5203379810547766</v>
      </c>
      <c r="AB67" s="23">
        <f>EXP(-LN(2)/2)*AB66+(1-EXP(-LN(2)/2))/(LN(2)/2)*V67*Y67*VLOOKUP('Données projet'!$B$9,Paramètres!$A$1:$I$89,3,0)*0.475*44/12</f>
        <v>1.4936164349381507E-4</v>
      </c>
      <c r="AC67" s="24">
        <f t="shared" si="3"/>
        <v>63.033865850540437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150.21793637331223</v>
      </c>
      <c r="T68" s="62">
        <f t="shared" si="34"/>
        <v>364.59164590134486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52.46401379524135</v>
      </c>
      <c r="AA68" s="23">
        <f>EXP(-LN(2)/25)*AA67+(1-EXP(-LN(2)/25))/(LN(2)/25)*Calculateur!V68*Calculateur!X68*VLOOKUP('Données projet'!$B$9,Paramètres!$A$1:$I$89,3,0)*0.475*44/12</f>
        <v>9.2600038383100181</v>
      </c>
      <c r="AB68" s="23">
        <f>EXP(-LN(2)/2)*AB67+(1-EXP(-LN(2)/2))/(LN(2)/2)*V68*Y68*VLOOKUP('Données projet'!$B$9,Paramètres!$A$1:$I$89,3,0)*0.475*44/12</f>
        <v>1.0561463096364422E-4</v>
      </c>
      <c r="AC68" s="24">
        <f t="shared" ref="AC68:AC131" si="57">SUM(Z68:AB68)</f>
        <v>61.72412324818233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150.21793637331223</v>
      </c>
      <c r="T69" s="62">
        <f t="shared" ref="T69:T132" si="88">$T$3</f>
        <v>364.59164590134486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51.435226484605359</v>
      </c>
      <c r="AA69" s="23">
        <f>EXP(-LN(2)/25)*AA68+(1-EXP(-LN(2)/25))/(LN(2)/25)*Calculateur!V69*Calculateur!X69*VLOOKUP('Données projet'!$B$9,Paramètres!$A$1:$I$89,3,0)*0.475*44/12</f>
        <v>9.006788546388993</v>
      </c>
      <c r="AB69" s="23">
        <f>EXP(-LN(2)/2)*AB68+(1-EXP(-LN(2)/2))/(LN(2)/2)*V69*Y69*VLOOKUP('Données projet'!$B$9,Paramètres!$A$1:$I$89,3,0)*0.475*44/12</f>
        <v>7.4680821746907536E-5</v>
      </c>
      <c r="AC69" s="24">
        <f t="shared" si="57"/>
        <v>60.442089711816102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150.21793637331223</v>
      </c>
      <c r="T70" s="62">
        <f t="shared" si="88"/>
        <v>364.59164590134486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50.426613065632637</v>
      </c>
      <c r="AA70" s="23">
        <f>EXP(-LN(2)/25)*AA69+(1-EXP(-LN(2)/25))/(LN(2)/25)*Calculateur!V70*Calculateur!X70*VLOOKUP('Données projet'!$B$9,Paramètres!$A$1:$I$89,3,0)*0.475*44/12</f>
        <v>8.7604974399415614</v>
      </c>
      <c r="AB70" s="23">
        <f>EXP(-LN(2)/2)*AB69+(1-EXP(-LN(2)/2))/(LN(2)/2)*V70*Y70*VLOOKUP('Données projet'!$B$9,Paramètres!$A$1:$I$89,3,0)*0.475*44/12</f>
        <v>5.2807315481822108E-5</v>
      </c>
      <c r="AC70" s="24">
        <f t="shared" si="57"/>
        <v>59.18716331288968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150.21793637331223</v>
      </c>
      <c r="T71" s="62">
        <f t="shared" si="88"/>
        <v>364.59164590134486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49.437777940612527</v>
      </c>
      <c r="AA71" s="23">
        <f>EXP(-LN(2)/25)*AA70+(1-EXP(-LN(2)/25))/(LN(2)/25)*Calculateur!V71*Calculateur!X71*VLOOKUP('Données projet'!$B$9,Paramètres!$A$1:$I$89,3,0)*0.475*44/12</f>
        <v>8.5209411767518208</v>
      </c>
      <c r="AB71" s="23">
        <f>EXP(-LN(2)/2)*AB70+(1-EXP(-LN(2)/2))/(LN(2)/2)*V71*Y71*VLOOKUP('Données projet'!$B$9,Paramètres!$A$1:$I$89,3,0)*0.475*44/12</f>
        <v>3.7340410873453768E-5</v>
      </c>
      <c r="AC71" s="24">
        <f t="shared" si="57"/>
        <v>57.958756457775216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150.21793637331223</v>
      </c>
      <c r="T72" s="62">
        <f t="shared" si="88"/>
        <v>364.59164590134486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48.468333269264193</v>
      </c>
      <c r="AA72" s="23">
        <f>EXP(-LN(2)/25)*AA71+(1-EXP(-LN(2)/25))/(LN(2)/25)*Calculateur!V72*Calculateur!X72*VLOOKUP('Données projet'!$B$9,Paramètres!$A$1:$I$89,3,0)*0.475*44/12</f>
        <v>8.287935592176721</v>
      </c>
      <c r="AB72" s="23">
        <f>EXP(-LN(2)/2)*AB71+(1-EXP(-LN(2)/2))/(LN(2)/2)*V72*Y72*VLOOKUP('Données projet'!$B$9,Paramètres!$A$1:$I$89,3,0)*0.475*44/12</f>
        <v>2.6403657740911054E-5</v>
      </c>
      <c r="AC72" s="24">
        <f t="shared" si="57"/>
        <v>56.756295265098657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150.21793637331223</v>
      </c>
      <c r="T73" s="62">
        <f t="shared" si="88"/>
        <v>364.59164590134486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47.517898816618136</v>
      </c>
      <c r="AA73" s="23">
        <f>EXP(-LN(2)/25)*AA72+(1-EXP(-LN(2)/25))/(LN(2)/25)*Calculateur!V73*Calculateur!X73*VLOOKUP('Données projet'!$B$9,Paramètres!$A$1:$I$89,3,0)*0.475*44/12</f>
        <v>8.0613015575650575</v>
      </c>
      <c r="AB73" s="23">
        <f>EXP(-LN(2)/2)*AB72+(1-EXP(-LN(2)/2))/(LN(2)/2)*V73*Y73*VLOOKUP('Données projet'!$B$9,Paramètres!$A$1:$I$89,3,0)*0.475*44/12</f>
        <v>1.8670205436726884E-5</v>
      </c>
      <c r="AC73" s="24">
        <f t="shared" si="57"/>
        <v>55.57921904438863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150.21793637331223</v>
      </c>
      <c r="T74" s="62">
        <f t="shared" si="88"/>
        <v>364.59164590134486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46.586101803880695</v>
      </c>
      <c r="AA74" s="23">
        <f>EXP(-LN(2)/25)*AA73+(1-EXP(-LN(2)/25))/(LN(2)/25)*Calculateur!V74*Calculateur!X74*VLOOKUP('Données projet'!$B$9,Paramètres!$A$1:$I$89,3,0)*0.475*44/12</f>
        <v>7.8408648425480161</v>
      </c>
      <c r="AB74" s="23">
        <f>EXP(-LN(2)/2)*AB73+(1-EXP(-LN(2)/2))/(LN(2)/2)*V74*Y74*VLOOKUP('Données projet'!$B$9,Paramètres!$A$1:$I$89,3,0)*0.475*44/12</f>
        <v>1.3201828870455527E-5</v>
      </c>
      <c r="AC74" s="24">
        <f t="shared" si="57"/>
        <v>54.426979848257581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150.21793637331223</v>
      </c>
      <c r="T75" s="62">
        <f t="shared" si="88"/>
        <v>364.59164590134486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45.672576762222974</v>
      </c>
      <c r="AA75" s="23">
        <f>EXP(-LN(2)/25)*AA74+(1-EXP(-LN(2)/25))/(LN(2)/25)*Calculateur!V75*Calculateur!X75*VLOOKUP('Données projet'!$B$9,Paramètres!$A$1:$I$89,3,0)*0.475*44/12</f>
        <v>7.6264559810953791</v>
      </c>
      <c r="AB75" s="23">
        <f>EXP(-LN(2)/2)*AB74+(1-EXP(-LN(2)/2))/(LN(2)/2)*V75*Y75*VLOOKUP('Données projet'!$B$9,Paramètres!$A$1:$I$89,3,0)*0.475*44/12</f>
        <v>9.335102718363442E-6</v>
      </c>
      <c r="AC75" s="24">
        <f t="shared" si="57"/>
        <v>53.299042078421067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150.21793637331223</v>
      </c>
      <c r="T76" s="62">
        <f t="shared" si="88"/>
        <v>364.59164590134486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44.776965389436903</v>
      </c>
      <c r="AA76" s="23">
        <f>EXP(-LN(2)/25)*AA75+(1-EXP(-LN(2)/25))/(LN(2)/25)*Calculateur!V76*Calculateur!X76*VLOOKUP('Données projet'!$B$9,Paramètres!$A$1:$I$89,3,0)*0.475*44/12</f>
        <v>7.4179101412344366</v>
      </c>
      <c r="AB76" s="23">
        <f>EXP(-LN(2)/2)*AB75+(1-EXP(-LN(2)/2))/(LN(2)/2)*V76*Y76*VLOOKUP('Données projet'!$B$9,Paramètres!$A$1:$I$89,3,0)*0.475*44/12</f>
        <v>6.6009144352277635E-6</v>
      </c>
      <c r="AC76" s="24">
        <f t="shared" si="57"/>
        <v>52.194882131585771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150.21793637331223</v>
      </c>
      <c r="T77" s="62">
        <f t="shared" si="88"/>
        <v>364.59164590134486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43.898916409402169</v>
      </c>
      <c r="AA77" s="23">
        <f>EXP(-LN(2)/25)*AA76+(1-EXP(-LN(2)/25))/(LN(2)/25)*Calculateur!V77*Calculateur!X77*VLOOKUP('Données projet'!$B$9,Paramètres!$A$1:$I$89,3,0)*0.475*44/12</f>
        <v>7.2150669983314408</v>
      </c>
      <c r="AB77" s="23">
        <f>EXP(-LN(2)/2)*AB76+(1-EXP(-LN(2)/2))/(LN(2)/2)*V77*Y77*VLOOKUP('Données projet'!$B$9,Paramètres!$A$1:$I$89,3,0)*0.475*44/12</f>
        <v>4.667551359181721E-6</v>
      </c>
      <c r="AC77" s="24">
        <f t="shared" si="57"/>
        <v>51.113988075284972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150.21793637331223</v>
      </c>
      <c r="T78" s="62">
        <f t="shared" si="88"/>
        <v>364.59164590134486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43.038085434308918</v>
      </c>
      <c r="AA78" s="23">
        <f>EXP(-LN(2)/25)*AA77+(1-EXP(-LN(2)/25))/(LN(2)/25)*Calculateur!V78*Calculateur!X78*VLOOKUP('Données projet'!$B$9,Paramètres!$A$1:$I$89,3,0)*0.475*44/12</f>
        <v>7.0177706118381842</v>
      </c>
      <c r="AB78" s="23">
        <f>EXP(-LN(2)/2)*AB77+(1-EXP(-LN(2)/2))/(LN(2)/2)*V78*Y78*VLOOKUP('Données projet'!$B$9,Paramètres!$A$1:$I$89,3,0)*0.475*44/12</f>
        <v>3.3004572176138817E-6</v>
      </c>
      <c r="AC78" s="24">
        <f t="shared" si="57"/>
        <v>50.055859346604315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150.21793637331223</v>
      </c>
      <c r="T79" s="62">
        <f t="shared" si="88"/>
        <v>364.59164590134486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42.194134829582197</v>
      </c>
      <c r="AA79" s="23">
        <f>EXP(-LN(2)/25)*AA78+(1-EXP(-LN(2)/25))/(LN(2)/25)*Calculateur!V79*Calculateur!X79*VLOOKUP('Données projet'!$B$9,Paramètres!$A$1:$I$89,3,0)*0.475*44/12</f>
        <v>6.8258693054089523</v>
      </c>
      <c r="AB79" s="23">
        <f>EXP(-LN(2)/2)*AB78+(1-EXP(-LN(2)/2))/(LN(2)/2)*V79*Y79*VLOOKUP('Données projet'!$B$9,Paramètres!$A$1:$I$89,3,0)*0.475*44/12</f>
        <v>2.3337756795908605E-6</v>
      </c>
      <c r="AC79" s="24">
        <f t="shared" si="57"/>
        <v>49.02000646876683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150.21793637331223</v>
      </c>
      <c r="T80" s="62">
        <f t="shared" si="88"/>
        <v>364.59164590134486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41.366733581455129</v>
      </c>
      <c r="AA80" s="23">
        <f>EXP(-LN(2)/25)*AA79+(1-EXP(-LN(2)/25))/(LN(2)/25)*Calculateur!V80*Calculateur!X80*VLOOKUP('Données projet'!$B$9,Paramètres!$A$1:$I$89,3,0)*0.475*44/12</f>
        <v>6.6392155502956784</v>
      </c>
      <c r="AB80" s="23">
        <f>EXP(-LN(2)/2)*AB79+(1-EXP(-LN(2)/2))/(LN(2)/2)*V80*Y80*VLOOKUP('Données projet'!$B$9,Paramètres!$A$1:$I$89,3,0)*0.475*44/12</f>
        <v>1.6502286088069409E-6</v>
      </c>
      <c r="AC80" s="24">
        <f t="shared" si="57"/>
        <v>48.005950781979422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150.21793637331223</v>
      </c>
      <c r="T81" s="62">
        <f t="shared" si="88"/>
        <v>364.59164590134486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40.5555571671389</v>
      </c>
      <c r="AA81" s="23">
        <f>EXP(-LN(2)/25)*AA80+(1-EXP(-LN(2)/25))/(LN(2)/25)*Calculateur!V81*Calculateur!X81*VLOOKUP('Données projet'!$B$9,Paramètres!$A$1:$I$89,3,0)*0.475*44/12</f>
        <v>6.4576658519316714</v>
      </c>
      <c r="AB81" s="23">
        <f>EXP(-LN(2)/2)*AB80+(1-EXP(-LN(2)/2))/(LN(2)/2)*V81*Y81*VLOOKUP('Données projet'!$B$9,Paramètres!$A$1:$I$89,3,0)*0.475*44/12</f>
        <v>1.1668878397954303E-6</v>
      </c>
      <c r="AC81" s="24">
        <f t="shared" si="57"/>
        <v>47.013224185958414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150.21793637331223</v>
      </c>
      <c r="T82" s="62">
        <f t="shared" si="88"/>
        <v>364.59164590134486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39.760287427538657</v>
      </c>
      <c r="AA82" s="23">
        <f>EXP(-LN(2)/25)*AA81+(1-EXP(-LN(2)/25))/(LN(2)/25)*Calculateur!V82*Calculateur!X82*VLOOKUP('Données projet'!$B$9,Paramètres!$A$1:$I$89,3,0)*0.475*44/12</f>
        <v>6.2810806396167118</v>
      </c>
      <c r="AB82" s="23">
        <f>EXP(-LN(2)/2)*AB81+(1-EXP(-LN(2)/2))/(LN(2)/2)*V82*Y82*VLOOKUP('Données projet'!$B$9,Paramètres!$A$1:$I$89,3,0)*0.475*44/12</f>
        <v>8.2511430440347044E-7</v>
      </c>
      <c r="AC82" s="24">
        <f t="shared" si="57"/>
        <v>46.041368892269674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150.21793637331223</v>
      </c>
      <c r="T83" s="62">
        <f t="shared" si="88"/>
        <v>364.59164590134486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38.980612442465329</v>
      </c>
      <c r="AA83" s="23">
        <f>EXP(-LN(2)/25)*AA82+(1-EXP(-LN(2)/25))/(LN(2)/25)*Calculateur!V83*Calculateur!X83*VLOOKUP('Données projet'!$B$9,Paramètres!$A$1:$I$89,3,0)*0.475*44/12</f>
        <v>6.1093241592187173</v>
      </c>
      <c r="AB83" s="23">
        <f>EXP(-LN(2)/2)*AB82+(1-EXP(-LN(2)/2))/(LN(2)/2)*V83*Y83*VLOOKUP('Données projet'!$B$9,Paramètres!$A$1:$I$89,3,0)*0.475*44/12</f>
        <v>5.8344391989771513E-7</v>
      </c>
      <c r="AC83" s="24">
        <f t="shared" si="57"/>
        <v>45.089937185127965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150.21793637331223</v>
      </c>
      <c r="T84" s="62">
        <f t="shared" si="88"/>
        <v>364.59164590134486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38.216226408294503</v>
      </c>
      <c r="AA84" s="23">
        <f>EXP(-LN(2)/25)*AA83+(1-EXP(-LN(2)/25))/(LN(2)/25)*Calculateur!V84*Calculateur!X84*VLOOKUP('Données projet'!$B$9,Paramètres!$A$1:$I$89,3,0)*0.475*44/12</f>
        <v>5.9422643688094867</v>
      </c>
      <c r="AB84" s="23">
        <f>EXP(-LN(2)/2)*AB83+(1-EXP(-LN(2)/2))/(LN(2)/2)*V84*Y84*VLOOKUP('Données projet'!$B$9,Paramètres!$A$1:$I$89,3,0)*0.475*44/12</f>
        <v>4.1255715220173522E-7</v>
      </c>
      <c r="AC84" s="24">
        <f t="shared" si="57"/>
        <v>44.158491189661142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150.21793637331223</v>
      </c>
      <c r="T85" s="62">
        <f t="shared" si="88"/>
        <v>364.59164590134486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37.466829518024326</v>
      </c>
      <c r="AA85" s="23">
        <f>EXP(-LN(2)/25)*AA84+(1-EXP(-LN(2)/25))/(LN(2)/25)*Calculateur!V85*Calculateur!X85*VLOOKUP('Données projet'!$B$9,Paramètres!$A$1:$I$89,3,0)*0.475*44/12</f>
        <v>5.7797728371542894</v>
      </c>
      <c r="AB85" s="23">
        <f>EXP(-LN(2)/2)*AB84+(1-EXP(-LN(2)/2))/(LN(2)/2)*V85*Y85*VLOOKUP('Données projet'!$B$9,Paramètres!$A$1:$I$89,3,0)*0.475*44/12</f>
        <v>2.9172195994885756E-7</v>
      </c>
      <c r="AC85" s="24">
        <f t="shared" si="57"/>
        <v>43.246602646900577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150.21793637331223</v>
      </c>
      <c r="T86" s="62">
        <f t="shared" si="88"/>
        <v>364.59164590134486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36.732127843685376</v>
      </c>
      <c r="AA86" s="23">
        <f>EXP(-LN(2)/25)*AA85+(1-EXP(-LN(2)/25))/(LN(2)/25)*Calculateur!V86*Calculateur!X86*VLOOKUP('Données projet'!$B$9,Paramètres!$A$1:$I$89,3,0)*0.475*44/12</f>
        <v>5.6217246449772613</v>
      </c>
      <c r="AB86" s="23">
        <f>EXP(-LN(2)/2)*AB85+(1-EXP(-LN(2)/2))/(LN(2)/2)*V86*Y86*VLOOKUP('Données projet'!$B$9,Paramètres!$A$1:$I$89,3,0)*0.475*44/12</f>
        <v>2.0627857610086761E-7</v>
      </c>
      <c r="AC86" s="24">
        <f t="shared" si="57"/>
        <v>42.353852694941217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150.21793637331223</v>
      </c>
      <c r="T87" s="62">
        <f t="shared" si="88"/>
        <v>364.59164590134486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36.011833221056442</v>
      </c>
      <c r="AA87" s="23">
        <f>EXP(-LN(2)/25)*AA86+(1-EXP(-LN(2)/25))/(LN(2)/25)*Calculateur!V87*Calculateur!X87*VLOOKUP('Données projet'!$B$9,Paramètres!$A$1:$I$89,3,0)*0.475*44/12</f>
        <v>5.467998288926708</v>
      </c>
      <c r="AB87" s="23">
        <f>EXP(-LN(2)/2)*AB86+(1-EXP(-LN(2)/2))/(LN(2)/2)*V87*Y87*VLOOKUP('Données projet'!$B$9,Paramètres!$A$1:$I$89,3,0)*0.475*44/12</f>
        <v>1.4586097997442878E-7</v>
      </c>
      <c r="AC87" s="24">
        <f t="shared" si="57"/>
        <v>41.47983165584413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150.21793637331223</v>
      </c>
      <c r="T88" s="62">
        <f t="shared" si="88"/>
        <v>364.59164590134486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35.305663136640923</v>
      </c>
      <c r="AA88" s="23">
        <f>EXP(-LN(2)/25)*AA87+(1-EXP(-LN(2)/25))/(LN(2)/25)*Calculateur!V88*Calculateur!X88*VLOOKUP('Données projet'!$B$9,Paramètres!$A$1:$I$89,3,0)*0.475*44/12</f>
        <v>5.318475588166474</v>
      </c>
      <c r="AB88" s="23">
        <f>EXP(-LN(2)/2)*AB87+(1-EXP(-LN(2)/2))/(LN(2)/2)*V88*Y88*VLOOKUP('Données projet'!$B$9,Paramètres!$A$1:$I$89,3,0)*0.475*44/12</f>
        <v>1.031392880504338E-7</v>
      </c>
      <c r="AC88" s="24">
        <f t="shared" si="57"/>
        <v>40.62413882794668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150.21793637331223</v>
      </c>
      <c r="T89" s="62">
        <f t="shared" si="88"/>
        <v>364.59164590134486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34.613340616859567</v>
      </c>
      <c r="AA89" s="23">
        <f>EXP(-LN(2)/25)*AA88+(1-EXP(-LN(2)/25))/(LN(2)/25)*Calculateur!V89*Calculateur!X89*VLOOKUP('Données projet'!$B$9,Paramètres!$A$1:$I$89,3,0)*0.475*44/12</f>
        <v>5.1730415935215861</v>
      </c>
      <c r="AB89" s="23">
        <f>EXP(-LN(2)/2)*AB88+(1-EXP(-LN(2)/2))/(LN(2)/2)*V89*Y89*VLOOKUP('Données projet'!$B$9,Paramètres!$A$1:$I$89,3,0)*0.475*44/12</f>
        <v>7.2930489987214391E-8</v>
      </c>
      <c r="AC89" s="24">
        <f t="shared" si="57"/>
        <v>39.786382283311646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150.21793637331223</v>
      </c>
      <c r="T90" s="62">
        <f t="shared" si="88"/>
        <v>364.59164590134486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33.934594119416083</v>
      </c>
      <c r="AA90" s="23">
        <f>EXP(-LN(2)/25)*AA89+(1-EXP(-LN(2)/25))/(LN(2)/25)*Calculateur!V90*Calculateur!X90*VLOOKUP('Données projet'!$B$9,Paramètres!$A$1:$I$89,3,0)*0.475*44/12</f>
        <v>5.0315844991083036</v>
      </c>
      <c r="AB90" s="23">
        <f>EXP(-LN(2)/2)*AB89+(1-EXP(-LN(2)/2))/(LN(2)/2)*V90*Y90*VLOOKUP('Données projet'!$B$9,Paramètres!$A$1:$I$89,3,0)*0.475*44/12</f>
        <v>5.1569644025216902E-8</v>
      </c>
      <c r="AC90" s="24">
        <f t="shared" si="57"/>
        <v>38.966178670094031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150.21793637331223</v>
      </c>
      <c r="T91" s="62">
        <f t="shared" si="88"/>
        <v>364.59164590134486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33.269157426792979</v>
      </c>
      <c r="AA91" s="23">
        <f>EXP(-LN(2)/25)*AA90+(1-EXP(-LN(2)/25))/(LN(2)/25)*Calculateur!V91*Calculateur!X91*VLOOKUP('Données projet'!$B$9,Paramètres!$A$1:$I$89,3,0)*0.475*44/12</f>
        <v>4.8939955563806583</v>
      </c>
      <c r="AB91" s="23">
        <f>EXP(-LN(2)/2)*AB90+(1-EXP(-LN(2)/2))/(LN(2)/2)*V91*Y91*VLOOKUP('Données projet'!$B$9,Paramètres!$A$1:$I$89,3,0)*0.475*44/12</f>
        <v>3.6465244993607195E-8</v>
      </c>
      <c r="AC91" s="24">
        <f t="shared" si="57"/>
        <v>38.163153019638884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150.21793637331223</v>
      </c>
      <c r="T92" s="62">
        <f t="shared" si="88"/>
        <v>364.59164590134486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32.616769541835914</v>
      </c>
      <c r="AA92" s="23">
        <f>EXP(-LN(2)/25)*AA91+(1-EXP(-LN(2)/25))/(LN(2)/25)*Calculateur!V92*Calculateur!X92*VLOOKUP('Données projet'!$B$9,Paramètres!$A$1:$I$89,3,0)*0.475*44/12</f>
        <v>4.7601689905273883</v>
      </c>
      <c r="AB92" s="23">
        <f>EXP(-LN(2)/2)*AB91+(1-EXP(-LN(2)/2))/(LN(2)/2)*V92*Y92*VLOOKUP('Données projet'!$B$9,Paramètres!$A$1:$I$89,3,0)*0.475*44/12</f>
        <v>2.5784822012608451E-8</v>
      </c>
      <c r="AC92" s="24">
        <f t="shared" si="57"/>
        <v>37.376938558148126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150.21793637331223</v>
      </c>
      <c r="T93" s="62">
        <f t="shared" si="88"/>
        <v>364.59164590134486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31.977174585385537</v>
      </c>
      <c r="AA93" s="23">
        <f>EXP(-LN(2)/25)*AA92+(1-EXP(-LN(2)/25))/(LN(2)/25)*Calculateur!V93*Calculateur!X93*VLOOKUP('Données projet'!$B$9,Paramètres!$A$1:$I$89,3,0)*0.475*44/12</f>
        <v>4.630001919155009</v>
      </c>
      <c r="AB93" s="23">
        <f>EXP(-LN(2)/2)*AB92+(1-EXP(-LN(2)/2))/(LN(2)/2)*V93*Y93*VLOOKUP('Données projet'!$B$9,Paramètres!$A$1:$I$89,3,0)*0.475*44/12</f>
        <v>1.8232622496803598E-8</v>
      </c>
      <c r="AC93" s="24">
        <f t="shared" si="57"/>
        <v>36.607176522773166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150.21793637331223</v>
      </c>
      <c r="T94" s="62">
        <f t="shared" si="88"/>
        <v>364.59164590134486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31.350121695916748</v>
      </c>
      <c r="AA94" s="23">
        <f>EXP(-LN(2)/25)*AA93+(1-EXP(-LN(2)/25))/(LN(2)/25)*Calculateur!V94*Calculateur!X94*VLOOKUP('Données projet'!$B$9,Paramètres!$A$1:$I$89,3,0)*0.475*44/12</f>
        <v>4.5033942731944965</v>
      </c>
      <c r="AB94" s="23">
        <f>EXP(-LN(2)/2)*AB93+(1-EXP(-LN(2)/2))/(LN(2)/2)*V94*Y94*VLOOKUP('Données projet'!$B$9,Paramètres!$A$1:$I$89,3,0)*0.475*44/12</f>
        <v>1.2892411006304226E-8</v>
      </c>
      <c r="AC94" s="24">
        <f t="shared" si="57"/>
        <v>35.853515982003657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150.21793637331223</v>
      </c>
      <c r="T95" s="62">
        <f t="shared" si="88"/>
        <v>364.59164590134486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30.735364931145945</v>
      </c>
      <c r="AA95" s="23">
        <f>EXP(-LN(2)/25)*AA94+(1-EXP(-LN(2)/25))/(LN(2)/25)*Calculateur!V95*Calculateur!X95*VLOOKUP('Données projet'!$B$9,Paramètres!$A$1:$I$89,3,0)*0.475*44/12</f>
        <v>4.3802487199707807</v>
      </c>
      <c r="AB95" s="23">
        <f>EXP(-LN(2)/2)*AB94+(1-EXP(-LN(2)/2))/(LN(2)/2)*V95*Y95*VLOOKUP('Données projet'!$B$9,Paramètres!$A$1:$I$89,3,0)*0.475*44/12</f>
        <v>9.1163112484017989E-9</v>
      </c>
      <c r="AC95" s="24">
        <f t="shared" si="57"/>
        <v>35.115613660233038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150.21793637331223</v>
      </c>
      <c r="T96" s="62">
        <f t="shared" si="88"/>
        <v>364.59164590134486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30.132663171567696</v>
      </c>
      <c r="AA96" s="23">
        <f>EXP(-LN(2)/25)*AA95+(1-EXP(-LN(2)/25))/(LN(2)/25)*Calculateur!V96*Calculateur!X96*VLOOKUP('Données projet'!$B$9,Paramètres!$A$1:$I$89,3,0)*0.475*44/12</f>
        <v>4.2604705883759104</v>
      </c>
      <c r="AB96" s="23">
        <f>EXP(-LN(2)/2)*AB95+(1-EXP(-LN(2)/2))/(LN(2)/2)*V96*Y96*VLOOKUP('Données projet'!$B$9,Paramètres!$A$1:$I$89,3,0)*0.475*44/12</f>
        <v>6.4462055031521128E-9</v>
      </c>
      <c r="AC96" s="24">
        <f t="shared" si="57"/>
        <v>34.393133766389816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150.21793637331223</v>
      </c>
      <c r="T97" s="62">
        <f t="shared" si="88"/>
        <v>364.59164590134486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29.541780025883003</v>
      </c>
      <c r="AA97" s="23">
        <f>EXP(-LN(2)/25)*AA96+(1-EXP(-LN(2)/25))/(LN(2)/25)*Calculateur!V97*Calculateur!X97*VLOOKUP('Données projet'!$B$9,Paramètres!$A$1:$I$89,3,0)*0.475*44/12</f>
        <v>4.1439677960883605</v>
      </c>
      <c r="AB97" s="23">
        <f>EXP(-LN(2)/2)*AB96+(1-EXP(-LN(2)/2))/(LN(2)/2)*V97*Y97*VLOOKUP('Données projet'!$B$9,Paramètres!$A$1:$I$89,3,0)*0.475*44/12</f>
        <v>4.5581556242008994E-9</v>
      </c>
      <c r="AC97" s="24">
        <f t="shared" si="57"/>
        <v>33.685747826529514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150.21793637331223</v>
      </c>
      <c r="T98" s="62">
        <f t="shared" si="88"/>
        <v>364.59164590134486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28.962483738282053</v>
      </c>
      <c r="AA98" s="23">
        <f>EXP(-LN(2)/25)*AA97+(1-EXP(-LN(2)/25))/(LN(2)/25)*Calculateur!V98*Calculateur!X98*VLOOKUP('Données projet'!$B$9,Paramètres!$A$1:$I$89,3,0)*0.475*44/12</f>
        <v>4.0306507787825288</v>
      </c>
      <c r="AB98" s="23">
        <f>EXP(-LN(2)/2)*AB97+(1-EXP(-LN(2)/2))/(LN(2)/2)*V98*Y98*VLOOKUP('Données projet'!$B$9,Paramètres!$A$1:$I$89,3,0)*0.475*44/12</f>
        <v>3.2231027515760564E-9</v>
      </c>
      <c r="AC98" s="24">
        <f t="shared" si="57"/>
        <v>32.993134520287683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150.21793637331223</v>
      </c>
      <c r="T99" s="62">
        <f t="shared" si="88"/>
        <v>364.59164590134486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28.394547097545111</v>
      </c>
      <c r="AA99" s="23">
        <f>EXP(-LN(2)/25)*AA98+(1-EXP(-LN(2)/25))/(LN(2)/25)*Calculateur!V99*Calculateur!X99*VLOOKUP('Données projet'!$B$9,Paramètres!$A$1:$I$89,3,0)*0.475*44/12</f>
        <v>3.920432421274008</v>
      </c>
      <c r="AB99" s="23">
        <f>EXP(-LN(2)/2)*AB98+(1-EXP(-LN(2)/2))/(LN(2)/2)*V99*Y99*VLOOKUP('Données projet'!$B$9,Paramètres!$A$1:$I$89,3,0)*0.475*44/12</f>
        <v>2.2790778121004497E-9</v>
      </c>
      <c r="AC99" s="24">
        <f t="shared" si="57"/>
        <v>32.314979521098202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150.21793637331223</v>
      </c>
      <c r="T100" s="62">
        <f t="shared" si="88"/>
        <v>364.59164590134486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27.837747347925877</v>
      </c>
      <c r="AA100" s="23">
        <f>EXP(-LN(2)/25)*AA99+(1-EXP(-LN(2)/25))/(LN(2)/25)*Calculateur!V100*Calculateur!X100*VLOOKUP('Données projet'!$B$9,Paramètres!$A$1:$I$89,3,0)*0.475*44/12</f>
        <v>3.8132279905476896</v>
      </c>
      <c r="AB100" s="23">
        <f>EXP(-LN(2)/2)*AB99+(1-EXP(-LN(2)/2))/(LN(2)/2)*V100*Y100*VLOOKUP('Données projet'!$B$9,Paramètres!$A$1:$I$89,3,0)*0.475*44/12</f>
        <v>1.6115513757880282E-9</v>
      </c>
      <c r="AC100" s="24">
        <f t="shared" si="57"/>
        <v>31.650975340085115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150.21793637331223</v>
      </c>
      <c r="T101" s="62">
        <f t="shared" si="88"/>
        <v>364.59164590134486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27.291866101782361</v>
      </c>
      <c r="AA101" s="23">
        <f>EXP(-LN(2)/25)*AA100+(1-EXP(-LN(2)/25))/(LN(2)/25)*Calculateur!V101*Calculateur!X101*VLOOKUP('Données projet'!$B$9,Paramètres!$A$1:$I$89,3,0)*0.475*44/12</f>
        <v>3.7089550706172183</v>
      </c>
      <c r="AB101" s="23">
        <f>EXP(-LN(2)/2)*AB100+(1-EXP(-LN(2)/2))/(LN(2)/2)*V101*Y101*VLOOKUP('Données projet'!$B$9,Paramètres!$A$1:$I$89,3,0)*0.475*44/12</f>
        <v>1.1395389060502249E-9</v>
      </c>
      <c r="AC101" s="24">
        <f t="shared" si="57"/>
        <v>31.000821173539119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150.21793637331223</v>
      </c>
      <c r="T102" s="62">
        <f t="shared" si="88"/>
        <v>364.59164590134486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26.756689253921035</v>
      </c>
      <c r="AA102" s="23">
        <f>EXP(-LN(2)/25)*AA101+(1-EXP(-LN(2)/25))/(LN(2)/25)*Calculateur!V102*Calculateur!X102*VLOOKUP('Données projet'!$B$9,Paramètres!$A$1:$I$89,3,0)*0.475*44/12</f>
        <v>3.6075334991657204</v>
      </c>
      <c r="AB102" s="23">
        <f>EXP(-LN(2)/2)*AB101+(1-EXP(-LN(2)/2))/(LN(2)/2)*V102*Y102*VLOOKUP('Données projet'!$B$9,Paramètres!$A$1:$I$89,3,0)*0.475*44/12</f>
        <v>8.057756878940141E-10</v>
      </c>
      <c r="AC102" s="24">
        <f t="shared" si="57"/>
        <v>30.364222753892534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150.21793637331223</v>
      </c>
      <c r="T103" s="62">
        <f t="shared" si="88"/>
        <v>364.59164590134486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26.232006897620625</v>
      </c>
      <c r="AA103" s="23">
        <f>EXP(-LN(2)/25)*AA102+(1-EXP(-LN(2)/25))/(LN(2)/25)*Calculateur!V103*Calculateur!X103*VLOOKUP('Données projet'!$B$9,Paramètres!$A$1:$I$89,3,0)*0.475*44/12</f>
        <v>3.5088853059190921</v>
      </c>
      <c r="AB103" s="23">
        <f>EXP(-LN(2)/2)*AB102+(1-EXP(-LN(2)/2))/(LN(2)/2)*V103*Y103*VLOOKUP('Données projet'!$B$9,Paramètres!$A$1:$I$89,3,0)*0.475*44/12</f>
        <v>5.6976945302511243E-10</v>
      </c>
      <c r="AC103" s="24">
        <f t="shared" si="57"/>
        <v>29.740892204109485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150.21793637331223</v>
      </c>
      <c r="T104" s="62">
        <f t="shared" si="88"/>
        <v>364.59164590134486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25.71761324230263</v>
      </c>
      <c r="AA104" s="23">
        <f>EXP(-LN(2)/25)*AA103+(1-EXP(-LN(2)/25))/(LN(2)/25)*Calculateur!V104*Calculateur!X104*VLOOKUP('Données projet'!$B$9,Paramètres!$A$1:$I$89,3,0)*0.475*44/12</f>
        <v>3.4129346527044762</v>
      </c>
      <c r="AB104" s="23">
        <f>EXP(-LN(2)/2)*AB103+(1-EXP(-LN(2)/2))/(LN(2)/2)*V104*Y104*VLOOKUP('Données projet'!$B$9,Paramètres!$A$1:$I$89,3,0)*0.475*44/12</f>
        <v>4.0288784394700705E-10</v>
      </c>
      <c r="AC104" s="24">
        <f t="shared" si="57"/>
        <v>29.130547895409993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150.21793637331223</v>
      </c>
      <c r="T105" s="62">
        <f t="shared" si="88"/>
        <v>364.59164590134486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25.213306532816269</v>
      </c>
      <c r="AA105" s="23">
        <f>EXP(-LN(2)/25)*AA104+(1-EXP(-LN(2)/25))/(LN(2)/25)*Calculateur!V105*Calculateur!X105*VLOOKUP('Données projet'!$B$9,Paramètres!$A$1:$I$89,3,0)*0.475*44/12</f>
        <v>3.3196077751478392</v>
      </c>
      <c r="AB105" s="23">
        <f>EXP(-LN(2)/2)*AB104+(1-EXP(-LN(2)/2))/(LN(2)/2)*V105*Y105*VLOOKUP('Données projet'!$B$9,Paramètres!$A$1:$I$89,3,0)*0.475*44/12</f>
        <v>2.8488472651255621E-10</v>
      </c>
      <c r="AC105" s="24">
        <f t="shared" si="57"/>
        <v>28.532914308248994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150.21793637331223</v>
      </c>
      <c r="T106" s="62">
        <f t="shared" si="88"/>
        <v>364.59164590134486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24.718888970306217</v>
      </c>
      <c r="AA106" s="23">
        <f>EXP(-LN(2)/25)*AA105+(1-EXP(-LN(2)/25))/(LN(2)/25)*Calculateur!V106*Calculateur!X106*VLOOKUP('Données projet'!$B$9,Paramètres!$A$1:$I$89,3,0)*0.475*44/12</f>
        <v>3.2288329259658357</v>
      </c>
      <c r="AB106" s="23">
        <f>EXP(-LN(2)/2)*AB105+(1-EXP(-LN(2)/2))/(LN(2)/2)*V106*Y106*VLOOKUP('Données projet'!$B$9,Paramètres!$A$1:$I$89,3,0)*0.475*44/12</f>
        <v>2.0144392197350352E-10</v>
      </c>
      <c r="AC106" s="24">
        <f t="shared" si="57"/>
        <v>27.947721896473496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150.21793637331223</v>
      </c>
      <c r="T107" s="62">
        <f t="shared" si="88"/>
        <v>364.59164590134486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24.23416663463205</v>
      </c>
      <c r="AA107" s="23">
        <f>EXP(-LN(2)/25)*AA106+(1-EXP(-LN(2)/25))/(LN(2)/25)*Calculateur!V107*Calculateur!X107*VLOOKUP('Données projet'!$B$9,Paramètres!$A$1:$I$89,3,0)*0.475*44/12</f>
        <v>3.1405403198083559</v>
      </c>
      <c r="AB107" s="23">
        <f>EXP(-LN(2)/2)*AB106+(1-EXP(-LN(2)/2))/(LN(2)/2)*V107*Y107*VLOOKUP('Données projet'!$B$9,Paramètres!$A$1:$I$89,3,0)*0.475*44/12</f>
        <v>1.4244236325627811E-10</v>
      </c>
      <c r="AC107" s="24">
        <f t="shared" si="57"/>
        <v>27.374706954582848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150.21793637331223</v>
      </c>
      <c r="T108" s="62">
        <f t="shared" si="88"/>
        <v>364.59164590134486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23.758949408309022</v>
      </c>
      <c r="AA108" s="23">
        <f>EXP(-LN(2)/25)*AA107+(1-EXP(-LN(2)/25))/(LN(2)/25)*Calculateur!V108*Calculateur!X108*VLOOKUP('Données projet'!$B$9,Paramètres!$A$1:$I$89,3,0)*0.475*44/12</f>
        <v>3.0546620796093586</v>
      </c>
      <c r="AB108" s="23">
        <f>EXP(-LN(2)/2)*AB107+(1-EXP(-LN(2)/2))/(LN(2)/2)*V108*Y108*VLOOKUP('Données projet'!$B$9,Paramètres!$A$1:$I$89,3,0)*0.475*44/12</f>
        <v>1.0072196098675176E-10</v>
      </c>
      <c r="AC108" s="24">
        <f t="shared" si="57"/>
        <v>26.813611488019102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150.21793637331223</v>
      </c>
      <c r="T109" s="62">
        <f t="shared" si="88"/>
        <v>364.59164590134486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23.293050901940301</v>
      </c>
      <c r="AA109" s="23">
        <f>EXP(-LN(2)/25)*AA108+(1-EXP(-LN(2)/25))/(LN(2)/25)*Calculateur!V109*Calculateur!X109*VLOOKUP('Données projet'!$B$9,Paramètres!$A$1:$I$89,3,0)*0.475*44/12</f>
        <v>2.9711321844047434</v>
      </c>
      <c r="AB109" s="23">
        <f>EXP(-LN(2)/2)*AB108+(1-EXP(-LN(2)/2))/(LN(2)/2)*V109*Y109*VLOOKUP('Données projet'!$B$9,Paramètres!$A$1:$I$89,3,0)*0.475*44/12</f>
        <v>7.1221181628139054E-11</v>
      </c>
      <c r="AC109" s="24">
        <f t="shared" si="57"/>
        <v>26.264183086416267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150.21793637331223</v>
      </c>
      <c r="T110" s="62">
        <f t="shared" si="88"/>
        <v>364.59164590134486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22.836288381111441</v>
      </c>
      <c r="AA110" s="23">
        <f>EXP(-LN(2)/25)*AA109+(1-EXP(-LN(2)/25))/(LN(2)/25)*Calculateur!V110*Calculateur!X110*VLOOKUP('Données projet'!$B$9,Paramètres!$A$1:$I$89,3,0)*0.475*44/12</f>
        <v>2.8898864185771447</v>
      </c>
      <c r="AB110" s="23">
        <f>EXP(-LN(2)/2)*AB109+(1-EXP(-LN(2)/2))/(LN(2)/2)*V110*Y110*VLOOKUP('Données projet'!$B$9,Paramètres!$A$1:$I$89,3,0)*0.475*44/12</f>
        <v>5.0360980493375881E-11</v>
      </c>
      <c r="AC110" s="24">
        <f t="shared" si="57"/>
        <v>25.726174799738946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150.21793637331223</v>
      </c>
      <c r="T111" s="62">
        <f t="shared" si="88"/>
        <v>364.59164590134486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22.388482694718409</v>
      </c>
      <c r="AA111" s="23">
        <f>EXP(-LN(2)/25)*AA110+(1-EXP(-LN(2)/25))/(LN(2)/25)*Calculateur!V111*Calculateur!X111*VLOOKUP('Données projet'!$B$9,Paramètres!$A$1:$I$89,3,0)*0.475*44/12</f>
        <v>2.8108623224886307</v>
      </c>
      <c r="AB111" s="23">
        <f>EXP(-LN(2)/2)*AB110+(1-EXP(-LN(2)/2))/(LN(2)/2)*V111*Y111*VLOOKUP('Données projet'!$B$9,Paramètres!$A$1:$I$89,3,0)*0.475*44/12</f>
        <v>3.5610590814069527E-11</v>
      </c>
      <c r="AC111" s="24">
        <f t="shared" si="57"/>
        <v>25.199345017242649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150.21793637331223</v>
      </c>
      <c r="T112" s="62">
        <f t="shared" si="88"/>
        <v>364.59164590134486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21.949458204701042</v>
      </c>
      <c r="AA112" s="23">
        <f>EXP(-LN(2)/25)*AA111+(1-EXP(-LN(2)/25))/(LN(2)/25)*Calculateur!V112*Calculateur!X112*VLOOKUP('Données projet'!$B$9,Paramètres!$A$1:$I$89,3,0)*0.475*44/12</f>
        <v>2.733999144463354</v>
      </c>
      <c r="AB112" s="23">
        <f>EXP(-LN(2)/2)*AB111+(1-EXP(-LN(2)/2))/(LN(2)/2)*V112*Y112*VLOOKUP('Données projet'!$B$9,Paramètres!$A$1:$I$89,3,0)*0.475*44/12</f>
        <v>2.5180490246687941E-11</v>
      </c>
      <c r="AC112" s="24">
        <f t="shared" si="57"/>
        <v>24.683457349189577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150.21793637331223</v>
      </c>
      <c r="T113" s="62">
        <f t="shared" si="88"/>
        <v>364.59164590134486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21.51904271715442</v>
      </c>
      <c r="AA113" s="23">
        <f>EXP(-LN(2)/25)*AA112+(1-EXP(-LN(2)/25))/(LN(2)/25)*Calculateur!V113*Calculateur!X113*VLOOKUP('Données projet'!$B$9,Paramètres!$A$1:$I$89,3,0)*0.475*44/12</f>
        <v>2.659237794083237</v>
      </c>
      <c r="AB113" s="23">
        <f>EXP(-LN(2)/2)*AB112+(1-EXP(-LN(2)/2))/(LN(2)/2)*V113*Y113*VLOOKUP('Données projet'!$B$9,Paramètres!$A$1:$I$89,3,0)*0.475*44/12</f>
        <v>1.7805295407034763E-11</v>
      </c>
      <c r="AC113" s="24">
        <f t="shared" si="57"/>
        <v>24.178280511255462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150.21793637331223</v>
      </c>
      <c r="T114" s="62">
        <f t="shared" si="88"/>
        <v>364.59164590134486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21.097067414791063</v>
      </c>
      <c r="AA114" s="23">
        <f>EXP(-LN(2)/25)*AA113+(1-EXP(-LN(2)/25))/(LN(2)/25)*Calculateur!V114*Calculateur!X114*VLOOKUP('Données projet'!$B$9,Paramètres!$A$1:$I$89,3,0)*0.475*44/12</f>
        <v>2.5865207967607931</v>
      </c>
      <c r="AB114" s="23">
        <f>EXP(-LN(2)/2)*AB113+(1-EXP(-LN(2)/2))/(LN(2)/2)*V114*Y114*VLOOKUP('Données projet'!$B$9,Paramètres!$A$1:$I$89,3,0)*0.475*44/12</f>
        <v>1.259024512334397E-11</v>
      </c>
      <c r="AC114" s="24">
        <f t="shared" si="57"/>
        <v>23.683588211564448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150.21793637331223</v>
      </c>
      <c r="T115" s="62">
        <f t="shared" si="88"/>
        <v>364.59164590134486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20.683366790727529</v>
      </c>
      <c r="AA115" s="23">
        <f>EXP(-LN(2)/25)*AA114+(1-EXP(-LN(2)/25))/(LN(2)/25)*Calculateur!V115*Calculateur!X115*VLOOKUP('Données projet'!$B$9,Paramètres!$A$1:$I$89,3,0)*0.475*44/12</f>
        <v>2.5157922495541518</v>
      </c>
      <c r="AB115" s="23">
        <f>EXP(-LN(2)/2)*AB114+(1-EXP(-LN(2)/2))/(LN(2)/2)*V115*Y115*VLOOKUP('Données projet'!$B$9,Paramètres!$A$1:$I$89,3,0)*0.475*44/12</f>
        <v>8.9026477035173817E-12</v>
      </c>
      <c r="AC115" s="24">
        <f t="shared" si="57"/>
        <v>23.199159040290585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150.21793637331223</v>
      </c>
      <c r="T116" s="62">
        <f t="shared" si="88"/>
        <v>364.59164590134486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20.277778583569418</v>
      </c>
      <c r="AA116" s="23">
        <f>EXP(-LN(2)/25)*AA115+(1-EXP(-LN(2)/25))/(LN(2)/25)*Calculateur!V116*Calculateur!X116*VLOOKUP('Données projet'!$B$9,Paramètres!$A$1:$I$89,3,0)*0.475*44/12</f>
        <v>2.4469977781903292</v>
      </c>
      <c r="AB116" s="23">
        <f>EXP(-LN(2)/2)*AB115+(1-EXP(-LN(2)/2))/(LN(2)/2)*V116*Y116*VLOOKUP('Données projet'!$B$9,Paramètres!$A$1:$I$89,3,0)*0.475*44/12</f>
        <v>6.2951225616719851E-12</v>
      </c>
      <c r="AC116" s="24">
        <f t="shared" si="57"/>
        <v>22.724776361766043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150.21793637331223</v>
      </c>
      <c r="T117" s="62">
        <f t="shared" si="88"/>
        <v>364.59164590134486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19.880143713769296</v>
      </c>
      <c r="AA117" s="23">
        <f>EXP(-LN(2)/25)*AA116+(1-EXP(-LN(2)/25))/(LN(2)/25)*Calculateur!V117*Calculateur!X117*VLOOKUP('Données projet'!$B$9,Paramètres!$A$1:$I$89,3,0)*0.475*44/12</f>
        <v>2.3800844952636941</v>
      </c>
      <c r="AB117" s="23">
        <f>EXP(-LN(2)/2)*AB116+(1-EXP(-LN(2)/2))/(LN(2)/2)*V117*Y117*VLOOKUP('Données projet'!$B$9,Paramètres!$A$1:$I$89,3,0)*0.475*44/12</f>
        <v>4.4513238517586909E-12</v>
      </c>
      <c r="AC117" s="24">
        <f t="shared" si="57"/>
        <v>22.260228209037443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150.21793637331223</v>
      </c>
      <c r="T118" s="62">
        <f t="shared" si="88"/>
        <v>364.59164590134486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19.490306221232633</v>
      </c>
      <c r="AA118" s="23">
        <f>EXP(-LN(2)/25)*AA117+(1-EXP(-LN(2)/25))/(LN(2)/25)*Calculateur!V118*Calculateur!X118*VLOOKUP('Données projet'!$B$9,Paramètres!$A$1:$I$89,3,0)*0.475*44/12</f>
        <v>2.3150009595775045</v>
      </c>
      <c r="AB118" s="23">
        <f>EXP(-LN(2)/2)*AB117+(1-EXP(-LN(2)/2))/(LN(2)/2)*V118*Y118*VLOOKUP('Données projet'!$B$9,Paramètres!$A$1:$I$89,3,0)*0.475*44/12</f>
        <v>3.1475612808359926E-12</v>
      </c>
      <c r="AC118" s="24">
        <f t="shared" si="57"/>
        <v>21.805307180813283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150.21793637331223</v>
      </c>
      <c r="T119" s="62">
        <f t="shared" si="88"/>
        <v>364.59164590134486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19.108113204147223</v>
      </c>
      <c r="AA119" s="23">
        <f>EXP(-LN(2)/25)*AA118+(1-EXP(-LN(2)/25))/(LN(2)/25)*Calculateur!V119*Calculateur!X119*VLOOKUP('Données projet'!$B$9,Paramètres!$A$1:$I$89,3,0)*0.475*44/12</f>
        <v>2.2516971365972482</v>
      </c>
      <c r="AB119" s="23">
        <f>EXP(-LN(2)/2)*AB118+(1-EXP(-LN(2)/2))/(LN(2)/2)*V119*Y119*VLOOKUP('Données projet'!$B$9,Paramètres!$A$1:$I$89,3,0)*0.475*44/12</f>
        <v>2.2256619258793454E-12</v>
      </c>
      <c r="AC119" s="24">
        <f t="shared" si="57"/>
        <v>21.359810340746694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150.21793637331223</v>
      </c>
      <c r="T120" s="62">
        <f t="shared" si="88"/>
        <v>364.59164590134486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18.733414759012135</v>
      </c>
      <c r="AA120" s="23">
        <f>EXP(-LN(2)/25)*AA119+(1-EXP(-LN(2)/25))/(LN(2)/25)*Calculateur!V120*Calculateur!X120*VLOOKUP('Données projet'!$B$9,Paramètres!$A$1:$I$89,3,0)*0.475*44/12</f>
        <v>2.1901243599853903</v>
      </c>
      <c r="AB120" s="23">
        <f>EXP(-LN(2)/2)*AB119+(1-EXP(-LN(2)/2))/(LN(2)/2)*V120*Y120*VLOOKUP('Données projet'!$B$9,Paramètres!$A$1:$I$89,3,0)*0.475*44/12</f>
        <v>1.5737806404179963E-12</v>
      </c>
      <c r="AC120" s="24">
        <f t="shared" si="57"/>
        <v>20.923539118999098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150.21793637331223</v>
      </c>
      <c r="T121" s="62">
        <f t="shared" si="88"/>
        <v>364.59164590134486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18.36606392184266</v>
      </c>
      <c r="AA121" s="23">
        <f>EXP(-LN(2)/25)*AA120+(1-EXP(-LN(2)/25))/(LN(2)/25)*Calculateur!V121*Calculateur!X121*VLOOKUP('Données projet'!$B$9,Paramètres!$A$1:$I$89,3,0)*0.475*44/12</f>
        <v>2.1302352941879552</v>
      </c>
      <c r="AB121" s="23">
        <f>EXP(-LN(2)/2)*AB120+(1-EXP(-LN(2)/2))/(LN(2)/2)*V121*Y121*VLOOKUP('Données projet'!$B$9,Paramètres!$A$1:$I$89,3,0)*0.475*44/12</f>
        <v>1.1128309629396727E-12</v>
      </c>
      <c r="AC121" s="24">
        <f t="shared" si="57"/>
        <v>20.496299216031726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150.21793637331223</v>
      </c>
      <c r="T122" s="62">
        <f t="shared" si="88"/>
        <v>364.59164590134486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18.005916610528192</v>
      </c>
      <c r="AA122" s="23">
        <f>EXP(-LN(2)/25)*AA121+(1-EXP(-LN(2)/25))/(LN(2)/25)*Calculateur!V122*Calculateur!X122*VLOOKUP('Données projet'!$B$9,Paramètres!$A$1:$I$89,3,0)*0.475*44/12</f>
        <v>2.0719838980441803</v>
      </c>
      <c r="AB122" s="23">
        <f>EXP(-LN(2)/2)*AB121+(1-EXP(-LN(2)/2))/(LN(2)/2)*V122*Y122*VLOOKUP('Données projet'!$B$9,Paramètres!$A$1:$I$89,3,0)*0.475*44/12</f>
        <v>7.8689032020899814E-13</v>
      </c>
      <c r="AC122" s="24">
        <f t="shared" si="57"/>
        <v>20.077900508573158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150.21793637331223</v>
      </c>
      <c r="T123" s="62">
        <f t="shared" si="88"/>
        <v>364.59164590134486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17.652831568320433</v>
      </c>
      <c r="AA123" s="23">
        <f>EXP(-LN(2)/25)*AA122+(1-EXP(-LN(2)/25))/(LN(2)/25)*Calculateur!V123*Calculateur!X123*VLOOKUP('Données projet'!$B$9,Paramètres!$A$1:$I$89,3,0)*0.475*44/12</f>
        <v>2.0153253893912644</v>
      </c>
      <c r="AB123" s="23">
        <f>EXP(-LN(2)/2)*AB122+(1-EXP(-LN(2)/2))/(LN(2)/2)*V123*Y123*VLOOKUP('Données projet'!$B$9,Paramètres!$A$1:$I$89,3,0)*0.475*44/12</f>
        <v>5.5641548146983636E-13</v>
      </c>
      <c r="AC123" s="24">
        <f t="shared" si="57"/>
        <v>19.668156957712256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150.21793637331223</v>
      </c>
      <c r="T124" s="62">
        <f t="shared" si="88"/>
        <v>364.59164590134486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17.306670308429759</v>
      </c>
      <c r="AA124" s="23">
        <f>EXP(-LN(2)/25)*AA123+(1-EXP(-LN(2)/25))/(LN(2)/25)*Calculateur!V124*Calculateur!X124*VLOOKUP('Données projet'!$B$9,Paramètres!$A$1:$I$89,3,0)*0.475*44/12</f>
        <v>1.960216210637004</v>
      </c>
      <c r="AB124" s="23">
        <f>EXP(-LN(2)/2)*AB123+(1-EXP(-LN(2)/2))/(LN(2)/2)*V124*Y124*VLOOKUP('Données projet'!$B$9,Paramètres!$A$1:$I$89,3,0)*0.475*44/12</f>
        <v>3.9344516010449907E-13</v>
      </c>
      <c r="AC124" s="24">
        <f t="shared" si="57"/>
        <v>19.266886519067157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150.21793637331223</v>
      </c>
      <c r="T125" s="62">
        <f t="shared" si="88"/>
        <v>364.59164590134486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16.967297059708017</v>
      </c>
      <c r="AA125" s="23">
        <f>EXP(-LN(2)/25)*AA124+(1-EXP(-LN(2)/25))/(LN(2)/25)*Calculateur!V125*Calculateur!X125*VLOOKUP('Données projet'!$B$9,Paramètres!$A$1:$I$89,3,0)*0.475*44/12</f>
        <v>1.9066139952738448</v>
      </c>
      <c r="AB125" s="23">
        <f>EXP(-LN(2)/2)*AB124+(1-EXP(-LN(2)/2))/(LN(2)/2)*V125*Y125*VLOOKUP('Données projet'!$B$9,Paramètres!$A$1:$I$89,3,0)*0.475*44/12</f>
        <v>2.7820774073491818E-13</v>
      </c>
      <c r="AC125" s="24">
        <f t="shared" si="57"/>
        <v>18.873911054982138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150.21793637331223</v>
      </c>
      <c r="T126" s="62">
        <f t="shared" si="88"/>
        <v>364.59164590134486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16.634578713396468</v>
      </c>
      <c r="AA126" s="23">
        <f>EXP(-LN(2)/25)*AA125+(1-EXP(-LN(2)/25))/(LN(2)/25)*Calculateur!V126*Calculateur!X126*VLOOKUP('Données projet'!$B$9,Paramètres!$A$1:$I$89,3,0)*0.475*44/12</f>
        <v>1.8544775353086091</v>
      </c>
      <c r="AB126" s="23">
        <f>EXP(-LN(2)/2)*AB125+(1-EXP(-LN(2)/2))/(LN(2)/2)*V126*Y126*VLOOKUP('Données projet'!$B$9,Paramètres!$A$1:$I$89,3,0)*0.475*44/12</f>
        <v>1.9672258005224954E-13</v>
      </c>
      <c r="AC126" s="24">
        <f t="shared" si="57"/>
        <v>18.489056248705271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150.21793637331223</v>
      </c>
      <c r="T127" s="62">
        <f t="shared" si="88"/>
        <v>364.59164590134486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16.308384770917936</v>
      </c>
      <c r="AA127" s="23">
        <f>EXP(-LN(2)/25)*AA126+(1-EXP(-LN(2)/25))/(LN(2)/25)*Calculateur!V127*Calculateur!X127*VLOOKUP('Données projet'!$B$9,Paramètres!$A$1:$I$89,3,0)*0.475*44/12</f>
        <v>1.8037667495828602</v>
      </c>
      <c r="AB127" s="23">
        <f>EXP(-LN(2)/2)*AB126+(1-EXP(-LN(2)/2))/(LN(2)/2)*V127*Y127*VLOOKUP('Données projet'!$B$9,Paramètres!$A$1:$I$89,3,0)*0.475*44/12</f>
        <v>1.3910387036745909E-13</v>
      </c>
      <c r="AC127" s="24">
        <f t="shared" si="57"/>
        <v>18.112151520500934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150.21793637331223</v>
      </c>
      <c r="T128" s="62">
        <f t="shared" si="88"/>
        <v>364.59164590134486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15.988587292692747</v>
      </c>
      <c r="AA128" s="23">
        <f>EXP(-LN(2)/25)*AA127+(1-EXP(-LN(2)/25))/(LN(2)/25)*Calculateur!V128*Calculateur!X128*VLOOKUP('Données projet'!$B$9,Paramètres!$A$1:$I$89,3,0)*0.475*44/12</f>
        <v>1.754442652959546</v>
      </c>
      <c r="AB128" s="23">
        <f>EXP(-LN(2)/2)*AB127+(1-EXP(-LN(2)/2))/(LN(2)/2)*V128*Y128*VLOOKUP('Données projet'!$B$9,Paramètres!$A$1:$I$89,3,0)*0.475*44/12</f>
        <v>9.8361290026124768E-14</v>
      </c>
      <c r="AC128" s="24">
        <f t="shared" si="57"/>
        <v>17.743029945652392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150.21793637331223</v>
      </c>
      <c r="T129" s="62">
        <f t="shared" si="88"/>
        <v>364.59164590134486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15.675060847958354</v>
      </c>
      <c r="AA129" s="23">
        <f>EXP(-LN(2)/25)*AA128+(1-EXP(-LN(2)/25))/(LN(2)/25)*Calculateur!V129*Calculateur!X129*VLOOKUP('Données projet'!$B$9,Paramètres!$A$1:$I$89,3,0)*0.475*44/12</f>
        <v>1.7064673263522381</v>
      </c>
      <c r="AB129" s="23">
        <f>EXP(-LN(2)/2)*AB128+(1-EXP(-LN(2)/2))/(LN(2)/2)*V129*Y129*VLOOKUP('Données projet'!$B$9,Paramètres!$A$1:$I$89,3,0)*0.475*44/12</f>
        <v>6.9551935183729545E-14</v>
      </c>
      <c r="AC129" s="24">
        <f t="shared" si="57"/>
        <v>17.381528174310663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150.21793637331223</v>
      </c>
      <c r="T130" s="62">
        <f t="shared" si="88"/>
        <v>364.59164590134486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15.367682465572953</v>
      </c>
      <c r="AA130" s="23">
        <f>EXP(-LN(2)/25)*AA129+(1-EXP(-LN(2)/25))/(LN(2)/25)*Calculateur!V130*Calculateur!X130*VLOOKUP('Données projet'!$B$9,Paramètres!$A$1:$I$89,3,0)*0.475*44/12</f>
        <v>1.6598038875739196</v>
      </c>
      <c r="AB130" s="23">
        <f>EXP(-LN(2)/2)*AB129+(1-EXP(-LN(2)/2))/(LN(2)/2)*V130*Y130*VLOOKUP('Données projet'!$B$9,Paramètres!$A$1:$I$89,3,0)*0.475*44/12</f>
        <v>4.9180645013062384E-14</v>
      </c>
      <c r="AC130" s="24">
        <f t="shared" si="57"/>
        <v>17.027486353146923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150.21793637331223</v>
      </c>
      <c r="T131" s="62">
        <f t="shared" si="88"/>
        <v>364.59164590134486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15.066331585783828</v>
      </c>
      <c r="AA131" s="23">
        <f>EXP(-LN(2)/25)*AA130+(1-EXP(-LN(2)/25))/(LN(2)/25)*Calculateur!V131*Calculateur!X131*VLOOKUP('Données projet'!$B$9,Paramètres!$A$1:$I$89,3,0)*0.475*44/12</f>
        <v>1.6144164629829179</v>
      </c>
      <c r="AB131" s="23">
        <f>EXP(-LN(2)/2)*AB130+(1-EXP(-LN(2)/2))/(LN(2)/2)*V131*Y131*VLOOKUP('Données projet'!$B$9,Paramètres!$A$1:$I$89,3,0)*0.475*44/12</f>
        <v>3.4775967591864772E-14</v>
      </c>
      <c r="AC131" s="24">
        <f t="shared" si="57"/>
        <v>16.68074804876678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150.21793637331223</v>
      </c>
      <c r="T132" s="62">
        <f t="shared" si="88"/>
        <v>364.59164590134486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14.770890012941482</v>
      </c>
      <c r="AA132" s="23">
        <f>EXP(-LN(2)/25)*AA131+(1-EXP(-LN(2)/25))/(LN(2)/25)*Calculateur!V132*Calculateur!X132*VLOOKUP('Données projet'!$B$9,Paramètres!$A$1:$I$89,3,0)*0.475*44/12</f>
        <v>1.570270159904178</v>
      </c>
      <c r="AB132" s="23">
        <f>EXP(-LN(2)/2)*AB131+(1-EXP(-LN(2)/2))/(LN(2)/2)*V132*Y132*VLOOKUP('Données projet'!$B$9,Paramètres!$A$1:$I$89,3,0)*0.475*44/12</f>
        <v>2.4590322506531192E-14</v>
      </c>
      <c r="AC132" s="24">
        <f t="shared" ref="AC132:AC153" si="111">SUM(Z132:AB132)</f>
        <v>16.341160172845687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150.21793637331223</v>
      </c>
      <c r="T133" s="62">
        <f t="shared" ref="T133:T196" si="142">$T$3</f>
        <v>364.59164590134486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14.481241869141009</v>
      </c>
      <c r="AA133" s="23">
        <f>EXP(-LN(2)/25)*AA132+(1-EXP(-LN(2)/25))/(LN(2)/25)*Calculateur!V133*Calculateur!X133*VLOOKUP('Données projet'!$B$9,Paramètres!$A$1:$I$89,3,0)*0.475*44/12</f>
        <v>1.5273310398046793</v>
      </c>
      <c r="AB133" s="23">
        <f>EXP(-LN(2)/2)*AB132+(1-EXP(-LN(2)/2))/(LN(2)/2)*V133*Y133*VLOOKUP('Données projet'!$B$9,Paramètres!$A$1:$I$89,3,0)*0.475*44/12</f>
        <v>1.7387983795932386E-14</v>
      </c>
      <c r="AC133" s="24">
        <f t="shared" si="111"/>
        <v>16.008572908945705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150.21793637331223</v>
      </c>
      <c r="T134" s="62">
        <f t="shared" si="142"/>
        <v>364.59164590134486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14.197273548772538</v>
      </c>
      <c r="AA134" s="23">
        <f>EXP(-LN(2)/25)*AA133+(1-EXP(-LN(2)/25))/(LN(2)/25)*Calculateur!V134*Calculateur!X134*VLOOKUP('Données projet'!$B$9,Paramètres!$A$1:$I$89,3,0)*0.475*44/12</f>
        <v>1.4855660922023717</v>
      </c>
      <c r="AB134" s="23">
        <f>EXP(-LN(2)/2)*AB133+(1-EXP(-LN(2)/2))/(LN(2)/2)*V134*Y134*VLOOKUP('Données projet'!$B$9,Paramètres!$A$1:$I$89,3,0)*0.475*44/12</f>
        <v>1.2295161253265596E-14</v>
      </c>
      <c r="AC134" s="24">
        <f t="shared" si="111"/>
        <v>15.682839640974922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150.21793637331223</v>
      </c>
      <c r="T135" s="62">
        <f t="shared" si="142"/>
        <v>364.59164590134486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13.918873673962921</v>
      </c>
      <c r="AA135" s="23">
        <f>EXP(-LN(2)/25)*AA134+(1-EXP(-LN(2)/25))/(LN(2)/25)*Calculateur!V135*Calculateur!X135*VLOOKUP('Données projet'!$B$9,Paramètres!$A$1:$I$89,3,0)*0.475*44/12</f>
        <v>1.4449432092885723</v>
      </c>
      <c r="AB135" s="23">
        <f>EXP(-LN(2)/2)*AB134+(1-EXP(-LN(2)/2))/(LN(2)/2)*V135*Y135*VLOOKUP('Données projet'!$B$9,Paramètres!$A$1:$I$89,3,0)*0.475*44/12</f>
        <v>8.6939918979661931E-15</v>
      </c>
      <c r="AC135" s="24">
        <f t="shared" si="111"/>
        <v>15.363816883251502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150.21793637331223</v>
      </c>
      <c r="T136" s="62">
        <f t="shared" si="142"/>
        <v>364.59164590134486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13.645933050891163</v>
      </c>
      <c r="AA136" s="23">
        <f>EXP(-LN(2)/25)*AA135+(1-EXP(-LN(2)/25))/(LN(2)/25)*Calculateur!V136*Calculateur!X136*VLOOKUP('Données projet'!$B$9,Paramètres!$A$1:$I$89,3,0)*0.475*44/12</f>
        <v>1.4054311612443153</v>
      </c>
      <c r="AB136" s="23">
        <f>EXP(-LN(2)/2)*AB135+(1-EXP(-LN(2)/2))/(LN(2)/2)*V136*Y136*VLOOKUP('Données projet'!$B$9,Paramètres!$A$1:$I$89,3,0)*0.475*44/12</f>
        <v>6.147580626632798E-15</v>
      </c>
      <c r="AC136" s="24">
        <f t="shared" si="111"/>
        <v>15.051364212135484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150.21793637331223</v>
      </c>
      <c r="T137" s="62">
        <f t="shared" si="142"/>
        <v>364.59164590134486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13.3783446269605</v>
      </c>
      <c r="AA137" s="23">
        <f>EXP(-LN(2)/25)*AA136+(1-EXP(-LN(2)/25))/(LN(2)/25)*Calculateur!V137*Calculateur!X137*VLOOKUP('Données projet'!$B$9,Paramètres!$A$1:$I$89,3,0)*0.475*44/12</f>
        <v>1.366999572231677</v>
      </c>
      <c r="AB137" s="23">
        <f>EXP(-LN(2)/2)*AB136+(1-EXP(-LN(2)/2))/(LN(2)/2)*V137*Y137*VLOOKUP('Données projet'!$B$9,Paramètres!$A$1:$I$89,3,0)*0.475*44/12</f>
        <v>4.3469959489830965E-15</v>
      </c>
      <c r="AC137" s="24">
        <f t="shared" si="111"/>
        <v>14.74534419919218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150.21793637331223</v>
      </c>
      <c r="T138" s="62">
        <f t="shared" si="142"/>
        <v>364.59164590134486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13.116003448810295</v>
      </c>
      <c r="AA138" s="23">
        <f>EXP(-LN(2)/25)*AA137+(1-EXP(-LN(2)/25))/(LN(2)/25)*Calculateur!V138*Calculateur!X138*VLOOKUP('Données projet'!$B$9,Paramètres!$A$1:$I$89,3,0)*0.475*44/12</f>
        <v>1.3296188970416185</v>
      </c>
      <c r="AB138" s="23">
        <f>EXP(-LN(2)/2)*AB137+(1-EXP(-LN(2)/2))/(LN(2)/2)*V138*Y138*VLOOKUP('Données projet'!$B$9,Paramètres!$A$1:$I$89,3,0)*0.475*44/12</f>
        <v>3.073790313316399E-15</v>
      </c>
      <c r="AC138" s="24">
        <f t="shared" si="111"/>
        <v>14.445622345851916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150.21793637331223</v>
      </c>
      <c r="T139" s="62">
        <f t="shared" si="142"/>
        <v>364.59164590134486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12.858806621151297</v>
      </c>
      <c r="AA139" s="23">
        <f>EXP(-LN(2)/25)*AA138+(1-EXP(-LN(2)/25))/(LN(2)/25)*Calculateur!V139*Calculateur!X139*VLOOKUP('Données projet'!$B$9,Paramètres!$A$1:$I$89,3,0)*0.475*44/12</f>
        <v>1.2932603983803965</v>
      </c>
      <c r="AB139" s="23">
        <f>EXP(-LN(2)/2)*AB138+(1-EXP(-LN(2)/2))/(LN(2)/2)*V139*Y139*VLOOKUP('Données projet'!$B$9,Paramètres!$A$1:$I$89,3,0)*0.475*44/12</f>
        <v>2.1734979744915483E-15</v>
      </c>
      <c r="AC139" s="24">
        <f t="shared" si="111"/>
        <v>14.152067019531696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150.21793637331223</v>
      </c>
      <c r="T140" s="62">
        <f t="shared" si="142"/>
        <v>364.59164590134486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12.606653266408117</v>
      </c>
      <c r="AA140" s="23">
        <f>EXP(-LN(2)/25)*AA139+(1-EXP(-LN(2)/25))/(LN(2)/25)*Calculateur!V140*Calculateur!X140*VLOOKUP('Données projet'!$B$9,Paramètres!$A$1:$I$89,3,0)*0.475*44/12</f>
        <v>1.2578961247770759</v>
      </c>
      <c r="AB140" s="23">
        <f>EXP(-LN(2)/2)*AB139+(1-EXP(-LN(2)/2))/(LN(2)/2)*V140*Y140*VLOOKUP('Données projet'!$B$9,Paramètres!$A$1:$I$89,3,0)*0.475*44/12</f>
        <v>1.5368951566581995E-15</v>
      </c>
      <c r="AC140" s="24">
        <f t="shared" si="111"/>
        <v>13.864549391185195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150.21793637331223</v>
      </c>
      <c r="T141" s="62">
        <f t="shared" si="142"/>
        <v>364.59164590134486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12.359444485153091</v>
      </c>
      <c r="AA141" s="23">
        <f>EXP(-LN(2)/25)*AA140+(1-EXP(-LN(2)/25))/(LN(2)/25)*Calculateur!V141*Calculateur!X141*VLOOKUP('Données projet'!$B$9,Paramètres!$A$1:$I$89,3,0)*0.475*44/12</f>
        <v>1.2234988890951646</v>
      </c>
      <c r="AB141" s="23">
        <f>EXP(-LN(2)/2)*AB140+(1-EXP(-LN(2)/2))/(LN(2)/2)*V141*Y141*VLOOKUP('Données projet'!$B$9,Paramètres!$A$1:$I$89,3,0)*0.475*44/12</f>
        <v>1.0867489872457741E-15</v>
      </c>
      <c r="AC141" s="24">
        <f t="shared" si="111"/>
        <v>13.582943374248257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150.21793637331223</v>
      </c>
      <c r="T142" s="62">
        <f t="shared" si="142"/>
        <v>364.59164590134486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12.117083317316007</v>
      </c>
      <c r="AA142" s="23">
        <f>EXP(-LN(2)/25)*AA141+(1-EXP(-LN(2)/25))/(LN(2)/25)*Calculateur!V142*Calculateur!X142*VLOOKUP('Données projet'!$B$9,Paramètres!$A$1:$I$89,3,0)*0.475*44/12</f>
        <v>1.1900422476318471</v>
      </c>
      <c r="AB142" s="23">
        <f>EXP(-LN(2)/2)*AB141+(1-EXP(-LN(2)/2))/(LN(2)/2)*V142*Y142*VLOOKUP('Données projet'!$B$9,Paramètres!$A$1:$I$89,3,0)*0.475*44/12</f>
        <v>7.6844757832909975E-16</v>
      </c>
      <c r="AC142" s="24">
        <f t="shared" si="111"/>
        <v>13.307125564947855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150.21793637331223</v>
      </c>
      <c r="T143" s="62">
        <f t="shared" si="142"/>
        <v>364.59164590134486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11.879474704154493</v>
      </c>
      <c r="AA143" s="23">
        <f>EXP(-LN(2)/25)*AA142+(1-EXP(-LN(2)/25))/(LN(2)/25)*Calculateur!V143*Calculateur!X143*VLOOKUP('Données projet'!$B$9,Paramètres!$A$1:$I$89,3,0)*0.475*44/12</f>
        <v>1.1575004797887523</v>
      </c>
      <c r="AB143" s="23">
        <f>EXP(-LN(2)/2)*AB142+(1-EXP(-LN(2)/2))/(LN(2)/2)*V143*Y143*VLOOKUP('Données projet'!$B$9,Paramètres!$A$1:$I$89,3,0)*0.475*44/12</f>
        <v>5.4337449362288707E-16</v>
      </c>
      <c r="AC143" s="24">
        <f t="shared" si="111"/>
        <v>13.036975183943245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150.21793637331223</v>
      </c>
      <c r="T144" s="62">
        <f t="shared" si="142"/>
        <v>364.59164590134486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11.646525450970133</v>
      </c>
      <c r="AA144" s="23">
        <f>EXP(-LN(2)/25)*AA143+(1-EXP(-LN(2)/25))/(LN(2)/25)*Calculateur!V144*Calculateur!X144*VLOOKUP('Données projet'!$B$9,Paramètres!$A$1:$I$89,3,0)*0.475*44/12</f>
        <v>1.1258485682986241</v>
      </c>
      <c r="AB144" s="23">
        <f>EXP(-LN(2)/2)*AB143+(1-EXP(-LN(2)/2))/(LN(2)/2)*V144*Y144*VLOOKUP('Données projet'!$B$9,Paramètres!$A$1:$I$89,3,0)*0.475*44/12</f>
        <v>3.8422378916454987E-16</v>
      </c>
      <c r="AC144" s="24">
        <f t="shared" si="111"/>
        <v>12.772374019268756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150.21793637331223</v>
      </c>
      <c r="T145" s="62">
        <f t="shared" si="142"/>
        <v>364.59164590134486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11.418144190555704</v>
      </c>
      <c r="AA145" s="23">
        <f>EXP(-LN(2)/25)*AA144+(1-EXP(-LN(2)/25))/(LN(2)/25)*Calculateur!V145*Calculateur!X145*VLOOKUP('Données projet'!$B$9,Paramètres!$A$1:$I$89,3,0)*0.475*44/12</f>
        <v>1.0950621799926952</v>
      </c>
      <c r="AB145" s="23">
        <f>EXP(-LN(2)/2)*AB144+(1-EXP(-LN(2)/2))/(LN(2)/2)*V145*Y145*VLOOKUP('Données projet'!$B$9,Paramètres!$A$1:$I$89,3,0)*0.475*44/12</f>
        <v>2.7168724681144353E-16</v>
      </c>
      <c r="AC145" s="24">
        <f t="shared" si="111"/>
        <v>12.513206370548399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150.21793637331223</v>
      </c>
      <c r="T146" s="62">
        <f t="shared" si="142"/>
        <v>364.59164590134486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11.194241347359188</v>
      </c>
      <c r="AA146" s="23">
        <f>EXP(-LN(2)/25)*AA145+(1-EXP(-LN(2)/25))/(LN(2)/25)*Calculateur!V146*Calculateur!X146*VLOOKUP('Données projet'!$B$9,Paramètres!$A$1:$I$89,3,0)*0.475*44/12</f>
        <v>1.0651176470939776</v>
      </c>
      <c r="AB146" s="23">
        <f>EXP(-LN(2)/2)*AB145+(1-EXP(-LN(2)/2))/(LN(2)/2)*V146*Y146*VLOOKUP('Données projet'!$B$9,Paramètres!$A$1:$I$89,3,0)*0.475*44/12</f>
        <v>1.9211189458227494E-16</v>
      </c>
      <c r="AC146" s="24">
        <f t="shared" si="111"/>
        <v>12.259358994453166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150.21793637331223</v>
      </c>
      <c r="T147" s="62">
        <f t="shared" si="142"/>
        <v>364.59164590134486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10.974729102350507</v>
      </c>
      <c r="AA147" s="23">
        <f>EXP(-LN(2)/25)*AA146+(1-EXP(-LN(2)/25))/(LN(2)/25)*Calculateur!V147*Calculateur!X147*VLOOKUP('Données projet'!$B$9,Paramètres!$A$1:$I$89,3,0)*0.475*44/12</f>
        <v>1.0359919490220901</v>
      </c>
      <c r="AB147" s="23">
        <f>EXP(-LN(2)/2)*AB146+(1-EXP(-LN(2)/2))/(LN(2)/2)*V147*Y147*VLOOKUP('Données projet'!$B$9,Paramètres!$A$1:$I$89,3,0)*0.475*44/12</f>
        <v>1.3584362340572177E-16</v>
      </c>
      <c r="AC147" s="24">
        <f t="shared" si="111"/>
        <v>12.010721051372597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150.21793637331223</v>
      </c>
      <c r="T148" s="62">
        <f t="shared" si="142"/>
        <v>364.59164590134486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10.759521358577196</v>
      </c>
      <c r="AA148" s="23">
        <f>EXP(-LN(2)/25)*AA147+(1-EXP(-LN(2)/25))/(LN(2)/25)*Calculateur!V148*Calculateur!X148*VLOOKUP('Données projet'!$B$9,Paramètres!$A$1:$I$89,3,0)*0.475*44/12</f>
        <v>1.0076626946956322</v>
      </c>
      <c r="AB148" s="23">
        <f>EXP(-LN(2)/2)*AB147+(1-EXP(-LN(2)/2))/(LN(2)/2)*V148*Y148*VLOOKUP('Données projet'!$B$9,Paramètres!$A$1:$I$89,3,0)*0.475*44/12</f>
        <v>9.6055947291137469E-17</v>
      </c>
      <c r="AC148" s="24">
        <f t="shared" si="111"/>
        <v>11.767184053272828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150.21793637331223</v>
      </c>
      <c r="T149" s="62">
        <f t="shared" si="142"/>
        <v>364.59164590134486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10.548533707395517</v>
      </c>
      <c r="AA149" s="23">
        <f>EXP(-LN(2)/25)*AA148+(1-EXP(-LN(2)/25))/(LN(2)/25)*Calculateur!V149*Calculateur!X149*VLOOKUP('Données projet'!$B$9,Paramètres!$A$1:$I$89,3,0)*0.475*44/12</f>
        <v>0.98010810531850201</v>
      </c>
      <c r="AB149" s="23">
        <f>EXP(-LN(2)/2)*AB148+(1-EXP(-LN(2)/2))/(LN(2)/2)*V149*Y149*VLOOKUP('Données projet'!$B$9,Paramètres!$A$1:$I$89,3,0)*0.475*44/12</f>
        <v>6.7921811702860883E-17</v>
      </c>
      <c r="AC149" s="24">
        <f t="shared" si="111"/>
        <v>11.528641812714019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150.21793637331223</v>
      </c>
      <c r="T150" s="62">
        <f t="shared" si="142"/>
        <v>364.59164590134486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10.34168339536375</v>
      </c>
      <c r="AA150" s="23">
        <f>EXP(-LN(2)/25)*AA149+(1-EXP(-LN(2)/25))/(LN(2)/25)*Calculateur!V150*Calculateur!X150*VLOOKUP('Données projet'!$B$9,Paramètres!$A$1:$I$89,3,0)*0.475*44/12</f>
        <v>0.95330699763692239</v>
      </c>
      <c r="AB150" s="23">
        <f>EXP(-LN(2)/2)*AB149+(1-EXP(-LN(2)/2))/(LN(2)/2)*V150*Y150*VLOOKUP('Données projet'!$B$9,Paramètres!$A$1:$I$89,3,0)*0.475*44/12</f>
        <v>4.8027973645568734E-17</v>
      </c>
      <c r="AC150" s="24">
        <f t="shared" si="111"/>
        <v>11.294990393000672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150.21793637331223</v>
      </c>
      <c r="T151" s="62">
        <f t="shared" si="142"/>
        <v>364.59164590134486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10.138889291784695</v>
      </c>
      <c r="AA151" s="23">
        <f>EXP(-LN(2)/25)*AA150+(1-EXP(-LN(2)/25))/(LN(2)/25)*Calculateur!V151*Calculateur!X151*VLOOKUP('Données projet'!$B$9,Paramètres!$A$1:$I$89,3,0)*0.475*44/12</f>
        <v>0.92723876765430457</v>
      </c>
      <c r="AB151" s="23">
        <f>EXP(-LN(2)/2)*AB150+(1-EXP(-LN(2)/2))/(LN(2)/2)*V151*Y151*VLOOKUP('Données projet'!$B$9,Paramètres!$A$1:$I$89,3,0)*0.475*44/12</f>
        <v>3.3960905851430442E-17</v>
      </c>
      <c r="AC151" s="24">
        <f t="shared" si="111"/>
        <v>11.066128059438999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150.21793637331223</v>
      </c>
      <c r="T152" s="62">
        <f t="shared" si="142"/>
        <v>364.59164590134486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9.940071856884634</v>
      </c>
      <c r="AA152" s="23">
        <f>EXP(-LN(2)/25)*AA151+(1-EXP(-LN(2)/25))/(LN(2)/25)*Calculateur!V152*Calculateur!X152*VLOOKUP('Données projet'!$B$9,Paramètres!$A$1:$I$89,3,0)*0.475*44/12</f>
        <v>0.9018833747914301</v>
      </c>
      <c r="AB152" s="23">
        <f>EXP(-LN(2)/2)*AB151+(1-EXP(-LN(2)/2))/(LN(2)/2)*V152*Y152*VLOOKUP('Données projet'!$B$9,Paramètres!$A$1:$I$89,3,0)*0.475*44/12</f>
        <v>2.4013986822784367E-17</v>
      </c>
      <c r="AC152" s="24">
        <f t="shared" si="111"/>
        <v>10.841955231676064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150.21793637331223</v>
      </c>
      <c r="T153" s="62">
        <f t="shared" si="142"/>
        <v>364.59164590134486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9.7451531106163021</v>
      </c>
      <c r="AA153" s="23">
        <f>EXP(-LN(2)/25)*AA152+(1-EXP(-LN(2)/25))/(LN(2)/25)*Calculateur!V153*Calculateur!X153*VLOOKUP('Données projet'!$B$9,Paramètres!$A$1:$I$89,3,0)*0.475*44/12</f>
        <v>0.87722132647977302</v>
      </c>
      <c r="AB153" s="23">
        <f>EXP(-LN(2)/2)*AB152+(1-EXP(-LN(2)/2))/(LN(2)/2)*V153*Y153*VLOOKUP('Données projet'!$B$9,Paramètres!$A$1:$I$89,3,0)*0.475*44/12</f>
        <v>1.6980452925715221E-17</v>
      </c>
      <c r="AC153" s="24">
        <f t="shared" si="111"/>
        <v>10.622374437096076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150.21793637331223</v>
      </c>
      <c r="T154" s="62">
        <f t="shared" si="142"/>
        <v>364.59164590134486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9.5540566020735973</v>
      </c>
      <c r="AA154" s="23">
        <f>EXP(-LN(2)/25)*AA153+(1-EXP(-LN(2)/25))/(LN(2)/25)*Calculateur!V154*Calculateur!X154*VLOOKUP('Données projet'!$B$9,Paramètres!$A$1:$I$89,3,0)*0.475*44/12</f>
        <v>0.85323366317611904</v>
      </c>
      <c r="AB154" s="23">
        <f>EXP(-LN(2)/2)*AB153+(1-EXP(-LN(2)/2))/(LN(2)/2)*V154*Y154*VLOOKUP('Données projet'!$B$9,Paramètres!$A$1:$I$89,3,0)*0.475*44/12</f>
        <v>1.2006993411392184E-17</v>
      </c>
      <c r="AC154" s="24">
        <f t="shared" ref="AC154:AC203" si="163">SUM(Z154:AB154)</f>
        <v>10.407290265249717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150.21793637331223</v>
      </c>
      <c r="T155" s="62">
        <f t="shared" si="142"/>
        <v>364.59164590134486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9.3667073795060531</v>
      </c>
      <c r="AA155" s="23">
        <f>EXP(-LN(2)/25)*AA154+(1-EXP(-LN(2)/25))/(LN(2)/25)*Calculateur!V155*Calculateur!X155*VLOOKUP('Données projet'!$B$9,Paramètres!$A$1:$I$89,3,0)*0.475*44/12</f>
        <v>0.82990194378695981</v>
      </c>
      <c r="AB155" s="23">
        <f>EXP(-LN(2)/2)*AB154+(1-EXP(-LN(2)/2))/(LN(2)/2)*V155*Y155*VLOOKUP('Données projet'!$B$9,Paramètres!$A$1:$I$89,3,0)*0.475*44/12</f>
        <v>8.4902264628576104E-18</v>
      </c>
      <c r="AC155" s="24">
        <f t="shared" si="163"/>
        <v>10.196609323293012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150.21793637331223</v>
      </c>
      <c r="T156" s="62">
        <f t="shared" si="142"/>
        <v>364.59164590134486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9.1830319609213173</v>
      </c>
      <c r="AA156" s="23">
        <f>EXP(-LN(2)/25)*AA155+(1-EXP(-LN(2)/25))/(LN(2)/25)*Calculateur!V156*Calculateur!X156*VLOOKUP('Données projet'!$B$9,Paramètres!$A$1:$I$89,3,0)*0.475*44/12</f>
        <v>0.80720823149145893</v>
      </c>
      <c r="AB156" s="23">
        <f>EXP(-LN(2)/2)*AB155+(1-EXP(-LN(2)/2))/(LN(2)/2)*V156*Y156*VLOOKUP('Données projet'!$B$9,Paramètres!$A$1:$I$89,3,0)*0.475*44/12</f>
        <v>6.0034967056960918E-18</v>
      </c>
      <c r="AC156" s="24">
        <f t="shared" si="163"/>
        <v>9.9902401924127755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150.21793637331223</v>
      </c>
      <c r="T157" s="62">
        <f t="shared" si="142"/>
        <v>364.59164590134486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9.0029583052640838</v>
      </c>
      <c r="AA157" s="23">
        <f>EXP(-LN(2)/25)*AA156+(1-EXP(-LN(2)/25))/(LN(2)/25)*Calculateur!V157*Calculateur!X157*VLOOKUP('Données projet'!$B$9,Paramètres!$A$1:$I$89,3,0)*0.475*44/12</f>
        <v>0.78513507995208898</v>
      </c>
      <c r="AB157" s="23">
        <f>EXP(-LN(2)/2)*AB156+(1-EXP(-LN(2)/2))/(LN(2)/2)*V157*Y157*VLOOKUP('Données projet'!$B$9,Paramètres!$A$1:$I$89,3,0)*0.475*44/12</f>
        <v>4.2451132314288052E-18</v>
      </c>
      <c r="AC157" s="24">
        <f t="shared" si="163"/>
        <v>9.7880933852161736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150.21793637331223</v>
      </c>
      <c r="T158" s="62">
        <f t="shared" si="142"/>
        <v>364.59164590134486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8.8264157841602042</v>
      </c>
      <c r="AA158" s="23">
        <f>EXP(-LN(2)/25)*AA157+(1-EXP(-LN(2)/25))/(LN(2)/25)*Calculateur!V158*Calculateur!X158*VLOOKUP('Données projet'!$B$9,Paramètres!$A$1:$I$89,3,0)*0.475*44/12</f>
        <v>0.76366551990233966</v>
      </c>
      <c r="AB158" s="23">
        <f>EXP(-LN(2)/2)*AB157+(1-EXP(-LN(2)/2))/(LN(2)/2)*V158*Y158*VLOOKUP('Données projet'!$B$9,Paramètres!$A$1:$I$89,3,0)*0.475*44/12</f>
        <v>3.0017483528480459E-18</v>
      </c>
      <c r="AC158" s="24">
        <f t="shared" si="163"/>
        <v>9.5900813040625437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150.21793637331223</v>
      </c>
      <c r="T159" s="62">
        <f t="shared" si="142"/>
        <v>364.59164590134486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8.6533351542148669</v>
      </c>
      <c r="AA159" s="23">
        <f>EXP(-LN(2)/25)*AA158+(1-EXP(-LN(2)/25))/(LN(2)/25)*Calculateur!V159*Calculateur!X159*VLOOKUP('Données projet'!$B$9,Paramètres!$A$1:$I$89,3,0)*0.475*44/12</f>
        <v>0.74278304610118584</v>
      </c>
      <c r="AB159" s="23">
        <f>EXP(-LN(2)/2)*AB158+(1-EXP(-LN(2)/2))/(LN(2)/2)*V159*Y159*VLOOKUP('Données projet'!$B$9,Paramètres!$A$1:$I$89,3,0)*0.475*44/12</f>
        <v>2.1225566157144026E-18</v>
      </c>
      <c r="AC159" s="24">
        <f t="shared" si="163"/>
        <v>9.396118200316053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150.21793637331223</v>
      </c>
      <c r="T160" s="62">
        <f t="shared" si="142"/>
        <v>364.59164590134486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8.4836485298539976</v>
      </c>
      <c r="AA160" s="23">
        <f>EXP(-LN(2)/25)*AA159+(1-EXP(-LN(2)/25))/(LN(2)/25)*Calculateur!V160*Calculateur!X160*VLOOKUP('Données projet'!$B$9,Paramètres!$A$1:$I$89,3,0)*0.475*44/12</f>
        <v>0.72247160464428617</v>
      </c>
      <c r="AB160" s="23">
        <f>EXP(-LN(2)/2)*AB159+(1-EXP(-LN(2)/2))/(LN(2)/2)*V160*Y160*VLOOKUP('Données projet'!$B$9,Paramètres!$A$1:$I$89,3,0)*0.475*44/12</f>
        <v>1.5008741764240229E-18</v>
      </c>
      <c r="AC160" s="24">
        <f t="shared" si="163"/>
        <v>9.206120134498283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150.21793637331223</v>
      </c>
      <c r="T161" s="62">
        <f t="shared" si="142"/>
        <v>364.59164590134486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8.3172893566982236</v>
      </c>
      <c r="AA161" s="23">
        <f>EXP(-LN(2)/25)*AA160+(1-EXP(-LN(2)/25))/(LN(2)/25)*Calculateur!V161*Calculateur!X161*VLOOKUP('Données projet'!$B$9,Paramètres!$A$1:$I$89,3,0)*0.475*44/12</f>
        <v>0.70271558062215767</v>
      </c>
      <c r="AB161" s="23">
        <f>EXP(-LN(2)/2)*AB160+(1-EXP(-LN(2)/2))/(LN(2)/2)*V161*Y161*VLOOKUP('Données projet'!$B$9,Paramètres!$A$1:$I$89,3,0)*0.475*44/12</f>
        <v>1.0612783078572013E-18</v>
      </c>
      <c r="AC161" s="24">
        <f t="shared" si="163"/>
        <v>9.0200049373203814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150.21793637331223</v>
      </c>
      <c r="T162" s="62">
        <f t="shared" si="142"/>
        <v>364.59164590134486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8.1541923854589573</v>
      </c>
      <c r="AA162" s="23">
        <f>EXP(-LN(2)/25)*AA161+(1-EXP(-LN(2)/25))/(LN(2)/25)*Calculateur!V162*Calculateur!X162*VLOOKUP('Données projet'!$B$9,Paramètres!$A$1:$I$89,3,0)*0.475*44/12</f>
        <v>0.6834997861158385</v>
      </c>
      <c r="AB162" s="23">
        <f>EXP(-LN(2)/2)*AB161+(1-EXP(-LN(2)/2))/(LN(2)/2)*V162*Y162*VLOOKUP('Données projet'!$B$9,Paramètres!$A$1:$I$89,3,0)*0.475*44/12</f>
        <v>7.5043708821201147E-19</v>
      </c>
      <c r="AC162" s="24">
        <f t="shared" si="163"/>
        <v>8.8376921715747958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150.21793637331223</v>
      </c>
      <c r="T163" s="62">
        <f t="shared" si="142"/>
        <v>364.59164590134486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7.994293646346363</v>
      </c>
      <c r="AA163" s="23">
        <f>EXP(-LN(2)/25)*AA162+(1-EXP(-LN(2)/25))/(LN(2)/25)*Calculateur!V163*Calculateur!X163*VLOOKUP('Données projet'!$B$9,Paramètres!$A$1:$I$89,3,0)*0.475*44/12</f>
        <v>0.66480944852080925</v>
      </c>
      <c r="AB163" s="23">
        <f>EXP(-LN(2)/2)*AB162+(1-EXP(-LN(2)/2))/(LN(2)/2)*V163*Y163*VLOOKUP('Données projet'!$B$9,Paramètres!$A$1:$I$89,3,0)*0.475*44/12</f>
        <v>5.3063915392860065E-19</v>
      </c>
      <c r="AC163" s="24">
        <f t="shared" si="163"/>
        <v>8.6591030948671719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150.21793637331223</v>
      </c>
      <c r="T164" s="62">
        <f t="shared" si="142"/>
        <v>364.59164590134486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7.8375304239791665</v>
      </c>
      <c r="AA164" s="23">
        <f>EXP(-LN(2)/25)*AA163+(1-EXP(-LN(2)/25))/(LN(2)/25)*Calculateur!V164*Calculateur!X164*VLOOKUP('Données projet'!$B$9,Paramètres!$A$1:$I$89,3,0)*0.475*44/12</f>
        <v>0.64663019919019826</v>
      </c>
      <c r="AB164" s="23">
        <f>EXP(-LN(2)/2)*AB163+(1-EXP(-LN(2)/2))/(LN(2)/2)*V164*Y164*VLOOKUP('Données projet'!$B$9,Paramètres!$A$1:$I$89,3,0)*0.475*44/12</f>
        <v>3.7521854410600574E-19</v>
      </c>
      <c r="AC164" s="24">
        <f t="shared" si="163"/>
        <v>8.4841606231693643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150.21793637331223</v>
      </c>
      <c r="T165" s="62">
        <f t="shared" si="142"/>
        <v>364.59164590134486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7.6838412327864667</v>
      </c>
      <c r="AA165" s="23">
        <f>EXP(-LN(2)/25)*AA164+(1-EXP(-LN(2)/25))/(LN(2)/25)*Calculateur!V165*Calculateur!X165*VLOOKUP('Données projet'!$B$9,Paramètres!$A$1:$I$89,3,0)*0.475*44/12</f>
        <v>0.62894806238853795</v>
      </c>
      <c r="AB165" s="23">
        <f>EXP(-LN(2)/2)*AB164+(1-EXP(-LN(2)/2))/(LN(2)/2)*V165*Y165*VLOOKUP('Données projet'!$B$9,Paramètres!$A$1:$I$89,3,0)*0.475*44/12</f>
        <v>2.6531957696430033E-19</v>
      </c>
      <c r="AC165" s="24">
        <f t="shared" si="163"/>
        <v>8.3127892951750049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150.21793637331223</v>
      </c>
      <c r="T166" s="62">
        <f t="shared" si="142"/>
        <v>364.59164590134486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7.5331657928919045</v>
      </c>
      <c r="AA166" s="23">
        <f>EXP(-LN(2)/25)*AA165+(1-EXP(-LN(2)/25))/(LN(2)/25)*Calculateur!V166*Calculateur!X166*VLOOKUP('Données projet'!$B$9,Paramètres!$A$1:$I$89,3,0)*0.475*44/12</f>
        <v>0.61174944454758229</v>
      </c>
      <c r="AB166" s="23">
        <f>EXP(-LN(2)/2)*AB165+(1-EXP(-LN(2)/2))/(LN(2)/2)*V166*Y166*VLOOKUP('Données projet'!$B$9,Paramètres!$A$1:$I$89,3,0)*0.475*44/12</f>
        <v>1.8760927205300287E-19</v>
      </c>
      <c r="AC166" s="24">
        <f t="shared" si="163"/>
        <v>8.144915237439486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150.21793637331223</v>
      </c>
      <c r="T167" s="62">
        <f t="shared" si="142"/>
        <v>364.59164590134486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7.3854450064707313</v>
      </c>
      <c r="AA167" s="23">
        <f>EXP(-LN(2)/25)*AA166+(1-EXP(-LN(2)/25))/(LN(2)/25)*Calculateur!V167*Calculateur!X167*VLOOKUP('Données projet'!$B$9,Paramètres!$A$1:$I$89,3,0)*0.475*44/12</f>
        <v>0.59502112381592354</v>
      </c>
      <c r="AB167" s="23">
        <f>EXP(-LN(2)/2)*AB166+(1-EXP(-LN(2)/2))/(LN(2)/2)*V167*Y167*VLOOKUP('Données projet'!$B$9,Paramètres!$A$1:$I$89,3,0)*0.475*44/12</f>
        <v>1.3265978848215016E-19</v>
      </c>
      <c r="AC167" s="24">
        <f t="shared" si="163"/>
        <v>7.9804661302866551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150.21793637331223</v>
      </c>
      <c r="T168" s="62">
        <f t="shared" si="142"/>
        <v>364.59164590134486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7.2406209345704946</v>
      </c>
      <c r="AA168" s="23">
        <f>EXP(-LN(2)/25)*AA167+(1-EXP(-LN(2)/25))/(LN(2)/25)*Calculateur!V168*Calculateur!X168*VLOOKUP('Données projet'!$B$9,Paramètres!$A$1:$I$89,3,0)*0.475*44/12</f>
        <v>0.57875023989437613</v>
      </c>
      <c r="AB168" s="23">
        <f>EXP(-LN(2)/2)*AB167+(1-EXP(-LN(2)/2))/(LN(2)/2)*V168*Y168*VLOOKUP('Données projet'!$B$9,Paramètres!$A$1:$I$89,3,0)*0.475*44/12</f>
        <v>9.3804636026501434E-20</v>
      </c>
      <c r="AC168" s="24">
        <f t="shared" si="163"/>
        <v>7.8193711744648704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150.21793637331223</v>
      </c>
      <c r="T169" s="62">
        <f t="shared" si="142"/>
        <v>364.59164590134486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7.09863677438626</v>
      </c>
      <c r="AA169" s="23">
        <f>EXP(-LN(2)/25)*AA168+(1-EXP(-LN(2)/25))/(LN(2)/25)*Calculateur!V169*Calculateur!X169*VLOOKUP('Données projet'!$B$9,Paramètres!$A$1:$I$89,3,0)*0.475*44/12</f>
        <v>0.56292428414931206</v>
      </c>
      <c r="AB169" s="23">
        <f>EXP(-LN(2)/2)*AB168+(1-EXP(-LN(2)/2))/(LN(2)/2)*V169*Y169*VLOOKUP('Données projet'!$B$9,Paramètres!$A$1:$I$89,3,0)*0.475*44/12</f>
        <v>6.6329894241075081E-20</v>
      </c>
      <c r="AC169" s="24">
        <f t="shared" si="163"/>
        <v>7.6615610585355718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150.21793637331223</v>
      </c>
      <c r="T170" s="62">
        <f t="shared" si="142"/>
        <v>364.59164590134486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6.9594368369814514</v>
      </c>
      <c r="AA170" s="23">
        <f>EXP(-LN(2)/25)*AA169+(1-EXP(-LN(2)/25))/(LN(2)/25)*Calculateur!V170*Calculateur!X170*VLOOKUP('Données projet'!$B$9,Paramètres!$A$1:$I$89,3,0)*0.475*44/12</f>
        <v>0.54753108999634759</v>
      </c>
      <c r="AB170" s="23">
        <f>EXP(-LN(2)/2)*AB169+(1-EXP(-LN(2)/2))/(LN(2)/2)*V170*Y170*VLOOKUP('Données projet'!$B$9,Paramètres!$A$1:$I$89,3,0)*0.475*44/12</f>
        <v>4.6902318013250717E-20</v>
      </c>
      <c r="AC170" s="24">
        <f t="shared" si="163"/>
        <v>7.5069679269777989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150.21793637331223</v>
      </c>
      <c r="T171" s="62">
        <f t="shared" si="142"/>
        <v>364.59164590134486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6.8229665254455725</v>
      </c>
      <c r="AA171" s="23">
        <f>EXP(-LN(2)/25)*AA170+(1-EXP(-LN(2)/25))/(LN(2)/25)*Calculateur!V171*Calculateur!X171*VLOOKUP('Données projet'!$B$9,Paramètres!$A$1:$I$89,3,0)*0.475*44/12</f>
        <v>0.5325588235469888</v>
      </c>
      <c r="AB171" s="23">
        <f>EXP(-LN(2)/2)*AB170+(1-EXP(-LN(2)/2))/(LN(2)/2)*V171*Y171*VLOOKUP('Données projet'!$B$9,Paramètres!$A$1:$I$89,3,0)*0.475*44/12</f>
        <v>3.3164947120537541E-20</v>
      </c>
      <c r="AC171" s="24">
        <f t="shared" si="163"/>
        <v>7.3555253489925612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150.21793637331223</v>
      </c>
      <c r="T172" s="62">
        <f t="shared" si="142"/>
        <v>364.59164590134486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6.6891723134802419</v>
      </c>
      <c r="AA172" s="23">
        <f>EXP(-LN(2)/25)*AA171+(1-EXP(-LN(2)/25))/(LN(2)/25)*Calculateur!V172*Calculateur!X172*VLOOKUP('Données projet'!$B$9,Paramètres!$A$1:$I$89,3,0)*0.475*44/12</f>
        <v>0.51799597451104507</v>
      </c>
      <c r="AB172" s="23">
        <f>EXP(-LN(2)/2)*AB171+(1-EXP(-LN(2)/2))/(LN(2)/2)*V172*Y172*VLOOKUP('Données projet'!$B$9,Paramètres!$A$1:$I$89,3,0)*0.475*44/12</f>
        <v>2.3451159006625359E-20</v>
      </c>
      <c r="AC172" s="24">
        <f t="shared" si="163"/>
        <v>7.2071682879912871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150.21793637331223</v>
      </c>
      <c r="T173" s="62">
        <f t="shared" si="142"/>
        <v>364.59164590134486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6.5580017244051394</v>
      </c>
      <c r="AA173" s="23">
        <f>EXP(-LN(2)/25)*AA172+(1-EXP(-LN(2)/25))/(LN(2)/25)*Calculateur!V173*Calculateur!X173*VLOOKUP('Données projet'!$B$9,Paramètres!$A$1:$I$89,3,0)*0.475*44/12</f>
        <v>0.50383134734781609</v>
      </c>
      <c r="AB173" s="23">
        <f>EXP(-LN(2)/2)*AB172+(1-EXP(-LN(2)/2))/(LN(2)/2)*V173*Y173*VLOOKUP('Données projet'!$B$9,Paramètres!$A$1:$I$89,3,0)*0.475*44/12</f>
        <v>1.658247356026877E-20</v>
      </c>
      <c r="AC173" s="24">
        <f t="shared" si="163"/>
        <v>7.0618330717529556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150.21793637331223</v>
      </c>
      <c r="T174" s="62">
        <f t="shared" si="142"/>
        <v>364.59164590134486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6.4294033105756405</v>
      </c>
      <c r="AA174" s="23">
        <f>EXP(-LN(2)/25)*AA173+(1-EXP(-LN(2)/25))/(LN(2)/25)*Calculateur!V174*Calculateur!X174*VLOOKUP('Données projet'!$B$9,Paramètres!$A$1:$I$89,3,0)*0.475*44/12</f>
        <v>0.490054052659251</v>
      </c>
      <c r="AB174" s="23">
        <f>EXP(-LN(2)/2)*AB173+(1-EXP(-LN(2)/2))/(LN(2)/2)*V174*Y174*VLOOKUP('Données projet'!$B$9,Paramètres!$A$1:$I$89,3,0)*0.475*44/12</f>
        <v>1.1725579503312679E-20</v>
      </c>
      <c r="AC174" s="24">
        <f t="shared" si="163"/>
        <v>6.9194573632348915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150.21793637331223</v>
      </c>
      <c r="T175" s="62">
        <f t="shared" si="142"/>
        <v>364.59164590134486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6.3033266332040512</v>
      </c>
      <c r="AA175" s="23">
        <f>EXP(-LN(2)/25)*AA174+(1-EXP(-LN(2)/25))/(LN(2)/25)*Calculateur!V175*Calculateur!X175*VLOOKUP('Données projet'!$B$9,Paramètres!$A$1:$I$89,3,0)*0.475*44/12</f>
        <v>0.4766534988184612</v>
      </c>
      <c r="AB175" s="23">
        <f>EXP(-LN(2)/2)*AB174+(1-EXP(-LN(2)/2))/(LN(2)/2)*V175*Y175*VLOOKUP('Données projet'!$B$9,Paramètres!$A$1:$I$89,3,0)*0.475*44/12</f>
        <v>8.2912367801343852E-21</v>
      </c>
      <c r="AC175" s="24">
        <f t="shared" si="163"/>
        <v>6.7799801320225122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150.21793637331223</v>
      </c>
      <c r="T176" s="62">
        <f t="shared" si="142"/>
        <v>364.59164590134486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6.1797222425765383</v>
      </c>
      <c r="AA176" s="23">
        <f>EXP(-LN(2)/25)*AA175+(1-EXP(-LN(2)/25))/(LN(2)/25)*Calculateur!V176*Calculateur!X176*VLOOKUP('Données projet'!$B$9,Paramètres!$A$1:$I$89,3,0)*0.475*44/12</f>
        <v>0.46361938382715229</v>
      </c>
      <c r="AB176" s="23">
        <f>EXP(-LN(2)/2)*AB175+(1-EXP(-LN(2)/2))/(LN(2)/2)*V176*Y176*VLOOKUP('Données projet'!$B$9,Paramètres!$A$1:$I$89,3,0)*0.475*44/12</f>
        <v>5.8627897516563396E-21</v>
      </c>
      <c r="AC176" s="24">
        <f t="shared" si="163"/>
        <v>6.6433416264036911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150.21793637331223</v>
      </c>
      <c r="T177" s="62">
        <f t="shared" si="142"/>
        <v>364.59164590134486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6.0585416586579974</v>
      </c>
      <c r="AA177" s="23">
        <f>EXP(-LN(2)/25)*AA176+(1-EXP(-LN(2)/25))/(LN(2)/25)*Calculateur!V177*Calculateur!X177*VLOOKUP('Données projet'!$B$9,Paramètres!$A$1:$I$89,3,0)*0.475*44/12</f>
        <v>0.45094168739571505</v>
      </c>
      <c r="AB177" s="23">
        <f>EXP(-LN(2)/2)*AB176+(1-EXP(-LN(2)/2))/(LN(2)/2)*V177*Y177*VLOOKUP('Données projet'!$B$9,Paramètres!$A$1:$I$89,3,0)*0.475*44/12</f>
        <v>4.1456183900671926E-21</v>
      </c>
      <c r="AC177" s="24">
        <f t="shared" si="163"/>
        <v>6.5094833460537123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150.21793637331223</v>
      </c>
      <c r="T178" s="62">
        <f t="shared" si="142"/>
        <v>364.59164590134486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5.9397373520772412</v>
      </c>
      <c r="AA178" s="23">
        <f>EXP(-LN(2)/25)*AA177+(1-EXP(-LN(2)/25))/(LN(2)/25)*Calculateur!V178*Calculateur!X178*VLOOKUP('Données projet'!$B$9,Paramètres!$A$1:$I$89,3,0)*0.475*44/12</f>
        <v>0.43861066323988651</v>
      </c>
      <c r="AB178" s="23">
        <f>EXP(-LN(2)/2)*AB177+(1-EXP(-LN(2)/2))/(LN(2)/2)*V178*Y178*VLOOKUP('Données projet'!$B$9,Paramètres!$A$1:$I$89,3,0)*0.475*44/12</f>
        <v>2.9313948758281698E-21</v>
      </c>
      <c r="AC178" s="24">
        <f t="shared" si="163"/>
        <v>6.3783480153171279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150.21793637331223</v>
      </c>
      <c r="T179" s="62">
        <f t="shared" si="142"/>
        <v>364.59164590134486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5.8232627254850611</v>
      </c>
      <c r="AA179" s="23">
        <f>EXP(-LN(2)/25)*AA178+(1-EXP(-LN(2)/25))/(LN(2)/25)*Calculateur!V179*Calculateur!X179*VLOOKUP('Données projet'!$B$9,Paramètres!$A$1:$I$89,3,0)*0.475*44/12</f>
        <v>0.42661683158805952</v>
      </c>
      <c r="AB179" s="23">
        <f>EXP(-LN(2)/2)*AB178+(1-EXP(-LN(2)/2))/(LN(2)/2)*V179*Y179*VLOOKUP('Données projet'!$B$9,Paramètres!$A$1:$I$89,3,0)*0.475*44/12</f>
        <v>2.0728091950335963E-21</v>
      </c>
      <c r="AC179" s="24">
        <f t="shared" si="163"/>
        <v>6.2498795570731209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150.21793637331223</v>
      </c>
      <c r="T180" s="62">
        <f t="shared" si="142"/>
        <v>364.59164590134486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5.7090720952778469</v>
      </c>
      <c r="AA180" s="23">
        <f>EXP(-LN(2)/25)*AA179+(1-EXP(-LN(2)/25))/(LN(2)/25)*Calculateur!V180*Calculateur!X180*VLOOKUP('Données projet'!$B$9,Paramètres!$A$1:$I$89,3,0)*0.475*44/12</f>
        <v>0.4149509718934799</v>
      </c>
      <c r="AB180" s="23">
        <f>EXP(-LN(2)/2)*AB179+(1-EXP(-LN(2)/2))/(LN(2)/2)*V180*Y180*VLOOKUP('Données projet'!$B$9,Paramètres!$A$1:$I$89,3,0)*0.475*44/12</f>
        <v>1.4656974379140849E-21</v>
      </c>
      <c r="AC180" s="24">
        <f t="shared" si="163"/>
        <v>6.1240230671713265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150.21793637331223</v>
      </c>
      <c r="T181" s="62">
        <f t="shared" si="142"/>
        <v>364.59164590134486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5.5971206736795889</v>
      </c>
      <c r="AA181" s="23">
        <f>EXP(-LN(2)/25)*AA180+(1-EXP(-LN(2)/25))/(LN(2)/25)*Calculateur!V181*Calculateur!X181*VLOOKUP('Données projet'!$B$9,Paramètres!$A$1:$I$89,3,0)*0.475*44/12</f>
        <v>0.40360411574572946</v>
      </c>
      <c r="AB181" s="23">
        <f>EXP(-LN(2)/2)*AB180+(1-EXP(-LN(2)/2))/(LN(2)/2)*V181*Y181*VLOOKUP('Données projet'!$B$9,Paramètres!$A$1:$I$89,3,0)*0.475*44/12</f>
        <v>1.0364045975167981E-21</v>
      </c>
      <c r="AC181" s="24">
        <f t="shared" si="163"/>
        <v>6.000724789425318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150.21793637331223</v>
      </c>
      <c r="T182" s="62">
        <f t="shared" si="142"/>
        <v>364.59164590134486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5.487364551175248</v>
      </c>
      <c r="AA182" s="23">
        <f>EXP(-LN(2)/25)*AA181+(1-EXP(-LN(2)/25))/(LN(2)/25)*Calculateur!V182*Calculateur!X182*VLOOKUP('Données projet'!$B$9,Paramètres!$A$1:$I$89,3,0)*0.475*44/12</f>
        <v>0.39256753997604449</v>
      </c>
      <c r="AB182" s="23">
        <f>EXP(-LN(2)/2)*AB181+(1-EXP(-LN(2)/2))/(LN(2)/2)*V182*Y182*VLOOKUP('Données projet'!$B$9,Paramètres!$A$1:$I$89,3,0)*0.475*44/12</f>
        <v>7.3284871895704245E-22</v>
      </c>
      <c r="AC182" s="24">
        <f t="shared" si="163"/>
        <v>5.8799320911512929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150.21793637331223</v>
      </c>
      <c r="T183" s="62">
        <f t="shared" si="142"/>
        <v>364.59164590134486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5.3797606792885926</v>
      </c>
      <c r="AA183" s="23">
        <f>EXP(-LN(2)/25)*AA182+(1-EXP(-LN(2)/25))/(LN(2)/25)*Calculateur!V183*Calculateur!X183*VLOOKUP('Données projet'!$B$9,Paramètres!$A$1:$I$89,3,0)*0.475*44/12</f>
        <v>0.38183275995116983</v>
      </c>
      <c r="AB183" s="23">
        <f>EXP(-LN(2)/2)*AB182+(1-EXP(-LN(2)/2))/(LN(2)/2)*V183*Y183*VLOOKUP('Données projet'!$B$9,Paramètres!$A$1:$I$89,3,0)*0.475*44/12</f>
        <v>5.1820229875839907E-22</v>
      </c>
      <c r="AC183" s="24">
        <f t="shared" si="163"/>
        <v>5.7615934392397623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150.21793637331223</v>
      </c>
      <c r="T184" s="62">
        <f t="shared" si="142"/>
        <v>364.59164590134486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5.2742668536977533</v>
      </c>
      <c r="AA184" s="23">
        <f>EXP(-LN(2)/25)*AA183+(1-EXP(-LN(2)/25))/(LN(2)/25)*Calculateur!V184*Calculateur!X184*VLOOKUP('Données projet'!$B$9,Paramètres!$A$1:$I$89,3,0)*0.475*44/12</f>
        <v>0.37139152305059292</v>
      </c>
      <c r="AB184" s="23">
        <f>EXP(-LN(2)/2)*AB183+(1-EXP(-LN(2)/2))/(LN(2)/2)*V184*Y184*VLOOKUP('Données projet'!$B$9,Paramètres!$A$1:$I$89,3,0)*0.475*44/12</f>
        <v>3.6642435947852123E-22</v>
      </c>
      <c r="AC184" s="24">
        <f t="shared" si="163"/>
        <v>5.6456583767483464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150.21793637331223</v>
      </c>
      <c r="T185" s="62">
        <f t="shared" si="142"/>
        <v>364.59164590134486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5.1708416976818699</v>
      </c>
      <c r="AA185" s="23">
        <f>EXP(-LN(2)/25)*AA184+(1-EXP(-LN(2)/25))/(LN(2)/25)*Calculateur!V185*Calculateur!X185*VLOOKUP('Données projet'!$B$9,Paramètres!$A$1:$I$89,3,0)*0.475*44/12</f>
        <v>0.36123580232214308</v>
      </c>
      <c r="AB185" s="23">
        <f>EXP(-LN(2)/2)*AB184+(1-EXP(-LN(2)/2))/(LN(2)/2)*V185*Y185*VLOOKUP('Données projet'!$B$9,Paramètres!$A$1:$I$89,3,0)*0.475*44/12</f>
        <v>2.5910114937919954E-22</v>
      </c>
      <c r="AC185" s="24">
        <f t="shared" si="163"/>
        <v>5.5320775000040125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150.21793637331223</v>
      </c>
      <c r="T186" s="62">
        <f t="shared" si="142"/>
        <v>364.59164590134486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5.0694446458923421</v>
      </c>
      <c r="AA186" s="23">
        <f>EXP(-LN(2)/25)*AA185+(1-EXP(-LN(2)/25))/(LN(2)/25)*Calculateur!V186*Calculateur!X186*VLOOKUP('Données projet'!$B$9,Paramètres!$A$1:$I$89,3,0)*0.475*44/12</f>
        <v>0.35135779031107883</v>
      </c>
      <c r="AB186" s="23">
        <f>EXP(-LN(2)/2)*AB185+(1-EXP(-LN(2)/2))/(LN(2)/2)*V186*Y186*VLOOKUP('Données projet'!$B$9,Paramètres!$A$1:$I$89,3,0)*0.475*44/12</f>
        <v>1.8321217973926061E-22</v>
      </c>
      <c r="AC186" s="24">
        <f t="shared" si="163"/>
        <v>5.4208024362034211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150.21793637331223</v>
      </c>
      <c r="T187" s="62">
        <f t="shared" si="142"/>
        <v>364.59164590134486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4.9700359284423117</v>
      </c>
      <c r="AA187" s="23">
        <f>EXP(-LN(2)/25)*AA186+(1-EXP(-LN(2)/25))/(LN(2)/25)*Calculateur!V187*Calculateur!X187*VLOOKUP('Données projet'!$B$9,Paramètres!$A$1:$I$89,3,0)*0.475*44/12</f>
        <v>0.34174989305791925</v>
      </c>
      <c r="AB187" s="23">
        <f>EXP(-LN(2)/2)*AB186+(1-EXP(-LN(2)/2))/(LN(2)/2)*V187*Y187*VLOOKUP('Données projet'!$B$9,Paramètres!$A$1:$I$89,3,0)*0.475*44/12</f>
        <v>1.2955057468959977E-22</v>
      </c>
      <c r="AC187" s="24">
        <f t="shared" si="163"/>
        <v>5.3117858215002309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150.21793637331223</v>
      </c>
      <c r="T188" s="62">
        <f t="shared" si="142"/>
        <v>364.59164590134486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4.8725765553081466</v>
      </c>
      <c r="AA188" s="23">
        <f>EXP(-LN(2)/25)*AA187+(1-EXP(-LN(2)/25))/(LN(2)/25)*Calculateur!V188*Calculateur!X188*VLOOKUP('Données projet'!$B$9,Paramètres!$A$1:$I$89,3,0)*0.475*44/12</f>
        <v>0.33240472426040463</v>
      </c>
      <c r="AB188" s="23">
        <f>EXP(-LN(2)/2)*AB187+(1-EXP(-LN(2)/2))/(LN(2)/2)*V188*Y188*VLOOKUP('Données projet'!$B$9,Paramètres!$A$1:$I$89,3,0)*0.475*44/12</f>
        <v>9.1606089869630307E-23</v>
      </c>
      <c r="AC188" s="24">
        <f t="shared" si="163"/>
        <v>5.2049812795685515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150.21793637331223</v>
      </c>
      <c r="T189" s="62">
        <f t="shared" si="142"/>
        <v>364.59164590134486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4.7770283010367942</v>
      </c>
      <c r="AA189" s="23">
        <f>EXP(-LN(2)/25)*AA188+(1-EXP(-LN(2)/25))/(LN(2)/25)*Calculateur!V189*Calculateur!X189*VLOOKUP('Données projet'!$B$9,Paramètres!$A$1:$I$89,3,0)*0.475*44/12</f>
        <v>0.32331509959509913</v>
      </c>
      <c r="AB189" s="23">
        <f>EXP(-LN(2)/2)*AB188+(1-EXP(-LN(2)/2))/(LN(2)/2)*V189*Y189*VLOOKUP('Données projet'!$B$9,Paramètres!$A$1:$I$89,3,0)*0.475*44/12</f>
        <v>6.4775287344799884E-23</v>
      </c>
      <c r="AC189" s="24">
        <f t="shared" si="163"/>
        <v>5.1003434006318935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150.21793637331223</v>
      </c>
      <c r="T190" s="62">
        <f t="shared" si="142"/>
        <v>364.59164590134486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4.6833536897530221</v>
      </c>
      <c r="AA190" s="23">
        <f>EXP(-LN(2)/25)*AA189+(1-EXP(-LN(2)/25))/(LN(2)/25)*Calculateur!V190*Calculateur!X190*VLOOKUP('Données projet'!$B$9,Paramètres!$A$1:$I$89,3,0)*0.475*44/12</f>
        <v>0.31447403119426898</v>
      </c>
      <c r="AB190" s="23">
        <f>EXP(-LN(2)/2)*AB189+(1-EXP(-LN(2)/2))/(LN(2)/2)*V190*Y190*VLOOKUP('Données projet'!$B$9,Paramètres!$A$1:$I$89,3,0)*0.475*44/12</f>
        <v>4.5803044934815153E-23</v>
      </c>
      <c r="AC190" s="24">
        <f t="shared" si="163"/>
        <v>4.9978277209472912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150.21793637331223</v>
      </c>
      <c r="T191" s="62">
        <f t="shared" si="142"/>
        <v>364.59164590134486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4.5915159804606542</v>
      </c>
      <c r="AA191" s="23">
        <f>EXP(-LN(2)/25)*AA190+(1-EXP(-LN(2)/25))/(LN(2)/25)*Calculateur!V191*Calculateur!X191*VLOOKUP('Données projet'!$B$9,Paramètres!$A$1:$I$89,3,0)*0.475*44/12</f>
        <v>0.30587472227379114</v>
      </c>
      <c r="AB191" s="23">
        <f>EXP(-LN(2)/2)*AB190+(1-EXP(-LN(2)/2))/(LN(2)/2)*V191*Y191*VLOOKUP('Données projet'!$B$9,Paramètres!$A$1:$I$89,3,0)*0.475*44/12</f>
        <v>3.2387643672399942E-23</v>
      </c>
      <c r="AC191" s="24">
        <f t="shared" si="163"/>
        <v>4.8973907027344454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150.21793637331223</v>
      </c>
      <c r="T192" s="62">
        <f t="shared" si="142"/>
        <v>364.59164590134486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4.5014791526320375</v>
      </c>
      <c r="AA192" s="23">
        <f>EXP(-LN(2)/25)*AA191+(1-EXP(-LN(2)/25))/(LN(2)/25)*Calculateur!V192*Calculateur!X192*VLOOKUP('Données projet'!$B$9,Paramètres!$A$1:$I$89,3,0)*0.475*44/12</f>
        <v>0.29751056190796177</v>
      </c>
      <c r="AB192" s="23">
        <f>EXP(-LN(2)/2)*AB191+(1-EXP(-LN(2)/2))/(LN(2)/2)*V192*Y192*VLOOKUP('Données projet'!$B$9,Paramètres!$A$1:$I$89,3,0)*0.475*44/12</f>
        <v>2.2901522467407577E-23</v>
      </c>
      <c r="AC192" s="24">
        <f t="shared" si="163"/>
        <v>4.7989897145399993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150.21793637331223</v>
      </c>
      <c r="T193" s="62">
        <f t="shared" si="142"/>
        <v>364.59164590134486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4.4132078920800977</v>
      </c>
      <c r="AA193" s="23">
        <f>EXP(-LN(2)/25)*AA192+(1-EXP(-LN(2)/25))/(LN(2)/25)*Calculateur!V193*Calculateur!X193*VLOOKUP('Données projet'!$B$9,Paramètres!$A$1:$I$89,3,0)*0.475*44/12</f>
        <v>0.28937511994718806</v>
      </c>
      <c r="AB193" s="23">
        <f>EXP(-LN(2)/2)*AB192+(1-EXP(-LN(2)/2))/(LN(2)/2)*V193*Y193*VLOOKUP('Données projet'!$B$9,Paramètres!$A$1:$I$89,3,0)*0.475*44/12</f>
        <v>1.6193821836199971E-23</v>
      </c>
      <c r="AC193" s="24">
        <f t="shared" si="163"/>
        <v>4.7025830120272856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150.21793637331223</v>
      </c>
      <c r="T194" s="62">
        <f t="shared" si="142"/>
        <v>364.59164590134486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4.326667577107429</v>
      </c>
      <c r="AA194" s="23">
        <f>EXP(-LN(2)/25)*AA193+(1-EXP(-LN(2)/25))/(LN(2)/25)*Calculateur!V194*Calculateur!X194*VLOOKUP('Données projet'!$B$9,Paramètres!$A$1:$I$89,3,0)*0.475*44/12</f>
        <v>0.28146214207465603</v>
      </c>
      <c r="AB194" s="23">
        <f>EXP(-LN(2)/2)*AB193+(1-EXP(-LN(2)/2))/(LN(2)/2)*V194*Y194*VLOOKUP('Données projet'!$B$9,Paramètres!$A$1:$I$89,3,0)*0.475*44/12</f>
        <v>1.1450761233703788E-23</v>
      </c>
      <c r="AC194" s="24">
        <f t="shared" si="163"/>
        <v>4.6081297191820854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150.21793637331223</v>
      </c>
      <c r="T195" s="62">
        <f t="shared" si="142"/>
        <v>364.59164590134486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4.2418242649269944</v>
      </c>
      <c r="AA195" s="23">
        <f>EXP(-LN(2)/25)*AA194+(1-EXP(-LN(2)/25))/(LN(2)/25)*Calculateur!V195*Calculateur!X195*VLOOKUP('Données projet'!$B$9,Paramètres!$A$1:$I$89,3,0)*0.475*44/12</f>
        <v>0.27376554499817379</v>
      </c>
      <c r="AB195" s="23">
        <f>EXP(-LN(2)/2)*AB194+(1-EXP(-LN(2)/2))/(LN(2)/2)*V195*Y195*VLOOKUP('Données projet'!$B$9,Paramètres!$A$1:$I$89,3,0)*0.475*44/12</f>
        <v>8.0969109180999855E-24</v>
      </c>
      <c r="AC195" s="24">
        <f t="shared" si="163"/>
        <v>4.5155898099251681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150.21793637331223</v>
      </c>
      <c r="T196" s="62">
        <f t="shared" si="142"/>
        <v>364.59164590134486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4.1586446783491073</v>
      </c>
      <c r="AA196" s="23">
        <f>EXP(-LN(2)/25)*AA195+(1-EXP(-LN(2)/25))/(LN(2)/25)*Calculateur!V196*Calculateur!X196*VLOOKUP('Données projet'!$B$9,Paramètres!$A$1:$I$89,3,0)*0.475*44/12</f>
        <v>0.2662794117734944</v>
      </c>
      <c r="AB196" s="23">
        <f>EXP(-LN(2)/2)*AB195+(1-EXP(-LN(2)/2))/(LN(2)/2)*V196*Y196*VLOOKUP('Données projet'!$B$9,Paramètres!$A$1:$I$89,3,0)*0.475*44/12</f>
        <v>5.7253806168518942E-24</v>
      </c>
      <c r="AC196" s="24">
        <f t="shared" si="163"/>
        <v>4.4249240901226017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150.21793637331223</v>
      </c>
      <c r="T197" s="62">
        <f t="shared" ref="T197:T203" si="204">$T$3</f>
        <v>364.59164590134486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4.0770961927294742</v>
      </c>
      <c r="AA197" s="23">
        <f>EXP(-LN(2)/25)*AA196+(1-EXP(-LN(2)/25))/(LN(2)/25)*Calculateur!V197*Calculateur!X197*VLOOKUP('Données projet'!$B$9,Paramètres!$A$1:$I$89,3,0)*0.475*44/12</f>
        <v>0.25899798725552253</v>
      </c>
      <c r="AB197" s="23">
        <f>EXP(-LN(2)/2)*AB196+(1-EXP(-LN(2)/2))/(LN(2)/2)*V197*Y197*VLOOKUP('Données projet'!$B$9,Paramètres!$A$1:$I$89,3,0)*0.475*44/12</f>
        <v>4.0484554590499928E-24</v>
      </c>
      <c r="AC197" s="24">
        <f t="shared" si="163"/>
        <v>4.3360941799849968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150.21793637331223</v>
      </c>
      <c r="T198" s="62">
        <f t="shared" si="204"/>
        <v>364.59164590134486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3.9971468231731775</v>
      </c>
      <c r="AA198" s="23">
        <f>EXP(-LN(2)/25)*AA197+(1-EXP(-LN(2)/25))/(LN(2)/25)*Calculateur!V198*Calculateur!X198*VLOOKUP('Données projet'!$B$9,Paramètres!$A$1:$I$89,3,0)*0.475*44/12</f>
        <v>0.25191567367390805</v>
      </c>
      <c r="AB198" s="23">
        <f>EXP(-LN(2)/2)*AB197+(1-EXP(-LN(2)/2))/(LN(2)/2)*V198*Y198*VLOOKUP('Données projet'!$B$9,Paramètres!$A$1:$I$89,3,0)*0.475*44/12</f>
        <v>2.8626903084259471E-24</v>
      </c>
      <c r="AC198" s="24">
        <f t="shared" si="163"/>
        <v>4.2490624968470856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150.21793637331223</v>
      </c>
      <c r="T199" s="62">
        <f t="shared" si="204"/>
        <v>364.59164590134486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3.9187652119895793</v>
      </c>
      <c r="AA199" s="23">
        <f>EXP(-LN(2)/25)*AA198+(1-EXP(-LN(2)/25))/(LN(2)/25)*Calculateur!V199*Calculateur!X199*VLOOKUP('Données projet'!$B$9,Paramètres!$A$1:$I$89,3,0)*0.475*44/12</f>
        <v>0.2450270263296255</v>
      </c>
      <c r="AB199" s="23">
        <f>EXP(-LN(2)/2)*AB198+(1-EXP(-LN(2)/2))/(LN(2)/2)*V199*Y199*VLOOKUP('Données projet'!$B$9,Paramètres!$A$1:$I$89,3,0)*0.475*44/12</f>
        <v>2.0242277295249964E-24</v>
      </c>
      <c r="AC199" s="24">
        <f t="shared" si="163"/>
        <v>4.1637922383192052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150.21793637331223</v>
      </c>
      <c r="T200" s="62">
        <f t="shared" si="204"/>
        <v>364.59164590134486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3.8419206163932293</v>
      </c>
      <c r="AA200" s="23">
        <f>EXP(-LN(2)/25)*AA199+(1-EXP(-LN(2)/25))/(LN(2)/25)*Calculateur!V200*Calculateur!X200*VLOOKUP('Données projet'!$B$9,Paramètres!$A$1:$I$89,3,0)*0.475*44/12</f>
        <v>0.2383267494092306</v>
      </c>
      <c r="AB200" s="23">
        <f>EXP(-LN(2)/2)*AB199+(1-EXP(-LN(2)/2))/(LN(2)/2)*V200*Y200*VLOOKUP('Données projet'!$B$9,Paramètres!$A$1:$I$89,3,0)*0.475*44/12</f>
        <v>1.4313451542129735E-24</v>
      </c>
      <c r="AC200" s="24">
        <f t="shared" si="163"/>
        <v>4.0802473658024603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150.21793637331223</v>
      </c>
      <c r="T201" s="62">
        <f t="shared" si="204"/>
        <v>364.59164590134486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3.7665828964459487</v>
      </c>
      <c r="AA201" s="23">
        <f>EXP(-LN(2)/25)*AA200+(1-EXP(-LN(2)/25))/(LN(2)/25)*Calculateur!V201*Calculateur!X201*VLOOKUP('Données projet'!$B$9,Paramètres!$A$1:$I$89,3,0)*0.475*44/12</f>
        <v>0.23180969191357614</v>
      </c>
      <c r="AB201" s="23">
        <f>EXP(-LN(2)/2)*AB200+(1-EXP(-LN(2)/2))/(LN(2)/2)*V201*Y201*VLOOKUP('Données projet'!$B$9,Paramètres!$A$1:$I$89,3,0)*0.475*44/12</f>
        <v>1.0121138647624982E-24</v>
      </c>
      <c r="AC201" s="24">
        <f t="shared" si="163"/>
        <v>3.9983925883595246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150.21793637331223</v>
      </c>
      <c r="T202" s="62">
        <f t="shared" si="204"/>
        <v>364.59164590134486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3.6927225032353621</v>
      </c>
      <c r="AA202" s="23">
        <f>EXP(-LN(2)/25)*AA201+(1-EXP(-LN(2)/25))/(LN(2)/25)*Calculateur!V202*Calculateur!X202*VLOOKUP('Données projet'!$B$9,Paramètres!$A$1:$I$89,3,0)*0.475*44/12</f>
        <v>0.22547084369785753</v>
      </c>
      <c r="AB202" s="23">
        <f>EXP(-LN(2)/2)*AB201+(1-EXP(-LN(2)/2))/(LN(2)/2)*V202*Y202*VLOOKUP('Données projet'!$B$9,Paramètres!$A$1:$I$89,3,0)*0.475*44/12</f>
        <v>7.1567257710648677E-25</v>
      </c>
      <c r="AC202" s="24">
        <f t="shared" si="163"/>
        <v>3.9181933469332195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150.21793637331223</v>
      </c>
      <c r="T203" s="62">
        <f t="shared" si="204"/>
        <v>364.59164590134486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3.6203104672852437</v>
      </c>
      <c r="AA203" s="23">
        <f>EXP(-LN(2)/25)*AA202+(1-EXP(-LN(2)/25))/(LN(2)/25)*Calculateur!V203*Calculateur!X203*VLOOKUP('Données projet'!$B$9,Paramètres!$A$1:$I$89,3,0)*0.475*44/12</f>
        <v>0.21930533161994326</v>
      </c>
      <c r="AB203" s="23">
        <f>EXP(-LN(2)/2)*AB202+(1-EXP(-LN(2)/2))/(LN(2)/2)*V203*Y203*VLOOKUP('Données projet'!$B$9,Paramètres!$A$1:$I$89,3,0)*0.475*44/12</f>
        <v>5.060569323812491E-25</v>
      </c>
      <c r="AC203" s="24">
        <f t="shared" si="163"/>
        <v>3.8396157989051871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1.4943820583928935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K16" sqref="K16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Pin maritime</v>
      </c>
      <c r="B6" s="155">
        <f>'Données projet'!D9</f>
        <v>22.284800000000001</v>
      </c>
      <c r="C6" s="156">
        <f ca="1">IF(OR('Données projet'!B9="",'Données projet'!C9="",'Données projet'!C9=0%),0,Calculateur!S3)</f>
        <v>150.21793637331223</v>
      </c>
      <c r="D6" s="156">
        <f>IF(OR('Données projet'!B9="",'Données projet'!C9="",'Données projet'!C9=0%),0,Calculateur!T3)</f>
        <v>364.59164590134486</v>
      </c>
      <c r="E6" s="156">
        <f ca="1">MIN(C6,D6)</f>
        <v>150.21793637331223</v>
      </c>
      <c r="F6" s="156">
        <f ca="1">E6*B6</f>
        <v>3347.5766684919886</v>
      </c>
      <c r="G6" s="156">
        <f ca="1">F6*(100%-'Données projet'!$C$24)*(100%-'Données projet'!$C$25)*(100%-'Données projet'!$C$26)*(100%-'Données projet'!$C$27)</f>
        <v>2048.7169211170967</v>
      </c>
      <c r="H6" s="157">
        <f>IF(OR('Données projet'!B9="",'Données projet'!C9="",'Données projet'!C9=0%),0,AVERAGE(Calculateur!$AC$3:$AC$33)*B6)</f>
        <v>450.08553683837494</v>
      </c>
      <c r="I6" s="158">
        <f>H6*(100%-'Données projet'!$C$24)*(100%-'Données projet'!$C$25)*(100%-'Données projet'!$C$26)*(100%-'Données projet'!$C$27)</f>
        <v>275.4523485450855</v>
      </c>
      <c r="J6" s="159">
        <f>IF(OR('Données projet'!B9="",'Données projet'!C9="",'Données projet'!C9=0%),0,SUM(Calculateur!$V$3:$V$33)*VLOOKUP('Données projet'!$B$9,Paramètres!$A$1:$I$89,9,0)*B6)</f>
        <v>5811.4301439999999</v>
      </c>
      <c r="K6" s="160">
        <f>J6*(100%-'Données projet'!$C$24)*(100%-'Données projet'!$C$25)*(100%-'Données projet'!$C$26)*(100%-'Données projet'!$C$27)</f>
        <v>3556.5952481280001</v>
      </c>
      <c r="L6" s="161">
        <f ca="1">G6+I6+K6</f>
        <v>5880.7645177901823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3347.5766684919886</v>
      </c>
      <c r="G16" s="175">
        <f t="shared" ca="1" si="3"/>
        <v>2048.7169211170967</v>
      </c>
      <c r="H16" s="176">
        <f t="shared" si="3"/>
        <v>450.08553683837494</v>
      </c>
      <c r="I16" s="176">
        <f t="shared" si="3"/>
        <v>275.4523485450855</v>
      </c>
      <c r="J16" s="177">
        <f t="shared" si="3"/>
        <v>5811.4301439999999</v>
      </c>
      <c r="K16" s="177">
        <f t="shared" si="3"/>
        <v>3556.5952481280001</v>
      </c>
      <c r="L16" s="178">
        <f t="shared" ca="1" si="3"/>
        <v>5880.7645177901823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/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/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2" zoomScale="80" zoomScaleNormal="80" workbookViewId="0">
      <selection activeCell="M40" sqref="M40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22.284800000000001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/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/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/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40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40"/>
      <c r="H16" s="203"/>
      <c r="I16" s="204"/>
      <c r="J16" s="215"/>
      <c r="K16" s="224"/>
      <c r="L16" s="336" t="s">
        <v>254</v>
      </c>
      <c r="M16" s="337"/>
      <c r="N16" s="2"/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/>
      <c r="F17" s="260"/>
      <c r="G17" s="340"/>
      <c r="J17" s="215"/>
      <c r="K17" s="224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40"/>
      <c r="J18" s="215"/>
      <c r="K18" s="224"/>
      <c r="L18" s="294" t="s">
        <v>255</v>
      </c>
      <c r="M18" s="296"/>
      <c r="N18" s="205"/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40"/>
      <c r="H19" s="231" t="s">
        <v>178</v>
      </c>
      <c r="I19" s="231" t="s">
        <v>287</v>
      </c>
      <c r="J19" s="259"/>
      <c r="K19" s="183"/>
      <c r="L19" s="336" t="s">
        <v>288</v>
      </c>
      <c r="M19" s="337"/>
      <c r="N19" s="191">
        <f>N17*N18</f>
        <v>0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40"/>
      <c r="H20" s="203">
        <v>0</v>
      </c>
      <c r="I20" s="204"/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/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11</v>
      </c>
      <c r="B23" s="193">
        <f>'Données projet'!D36</f>
        <v>0</v>
      </c>
      <c r="C23" s="206"/>
      <c r="D23" s="194">
        <f>B23*C23</f>
        <v>0</v>
      </c>
      <c r="E23" s="206"/>
      <c r="F23" s="260"/>
      <c r="H23" s="203">
        <v>3</v>
      </c>
      <c r="I23" s="204"/>
      <c r="K23" s="224"/>
      <c r="L23" s="338" t="s">
        <v>260</v>
      </c>
      <c r="M23" s="338"/>
      <c r="N23" s="338"/>
      <c r="O23" s="25"/>
      <c r="P23" s="25"/>
      <c r="Q23" s="264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12</v>
      </c>
      <c r="B24" s="193">
        <f>'Données projet'!D37</f>
        <v>34</v>
      </c>
      <c r="C24" s="206"/>
      <c r="D24" s="194">
        <f t="shared" ref="D24:D42" si="2">B24*C24</f>
        <v>0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13</v>
      </c>
      <c r="B25" s="193">
        <f>'Données projet'!D38</f>
        <v>0</v>
      </c>
      <c r="C25" s="206"/>
      <c r="D25" s="194">
        <f t="shared" si="2"/>
        <v>0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35">
        <f ca="1">T23-T24</f>
        <v>0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16</v>
      </c>
      <c r="B26" s="193">
        <f>'Données projet'!D39</f>
        <v>0</v>
      </c>
      <c r="C26" s="206"/>
      <c r="D26" s="194">
        <f t="shared" si="2"/>
        <v>0</v>
      </c>
      <c r="E26" s="206"/>
      <c r="F26" s="263"/>
      <c r="G26" s="258"/>
      <c r="H26" s="203"/>
      <c r="I26" s="204"/>
      <c r="K26" s="224"/>
      <c r="L26" s="322" t="s">
        <v>258</v>
      </c>
      <c r="M26" s="323"/>
      <c r="N26" s="323"/>
      <c r="O26" s="323"/>
      <c r="P26" s="324"/>
      <c r="Q26" s="264"/>
      <c r="R26" s="25"/>
      <c r="S26" s="198" t="s">
        <v>265</v>
      </c>
      <c r="T26" s="332" t="str">
        <f ca="1">IF(T25&lt;0,"Votre projet est additionnel","Votre projet n'est pas additionnel")</f>
        <v>Votre projet n'est pas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17</v>
      </c>
      <c r="B27" s="193">
        <f>'Données projet'!D40</f>
        <v>43</v>
      </c>
      <c r="C27" s="206"/>
      <c r="D27" s="194">
        <f t="shared" si="2"/>
        <v>0</v>
      </c>
      <c r="E27" s="206"/>
      <c r="F27" s="263"/>
      <c r="G27" s="258"/>
      <c r="H27" s="203"/>
      <c r="I27" s="204"/>
      <c r="K27" s="224"/>
      <c r="L27" s="325"/>
      <c r="M27" s="326"/>
      <c r="N27" s="326"/>
      <c r="O27" s="326"/>
      <c r="P27" s="327"/>
      <c r="Q27" s="264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18</v>
      </c>
      <c r="B28" s="193">
        <f>'Données projet'!D41</f>
        <v>0</v>
      </c>
      <c r="C28" s="206"/>
      <c r="D28" s="194">
        <f t="shared" si="2"/>
        <v>0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21</v>
      </c>
      <c r="B29" s="193">
        <f>'Données projet'!D42</f>
        <v>0</v>
      </c>
      <c r="C29" s="206"/>
      <c r="D29" s="194">
        <f t="shared" si="2"/>
        <v>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22</v>
      </c>
      <c r="B30" s="193">
        <f>'Données projet'!D43</f>
        <v>56</v>
      </c>
      <c r="C30" s="206"/>
      <c r="D30" s="194">
        <f t="shared" si="2"/>
        <v>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23</v>
      </c>
      <c r="B31" s="193">
        <f>'Données projet'!D44</f>
        <v>0</v>
      </c>
      <c r="C31" s="206"/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26</v>
      </c>
      <c r="B32" s="193">
        <f>'Données projet'!D45</f>
        <v>0</v>
      </c>
      <c r="C32" s="206"/>
      <c r="D32" s="194">
        <f t="shared" si="2"/>
        <v>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29</v>
      </c>
      <c r="B33" s="193">
        <f>'Données projet'!D46</f>
        <v>0</v>
      </c>
      <c r="C33" s="206"/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30</v>
      </c>
      <c r="B34" s="193">
        <f>'Données projet'!D47</f>
        <v>309</v>
      </c>
      <c r="C34" s="206"/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0</v>
      </c>
      <c r="B54" s="193">
        <f>'Données projet'!D62</f>
        <v>0</v>
      </c>
      <c r="C54" s="204">
        <f>'Données projet'!E62*30+SUM('Données projet'!F62:G62)*19.4+'Données projet'!H62*10</f>
        <v>0</v>
      </c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0</v>
      </c>
      <c r="B55" s="193">
        <f>'Données projet'!D63</f>
        <v>0</v>
      </c>
      <c r="C55" s="204">
        <f>'Données projet'!E63*30+SUM('Données projet'!F63:G63)*19.4+'Données projet'!H63*10</f>
        <v>0</v>
      </c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0</v>
      </c>
      <c r="B56" s="193">
        <f>'Données projet'!D64</f>
        <v>0</v>
      </c>
      <c r="C56" s="204">
        <f>'Données projet'!E64*30+SUM('Données projet'!F64:G64)*19.4+'Données projet'!H64*10</f>
        <v>0</v>
      </c>
      <c r="D56" s="191">
        <f t="shared" si="4"/>
        <v>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0</v>
      </c>
      <c r="B57" s="193">
        <f>'Données projet'!D65</f>
        <v>0</v>
      </c>
      <c r="C57" s="204">
        <f>'Données projet'!E65*30+SUM('Données projet'!F65:G65)*19.4+'Données projet'!H65*10</f>
        <v>0</v>
      </c>
      <c r="D57" s="191">
        <f t="shared" si="4"/>
        <v>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0</v>
      </c>
      <c r="B58" s="193">
        <f>'Données projet'!D66</f>
        <v>0</v>
      </c>
      <c r="C58" s="204">
        <f>'Données projet'!E66*30+SUM('Données projet'!F66:G66)*19.4+'Données projet'!H66*10</f>
        <v>0</v>
      </c>
      <c r="D58" s="191">
        <f t="shared" si="4"/>
        <v>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0</v>
      </c>
      <c r="B59" s="193">
        <f>'Données projet'!D67</f>
        <v>0</v>
      </c>
      <c r="C59" s="204">
        <f>'Données projet'!E67*30+SUM('Données projet'!F67:G67)*19.4+'Données projet'!H67*10</f>
        <v>0</v>
      </c>
      <c r="D59" s="191">
        <f t="shared" si="4"/>
        <v>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0</v>
      </c>
      <c r="B60" s="193">
        <f>'Données projet'!D68</f>
        <v>0</v>
      </c>
      <c r="C60" s="204">
        <f>'Données projet'!E68*30+SUM('Données projet'!F68:G68)*19.4+'Données projet'!H68*10</f>
        <v>0</v>
      </c>
      <c r="D60" s="191">
        <f t="shared" si="4"/>
        <v>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0</v>
      </c>
      <c r="B61" s="193">
        <f>'Données projet'!D69</f>
        <v>0</v>
      </c>
      <c r="C61" s="204">
        <f>'Données projet'!E69*30+SUM('Données projet'!F69:G69)*19.4+'Données projet'!H69*10</f>
        <v>0</v>
      </c>
      <c r="D61" s="191">
        <f t="shared" si="4"/>
        <v>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0</v>
      </c>
      <c r="B62" s="193">
        <f>'Données projet'!D70</f>
        <v>0</v>
      </c>
      <c r="C62" s="204">
        <f>'Données projet'!E70*30+SUM('Données projet'!F70:G70)*19.4+'Données projet'!H70*10</f>
        <v>0</v>
      </c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0</v>
      </c>
      <c r="B63" s="193">
        <f>'Données projet'!D71</f>
        <v>0</v>
      </c>
      <c r="C63" s="204">
        <f>'Données projet'!E71*30+SUM('Données projet'!F71:G71)*19.4+'Données projet'!H71*10</f>
        <v>0</v>
      </c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0</v>
      </c>
      <c r="B64" s="193">
        <f>'Données projet'!D72</f>
        <v>0</v>
      </c>
      <c r="C64" s="204">
        <f>'Données projet'!E72*30+SUM('Données projet'!F72:G72)*19.4+'Données projet'!H72*10</f>
        <v>0</v>
      </c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4">
        <f>'Données projet'!E73*30+SUM('Données projet'!F73:G73)*19.4+'Données projet'!H73*10</f>
        <v>0</v>
      </c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>
        <f>'Données projet'!E74*30+SUM('Données projet'!F74:G74)*19.4+'Données projet'!H74*10</f>
        <v>0</v>
      </c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>
        <f>'Données projet'!E75*30+SUM('Données projet'!F75:G75)*19.4+'Données projet'!H75*10</f>
        <v>0</v>
      </c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>
        <f>'Données projet'!E76*30+SUM('Données projet'!F76:G76)*19.4+'Données projet'!H76*10</f>
        <v>0</v>
      </c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>
        <f>'Données projet'!E77*30+SUM('Données projet'!F77:G77)*19.4+'Données projet'!H77*10</f>
        <v>0</v>
      </c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>
        <f>'Données projet'!E78*30+SUM('Données projet'!F78:G78)*19.4+'Données projet'!H78*10</f>
        <v>0</v>
      </c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>
        <f>'Données projet'!E79*30+SUM('Données projet'!F79:G79)*19.4+'Données projet'!H79*10</f>
        <v>0</v>
      </c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>
        <f>'Données projet'!E80*30+SUM('Données projet'!F80:G80)*19.4+'Données projet'!H80*10</f>
        <v>0</v>
      </c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>
        <f>'Données projet'!E81*30+SUM('Données projet'!F81:G81)*19.4+'Données projet'!H81*10</f>
        <v>0</v>
      </c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0</v>
      </c>
      <c r="B85" s="193">
        <f>'Données projet'!D88</f>
        <v>0</v>
      </c>
      <c r="C85" s="204">
        <f>'Données projet'!E88*30+SUM('Données projet'!F88:G88)*19.4+'Données projet'!H88*10</f>
        <v>0</v>
      </c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0</v>
      </c>
      <c r="B86" s="193">
        <f>'Données projet'!D89</f>
        <v>0</v>
      </c>
      <c r="C86" s="204">
        <f>'Données projet'!E89*30+SUM('Données projet'!F89:G89)*19.4+'Données projet'!H89*10</f>
        <v>0</v>
      </c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0</v>
      </c>
      <c r="B87" s="193">
        <f>'Données projet'!D90</f>
        <v>0</v>
      </c>
      <c r="C87" s="204">
        <f>'Données projet'!E90*30+SUM('Données projet'!F90:G90)*19.4+'Données projet'!H90*10</f>
        <v>0</v>
      </c>
      <c r="D87" s="191">
        <f t="shared" si="6"/>
        <v>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0</v>
      </c>
      <c r="B88" s="193">
        <f>'Données projet'!D91</f>
        <v>0</v>
      </c>
      <c r="C88" s="204">
        <f>'Données projet'!E91*30+SUM('Données projet'!F91:G91)*19.4+'Données projet'!H91*10</f>
        <v>0</v>
      </c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0</v>
      </c>
      <c r="B89" s="193">
        <f>'Données projet'!D92</f>
        <v>0</v>
      </c>
      <c r="C89" s="204">
        <f>'Données projet'!E92*30+SUM('Données projet'!F92:G92)*19.4+'Données projet'!H92*10</f>
        <v>0</v>
      </c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0</v>
      </c>
      <c r="B90" s="193">
        <f>'Données projet'!D93</f>
        <v>0</v>
      </c>
      <c r="C90" s="204">
        <f>'Données projet'!E93*30+SUM('Données projet'!F93:G93)*19.4+'Données projet'!H93*10</f>
        <v>0</v>
      </c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0</v>
      </c>
      <c r="B91" s="193">
        <f>'Données projet'!D94</f>
        <v>0</v>
      </c>
      <c r="C91" s="204">
        <f>'Données projet'!E94*30+SUM('Données projet'!F94:G94)*19.4+'Données projet'!H94*10</f>
        <v>0</v>
      </c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0</v>
      </c>
      <c r="B92" s="193">
        <f>'Données projet'!D95</f>
        <v>0</v>
      </c>
      <c r="C92" s="204">
        <f>'Données projet'!E95*30+SUM('Données projet'!F95:G95)*19.4+'Données projet'!H95*10</f>
        <v>0</v>
      </c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4">
        <f>'Données projet'!E96*30+SUM('Données projet'!F96:G96)*19.4+'Données projet'!H96*10</f>
        <v>0</v>
      </c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>
        <f>'Données projet'!E97*30+SUM('Données projet'!F97:G97)*19.4+'Données projet'!H97*10</f>
        <v>0</v>
      </c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>
        <f>'Données projet'!E98*30+SUM('Données projet'!F98:G98)*19.4+'Données projet'!H98*10</f>
        <v>0</v>
      </c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>
        <f>'Données projet'!E99*30+SUM('Données projet'!F99:G99)*19.4+'Données projet'!H99*10</f>
        <v>0</v>
      </c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>
        <f>'Données projet'!E100*30+SUM('Données projet'!F100:G100)*19.4+'Données projet'!H100*10</f>
        <v>0</v>
      </c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>
        <f>'Données projet'!E101*30+SUM('Données projet'!F101:G101)*19.4+'Données projet'!H101*10</f>
        <v>0</v>
      </c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>
        <f>'Données projet'!E102*30+SUM('Données projet'!F102:G102)*19.4+'Données projet'!H102*10</f>
        <v>0</v>
      </c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>
        <f>'Données projet'!E103*30+SUM('Données projet'!F103:G103)*19.4+'Données projet'!H103*10</f>
        <v>0</v>
      </c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>
        <f>'Données projet'!E104*30+SUM('Données projet'!F104:G104)*19.4+'Données projet'!H104*10</f>
        <v>0</v>
      </c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>
        <f>'Données projet'!E105*30+SUM('Données projet'!F105:G105)*19.4+'Données projet'!H105*10</f>
        <v>0</v>
      </c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>
        <f>'Données projet'!E106*30+SUM('Données projet'!F106:G106)*19.4+'Données projet'!H106*10</f>
        <v>0</v>
      </c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>
        <f>'Données projet'!E107*30+SUM('Données projet'!F107:G107)*19.4+'Données projet'!H107*10</f>
        <v>0</v>
      </c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>
        <f>'Données projet'!E114*37+SUM('Données projet'!F114:G114)*19.4+'Données projet'!H114*10</f>
        <v>0</v>
      </c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>
        <f>'Données projet'!E115*37+SUM('Données projet'!F115:G115)*19.4+'Données projet'!H115*10</f>
        <v>0</v>
      </c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>
        <f>'Données projet'!E116*37+SUM('Données projet'!F116:G116)*19.4+'Données projet'!H116*10</f>
        <v>0</v>
      </c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>
        <f>'Données projet'!E117*37+SUM('Données projet'!F117:G117)*19.4+'Données projet'!H117*10</f>
        <v>0</v>
      </c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>
        <f>'Données projet'!E118*37+SUM('Données projet'!F118:G118)*19.4+'Données projet'!H118*10</f>
        <v>0</v>
      </c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>
        <f>'Données projet'!E119*37+SUM('Données projet'!F119:G119)*19.4+'Données projet'!H119*10</f>
        <v>0</v>
      </c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>
        <f>'Données projet'!E120*37+SUM('Données projet'!F120:G120)*19.4+'Données projet'!H120*10</f>
        <v>0</v>
      </c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>
        <f>'Données projet'!E121*37+SUM('Données projet'!F121:G121)*19.4+'Données projet'!H121*10</f>
        <v>0</v>
      </c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>
        <f>'Données projet'!E122*37+SUM('Données projet'!F122:G122)*19.4+'Données projet'!H122*10</f>
        <v>0</v>
      </c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>
        <f>'Données projet'!E123*37+SUM('Données projet'!F123:G123)*19.4+'Données projet'!H123*10</f>
        <v>0</v>
      </c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>
        <f>'Données projet'!E124*37+SUM('Données projet'!F124:G124)*19.4+'Données projet'!H124*10</f>
        <v>0</v>
      </c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>
        <f>'Données projet'!E125*37+SUM('Données projet'!F125:G125)*19.4+'Données projet'!H125*10</f>
        <v>0</v>
      </c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>
        <f>'Données projet'!E126*37+SUM('Données projet'!F126:G126)*19.4+'Données projet'!H126*10</f>
        <v>0</v>
      </c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>
        <f>'Données projet'!E127*37+SUM('Données projet'!F127:G127)*19.4+'Données projet'!H127*10</f>
        <v>0</v>
      </c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>
        <f>'Données projet'!E128*37+SUM('Données projet'!F128:G128)*19.4+'Données projet'!H128*10</f>
        <v>0</v>
      </c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>
        <f>'Données projet'!E129*37+SUM('Données projet'!F129:G129)*19.4+'Données projet'!H129*10</f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>
        <f>'Données projet'!E130*37+SUM('Données projet'!F130:G130)*19.4+'Données projet'!H130*10</f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>
        <f>'Données projet'!E131*37+SUM('Données projet'!F131:G131)*19.4+'Données projet'!H131*10</f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>
        <f>'Données projet'!E132*37+SUM('Données projet'!F132:G132)*19.4+'Données projet'!H132*10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>
        <f>'Données projet'!E133*37+SUM('Données projet'!F133:G133)*19.4+'Données projet'!H133*10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>
        <f>'Données projet'!E140*150+SUM('Données projet'!F140:G140)*13.8+'Données projet'!H140*10</f>
        <v>0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>
        <f>'Données projet'!E141*150+SUM('Données projet'!F141:G141)*13.8+'Données projet'!H141*10</f>
        <v>0</v>
      </c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>
        <f>'Données projet'!E142*150+SUM('Données projet'!F142:G142)*13.8+'Données projet'!H142*10</f>
        <v>0</v>
      </c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>
        <f>'Données projet'!E143*150+SUM('Données projet'!F143:G143)*13.8+'Données projet'!H143*10</f>
        <v>0</v>
      </c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>
        <f>'Données projet'!E144*150+SUM('Données projet'!F144:G144)*13.8+'Données projet'!H144*10</f>
        <v>0</v>
      </c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>
        <f>'Données projet'!E145*150+SUM('Données projet'!F145:G145)*13.8+'Données projet'!H145*10</f>
        <v>0</v>
      </c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>
        <f>'Données projet'!E146*150+SUM('Données projet'!F146:G146)*13.8+'Données projet'!H146*10</f>
        <v>0</v>
      </c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>
        <f>'Données projet'!E147*150+SUM('Données projet'!F147:G147)*13.8+'Données projet'!H147*10</f>
        <v>0</v>
      </c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>
        <f>'Données projet'!E148*150+SUM('Données projet'!F148:G148)*13.8+'Données projet'!H148*10</f>
        <v>0</v>
      </c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>
        <f>'Données projet'!E149*150+SUM('Données projet'!F149:G149)*13.8+'Données projet'!H149*10</f>
        <v>0</v>
      </c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>
        <f>'Données projet'!E150*150+SUM('Données projet'!F150:G150)*13.8+'Données projet'!H150*10</f>
        <v>0</v>
      </c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>
        <f>'Données projet'!E151*150+SUM('Données projet'!F151:G151)*13.8+'Données projet'!H151*10</f>
        <v>0</v>
      </c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>
        <f>'Données projet'!E152*150+SUM('Données projet'!F152:G152)*13.8+'Données projet'!H152*10</f>
        <v>0</v>
      </c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>
        <f>'Données projet'!E153*150+SUM('Données projet'!F153:G153)*13.8+'Données projet'!H153*10</f>
        <v>0</v>
      </c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>
        <f>'Données projet'!E154*150+SUM('Données projet'!F154:G154)*13.8+'Données projet'!H154*10</f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>
        <f>'Données projet'!E155*150+SUM('Données projet'!F155:G155)*13.8+'Données projet'!H155*10</f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>
        <f>'Données projet'!E156*150+SUM('Données projet'!F156:G156)*13.8+'Données projet'!H156*10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>
        <f>'Données projet'!E157*150+SUM('Données projet'!F157:G157)*13.8+'Données projet'!H157*10</f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>
        <f>'Données projet'!E158*150+SUM('Données projet'!F158:G158)*13.8+'Données projet'!H158*10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>
        <f>'Données projet'!E159*150+SUM('Données projet'!F159:G159)*13.8+'Données projet'!H159*10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'Données projet'!E166*150+SUM('Données projet'!F166:G166)*13.8+'Données projet'!H166*10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'Données projet'!E167*150+SUM('Données projet'!F167:G167)*13.8+'Données projet'!H167*10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'Données projet'!E168*150+SUM('Données projet'!F168:G168)*13.8+'Données projet'!H168*10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'Données projet'!E169*150+SUM('Données projet'!F169:G169)*13.8+'Données projet'!H169*10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'Données projet'!E170*150+SUM('Données projet'!F170:G170)*13.8+'Données projet'!H170*10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'Données projet'!E171*150+SUM('Données projet'!F171:G171)*13.8+'Données projet'!H171*10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'Données projet'!E172*150+SUM('Données projet'!F172:G172)*13.8+'Données projet'!H172*10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'Données projet'!E173*150+SUM('Données projet'!F173:G173)*13.8+'Données projet'!H173*10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'Données projet'!E174*150+SUM('Données projet'!F174:G174)*13.8+'Données projet'!H174*10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'Données projet'!E175*150+SUM('Données projet'!F175:G175)*13.8+'Données projet'!H175*10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'Données projet'!E176*150+SUM('Données projet'!F176:G176)*13.8+'Données projet'!H176*10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'Données projet'!E177*150+SUM('Données projet'!F177:G177)*13.8+'Données projet'!H177*10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'Données projet'!E178*150+SUM('Données projet'!F178:G178)*13.8+'Données projet'!H178*10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'Données projet'!E179*150+SUM('Données projet'!F179:G179)*13.8+'Données projet'!H179*10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'Données projet'!E180*150+SUM('Données projet'!F180:G180)*13.8+'Données projet'!H180*10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'Données projet'!E181*150+SUM('Données projet'!F181:G181)*13.8+'Données projet'!H181*10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'Données projet'!E182*150+SUM('Données projet'!F182:G182)*13.8+'Données projet'!H182*10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'Données projet'!E183*150+SUM('Données projet'!F183:G183)*13.8+'Données projet'!H183*10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'Données projet'!E184*150+SUM('Données projet'!F184:G184)*13.8+'Données projet'!H184*10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'Données projet'!E185*150+SUM('Données projet'!F185:G185)*13.8+'Données projet'!H185*10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'Données projet'!E192*100+SUM('Données projet'!F192:G192)*13.8+'Données projet'!H192*10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'Données projet'!E193*100+SUM('Données projet'!F193:G193)*13.8+'Données projet'!H193*10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'Données projet'!E194*100+SUM('Données projet'!F194:G194)*13.8+'Données projet'!H194*10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'Données projet'!E195*100+SUM('Données projet'!F195:G195)*13.8+'Données projet'!H195*10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'Données projet'!E196*100+SUM('Données projet'!F196:G196)*13.8+'Données projet'!H196*10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'Données projet'!E197*100+SUM('Données projet'!F197:G197)*13.8+'Données projet'!H197*10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'Données projet'!E198*100+SUM('Données projet'!F198:G198)*13.8+'Données projet'!H198*10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'Données projet'!E199*100+SUM('Données projet'!F199:G199)*13.8+'Données projet'!H199*10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'Données projet'!E200*100+SUM('Données projet'!F200:G200)*13.8+'Données projet'!H200*10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'Données projet'!E201*100+SUM('Données projet'!F201:G201)*13.8+'Données projet'!H201*10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'Données projet'!E202*100+SUM('Données projet'!F202:G202)*13.8+'Données projet'!H202*10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'Données projet'!E203*100+SUM('Données projet'!F203:G203)*13.8+'Données projet'!H203*10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'Données projet'!E204*100+SUM('Données projet'!F204:G204)*13.8+'Données projet'!H204*10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'Données projet'!E205*100+SUM('Données projet'!F205:G205)*13.8+'Données projet'!H205*10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'Données projet'!E206*100+SUM('Données projet'!F206:G206)*13.8+'Données projet'!H206*10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'Données projet'!E207*100+SUM('Données projet'!F207:G207)*13.8+'Données projet'!H207*10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'Données projet'!E208*100+SUM('Données projet'!F208:G208)*13.8+'Données projet'!H208*10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'Données projet'!E209*100+SUM('Données projet'!F209:G209)*13.8+'Données projet'!H209*10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'Données projet'!E210*100+SUM('Données projet'!F210:G210)*13.8+'Données projet'!H210*10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'Données projet'!E211*100+SUM('Données projet'!F211:G211)*13.8+'Données projet'!H211*10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'Données projet'!E218*70+SUM('Données projet'!F218:G218)*13.8+'Données projet'!H218*10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'Données projet'!E219*70+SUM('Données projet'!F219:G219)*13.8+'Données projet'!H219*10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'Données projet'!E220*70+SUM('Données projet'!F220:G220)*13.8+'Données projet'!H220*10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'Données projet'!E221*70+SUM('Données projet'!F221:G221)*13.8+'Données projet'!H221*10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'Données projet'!E222*70+SUM('Données projet'!F222:G222)*13.8+'Données projet'!H222*10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'Données projet'!E223*70+SUM('Données projet'!F223:G223)*13.8+'Données projet'!H223*10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'Données projet'!E224*70+SUM('Données projet'!F224:G224)*13.8+'Données projet'!H224*10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'Données projet'!E225*70+SUM('Données projet'!F225:G225)*13.8+'Données projet'!H225*10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'Données projet'!E226*70+SUM('Données projet'!F226:G226)*13.8+'Données projet'!H226*10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'Données projet'!E227*70+SUM('Données projet'!F227:G227)*13.8+'Données projet'!H227*10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'Données projet'!E228*70+SUM('Données projet'!F228:G228)*13.8+'Données projet'!H228*10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'Données projet'!E229*70+SUM('Données projet'!F229:G229)*13.8+'Données projet'!H229*10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'Données projet'!E230*70+SUM('Données projet'!F230:G230)*13.8+'Données projet'!H230*10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'Données projet'!E231*70+SUM('Données projet'!F231:G231)*13.8+'Données projet'!H231*10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'Données projet'!E232*70+SUM('Données projet'!F232:G232)*13.8+'Données projet'!H232*10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'Données projet'!E233*70+SUM('Données projet'!F233:G233)*13.8+'Données projet'!H233*10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'Données projet'!E234*70+SUM('Données projet'!F234:G234)*13.8+'Données projet'!H234*10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'Données projet'!E235*70+SUM('Données projet'!F235:G235)*13.8+'Données projet'!H235*10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'Données projet'!E236*70+SUM('Données projet'!F236:G236)*13.8+'Données projet'!H236*10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'Données projet'!E237*70+SUM('Données projet'!F237:G237)*13.8+'Données projet'!H237*10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'Données projet'!E244*50+SUM('Données projet'!F244:G244)*13.8+'Données projet'!H244*10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'Données projet'!E245*50+SUM('Données projet'!F245:G245)*13.8+'Données projet'!H245*10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'Données projet'!E246*50+SUM('Données projet'!F246:G246)*13.8+'Données projet'!H246*10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'Données projet'!E247*50+SUM('Données projet'!F247:G247)*13.8+'Données projet'!H247*10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'Données projet'!E248*50+SUM('Données projet'!F248:G248)*13.8+'Données projet'!H248*10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'Données projet'!E249*50+SUM('Données projet'!F249:G249)*13.8+'Données projet'!H249*10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'Données projet'!E250*50+SUM('Données projet'!F250:G250)*13.8+'Données projet'!H250*10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'Données projet'!E251*50+SUM('Données projet'!F251:G251)*13.8+'Données projet'!H251*10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'Données projet'!E252*50+SUM('Données projet'!F252:G252)*13.8+'Données projet'!H252*10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'Données projet'!E253*50+SUM('Données projet'!F253:G253)*13.8+'Données projet'!H253*10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'Données projet'!E254*50+SUM('Données projet'!F254:G254)*13.8+'Données projet'!H254*10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'Données projet'!E255*50+SUM('Données projet'!F255:G255)*13.8+'Données projet'!H255*10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'Données projet'!E256*50+SUM('Données projet'!F256:G256)*13.8+'Données projet'!H256*10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'Données projet'!E257*50+SUM('Données projet'!F257:G257)*13.8+'Données projet'!H257*10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'Données projet'!E258*50+SUM('Données projet'!F258:G258)*13.8+'Données projet'!H258*10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'Données projet'!E259*50+SUM('Données projet'!F259:G259)*13.8+'Données projet'!H259*10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'Données projet'!E260*50+SUM('Données projet'!F260:G260)*13.8+'Données projet'!H260*10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'Données projet'!E261*50+SUM('Données projet'!F261:G261)*13.8+'Données projet'!H261*10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'Données projet'!E262*50+SUM('Données projet'!F262:G262)*13.8+'Données projet'!H262*10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'Données projet'!E263*50+SUM('Données projet'!F263:G263)*13.8+'Données projet'!H263*10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>
        <f>'Données projet'!E270*50+SUM('Données projet'!F270:G270)*13.8+'Données projet'!H270*10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>
        <f>'Données projet'!E271*50+SUM('Données projet'!F271:G271)*13.8+'Données projet'!H271*10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>
        <f>'Données projet'!E272*50+SUM('Données projet'!F272:G272)*13.8+'Données projet'!H272*10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>
        <f>'Données projet'!E273*50+SUM('Données projet'!F273:G273)*13.8+'Données projet'!H273*10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>
        <f>'Données projet'!E274*50+SUM('Données projet'!F274:G274)*13.8+'Données projet'!H274*10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>
        <f>'Données projet'!E275*50+SUM('Données projet'!F275:G275)*13.8+'Données projet'!H275*10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>
        <f>'Données projet'!E276*50+SUM('Données projet'!F276:G276)*13.8+'Données projet'!H276*10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>
        <f>'Données projet'!E277*50+SUM('Données projet'!F277:G277)*13.8+'Données projet'!H277*10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>
        <f>'Données projet'!E278*50+SUM('Données projet'!F278:G278)*13.8+'Données projet'!H278*10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>
        <f>'Données projet'!E279*50+SUM('Données projet'!F279:G279)*13.8+'Données projet'!H279*10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>
        <f>'Données projet'!E280*50+SUM('Données projet'!F280:G280)*13.8+'Données projet'!H280*10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>
        <f>'Données projet'!E281*50+SUM('Données projet'!F281:G281)*13.8+'Données projet'!H281*10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>
        <f>'Données projet'!E282*50+SUM('Données projet'!F282:G282)*13.8+'Données projet'!H282*10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>
        <f>'Données projet'!E283*50+SUM('Données projet'!F283:G283)*13.8+'Données projet'!H283*10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>
        <f>'Données projet'!E284*50+SUM('Données projet'!F284:G284)*13.8+'Données projet'!H284*10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>
        <f>'Données projet'!E285*50+SUM('Données projet'!F285:G285)*13.8+'Données projet'!H285*10</f>
        <v>0</v>
      </c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>
        <f>'Données projet'!E286*50+SUM('Données projet'!F286:G286)*13.8+'Données projet'!H286*10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>
        <f>'Données projet'!E287*50+SUM('Données projet'!F287:G287)*13.8+'Données projet'!H287*10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>
        <f>'Données projet'!E288*50+SUM('Données projet'!F288:G288)*13.8+'Données projet'!H288*10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>
        <f>'Données projet'!E289*50+SUM('Données projet'!F289:G289)*13.8+'Données projet'!H289*10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2023-03-22T20:03:25Z</dcterms:modified>
</cp:coreProperties>
</file>