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Cie des Landes\GF CL Saint Paul\dossier final\correctifs\"/>
    </mc:Choice>
  </mc:AlternateContent>
  <xr:revisionPtr revIDLastSave="0" documentId="13_ncr:1_{419D41AF-1638-488F-BD0F-DB5D49A41B0C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I42" i="6"/>
  <c r="I37" i="6"/>
  <c r="I32" i="6"/>
  <c r="I28" i="6"/>
  <c r="I25" i="6"/>
  <c r="I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S140" i="2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EX156" i="2"/>
  <c r="AB156" i="2"/>
  <c r="FS156" i="2"/>
  <c r="H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X157" i="2"/>
  <c r="HG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HG160" i="2"/>
  <c r="EY159" i="2"/>
  <c r="HI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DH164" i="2"/>
  <c r="FS164" i="2"/>
  <c r="H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A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Y168" i="2" s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A172" i="2"/>
  <c r="ED172" i="2" s="1"/>
  <c r="HI172" i="2"/>
  <c r="EV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A175" i="2" l="1"/>
  <c r="HI175" i="2"/>
  <c r="AA175" i="2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A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EA185" i="2"/>
  <c r="EW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HG186" i="2"/>
  <c r="EA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V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HG194" i="2"/>
  <c r="EA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DH195" i="2"/>
  <c r="EX195" i="2"/>
  <c r="AA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HH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HG202" i="2"/>
  <c r="FR202" i="2"/>
  <c r="EX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86" i="2" a="1"/>
  <c r="DN186" i="2" s="1"/>
  <c r="DN50" i="2" a="1"/>
  <c r="DN50" i="2" s="1"/>
  <c r="DN66" i="2" a="1"/>
  <c r="DN66" i="2" s="1"/>
  <c r="EI195" i="2" a="1"/>
  <c r="EI195" i="2" s="1"/>
  <c r="AH151" i="2" a="1"/>
  <c r="AH151" i="2" s="1"/>
  <c r="DN103" i="2" a="1"/>
  <c r="DN103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49" i="2" a="1"/>
  <c r="DN49" i="2" s="1"/>
  <c r="DN65" i="2" a="1"/>
  <c r="DN65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DN132" i="2" l="1" a="1"/>
  <c r="DN132" i="2" s="1"/>
  <c r="DN45" i="2" a="1"/>
  <c r="DN45" i="2" s="1"/>
  <c r="DN190" i="2" a="1"/>
  <c r="DN190" i="2" s="1"/>
  <c r="DN16" i="2" a="1"/>
  <c r="DN16" i="2" s="1"/>
  <c r="DN80" i="2" a="1"/>
  <c r="DN80" i="2" s="1"/>
  <c r="CS105" i="2" a="1"/>
  <c r="CS105" i="2" s="1"/>
  <c r="CS77" i="2" a="1"/>
  <c r="CS77" i="2" s="1"/>
  <c r="DN150" i="2" a="1"/>
  <c r="DN150" i="2" s="1"/>
  <c r="DN170" i="2" a="1"/>
  <c r="DN170" i="2" s="1"/>
  <c r="DN41" i="2" a="1"/>
  <c r="DN41" i="2" s="1"/>
  <c r="DN155" i="2" a="1"/>
  <c r="DN155" i="2" s="1"/>
  <c r="DN56" i="2" a="1"/>
  <c r="DN56" i="2" s="1"/>
  <c r="DN137" i="2" a="1"/>
  <c r="DN137" i="2" s="1"/>
  <c r="CS134" i="2" a="1"/>
  <c r="CS134" i="2" s="1"/>
  <c r="DN133" i="2" a="1"/>
  <c r="DN133" i="2" s="1"/>
  <c r="DN162" i="2" a="1"/>
  <c r="DN162" i="2" s="1"/>
  <c r="CS185" i="2" a="1"/>
  <c r="CS185" i="2" s="1"/>
  <c r="CS161" i="2" a="1"/>
  <c r="CS161" i="2" s="1"/>
  <c r="DN114" i="2" a="1"/>
  <c r="DN114" i="2" s="1"/>
  <c r="DN192" i="2" a="1"/>
  <c r="DN192" i="2" s="1"/>
  <c r="DN129" i="2" a="1"/>
  <c r="DN129" i="2" s="1"/>
  <c r="DN43" i="2" a="1"/>
  <c r="DN43" i="2" s="1"/>
  <c r="AH92" i="2" a="1"/>
  <c r="AH92" i="2" s="1"/>
  <c r="DN70" i="2" a="1"/>
  <c r="DN70" i="2" s="1"/>
  <c r="DN63" i="2" a="1"/>
  <c r="DN63" i="2" s="1"/>
  <c r="DN187" i="2" a="1"/>
  <c r="DN187" i="2" s="1"/>
  <c r="DN30" i="2" a="1"/>
  <c r="DN30" i="2" s="1"/>
  <c r="DN55" i="2" a="1"/>
  <c r="DN55" i="2" s="1"/>
  <c r="DN135" i="2" a="1"/>
  <c r="DN135" i="2" s="1"/>
  <c r="AH199" i="2" a="1"/>
  <c r="AH199" i="2" s="1"/>
  <c r="CS137" i="2" a="1"/>
  <c r="CS137" i="2" s="1"/>
  <c r="DN86" i="2" a="1"/>
  <c r="DN86" i="2" s="1"/>
  <c r="DN25" i="2" a="1"/>
  <c r="DN25" i="2" s="1"/>
  <c r="CS129" i="2" a="1"/>
  <c r="CS129" i="2" s="1"/>
  <c r="DN164" i="2" a="1"/>
  <c r="DN164" i="2" s="1"/>
  <c r="DN46" i="2" a="1"/>
  <c r="DN46" i="2" s="1"/>
  <c r="DN110" i="2" a="1"/>
  <c r="DN110" i="2" s="1"/>
  <c r="DN38" i="2" a="1"/>
  <c r="DN38" i="2" s="1"/>
  <c r="AH166" i="2" a="1"/>
  <c r="AH166" i="2" s="1"/>
  <c r="DN123" i="2" a="1"/>
  <c r="DN123" i="2" s="1"/>
  <c r="DN177" i="2" a="1"/>
  <c r="DN177" i="2" s="1"/>
  <c r="DN184" i="2" a="1"/>
  <c r="DN184" i="2" s="1"/>
  <c r="CS52" i="2" a="1"/>
  <c r="CS52" i="2" s="1"/>
  <c r="DN113" i="2" a="1"/>
  <c r="DN113" i="2" s="1"/>
  <c r="BX107" i="2" a="1"/>
  <c r="BX107" i="2" s="1"/>
  <c r="DN31" i="2" a="1"/>
  <c r="DN31" i="2" s="1"/>
  <c r="CS114" i="2" a="1"/>
  <c r="CS114" i="2" s="1"/>
  <c r="AH19" i="2" a="1"/>
  <c r="AH19" i="2" s="1"/>
  <c r="DN115" i="2" a="1"/>
  <c r="DN115" i="2" s="1"/>
  <c r="DN152" i="2" a="1"/>
  <c r="DN152" i="2" s="1"/>
  <c r="DN124" i="2" a="1"/>
  <c r="DN124" i="2" s="1"/>
  <c r="HH203" i="2"/>
  <c r="DN188" i="2" a="1"/>
  <c r="DN188" i="2" s="1"/>
  <c r="CS72" i="2" a="1"/>
  <c r="CS72" i="2" s="1"/>
  <c r="DN176" i="2" a="1"/>
  <c r="DN176" i="2" s="1"/>
  <c r="DN167" i="2" a="1"/>
  <c r="DN167" i="2" s="1"/>
  <c r="CS56" i="2" a="1"/>
  <c r="CS56" i="2" s="1"/>
  <c r="CS38" i="2" a="1"/>
  <c r="CS38" i="2" s="1"/>
  <c r="AH90" i="2" a="1"/>
  <c r="AH90" i="2" s="1"/>
  <c r="CS116" i="2" a="1"/>
  <c r="CS116" i="2" s="1"/>
  <c r="DN153" i="2" a="1"/>
  <c r="DN153" i="2" s="1"/>
  <c r="DN29" i="2" a="1"/>
  <c r="DN29" i="2" s="1"/>
  <c r="CS66" i="2" a="1"/>
  <c r="CS66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<sst xmlns="http://schemas.openxmlformats.org/spreadsheetml/2006/main" count="1173" uniqueCount="324">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</sst>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2.1947421362503401</c:v>
                </c:pt>
                <c:pt idx="2">
                  <c:v>3.1066707541219203</c:v>
                </c:pt>
                <c:pt idx="3">
                  <c:v>4.3991704393614102</c:v>
                </c:pt>
                <c:pt idx="4">
                  <c:v>6.231714241611698</c:v>
                </c:pt>
                <c:pt idx="5">
                  <c:v>8.8308545280643802</c:v>
                </c:pt>
                <c:pt idx="6">
                  <c:v>12.518537583596355</c:v>
                </c:pt>
                <c:pt idx="7">
                  <c:v>17.752408335888845</c:v>
                </c:pt>
                <c:pt idx="8">
                  <c:v>25.183197368441203</c:v>
                </c:pt>
                <c:pt idx="9">
                  <c:v>35.736450711222261</c:v>
                </c:pt>
                <c:pt idx="10">
                  <c:v>50.728956724327993</c:v>
                </c:pt>
                <c:pt idx="11">
                  <c:v>72.034639579926306</c:v>
                </c:pt>
                <c:pt idx="12">
                  <c:v>102.32099091202366</c:v>
                </c:pt>
                <c:pt idx="13">
                  <c:v>145.3861081184983</c:v>
                </c:pt>
                <c:pt idx="14">
                  <c:v>206.63925413557971</c:v>
                </c:pt>
                <c:pt idx="15">
                  <c:v>170.17799139354577</c:v>
                </c:pt>
                <c:pt idx="16">
                  <c:v>198.45494944345194</c:v>
                </c:pt>
                <c:pt idx="17">
                  <c:v>226.63832771007068</c:v>
                </c:pt>
                <c:pt idx="18">
                  <c:v>254.74140516450677</c:v>
                </c:pt>
                <c:pt idx="19">
                  <c:v>282.77428516376659</c:v>
                </c:pt>
                <c:pt idx="20">
                  <c:v>310.74490180919639</c:v>
                </c:pt>
                <c:pt idx="21">
                  <c:v>248.05485833661805</c:v>
                </c:pt>
                <c:pt idx="22">
                  <c:v>270.07134309605243</c:v>
                </c:pt>
                <c:pt idx="23">
                  <c:v>292.04744216449819</c:v>
                </c:pt>
                <c:pt idx="24">
                  <c:v>313.98662053446913</c:v>
                </c:pt>
                <c:pt idx="25">
                  <c:v>335.89181942161309</c:v>
                </c:pt>
                <c:pt idx="26">
                  <c:v>357.76556515441808</c:v>
                </c:pt>
                <c:pt idx="27">
                  <c:v>379.61005001530816</c:v>
                </c:pt>
                <c:pt idx="28">
                  <c:v>401.427193488993</c:v>
                </c:pt>
                <c:pt idx="29">
                  <c:v>423.21868949467256</c:v>
                </c:pt>
                <c:pt idx="30">
                  <c:v>444.98604338044487</c:v>
                </c:pt>
                <c:pt idx="31">
                  <c:v>466.7306013011443</c:v>
                </c:pt>
                <c:pt idx="32">
                  <c:v>488.45357383650975</c:v>
                </c:pt>
                <c:pt idx="33">
                  <c:v>510.15605518984057</c:v>
                </c:pt>
                <c:pt idx="34">
                  <c:v>531.83903895063179</c:v>
                </c:pt>
                <c:pt idx="35">
                  <c:v>553.50343115388466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9" zoomScale="80" zoomScaleNormal="80" workbookViewId="0">
      <selection activeCell="B38" sqref="B3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17.53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0.91</v>
      </c>
      <c r="D9" s="33">
        <f t="shared" ref="D9:D18" si="0">C9*$C$5</f>
        <v>15.952300000000001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5</v>
      </c>
      <c r="C10" s="32">
        <v>0.03</v>
      </c>
      <c r="D10" s="33">
        <f t="shared" si="0"/>
        <v>0.52590000000000003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15</v>
      </c>
      <c r="C11" s="32">
        <v>0.03</v>
      </c>
      <c r="D11" s="33">
        <f t="shared" si="0"/>
        <v>0.52590000000000003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10</v>
      </c>
      <c r="C12" s="32">
        <v>0.03</v>
      </c>
      <c r="D12" s="33">
        <f t="shared" si="0"/>
        <v>0.52590000000000003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17.53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14</v>
      </c>
      <c r="B36" s="60">
        <v>156</v>
      </c>
      <c r="C36" s="60">
        <v>1</v>
      </c>
      <c r="D36" s="60">
        <v>50</v>
      </c>
      <c r="E36" s="51"/>
      <c r="F36" s="51">
        <v>0.5</v>
      </c>
      <c r="G36" s="51">
        <v>0.5</v>
      </c>
      <c r="H36" s="51"/>
      <c r="I36" s="49">
        <f>IFERROR(B36/A36,"")</f>
        <v>11.142857142857142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237</v>
      </c>
      <c r="C37" s="60">
        <v>2</v>
      </c>
      <c r="D37" s="60">
        <v>66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21.833333333333332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35</v>
      </c>
      <c r="B38" s="60">
        <v>428</v>
      </c>
      <c r="C38" s="60">
        <v>3</v>
      </c>
      <c r="D38" s="60">
        <v>428</v>
      </c>
      <c r="E38" s="51">
        <v>0.3</v>
      </c>
      <c r="F38" s="51">
        <v>0.35</v>
      </c>
      <c r="G38" s="51">
        <v>0.35</v>
      </c>
      <c r="H38" s="51"/>
      <c r="I38" s="53">
        <f t="shared" si="1"/>
        <v>17.133333333333333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Bouleau verruqueux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tauzin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Chêne-liège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10" zoomScaleNormal="100" workbookViewId="0">
      <selection activeCell="G17" sqref="G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Bouleau verruqueux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tauzin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Chêne-liège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204.10151832511235</v>
      </c>
      <c r="T3" s="59">
        <f>IF('Données projet'!E9&gt;30,$R$33-$H$33,LOOKUP('Données projet'!$E$9,$A$3:$A$203,R3:R203)-LOOKUP('Données projet'!$E$9,$A$3:$A$203,$H$3:$H$203))</f>
        <v>406.96276429030371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0</v>
      </c>
      <c r="AO3" s="59">
        <f>IF('Données projet'!E10&gt;30,$AM$33-$H$33,LOOKUP('Données projet'!$E$10,$A$3:$A$203,AM3:AM203)-LOOKUP('Données projet'!$E$10,$A$3:$A$203,$H$3:$H$203))</f>
        <v>0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0</v>
      </c>
      <c r="BJ3" s="59">
        <f>IF('Données projet'!E11&gt;30,$BH$33-$H$33,LOOKUP('Données projet'!$E$11,$A$3:$A$203,BH3:BH203)-LOOKUP('Données projet'!$E$11,$A$3:$A$203,$H$3:$H$203))</f>
        <v>0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0</v>
      </c>
      <c r="CE3" s="59">
        <f>IF('Données projet'!E12&gt;30,$CC$33-$H$33,LOOKUP('Données projet'!$E$12,$A$3:$A$203,CC3:CC203)-LOOKUP('Données projet'!$E$12,$A$3:$A$203,$H$3:$H$203))</f>
        <v>0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11.142857142857142</v>
      </c>
      <c r="N4" s="13">
        <f>IF('Données projet'!$A$36&gt;35,N3+M4-V3,IF(A4&lt;'Données projet'!$A$36,$K$205^A4,IF(A4='Données projet'!$A$36,'Données projet'!$B$36,N3+M4-V3)))</f>
        <v>1.4343388344847876</v>
      </c>
      <c r="O4" s="13">
        <f>N4*VLOOKUP('Données projet'!$B$9,Paramètres!$A$1:$I$89,3,0)*VLOOKUP('Données projet'!$B$9,Paramètres!$A$1:$I$89,5,0)</f>
        <v>0.85773462302190306</v>
      </c>
      <c r="P4" s="13">
        <f>EXP(-1.0587+0.8836*LN(O4)+0.284)</f>
        <v>0.40240440257637844</v>
      </c>
      <c r="Q4" s="20">
        <f t="shared" ref="Q4:Q34" si="2">(O4+P4)*0.475*44/12</f>
        <v>2.1947421362503401</v>
      </c>
      <c r="R4" s="59">
        <f t="shared" si="0"/>
        <v>295.52807546958365</v>
      </c>
      <c r="S4" s="59">
        <f ca="1">AVERAGE(OFFSET($R$3,0,0,'Données projet'!$E$9+1,1))-AVERAGE(OFFSET($H$3,0,0,'Données projet'!$E$9+1,1))</f>
        <v>204.10151832511235</v>
      </c>
      <c r="T4" s="59">
        <f>$T$3</f>
        <v>406.96276429030371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>
        <f>AI4*VLOOKUP('Données projet'!$B$10,Paramètres!$A$1:$I$89,3,0)*VLOOKUP('Données projet'!$B$10,Paramètres!$A$1:$I$89,5,0)</f>
        <v>0</v>
      </c>
      <c r="AK4" s="13" t="e">
        <f>EXP(-1.0587+0.8836*LN(AJ4)+0.284)</f>
        <v>#NUM!</v>
      </c>
      <c r="AL4" s="20" t="e">
        <f t="shared" ref="AL4:AL67" si="4">(AJ4+AK4)*0.475*44/12</f>
        <v>#NUM!</v>
      </c>
      <c r="AM4" s="59" t="e">
        <f t="shared" ref="AM4:AM67" si="5">AL4+(AD4+AE4)*44/12</f>
        <v>#NUM!</v>
      </c>
      <c r="AN4" s="59">
        <f ca="1">AVERAGE(OFFSET($AM$3,0,0,'Données projet'!$E$10+1,1))-AVERAGE(OFFSET($H$3,0,0,'Données projet'!$E$10+1,1))</f>
        <v>0</v>
      </c>
      <c r="AO4" s="59">
        <f>$AO$3</f>
        <v>0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>
        <f>BD4*VLOOKUP('Données projet'!$B$11,Paramètres!$A$1:$I$89,3,0)*VLOOKUP('Données projet'!$B$11,Paramètres!$A$1:$I$89,5,0)</f>
        <v>0</v>
      </c>
      <c r="BF4" s="13" t="e">
        <f>EXP(-1.0587+0.8836*LN(BE4)+0.284)</f>
        <v>#NUM!</v>
      </c>
      <c r="BG4" s="20" t="e">
        <f t="shared" ref="BG4:BG67" si="7">(BE4+BF4)*0.475*44/12</f>
        <v>#NUM!</v>
      </c>
      <c r="BH4" s="59" t="e">
        <f t="shared" ref="BH4:BH67" si="8">BG4+(AY4+AZ4)*44/12</f>
        <v>#NUM!</v>
      </c>
      <c r="BI4" s="59">
        <f ca="1">AVERAGE(OFFSET($BH$3,0,0,'Données projet'!$E$11+1,1))-AVERAGE(OFFSET($H$3,0,0,'Données projet'!$E$11+1,1))</f>
        <v>0</v>
      </c>
      <c r="BJ4" s="59">
        <f>$BJ$3</f>
        <v>0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>
        <f>BY4*VLOOKUP('Données projet'!$B$12,Paramètres!$A$1:$I$89,3,0)*VLOOKUP('Données projet'!$B$12,Paramètres!$A$1:$I$89,5,0)</f>
        <v>0</v>
      </c>
      <c r="CA4" s="13" t="e">
        <f>EXP(-1.0587+0.8836*LN(BZ4)+0.284)</f>
        <v>#NUM!</v>
      </c>
      <c r="CB4" s="20" t="e">
        <f t="shared" ref="CB4:CB67" si="10">(BZ4+CA4)*0.475*44/12</f>
        <v>#NUM!</v>
      </c>
      <c r="CC4" s="59" t="e">
        <f t="shared" ref="CC4:CC67" si="11">CB4+(BT4+BU4)*44/12</f>
        <v>#NUM!</v>
      </c>
      <c r="CD4" s="59">
        <f ca="1">AVERAGE(OFFSET($CC$3,0,0,'Données projet'!$E$12+1,1))-AVERAGE(OFFSET($H$3,0,0,'Données projet'!$E$12+1,1))</f>
        <v>0</v>
      </c>
      <c r="CE4" s="59">
        <f>$CE$3</f>
        <v>0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11.142857142857142</v>
      </c>
      <c r="N5" s="13">
        <f>IF('Données projet'!$A$36&gt;35,N4+M5-V4,IF(A5&lt;'Données projet'!$A$36,$K$205^A5,IF(A5='Données projet'!$A$36,'Données projet'!$B$36,N4+M5-V4)))</f>
        <v>2.0573278921111791</v>
      </c>
      <c r="O5" s="13">
        <f>N5*VLOOKUP('Données projet'!$B$9,Paramètres!$A$1:$I$89,3,0)*VLOOKUP('Données projet'!$B$9,Paramètres!$A$1:$I$89,5,0)</f>
        <v>1.2302820794824851</v>
      </c>
      <c r="P5" s="13">
        <f t="shared" ref="P5:P68" si="33">EXP(-1.0587+0.8836*LN(O5)+0.284)</f>
        <v>0.55345232479804318</v>
      </c>
      <c r="Q5" s="20">
        <f t="shared" si="2"/>
        <v>3.1066707541219203</v>
      </c>
      <c r="R5" s="59">
        <f t="shared" si="0"/>
        <v>296.44000408745524</v>
      </c>
      <c r="S5" s="59">
        <f ca="1">AVERAGE(OFFSET($R$3,0,0,'Données projet'!$E$9+1,1))-AVERAGE(OFFSET($H$3,0,0,'Données projet'!$E$9+1,1))</f>
        <v>204.10151832511235</v>
      </c>
      <c r="T5" s="59">
        <f t="shared" ref="T5:T68" si="34">$T$3</f>
        <v>406.96276429030371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>
        <f>AI5*VLOOKUP('Données projet'!$B$10,Paramètres!$A$1:$I$89,3,0)*VLOOKUP('Données projet'!$B$10,Paramètres!$A$1:$I$89,5,0)</f>
        <v>0</v>
      </c>
      <c r="AK5" s="13" t="e">
        <f t="shared" ref="AK5:AK68" si="35">EXP(-1.0587+0.8836*LN(AJ5)+0.284)</f>
        <v>#NUM!</v>
      </c>
      <c r="AL5" s="20" t="e">
        <f t="shared" si="4"/>
        <v>#NUM!</v>
      </c>
      <c r="AM5" s="59" t="e">
        <f t="shared" si="5"/>
        <v>#NUM!</v>
      </c>
      <c r="AN5" s="59">
        <f ca="1">AVERAGE(OFFSET($AM$3,0,0,'Données projet'!$E$10+1,1))-AVERAGE(OFFSET($H$3,0,0,'Données projet'!$E$10+1,1))</f>
        <v>0</v>
      </c>
      <c r="AO5" s="59">
        <f t="shared" ref="AO5:AO68" si="36">$AO$3</f>
        <v>0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>
        <f>BD5*VLOOKUP('Données projet'!$B$11,Paramètres!$A$1:$I$89,3,0)*VLOOKUP('Données projet'!$B$11,Paramètres!$A$1:$I$89,5,0)</f>
        <v>0</v>
      </c>
      <c r="BF5" s="13" t="e">
        <f t="shared" ref="BF5:BF68" si="37">EXP(-1.0587+0.8836*LN(BE5)+0.284)</f>
        <v>#NUM!</v>
      </c>
      <c r="BG5" s="20" t="e">
        <f t="shared" si="7"/>
        <v>#NUM!</v>
      </c>
      <c r="BH5" s="59" t="e">
        <f t="shared" si="8"/>
        <v>#NUM!</v>
      </c>
      <c r="BI5" s="59">
        <f ca="1">AVERAGE(OFFSET($BH$3,0,0,'Données projet'!$E$11+1,1))-AVERAGE(OFFSET($H$3,0,0,'Données projet'!$E$11+1,1))</f>
        <v>0</v>
      </c>
      <c r="BJ5" s="59">
        <f t="shared" ref="BJ5:BJ68" si="38">$BJ$3</f>
        <v>0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>
        <f>BY5*VLOOKUP('Données projet'!$B$12,Paramètres!$A$1:$I$89,3,0)*VLOOKUP('Données projet'!$B$12,Paramètres!$A$1:$I$89,5,0)</f>
        <v>0</v>
      </c>
      <c r="CA5" s="13" t="e">
        <f t="shared" ref="CA5:CA68" si="39">EXP(-1.0587+0.8836*LN(BZ5)+0.284)</f>
        <v>#NUM!</v>
      </c>
      <c r="CB5" s="20" t="e">
        <f t="shared" si="10"/>
        <v>#NUM!</v>
      </c>
      <c r="CC5" s="59" t="e">
        <f t="shared" si="11"/>
        <v>#NUM!</v>
      </c>
      <c r="CD5" s="59">
        <f ca="1">AVERAGE(OFFSET($CC$3,0,0,'Données projet'!$E$12+1,1))-AVERAGE(OFFSET($H$3,0,0,'Données projet'!$E$12+1,1))</f>
        <v>0</v>
      </c>
      <c r="CE5" s="59">
        <f t="shared" ref="CE5:CE68" si="40">$CE$3</f>
        <v>0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11.142857142857142</v>
      </c>
      <c r="N6" s="13">
        <f>IF('Données projet'!$A$36&gt;35,N5+M6-V5,IF(A6&lt;'Données projet'!$A$36,$K$205^A6,IF(A6='Données projet'!$A$36,'Données projet'!$B$36,N5+M6-V5)))</f>
        <v>2.9509052909237936</v>
      </c>
      <c r="O6" s="13">
        <f>N6*VLOOKUP('Données projet'!$B$9,Paramètres!$A$1:$I$89,3,0)*VLOOKUP('Données projet'!$B$9,Paramètres!$A$1:$I$89,5,0)</f>
        <v>1.7646413639724285</v>
      </c>
      <c r="P6" s="13">
        <f t="shared" si="33"/>
        <v>0.76119812274225696</v>
      </c>
      <c r="Q6" s="20">
        <f t="shared" si="2"/>
        <v>4.3991704393614102</v>
      </c>
      <c r="R6" s="59">
        <f t="shared" si="0"/>
        <v>297.73250377269471</v>
      </c>
      <c r="S6" s="59">
        <f ca="1">AVERAGE(OFFSET($R$3,0,0,'Données projet'!$E$9+1,1))-AVERAGE(OFFSET($H$3,0,0,'Données projet'!$E$9+1,1))</f>
        <v>204.10151832511235</v>
      </c>
      <c r="T6" s="59">
        <f t="shared" si="34"/>
        <v>406.96276429030371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>
        <f>AI6*VLOOKUP('Données projet'!$B$10,Paramètres!$A$1:$I$89,3,0)*VLOOKUP('Données projet'!$B$10,Paramètres!$A$1:$I$89,5,0)</f>
        <v>0</v>
      </c>
      <c r="AK6" s="13" t="e">
        <f t="shared" si="35"/>
        <v>#NUM!</v>
      </c>
      <c r="AL6" s="20" t="e">
        <f t="shared" si="4"/>
        <v>#NUM!</v>
      </c>
      <c r="AM6" s="59" t="e">
        <f t="shared" si="5"/>
        <v>#NUM!</v>
      </c>
      <c r="AN6" s="59">
        <f ca="1">AVERAGE(OFFSET($AM$3,0,0,'Données projet'!$E$10+1,1))-AVERAGE(OFFSET($H$3,0,0,'Données projet'!$E$10+1,1))</f>
        <v>0</v>
      </c>
      <c r="AO6" s="59">
        <f t="shared" si="36"/>
        <v>0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>
        <f>BD6*VLOOKUP('Données projet'!$B$11,Paramètres!$A$1:$I$89,3,0)*VLOOKUP('Données projet'!$B$11,Paramètres!$A$1:$I$89,5,0)</f>
        <v>0</v>
      </c>
      <c r="BF6" s="13" t="e">
        <f t="shared" si="37"/>
        <v>#NUM!</v>
      </c>
      <c r="BG6" s="20" t="e">
        <f t="shared" si="7"/>
        <v>#NUM!</v>
      </c>
      <c r="BH6" s="59" t="e">
        <f t="shared" si="8"/>
        <v>#NUM!</v>
      </c>
      <c r="BI6" s="59">
        <f ca="1">AVERAGE(OFFSET($BH$3,0,0,'Données projet'!$E$11+1,1))-AVERAGE(OFFSET($H$3,0,0,'Données projet'!$E$11+1,1))</f>
        <v>0</v>
      </c>
      <c r="BJ6" s="59">
        <f t="shared" si="38"/>
        <v>0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>
        <f>BY6*VLOOKUP('Données projet'!$B$12,Paramètres!$A$1:$I$89,3,0)*VLOOKUP('Données projet'!$B$12,Paramètres!$A$1:$I$89,5,0)</f>
        <v>0</v>
      </c>
      <c r="CA6" s="13" t="e">
        <f t="shared" si="39"/>
        <v>#NUM!</v>
      </c>
      <c r="CB6" s="20" t="e">
        <f t="shared" si="10"/>
        <v>#NUM!</v>
      </c>
      <c r="CC6" s="59" t="e">
        <f t="shared" si="11"/>
        <v>#NUM!</v>
      </c>
      <c r="CD6" s="59">
        <f ca="1">AVERAGE(OFFSET($CC$3,0,0,'Données projet'!$E$12+1,1))-AVERAGE(OFFSET($H$3,0,0,'Données projet'!$E$12+1,1))</f>
        <v>0</v>
      </c>
      <c r="CE6" s="59">
        <f t="shared" si="40"/>
        <v>0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11.142857142857142</v>
      </c>
      <c r="N7" s="13">
        <f>IF('Données projet'!$A$36&gt;35,N6+M7-V6,IF(A7&lt;'Données projet'!$A$36,$K$205^A7,IF(A7='Données projet'!$A$36,'Données projet'!$B$36,N6+M7-V6)))</f>
        <v>4.2325980556586273</v>
      </c>
      <c r="O7" s="13">
        <f>N7*VLOOKUP('Données projet'!$B$9,Paramètres!$A$1:$I$89,3,0)*VLOOKUP('Données projet'!$B$9,Paramètres!$A$1:$I$89,5,0)</f>
        <v>2.5310936372838593</v>
      </c>
      <c r="P7" s="13">
        <f t="shared" si="33"/>
        <v>1.0469241090960628</v>
      </c>
      <c r="Q7" s="20">
        <f t="shared" si="2"/>
        <v>6.231714241611698</v>
      </c>
      <c r="R7" s="59">
        <f t="shared" si="0"/>
        <v>299.56504757494503</v>
      </c>
      <c r="S7" s="59">
        <f ca="1">AVERAGE(OFFSET($R$3,0,0,'Données projet'!$E$9+1,1))-AVERAGE(OFFSET($H$3,0,0,'Données projet'!$E$9+1,1))</f>
        <v>204.10151832511235</v>
      </c>
      <c r="T7" s="59">
        <f t="shared" si="34"/>
        <v>406.96276429030371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>
        <f>AI7*VLOOKUP('Données projet'!$B$10,Paramètres!$A$1:$I$89,3,0)*VLOOKUP('Données projet'!$B$10,Paramètres!$A$1:$I$89,5,0)</f>
        <v>0</v>
      </c>
      <c r="AK7" s="13" t="e">
        <f t="shared" si="35"/>
        <v>#NUM!</v>
      </c>
      <c r="AL7" s="20" t="e">
        <f t="shared" si="4"/>
        <v>#NUM!</v>
      </c>
      <c r="AM7" s="59" t="e">
        <f t="shared" si="5"/>
        <v>#NUM!</v>
      </c>
      <c r="AN7" s="59">
        <f ca="1">AVERAGE(OFFSET($AM$3,0,0,'Données projet'!$E$10+1,1))-AVERAGE(OFFSET($H$3,0,0,'Données projet'!$E$10+1,1))</f>
        <v>0</v>
      </c>
      <c r="AO7" s="59">
        <f t="shared" si="36"/>
        <v>0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>
        <f>BD7*VLOOKUP('Données projet'!$B$11,Paramètres!$A$1:$I$89,3,0)*VLOOKUP('Données projet'!$B$11,Paramètres!$A$1:$I$89,5,0)</f>
        <v>0</v>
      </c>
      <c r="BF7" s="13" t="e">
        <f t="shared" si="37"/>
        <v>#NUM!</v>
      </c>
      <c r="BG7" s="20" t="e">
        <f t="shared" si="7"/>
        <v>#NUM!</v>
      </c>
      <c r="BH7" s="59" t="e">
        <f t="shared" si="8"/>
        <v>#NUM!</v>
      </c>
      <c r="BI7" s="59">
        <f ca="1">AVERAGE(OFFSET($BH$3,0,0,'Données projet'!$E$11+1,1))-AVERAGE(OFFSET($H$3,0,0,'Données projet'!$E$11+1,1))</f>
        <v>0</v>
      </c>
      <c r="BJ7" s="59">
        <f t="shared" si="38"/>
        <v>0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>
        <f>BY7*VLOOKUP('Données projet'!$B$12,Paramètres!$A$1:$I$89,3,0)*VLOOKUP('Données projet'!$B$12,Paramètres!$A$1:$I$89,5,0)</f>
        <v>0</v>
      </c>
      <c r="CA7" s="13" t="e">
        <f t="shared" si="39"/>
        <v>#NUM!</v>
      </c>
      <c r="CB7" s="20" t="e">
        <f t="shared" si="10"/>
        <v>#NUM!</v>
      </c>
      <c r="CC7" s="59" t="e">
        <f t="shared" si="11"/>
        <v>#NUM!</v>
      </c>
      <c r="CD7" s="59">
        <f ca="1">AVERAGE(OFFSET($CC$3,0,0,'Données projet'!$E$12+1,1))-AVERAGE(OFFSET($H$3,0,0,'Données projet'!$E$12+1,1))</f>
        <v>0</v>
      </c>
      <c r="CE7" s="59">
        <f t="shared" si="40"/>
        <v>0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11.142857142857142</v>
      </c>
      <c r="N8" s="13">
        <f>IF('Données projet'!$A$36&gt;35,N7+M8-V7,IF(A8&lt;'Données projet'!$A$36,$K$205^A8,IF(A8='Données projet'!$A$36,'Données projet'!$B$36,N7+M8-V7)))</f>
        <v>6.0709797619959733</v>
      </c>
      <c r="O8" s="13">
        <f>N8*VLOOKUP('Données projet'!$B$9,Paramètres!$A$1:$I$89,3,0)*VLOOKUP('Données projet'!$B$9,Paramètres!$A$1:$I$89,5,0)</f>
        <v>3.6304458976735927</v>
      </c>
      <c r="P8" s="13">
        <f t="shared" si="33"/>
        <v>1.4399011997796392</v>
      </c>
      <c r="Q8" s="20">
        <f t="shared" si="2"/>
        <v>8.8308545280643802</v>
      </c>
      <c r="R8" s="59">
        <f t="shared" si="0"/>
        <v>302.16418786139769</v>
      </c>
      <c r="S8" s="59">
        <f ca="1">AVERAGE(OFFSET($R$3,0,0,'Données projet'!$E$9+1,1))-AVERAGE(OFFSET($H$3,0,0,'Données projet'!$E$9+1,1))</f>
        <v>204.10151832511235</v>
      </c>
      <c r="T8" s="59">
        <f t="shared" si="34"/>
        <v>406.96276429030371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>
        <f>AI8*VLOOKUP('Données projet'!$B$10,Paramètres!$A$1:$I$89,3,0)*VLOOKUP('Données projet'!$B$10,Paramètres!$A$1:$I$89,5,0)</f>
        <v>0</v>
      </c>
      <c r="AK8" s="13" t="e">
        <f t="shared" si="35"/>
        <v>#NUM!</v>
      </c>
      <c r="AL8" s="20" t="e">
        <f t="shared" si="4"/>
        <v>#NUM!</v>
      </c>
      <c r="AM8" s="59" t="e">
        <f t="shared" si="5"/>
        <v>#NUM!</v>
      </c>
      <c r="AN8" s="59">
        <f ca="1">AVERAGE(OFFSET($AM$3,0,0,'Données projet'!$E$10+1,1))-AVERAGE(OFFSET($H$3,0,0,'Données projet'!$E$10+1,1))</f>
        <v>0</v>
      </c>
      <c r="AO8" s="59">
        <f t="shared" si="36"/>
        <v>0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>
        <f>BD8*VLOOKUP('Données projet'!$B$11,Paramètres!$A$1:$I$89,3,0)*VLOOKUP('Données projet'!$B$11,Paramètres!$A$1:$I$89,5,0)</f>
        <v>0</v>
      </c>
      <c r="BF8" s="13" t="e">
        <f t="shared" si="37"/>
        <v>#NUM!</v>
      </c>
      <c r="BG8" s="20" t="e">
        <f t="shared" si="7"/>
        <v>#NUM!</v>
      </c>
      <c r="BH8" s="59" t="e">
        <f t="shared" si="8"/>
        <v>#NUM!</v>
      </c>
      <c r="BI8" s="59">
        <f ca="1">AVERAGE(OFFSET($BH$3,0,0,'Données projet'!$E$11+1,1))-AVERAGE(OFFSET($H$3,0,0,'Données projet'!$E$11+1,1))</f>
        <v>0</v>
      </c>
      <c r="BJ8" s="59">
        <f t="shared" si="38"/>
        <v>0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>
        <f>BY8*VLOOKUP('Données projet'!$B$12,Paramètres!$A$1:$I$89,3,0)*VLOOKUP('Données projet'!$B$12,Paramètres!$A$1:$I$89,5,0)</f>
        <v>0</v>
      </c>
      <c r="CA8" s="13" t="e">
        <f t="shared" si="39"/>
        <v>#NUM!</v>
      </c>
      <c r="CB8" s="20" t="e">
        <f t="shared" si="10"/>
        <v>#NUM!</v>
      </c>
      <c r="CC8" s="59" t="e">
        <f t="shared" si="11"/>
        <v>#NUM!</v>
      </c>
      <c r="CD8" s="59">
        <f ca="1">AVERAGE(OFFSET($CC$3,0,0,'Données projet'!$E$12+1,1))-AVERAGE(OFFSET($H$3,0,0,'Données projet'!$E$12+1,1))</f>
        <v>0</v>
      </c>
      <c r="CE8" s="59">
        <f t="shared" si="40"/>
        <v>0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11.142857142857142</v>
      </c>
      <c r="N9" s="13">
        <f>IF('Données projet'!$A$36&gt;35,N8+M9-V8,IF(A9&lt;'Données projet'!$A$36,$K$205^A9,IF(A9='Données projet'!$A$36,'Données projet'!$B$36,N8+M9-V8)))</f>
        <v>8.7078420360020381</v>
      </c>
      <c r="O9" s="13">
        <f>N9*VLOOKUP('Données projet'!$B$9,Paramètres!$A$1:$I$89,3,0)*VLOOKUP('Données projet'!$B$9,Paramètres!$A$1:$I$89,5,0)</f>
        <v>5.2072895375292196</v>
      </c>
      <c r="P9" s="13">
        <f t="shared" si="33"/>
        <v>1.9803875439615106</v>
      </c>
      <c r="Q9" s="20">
        <f t="shared" si="2"/>
        <v>12.518537583596355</v>
      </c>
      <c r="R9" s="59">
        <f t="shared" si="0"/>
        <v>305.85187091692967</v>
      </c>
      <c r="S9" s="59">
        <f ca="1">AVERAGE(OFFSET($R$3,0,0,'Données projet'!$E$9+1,1))-AVERAGE(OFFSET($H$3,0,0,'Données projet'!$E$9+1,1))</f>
        <v>204.10151832511235</v>
      </c>
      <c r="T9" s="59">
        <f t="shared" si="34"/>
        <v>406.96276429030371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>
        <f>AI9*VLOOKUP('Données projet'!$B$10,Paramètres!$A$1:$I$89,3,0)*VLOOKUP('Données projet'!$B$10,Paramètres!$A$1:$I$89,5,0)</f>
        <v>0</v>
      </c>
      <c r="AK9" s="13" t="e">
        <f t="shared" si="35"/>
        <v>#NUM!</v>
      </c>
      <c r="AL9" s="20" t="e">
        <f t="shared" si="4"/>
        <v>#NUM!</v>
      </c>
      <c r="AM9" s="59" t="e">
        <f t="shared" si="5"/>
        <v>#NUM!</v>
      </c>
      <c r="AN9" s="59">
        <f ca="1">AVERAGE(OFFSET($AM$3,0,0,'Données projet'!$E$10+1,1))-AVERAGE(OFFSET($H$3,0,0,'Données projet'!$E$10+1,1))</f>
        <v>0</v>
      </c>
      <c r="AO9" s="59">
        <f t="shared" si="36"/>
        <v>0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>
        <f>BD9*VLOOKUP('Données projet'!$B$11,Paramètres!$A$1:$I$89,3,0)*VLOOKUP('Données projet'!$B$11,Paramètres!$A$1:$I$89,5,0)</f>
        <v>0</v>
      </c>
      <c r="BF9" s="13" t="e">
        <f t="shared" si="37"/>
        <v>#NUM!</v>
      </c>
      <c r="BG9" s="20" t="e">
        <f t="shared" si="7"/>
        <v>#NUM!</v>
      </c>
      <c r="BH9" s="59" t="e">
        <f t="shared" si="8"/>
        <v>#NUM!</v>
      </c>
      <c r="BI9" s="59">
        <f ca="1">AVERAGE(OFFSET($BH$3,0,0,'Données projet'!$E$11+1,1))-AVERAGE(OFFSET($H$3,0,0,'Données projet'!$E$11+1,1))</f>
        <v>0</v>
      </c>
      <c r="BJ9" s="59">
        <f t="shared" si="38"/>
        <v>0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>
        <f>BY9*VLOOKUP('Données projet'!$B$12,Paramètres!$A$1:$I$89,3,0)*VLOOKUP('Données projet'!$B$12,Paramètres!$A$1:$I$89,5,0)</f>
        <v>0</v>
      </c>
      <c r="CA9" s="13" t="e">
        <f t="shared" si="39"/>
        <v>#NUM!</v>
      </c>
      <c r="CB9" s="20" t="e">
        <f t="shared" si="10"/>
        <v>#NUM!</v>
      </c>
      <c r="CC9" s="59" t="e">
        <f t="shared" si="11"/>
        <v>#NUM!</v>
      </c>
      <c r="CD9" s="59">
        <f ca="1">AVERAGE(OFFSET($CC$3,0,0,'Données projet'!$E$12+1,1))-AVERAGE(OFFSET($H$3,0,0,'Données projet'!$E$12+1,1))</f>
        <v>0</v>
      </c>
      <c r="CE9" s="59">
        <f t="shared" si="40"/>
        <v>0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11.142857142857142</v>
      </c>
      <c r="N10" s="13">
        <f>IF('Données projet'!$A$36&gt;35,N9+M10-V9,IF(A10&lt;'Données projet'!$A$36,$K$205^A10,IF(A10='Données projet'!$A$36,'Données projet'!$B$36,N9+M10-V9)))</f>
        <v>12.489995996796805</v>
      </c>
      <c r="O10" s="13">
        <f>N10*VLOOKUP('Données projet'!$B$9,Paramètres!$A$1:$I$89,3,0)*VLOOKUP('Données projet'!$B$9,Paramètres!$A$1:$I$89,5,0)</f>
        <v>7.4690176060844893</v>
      </c>
      <c r="P10" s="13">
        <f t="shared" si="33"/>
        <v>2.7237527303110185</v>
      </c>
      <c r="Q10" s="20">
        <f t="shared" si="2"/>
        <v>17.752408335888845</v>
      </c>
      <c r="R10" s="59">
        <f t="shared" si="0"/>
        <v>311.08574166922216</v>
      </c>
      <c r="S10" s="59">
        <f ca="1">AVERAGE(OFFSET($R$3,0,0,'Données projet'!$E$9+1,1))-AVERAGE(OFFSET($H$3,0,0,'Données projet'!$E$9+1,1))</f>
        <v>204.10151832511235</v>
      </c>
      <c r="T10" s="59">
        <f t="shared" si="34"/>
        <v>406.96276429030371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>
        <f>AI10*VLOOKUP('Données projet'!$B$10,Paramètres!$A$1:$I$89,3,0)*VLOOKUP('Données projet'!$B$10,Paramètres!$A$1:$I$89,5,0)</f>
        <v>0</v>
      </c>
      <c r="AK10" s="13" t="e">
        <f t="shared" si="35"/>
        <v>#NUM!</v>
      </c>
      <c r="AL10" s="20" t="e">
        <f t="shared" si="4"/>
        <v>#NUM!</v>
      </c>
      <c r="AM10" s="59" t="e">
        <f t="shared" si="5"/>
        <v>#NUM!</v>
      </c>
      <c r="AN10" s="59">
        <f ca="1">AVERAGE(OFFSET($AM$3,0,0,'Données projet'!$E$10+1,1))-AVERAGE(OFFSET($H$3,0,0,'Données projet'!$E$10+1,1))</f>
        <v>0</v>
      </c>
      <c r="AO10" s="59">
        <f t="shared" si="36"/>
        <v>0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>
        <f>BD10*VLOOKUP('Données projet'!$B$11,Paramètres!$A$1:$I$89,3,0)*VLOOKUP('Données projet'!$B$11,Paramètres!$A$1:$I$89,5,0)</f>
        <v>0</v>
      </c>
      <c r="BF10" s="13" t="e">
        <f t="shared" si="37"/>
        <v>#NUM!</v>
      </c>
      <c r="BG10" s="20" t="e">
        <f t="shared" si="7"/>
        <v>#NUM!</v>
      </c>
      <c r="BH10" s="59" t="e">
        <f t="shared" si="8"/>
        <v>#NUM!</v>
      </c>
      <c r="BI10" s="59">
        <f ca="1">AVERAGE(OFFSET($BH$3,0,0,'Données projet'!$E$11+1,1))-AVERAGE(OFFSET($H$3,0,0,'Données projet'!$E$11+1,1))</f>
        <v>0</v>
      </c>
      <c r="BJ10" s="59">
        <f t="shared" si="38"/>
        <v>0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>
        <f>BY10*VLOOKUP('Données projet'!$B$12,Paramètres!$A$1:$I$89,3,0)*VLOOKUP('Données projet'!$B$12,Paramètres!$A$1:$I$89,5,0)</f>
        <v>0</v>
      </c>
      <c r="CA10" s="13" t="e">
        <f t="shared" si="39"/>
        <v>#NUM!</v>
      </c>
      <c r="CB10" s="20" t="e">
        <f t="shared" si="10"/>
        <v>#NUM!</v>
      </c>
      <c r="CC10" s="59" t="e">
        <f t="shared" si="11"/>
        <v>#NUM!</v>
      </c>
      <c r="CD10" s="59">
        <f ca="1">AVERAGE(OFFSET($CC$3,0,0,'Données projet'!$E$12+1,1))-AVERAGE(OFFSET($H$3,0,0,'Données projet'!$E$12+1,1))</f>
        <v>0</v>
      </c>
      <c r="CE10" s="59">
        <f t="shared" si="40"/>
        <v>0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11.142857142857142</v>
      </c>
      <c r="N11" s="13">
        <f>IF('Données projet'!$A$36&gt;35,N10+M11-V10,IF(A11&lt;'Données projet'!$A$36,$K$205^A11,IF(A11='Données projet'!$A$36,'Données projet'!$B$36,N10+M11-V10)))</f>
        <v>17.914886300765193</v>
      </c>
      <c r="O11" s="13">
        <f>N11*VLOOKUP('Données projet'!$B$9,Paramètres!$A$1:$I$89,3,0)*VLOOKUP('Données projet'!$B$9,Paramètres!$A$1:$I$89,5,0)</f>
        <v>10.713102007857588</v>
      </c>
      <c r="P11" s="13">
        <f t="shared" si="33"/>
        <v>3.7461500697163106</v>
      </c>
      <c r="Q11" s="20">
        <f t="shared" si="2"/>
        <v>25.183197368441203</v>
      </c>
      <c r="R11" s="59">
        <f t="shared" si="0"/>
        <v>318.51653070177451</v>
      </c>
      <c r="S11" s="59">
        <f ca="1">AVERAGE(OFFSET($R$3,0,0,'Données projet'!$E$9+1,1))-AVERAGE(OFFSET($H$3,0,0,'Données projet'!$E$9+1,1))</f>
        <v>204.10151832511235</v>
      </c>
      <c r="T11" s="59">
        <f t="shared" si="34"/>
        <v>406.96276429030371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>
        <f>AI11*VLOOKUP('Données projet'!$B$10,Paramètres!$A$1:$I$89,3,0)*VLOOKUP('Données projet'!$B$10,Paramètres!$A$1:$I$89,5,0)</f>
        <v>0</v>
      </c>
      <c r="AK11" s="13" t="e">
        <f t="shared" si="35"/>
        <v>#NUM!</v>
      </c>
      <c r="AL11" s="20" t="e">
        <f t="shared" si="4"/>
        <v>#NUM!</v>
      </c>
      <c r="AM11" s="59" t="e">
        <f t="shared" si="5"/>
        <v>#NUM!</v>
      </c>
      <c r="AN11" s="59">
        <f ca="1">AVERAGE(OFFSET($AM$3,0,0,'Données projet'!$E$10+1,1))-AVERAGE(OFFSET($H$3,0,0,'Données projet'!$E$10+1,1))</f>
        <v>0</v>
      </c>
      <c r="AO11" s="59">
        <f t="shared" si="36"/>
        <v>0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>
        <f>BD11*VLOOKUP('Données projet'!$B$11,Paramètres!$A$1:$I$89,3,0)*VLOOKUP('Données projet'!$B$11,Paramètres!$A$1:$I$89,5,0)</f>
        <v>0</v>
      </c>
      <c r="BF11" s="13" t="e">
        <f t="shared" si="37"/>
        <v>#NUM!</v>
      </c>
      <c r="BG11" s="20" t="e">
        <f t="shared" si="7"/>
        <v>#NUM!</v>
      </c>
      <c r="BH11" s="59" t="e">
        <f t="shared" si="8"/>
        <v>#NUM!</v>
      </c>
      <c r="BI11" s="59">
        <f ca="1">AVERAGE(OFFSET($BH$3,0,0,'Données projet'!$E$11+1,1))-AVERAGE(OFFSET($H$3,0,0,'Données projet'!$E$11+1,1))</f>
        <v>0</v>
      </c>
      <c r="BJ11" s="59">
        <f t="shared" si="38"/>
        <v>0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>
        <f>BY11*VLOOKUP('Données projet'!$B$12,Paramètres!$A$1:$I$89,3,0)*VLOOKUP('Données projet'!$B$12,Paramètres!$A$1:$I$89,5,0)</f>
        <v>0</v>
      </c>
      <c r="CA11" s="13" t="e">
        <f t="shared" si="39"/>
        <v>#NUM!</v>
      </c>
      <c r="CB11" s="20" t="e">
        <f t="shared" si="10"/>
        <v>#NUM!</v>
      </c>
      <c r="CC11" s="59" t="e">
        <f t="shared" si="11"/>
        <v>#NUM!</v>
      </c>
      <c r="CD11" s="59">
        <f ca="1">AVERAGE(OFFSET($CC$3,0,0,'Données projet'!$E$12+1,1))-AVERAGE(OFFSET($H$3,0,0,'Données projet'!$E$12+1,1))</f>
        <v>0</v>
      </c>
      <c r="CE11" s="59">
        <f t="shared" si="40"/>
        <v>0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11.142857142857142</v>
      </c>
      <c r="N12" s="13">
        <f>IF('Données projet'!$A$36&gt;35,N11+M12-V11,IF(A12&lt;'Données projet'!$A$36,$K$205^A12,IF(A12='Données projet'!$A$36,'Données projet'!$B$36,N11+M12-V11)))</f>
        <v>25.696017136567036</v>
      </c>
      <c r="O12" s="13">
        <f>N12*VLOOKUP('Données projet'!$B$9,Paramètres!$A$1:$I$89,3,0)*VLOOKUP('Données projet'!$B$9,Paramètres!$A$1:$I$89,5,0)</f>
        <v>15.366218247667089</v>
      </c>
      <c r="P12" s="13">
        <f t="shared" si="33"/>
        <v>5.1523180458576574</v>
      </c>
      <c r="Q12" s="20">
        <f t="shared" si="2"/>
        <v>35.736450711222261</v>
      </c>
      <c r="R12" s="59">
        <f t="shared" si="0"/>
        <v>329.0697840445556</v>
      </c>
      <c r="S12" s="59">
        <f ca="1">AVERAGE(OFFSET($R$3,0,0,'Données projet'!$E$9+1,1))-AVERAGE(OFFSET($H$3,0,0,'Données projet'!$E$9+1,1))</f>
        <v>204.10151832511235</v>
      </c>
      <c r="T12" s="59">
        <f t="shared" si="34"/>
        <v>406.96276429030371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>
        <f>AI12*VLOOKUP('Données projet'!$B$10,Paramètres!$A$1:$I$89,3,0)*VLOOKUP('Données projet'!$B$10,Paramètres!$A$1:$I$89,5,0)</f>
        <v>0</v>
      </c>
      <c r="AK12" s="13" t="e">
        <f t="shared" si="35"/>
        <v>#NUM!</v>
      </c>
      <c r="AL12" s="20" t="e">
        <f t="shared" si="4"/>
        <v>#NUM!</v>
      </c>
      <c r="AM12" s="59" t="e">
        <f t="shared" si="5"/>
        <v>#NUM!</v>
      </c>
      <c r="AN12" s="59">
        <f ca="1">AVERAGE(OFFSET($AM$3,0,0,'Données projet'!$E$10+1,1))-AVERAGE(OFFSET($H$3,0,0,'Données projet'!$E$10+1,1))</f>
        <v>0</v>
      </c>
      <c r="AO12" s="59">
        <f t="shared" si="36"/>
        <v>0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>
        <f>BD12*VLOOKUP('Données projet'!$B$11,Paramètres!$A$1:$I$89,3,0)*VLOOKUP('Données projet'!$B$11,Paramètres!$A$1:$I$89,5,0)</f>
        <v>0</v>
      </c>
      <c r="BF12" s="13" t="e">
        <f t="shared" si="37"/>
        <v>#NUM!</v>
      </c>
      <c r="BG12" s="20" t="e">
        <f t="shared" si="7"/>
        <v>#NUM!</v>
      </c>
      <c r="BH12" s="59" t="e">
        <f t="shared" si="8"/>
        <v>#NUM!</v>
      </c>
      <c r="BI12" s="59">
        <f ca="1">AVERAGE(OFFSET($BH$3,0,0,'Données projet'!$E$11+1,1))-AVERAGE(OFFSET($H$3,0,0,'Données projet'!$E$11+1,1))</f>
        <v>0</v>
      </c>
      <c r="BJ12" s="59">
        <f t="shared" si="38"/>
        <v>0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>
        <f>BY12*VLOOKUP('Données projet'!$B$12,Paramètres!$A$1:$I$89,3,0)*VLOOKUP('Données projet'!$B$12,Paramètres!$A$1:$I$89,5,0)</f>
        <v>0</v>
      </c>
      <c r="CA12" s="13" t="e">
        <f t="shared" si="39"/>
        <v>#NUM!</v>
      </c>
      <c r="CB12" s="20" t="e">
        <f t="shared" si="10"/>
        <v>#NUM!</v>
      </c>
      <c r="CC12" s="59" t="e">
        <f t="shared" si="11"/>
        <v>#NUM!</v>
      </c>
      <c r="CD12" s="59">
        <f ca="1">AVERAGE(OFFSET($CC$3,0,0,'Données projet'!$E$12+1,1))-AVERAGE(OFFSET($H$3,0,0,'Données projet'!$E$12+1,1))</f>
        <v>0</v>
      </c>
      <c r="CE12" s="59">
        <f t="shared" si="40"/>
        <v>0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11.142857142857142</v>
      </c>
      <c r="N13" s="13">
        <f>IF('Données projet'!$A$36&gt;35,N12+M13-V12,IF(A13&lt;'Données projet'!$A$36,$K$205^A13,IF(A13='Données projet'!$A$36,'Données projet'!$B$36,N12+M13-V12)))</f>
        <v>36.856795270564696</v>
      </c>
      <c r="O13" s="13">
        <f>N13*VLOOKUP('Données projet'!$B$9,Paramètres!$A$1:$I$89,3,0)*VLOOKUP('Données projet'!$B$9,Paramètres!$A$1:$I$89,5,0)</f>
        <v>22.040363571797691</v>
      </c>
      <c r="P13" s="13">
        <f t="shared" si="33"/>
        <v>7.0863101455198159</v>
      </c>
      <c r="Q13" s="20">
        <f t="shared" si="2"/>
        <v>50.728956724327993</v>
      </c>
      <c r="R13" s="59">
        <f t="shared" si="0"/>
        <v>344.0622900576613</v>
      </c>
      <c r="S13" s="59">
        <f ca="1">AVERAGE(OFFSET($R$3,0,0,'Données projet'!$E$9+1,1))-AVERAGE(OFFSET($H$3,0,0,'Données projet'!$E$9+1,1))</f>
        <v>204.10151832511235</v>
      </c>
      <c r="T13" s="59">
        <f t="shared" si="34"/>
        <v>406.96276429030371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>
        <f>AI13*VLOOKUP('Données projet'!$B$10,Paramètres!$A$1:$I$89,3,0)*VLOOKUP('Données projet'!$B$10,Paramètres!$A$1:$I$89,5,0)</f>
        <v>0</v>
      </c>
      <c r="AK13" s="13" t="e">
        <f t="shared" si="35"/>
        <v>#NUM!</v>
      </c>
      <c r="AL13" s="20" t="e">
        <f t="shared" si="4"/>
        <v>#NUM!</v>
      </c>
      <c r="AM13" s="59" t="e">
        <f t="shared" si="5"/>
        <v>#NUM!</v>
      </c>
      <c r="AN13" s="59">
        <f ca="1">AVERAGE(OFFSET($AM$3,0,0,'Données projet'!$E$10+1,1))-AVERAGE(OFFSET($H$3,0,0,'Données projet'!$E$10+1,1))</f>
        <v>0</v>
      </c>
      <c r="AO13" s="59">
        <f t="shared" si="36"/>
        <v>0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>
        <f>BD13*VLOOKUP('Données projet'!$B$11,Paramètres!$A$1:$I$89,3,0)*VLOOKUP('Données projet'!$B$11,Paramètres!$A$1:$I$89,5,0)</f>
        <v>0</v>
      </c>
      <c r="BF13" s="13" t="e">
        <f t="shared" si="37"/>
        <v>#NUM!</v>
      </c>
      <c r="BG13" s="20" t="e">
        <f t="shared" si="7"/>
        <v>#NUM!</v>
      </c>
      <c r="BH13" s="59" t="e">
        <f t="shared" si="8"/>
        <v>#NUM!</v>
      </c>
      <c r="BI13" s="59">
        <f ca="1">AVERAGE(OFFSET($BH$3,0,0,'Données projet'!$E$11+1,1))-AVERAGE(OFFSET($H$3,0,0,'Données projet'!$E$11+1,1))</f>
        <v>0</v>
      </c>
      <c r="BJ13" s="59">
        <f t="shared" si="38"/>
        <v>0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>
        <f>BY13*VLOOKUP('Données projet'!$B$12,Paramètres!$A$1:$I$89,3,0)*VLOOKUP('Données projet'!$B$12,Paramètres!$A$1:$I$89,5,0)</f>
        <v>0</v>
      </c>
      <c r="CA13" s="13" t="e">
        <f t="shared" si="39"/>
        <v>#NUM!</v>
      </c>
      <c r="CB13" s="20" t="e">
        <f t="shared" si="10"/>
        <v>#NUM!</v>
      </c>
      <c r="CC13" s="59" t="e">
        <f t="shared" si="11"/>
        <v>#NUM!</v>
      </c>
      <c r="CD13" s="59">
        <f ca="1">AVERAGE(OFFSET($CC$3,0,0,'Données projet'!$E$12+1,1))-AVERAGE(OFFSET($H$3,0,0,'Données projet'!$E$12+1,1))</f>
        <v>0</v>
      </c>
      <c r="CE13" s="59">
        <f t="shared" si="40"/>
        <v>0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11.142857142857142</v>
      </c>
      <c r="N14" s="13">
        <f>IF('Données projet'!$A$36&gt;35,N13+M14-V13,IF(A14&lt;'Données projet'!$A$36,$K$205^A14,IF(A14='Données projet'!$A$36,'Données projet'!$B$36,N13+M14-V13)))</f>
        <v>52.8651327712262</v>
      </c>
      <c r="O14" s="13">
        <f>N14*VLOOKUP('Données projet'!$B$9,Paramètres!$A$1:$I$89,3,0)*VLOOKUP('Données projet'!$B$9,Paramètres!$A$1:$I$89,5,0)</f>
        <v>31.613349397193272</v>
      </c>
      <c r="P14" s="13">
        <f t="shared" si="33"/>
        <v>9.7462522754916883</v>
      </c>
      <c r="Q14" s="20">
        <f t="shared" si="2"/>
        <v>72.034639579926306</v>
      </c>
      <c r="R14" s="59">
        <f t="shared" si="0"/>
        <v>365.36797291325962</v>
      </c>
      <c r="S14" s="59">
        <f ca="1">AVERAGE(OFFSET($R$3,0,0,'Données projet'!$E$9+1,1))-AVERAGE(OFFSET($H$3,0,0,'Données projet'!$E$9+1,1))</f>
        <v>204.10151832511235</v>
      </c>
      <c r="T14" s="59">
        <f t="shared" si="34"/>
        <v>406.96276429030371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>
        <f>AI14*VLOOKUP('Données projet'!$B$10,Paramètres!$A$1:$I$89,3,0)*VLOOKUP('Données projet'!$B$10,Paramètres!$A$1:$I$89,5,0)</f>
        <v>0</v>
      </c>
      <c r="AK14" s="13" t="e">
        <f t="shared" si="35"/>
        <v>#NUM!</v>
      </c>
      <c r="AL14" s="20" t="e">
        <f t="shared" si="4"/>
        <v>#NUM!</v>
      </c>
      <c r="AM14" s="59" t="e">
        <f t="shared" si="5"/>
        <v>#NUM!</v>
      </c>
      <c r="AN14" s="59">
        <f ca="1">AVERAGE(OFFSET($AM$3,0,0,'Données projet'!$E$10+1,1))-AVERAGE(OFFSET($H$3,0,0,'Données projet'!$E$10+1,1))</f>
        <v>0</v>
      </c>
      <c r="AO14" s="59">
        <f t="shared" si="36"/>
        <v>0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>
        <f>BD14*VLOOKUP('Données projet'!$B$11,Paramètres!$A$1:$I$89,3,0)*VLOOKUP('Données projet'!$B$11,Paramètres!$A$1:$I$89,5,0)</f>
        <v>0</v>
      </c>
      <c r="BF14" s="13" t="e">
        <f t="shared" si="37"/>
        <v>#NUM!</v>
      </c>
      <c r="BG14" s="20" t="e">
        <f t="shared" si="7"/>
        <v>#NUM!</v>
      </c>
      <c r="BH14" s="59" t="e">
        <f t="shared" si="8"/>
        <v>#NUM!</v>
      </c>
      <c r="BI14" s="59">
        <f ca="1">AVERAGE(OFFSET($BH$3,0,0,'Données projet'!$E$11+1,1))-AVERAGE(OFFSET($H$3,0,0,'Données projet'!$E$11+1,1))</f>
        <v>0</v>
      </c>
      <c r="BJ14" s="59">
        <f t="shared" si="38"/>
        <v>0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>
        <f>BY14*VLOOKUP('Données projet'!$B$12,Paramètres!$A$1:$I$89,3,0)*VLOOKUP('Données projet'!$B$12,Paramètres!$A$1:$I$89,5,0)</f>
        <v>0</v>
      </c>
      <c r="CA14" s="13" t="e">
        <f t="shared" si="39"/>
        <v>#NUM!</v>
      </c>
      <c r="CB14" s="20" t="e">
        <f t="shared" si="10"/>
        <v>#NUM!</v>
      </c>
      <c r="CC14" s="59" t="e">
        <f t="shared" si="11"/>
        <v>#NUM!</v>
      </c>
      <c r="CD14" s="59">
        <f ca="1">AVERAGE(OFFSET($CC$3,0,0,'Données projet'!$E$12+1,1))-AVERAGE(OFFSET($H$3,0,0,'Données projet'!$E$12+1,1))</f>
        <v>0</v>
      </c>
      <c r="CE14" s="59">
        <f t="shared" si="40"/>
        <v>0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11.142857142857142</v>
      </c>
      <c r="N15" s="13">
        <f>IF('Données projet'!$A$36&gt;35,N14+M15-V14,IF(A15&lt;'Données projet'!$A$36,$K$205^A15,IF(A15='Données projet'!$A$36,'Données projet'!$B$36,N14+M15-V14)))</f>
        <v>75.826512923964131</v>
      </c>
      <c r="O15" s="13">
        <f>N15*VLOOKUP('Données projet'!$B$9,Paramètres!$A$1:$I$89,3,0)*VLOOKUP('Données projet'!$B$9,Paramètres!$A$1:$I$89,5,0)</f>
        <v>45.344254728530551</v>
      </c>
      <c r="P15" s="13">
        <f t="shared" si="33"/>
        <v>13.404639575023703</v>
      </c>
      <c r="Q15" s="20">
        <f t="shared" si="2"/>
        <v>102.32099091202366</v>
      </c>
      <c r="R15" s="59">
        <f t="shared" si="0"/>
        <v>395.65432424535697</v>
      </c>
      <c r="S15" s="59">
        <f ca="1">AVERAGE(OFFSET($R$3,0,0,'Données projet'!$E$9+1,1))-AVERAGE(OFFSET($H$3,0,0,'Données projet'!$E$9+1,1))</f>
        <v>204.10151832511235</v>
      </c>
      <c r="T15" s="59">
        <f t="shared" si="34"/>
        <v>406.96276429030371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>
        <f>AI15*VLOOKUP('Données projet'!$B$10,Paramètres!$A$1:$I$89,3,0)*VLOOKUP('Données projet'!$B$10,Paramètres!$A$1:$I$89,5,0)</f>
        <v>0</v>
      </c>
      <c r="AK15" s="13" t="e">
        <f t="shared" si="35"/>
        <v>#NUM!</v>
      </c>
      <c r="AL15" s="20" t="e">
        <f t="shared" si="4"/>
        <v>#NUM!</v>
      </c>
      <c r="AM15" s="59" t="e">
        <f t="shared" si="5"/>
        <v>#NUM!</v>
      </c>
      <c r="AN15" s="59">
        <f ca="1">AVERAGE(OFFSET($AM$3,0,0,'Données projet'!$E$10+1,1))-AVERAGE(OFFSET($H$3,0,0,'Données projet'!$E$10+1,1))</f>
        <v>0</v>
      </c>
      <c r="AO15" s="59">
        <f t="shared" si="36"/>
        <v>0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>
        <f>BD15*VLOOKUP('Données projet'!$B$11,Paramètres!$A$1:$I$89,3,0)*VLOOKUP('Données projet'!$B$11,Paramètres!$A$1:$I$89,5,0)</f>
        <v>0</v>
      </c>
      <c r="BF15" s="13" t="e">
        <f t="shared" si="37"/>
        <v>#NUM!</v>
      </c>
      <c r="BG15" s="20" t="e">
        <f t="shared" si="7"/>
        <v>#NUM!</v>
      </c>
      <c r="BH15" s="59" t="e">
        <f t="shared" si="8"/>
        <v>#NUM!</v>
      </c>
      <c r="BI15" s="59">
        <f ca="1">AVERAGE(OFFSET($BH$3,0,0,'Données projet'!$E$11+1,1))-AVERAGE(OFFSET($H$3,0,0,'Données projet'!$E$11+1,1))</f>
        <v>0</v>
      </c>
      <c r="BJ15" s="59">
        <f t="shared" si="38"/>
        <v>0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>
        <f>BY15*VLOOKUP('Données projet'!$B$12,Paramètres!$A$1:$I$89,3,0)*VLOOKUP('Données projet'!$B$12,Paramètres!$A$1:$I$89,5,0)</f>
        <v>0</v>
      </c>
      <c r="CA15" s="13" t="e">
        <f t="shared" si="39"/>
        <v>#NUM!</v>
      </c>
      <c r="CB15" s="20" t="e">
        <f t="shared" si="10"/>
        <v>#NUM!</v>
      </c>
      <c r="CC15" s="59" t="e">
        <f t="shared" si="11"/>
        <v>#NUM!</v>
      </c>
      <c r="CD15" s="59">
        <f ca="1">AVERAGE(OFFSET($CC$3,0,0,'Données projet'!$E$12+1,1))-AVERAGE(OFFSET($H$3,0,0,'Données projet'!$E$12+1,1))</f>
        <v>0</v>
      </c>
      <c r="CE15" s="59">
        <f t="shared" si="40"/>
        <v>0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11.142857142857142</v>
      </c>
      <c r="N16" s="13">
        <f>IF('Données projet'!$A$36&gt;35,N15+M16-V15,IF(A16&lt;'Données projet'!$A$36,$K$205^A16,IF(A16='Données projet'!$A$36,'Données projet'!$B$36,N15+M16-V15)))</f>
        <v>108.7609121704044</v>
      </c>
      <c r="O16" s="13">
        <f>N16*VLOOKUP('Données projet'!$B$9,Paramètres!$A$1:$I$89,3,0)*VLOOKUP('Données projet'!$B$9,Paramètres!$A$1:$I$89,5,0)</f>
        <v>65.039025477901831</v>
      </c>
      <c r="P16" s="13">
        <f t="shared" si="33"/>
        <v>18.436251910709629</v>
      </c>
      <c r="Q16" s="20">
        <f t="shared" si="2"/>
        <v>145.3861081184983</v>
      </c>
      <c r="R16" s="59">
        <f t="shared" si="0"/>
        <v>438.71944145183159</v>
      </c>
      <c r="S16" s="59">
        <f ca="1">AVERAGE(OFFSET($R$3,0,0,'Données projet'!$E$9+1,1))-AVERAGE(OFFSET($H$3,0,0,'Données projet'!$E$9+1,1))</f>
        <v>204.10151832511235</v>
      </c>
      <c r="T16" s="59">
        <f t="shared" si="34"/>
        <v>406.96276429030371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>
        <f>AI16*VLOOKUP('Données projet'!$B$10,Paramètres!$A$1:$I$89,3,0)*VLOOKUP('Données projet'!$B$10,Paramètres!$A$1:$I$89,5,0)</f>
        <v>0</v>
      </c>
      <c r="AK16" s="13" t="e">
        <f t="shared" si="35"/>
        <v>#NUM!</v>
      </c>
      <c r="AL16" s="20" t="e">
        <f t="shared" si="4"/>
        <v>#NUM!</v>
      </c>
      <c r="AM16" s="59" t="e">
        <f t="shared" si="5"/>
        <v>#NUM!</v>
      </c>
      <c r="AN16" s="59">
        <f ca="1">AVERAGE(OFFSET($AM$3,0,0,'Données projet'!$E$10+1,1))-AVERAGE(OFFSET($H$3,0,0,'Données projet'!$E$10+1,1))</f>
        <v>0</v>
      </c>
      <c r="AO16" s="59">
        <f t="shared" si="36"/>
        <v>0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>
        <f>BD16*VLOOKUP('Données projet'!$B$11,Paramètres!$A$1:$I$89,3,0)*VLOOKUP('Données projet'!$B$11,Paramètres!$A$1:$I$89,5,0)</f>
        <v>0</v>
      </c>
      <c r="BF16" s="13" t="e">
        <f t="shared" si="37"/>
        <v>#NUM!</v>
      </c>
      <c r="BG16" s="20" t="e">
        <f t="shared" si="7"/>
        <v>#NUM!</v>
      </c>
      <c r="BH16" s="59" t="e">
        <f t="shared" si="8"/>
        <v>#NUM!</v>
      </c>
      <c r="BI16" s="59">
        <f ca="1">AVERAGE(OFFSET($BH$3,0,0,'Données projet'!$E$11+1,1))-AVERAGE(OFFSET($H$3,0,0,'Données projet'!$E$11+1,1))</f>
        <v>0</v>
      </c>
      <c r="BJ16" s="59">
        <f t="shared" si="38"/>
        <v>0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>
        <f>BY16*VLOOKUP('Données projet'!$B$12,Paramètres!$A$1:$I$89,3,0)*VLOOKUP('Données projet'!$B$12,Paramètres!$A$1:$I$89,5,0)</f>
        <v>0</v>
      </c>
      <c r="CA16" s="13" t="e">
        <f t="shared" si="39"/>
        <v>#NUM!</v>
      </c>
      <c r="CB16" s="20" t="e">
        <f t="shared" si="10"/>
        <v>#NUM!</v>
      </c>
      <c r="CC16" s="59" t="e">
        <f t="shared" si="11"/>
        <v>#NUM!</v>
      </c>
      <c r="CD16" s="59">
        <f ca="1">AVERAGE(OFFSET($CC$3,0,0,'Données projet'!$E$12+1,1))-AVERAGE(OFFSET($H$3,0,0,'Données projet'!$E$12+1,1))</f>
        <v>0</v>
      </c>
      <c r="CE16" s="59">
        <f t="shared" si="40"/>
        <v>0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156</v>
      </c>
      <c r="L17" s="12">
        <f>VLOOKUP(A17,'Données projet'!$A$35:$I$55,9,0)</f>
        <v>11.142857142857142</v>
      </c>
      <c r="M17" s="12">
        <f t="array" ref="M17">INDEX(L:L,MIN(IF(ISNUMBER(L17:L213),ROW(L17:L213),"")))</f>
        <v>11.142857142857142</v>
      </c>
      <c r="N17" s="13">
        <f>IF('Données projet'!$A$36&gt;35,N16+M17-V16,IF(A17&lt;'Données projet'!$A$36,$K$205^A17,IF(A17='Données projet'!$A$36,'Données projet'!$B$36,N16+M17-V16)))</f>
        <v>156</v>
      </c>
      <c r="O17" s="13">
        <f>N17*VLOOKUP('Données projet'!$B$9,Paramètres!$A$1:$I$89,3,0)*VLOOKUP('Données projet'!$B$9,Paramètres!$A$1:$I$89,5,0)</f>
        <v>93.288000000000011</v>
      </c>
      <c r="P17" s="13">
        <f t="shared" si="33"/>
        <v>25.356547829040977</v>
      </c>
      <c r="Q17" s="20">
        <f t="shared" si="2"/>
        <v>206.63925413557971</v>
      </c>
      <c r="R17" s="59">
        <f t="shared" si="0"/>
        <v>499.97258746891305</v>
      </c>
      <c r="S17" s="59">
        <f ca="1">AVERAGE(OFFSET($R$3,0,0,'Données projet'!$E$9+1,1))-AVERAGE(OFFSET($H$3,0,0,'Données projet'!$E$9+1,1))</f>
        <v>204.10151832511235</v>
      </c>
      <c r="T17" s="59">
        <f t="shared" si="34"/>
        <v>406.96276429030371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50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8.8893233651164305</v>
      </c>
      <c r="AB17" s="21">
        <f>EXP(-LN(2)/2)*AB16+(1-EXP(-LN(2)/2))/(LN(2)/2)*V17*Y17*VLOOKUP('Données projet'!$B$9,Paramètres!$A$1:$I$89,3,0)*0.475*44/12</f>
        <v>16.926872848020665</v>
      </c>
      <c r="AC17" s="22">
        <f t="shared" si="3"/>
        <v>25.816196213137097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>
        <f>AI17*VLOOKUP('Données projet'!$B$10,Paramètres!$A$1:$I$89,3,0)*VLOOKUP('Données projet'!$B$10,Paramètres!$A$1:$I$89,5,0)</f>
        <v>0</v>
      </c>
      <c r="AK17" s="13" t="e">
        <f t="shared" si="35"/>
        <v>#NUM!</v>
      </c>
      <c r="AL17" s="20" t="e">
        <f t="shared" si="4"/>
        <v>#NUM!</v>
      </c>
      <c r="AM17" s="59" t="e">
        <f t="shared" si="5"/>
        <v>#NUM!</v>
      </c>
      <c r="AN17" s="59">
        <f ca="1">AVERAGE(OFFSET($AM$3,0,0,'Données projet'!$E$10+1,1))-AVERAGE(OFFSET($H$3,0,0,'Données projet'!$E$10+1,1))</f>
        <v>0</v>
      </c>
      <c r="AO17" s="59">
        <f t="shared" si="36"/>
        <v>0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>
        <f>BD17*VLOOKUP('Données projet'!$B$11,Paramètres!$A$1:$I$89,3,0)*VLOOKUP('Données projet'!$B$11,Paramètres!$A$1:$I$89,5,0)</f>
        <v>0</v>
      </c>
      <c r="BF17" s="13" t="e">
        <f t="shared" si="37"/>
        <v>#NUM!</v>
      </c>
      <c r="BG17" s="20" t="e">
        <f t="shared" si="7"/>
        <v>#NUM!</v>
      </c>
      <c r="BH17" s="59" t="e">
        <f t="shared" si="8"/>
        <v>#NUM!</v>
      </c>
      <c r="BI17" s="59">
        <f ca="1">AVERAGE(OFFSET($BH$3,0,0,'Données projet'!$E$11+1,1))-AVERAGE(OFFSET($H$3,0,0,'Données projet'!$E$11+1,1))</f>
        <v>0</v>
      </c>
      <c r="BJ17" s="59">
        <f t="shared" si="38"/>
        <v>0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>
        <f>BY17*VLOOKUP('Données projet'!$B$12,Paramètres!$A$1:$I$89,3,0)*VLOOKUP('Données projet'!$B$12,Paramètres!$A$1:$I$89,5,0)</f>
        <v>0</v>
      </c>
      <c r="CA17" s="13" t="e">
        <f t="shared" si="39"/>
        <v>#NUM!</v>
      </c>
      <c r="CB17" s="20" t="e">
        <f t="shared" si="10"/>
        <v>#NUM!</v>
      </c>
      <c r="CC17" s="59" t="e">
        <f t="shared" si="11"/>
        <v>#NUM!</v>
      </c>
      <c r="CD17" s="59">
        <f ca="1">AVERAGE(OFFSET($CC$3,0,0,'Données projet'!$E$12+1,1))-AVERAGE(OFFSET($H$3,0,0,'Données projet'!$E$12+1,1))</f>
        <v>0</v>
      </c>
      <c r="CE17" s="59">
        <f t="shared" si="40"/>
        <v>0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21.833333333333332</v>
      </c>
      <c r="N18" s="13">
        <f>IF('Données projet'!$A$36&gt;35,N17+M18-V17,IF(A18&lt;'Données projet'!$A$36,$K$205^A18,IF(A18='Données projet'!$A$36,'Données projet'!$B$36,N17+M18-V17)))</f>
        <v>127.83333333333334</v>
      </c>
      <c r="O18" s="13">
        <f>N18*VLOOKUP('Données projet'!$B$9,Paramètres!$A$1:$I$89,3,0)*VLOOKUP('Données projet'!$B$9,Paramètres!$A$1:$I$89,5,0)</f>
        <v>76.444333333333347</v>
      </c>
      <c r="P18" s="13">
        <f t="shared" si="33"/>
        <v>21.265518184491984</v>
      </c>
      <c r="Q18" s="20">
        <f t="shared" si="2"/>
        <v>170.17799139354577</v>
      </c>
      <c r="R18" s="59">
        <f t="shared" si="0"/>
        <v>463.51132472687908</v>
      </c>
      <c r="S18" s="59">
        <f ca="1">AVERAGE(OFFSET($R$3,0,0,'Données projet'!$E$9+1,1))-AVERAGE(OFFSET($H$3,0,0,'Données projet'!$E$9+1,1))</f>
        <v>204.10151832511235</v>
      </c>
      <c r="T18" s="59">
        <f t="shared" si="34"/>
        <v>406.96276429030371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8.6462443502281232</v>
      </c>
      <c r="AB18" s="21">
        <f>EXP(-LN(2)/2)*AB17+(1-EXP(-LN(2)/2))/(LN(2)/2)*V18*Y18*VLOOKUP('Données projet'!$B$9,Paramètres!$A$1:$I$89,3,0)*0.475*44/12</f>
        <v>11.969106575117861</v>
      </c>
      <c r="AC18" s="22">
        <f t="shared" si="3"/>
        <v>20.615350925345986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>
        <f>AI18*VLOOKUP('Données projet'!$B$10,Paramètres!$A$1:$I$89,3,0)*VLOOKUP('Données projet'!$B$10,Paramètres!$A$1:$I$89,5,0)</f>
        <v>0</v>
      </c>
      <c r="AK18" s="13" t="e">
        <f t="shared" si="35"/>
        <v>#NUM!</v>
      </c>
      <c r="AL18" s="20" t="e">
        <f t="shared" si="4"/>
        <v>#NUM!</v>
      </c>
      <c r="AM18" s="59" t="e">
        <f t="shared" si="5"/>
        <v>#NUM!</v>
      </c>
      <c r="AN18" s="59">
        <f ca="1">AVERAGE(OFFSET($AM$3,0,0,'Données projet'!$E$10+1,1))-AVERAGE(OFFSET($H$3,0,0,'Données projet'!$E$10+1,1))</f>
        <v>0</v>
      </c>
      <c r="AO18" s="59">
        <f t="shared" si="36"/>
        <v>0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>
        <f>BD18*VLOOKUP('Données projet'!$B$11,Paramètres!$A$1:$I$89,3,0)*VLOOKUP('Données projet'!$B$11,Paramètres!$A$1:$I$89,5,0)</f>
        <v>0</v>
      </c>
      <c r="BF18" s="13" t="e">
        <f t="shared" si="37"/>
        <v>#NUM!</v>
      </c>
      <c r="BG18" s="20" t="e">
        <f t="shared" si="7"/>
        <v>#NUM!</v>
      </c>
      <c r="BH18" s="59" t="e">
        <f t="shared" si="8"/>
        <v>#NUM!</v>
      </c>
      <c r="BI18" s="59">
        <f ca="1">AVERAGE(OFFSET($BH$3,0,0,'Données projet'!$E$11+1,1))-AVERAGE(OFFSET($H$3,0,0,'Données projet'!$E$11+1,1))</f>
        <v>0</v>
      </c>
      <c r="BJ18" s="59">
        <f t="shared" si="38"/>
        <v>0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>
        <f>BY18*VLOOKUP('Données projet'!$B$12,Paramètres!$A$1:$I$89,3,0)*VLOOKUP('Données projet'!$B$12,Paramètres!$A$1:$I$89,5,0)</f>
        <v>0</v>
      </c>
      <c r="CA18" s="13" t="e">
        <f t="shared" si="39"/>
        <v>#NUM!</v>
      </c>
      <c r="CB18" s="20" t="e">
        <f t="shared" si="10"/>
        <v>#NUM!</v>
      </c>
      <c r="CC18" s="59" t="e">
        <f t="shared" si="11"/>
        <v>#NUM!</v>
      </c>
      <c r="CD18" s="59">
        <f ca="1">AVERAGE(OFFSET($CC$3,0,0,'Données projet'!$E$12+1,1))-AVERAGE(OFFSET($H$3,0,0,'Données projet'!$E$12+1,1))</f>
        <v>0</v>
      </c>
      <c r="CE18" s="59">
        <f t="shared" si="40"/>
        <v>0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21.833333333333332</v>
      </c>
      <c r="N19" s="13">
        <f>IF('Données projet'!$A$36&gt;35,N18+M19-V18,IF(A19&lt;'Données projet'!$A$36,$K$205^A19,IF(A19='Données projet'!$A$36,'Données projet'!$B$36,N18+M19-V18)))</f>
        <v>149.66666666666669</v>
      </c>
      <c r="O19" s="13">
        <f>N19*VLOOKUP('Données projet'!$B$9,Paramètres!$A$1:$I$89,3,0)*VLOOKUP('Données projet'!$B$9,Paramètres!$A$1:$I$89,5,0)</f>
        <v>89.500666666666689</v>
      </c>
      <c r="P19" s="13">
        <f t="shared" si="33"/>
        <v>24.444758851104769</v>
      </c>
      <c r="Q19" s="20">
        <f t="shared" si="2"/>
        <v>198.45494944345194</v>
      </c>
      <c r="R19" s="59">
        <f t="shared" si="0"/>
        <v>491.78828277678525</v>
      </c>
      <c r="S19" s="59">
        <f ca="1">AVERAGE(OFFSET($R$3,0,0,'Données projet'!$E$9+1,1))-AVERAGE(OFFSET($H$3,0,0,'Données projet'!$E$9+1,1))</f>
        <v>204.10151832511235</v>
      </c>
      <c r="T19" s="59">
        <f t="shared" si="34"/>
        <v>406.96276429030371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8.4098123437849068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16.873248767795239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>
        <f>AI19*VLOOKUP('Données projet'!$B$10,Paramètres!$A$1:$I$89,3,0)*VLOOKUP('Données projet'!$B$10,Paramètres!$A$1:$I$89,5,0)</f>
        <v>0</v>
      </c>
      <c r="AK19" s="13" t="e">
        <f t="shared" si="35"/>
        <v>#NUM!</v>
      </c>
      <c r="AL19" s="20" t="e">
        <f t="shared" si="4"/>
        <v>#NUM!</v>
      </c>
      <c r="AM19" s="59" t="e">
        <f t="shared" si="5"/>
        <v>#NUM!</v>
      </c>
      <c r="AN19" s="59">
        <f ca="1">AVERAGE(OFFSET($AM$3,0,0,'Données projet'!$E$10+1,1))-AVERAGE(OFFSET($H$3,0,0,'Données projet'!$E$10+1,1))</f>
        <v>0</v>
      </c>
      <c r="AO19" s="59">
        <f t="shared" si="36"/>
        <v>0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>
        <f>BD19*VLOOKUP('Données projet'!$B$11,Paramètres!$A$1:$I$89,3,0)*VLOOKUP('Données projet'!$B$11,Paramètres!$A$1:$I$89,5,0)</f>
        <v>0</v>
      </c>
      <c r="BF19" s="13" t="e">
        <f t="shared" si="37"/>
        <v>#NUM!</v>
      </c>
      <c r="BG19" s="20" t="e">
        <f t="shared" si="7"/>
        <v>#NUM!</v>
      </c>
      <c r="BH19" s="59" t="e">
        <f t="shared" si="8"/>
        <v>#NUM!</v>
      </c>
      <c r="BI19" s="59">
        <f ca="1">AVERAGE(OFFSET($BH$3,0,0,'Données projet'!$E$11+1,1))-AVERAGE(OFFSET($H$3,0,0,'Données projet'!$E$11+1,1))</f>
        <v>0</v>
      </c>
      <c r="BJ19" s="59">
        <f t="shared" si="38"/>
        <v>0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>
        <f>BY19*VLOOKUP('Données projet'!$B$12,Paramètres!$A$1:$I$89,3,0)*VLOOKUP('Données projet'!$B$12,Paramètres!$A$1:$I$89,5,0)</f>
        <v>0</v>
      </c>
      <c r="CA19" s="13" t="e">
        <f t="shared" si="39"/>
        <v>#NUM!</v>
      </c>
      <c r="CB19" s="20" t="e">
        <f t="shared" si="10"/>
        <v>#NUM!</v>
      </c>
      <c r="CC19" s="59" t="e">
        <f t="shared" si="11"/>
        <v>#NUM!</v>
      </c>
      <c r="CD19" s="59">
        <f ca="1">AVERAGE(OFFSET($CC$3,0,0,'Données projet'!$E$12+1,1))-AVERAGE(OFFSET($H$3,0,0,'Données projet'!$E$12+1,1))</f>
        <v>0</v>
      </c>
      <c r="CE19" s="59">
        <f t="shared" si="40"/>
        <v>0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21.833333333333332</v>
      </c>
      <c r="N20" s="13">
        <f>IF('Données projet'!$A$36&gt;35,N19+M20-V19,IF(A20&lt;'Données projet'!$A$36,$K$205^A20,IF(A20='Données projet'!$A$36,'Données projet'!$B$36,N19+M20-V19)))</f>
        <v>171.50000000000003</v>
      </c>
      <c r="O20" s="13">
        <f>N20*VLOOKUP('Données projet'!$B$9,Paramètres!$A$1:$I$89,3,0)*VLOOKUP('Données projet'!$B$9,Paramètres!$A$1:$I$89,5,0)</f>
        <v>102.55700000000002</v>
      </c>
      <c r="P20" s="13">
        <f t="shared" si="33"/>
        <v>27.570269498605164</v>
      </c>
      <c r="Q20" s="20">
        <f t="shared" si="2"/>
        <v>226.63832771007068</v>
      </c>
      <c r="R20" s="59">
        <f t="shared" si="0"/>
        <v>519.97166104340397</v>
      </c>
      <c r="S20" s="59">
        <f ca="1">AVERAGE(OFFSET($R$3,0,0,'Données projet'!$E$9+1,1))-AVERAGE(OFFSET($H$3,0,0,'Données projet'!$E$9+1,1))</f>
        <v>204.10151832511235</v>
      </c>
      <c r="T20" s="59">
        <f t="shared" si="34"/>
        <v>406.96276429030371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8.1798455829912982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14.16439887055023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>
        <f>AI20*VLOOKUP('Données projet'!$B$10,Paramètres!$A$1:$I$89,3,0)*VLOOKUP('Données projet'!$B$10,Paramètres!$A$1:$I$89,5,0)</f>
        <v>0</v>
      </c>
      <c r="AK20" s="13" t="e">
        <f t="shared" si="35"/>
        <v>#NUM!</v>
      </c>
      <c r="AL20" s="20" t="e">
        <f t="shared" si="4"/>
        <v>#NUM!</v>
      </c>
      <c r="AM20" s="59" t="e">
        <f t="shared" si="5"/>
        <v>#NUM!</v>
      </c>
      <c r="AN20" s="59">
        <f ca="1">AVERAGE(OFFSET($AM$3,0,0,'Données projet'!$E$10+1,1))-AVERAGE(OFFSET($H$3,0,0,'Données projet'!$E$10+1,1))</f>
        <v>0</v>
      </c>
      <c r="AO20" s="59">
        <f t="shared" si="36"/>
        <v>0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>
        <f>BD20*VLOOKUP('Données projet'!$B$11,Paramètres!$A$1:$I$89,3,0)*VLOOKUP('Données projet'!$B$11,Paramètres!$A$1:$I$89,5,0)</f>
        <v>0</v>
      </c>
      <c r="BF20" s="13" t="e">
        <f t="shared" si="37"/>
        <v>#NUM!</v>
      </c>
      <c r="BG20" s="20" t="e">
        <f t="shared" si="7"/>
        <v>#NUM!</v>
      </c>
      <c r="BH20" s="59" t="e">
        <f t="shared" si="8"/>
        <v>#NUM!</v>
      </c>
      <c r="BI20" s="59">
        <f ca="1">AVERAGE(OFFSET($BH$3,0,0,'Données projet'!$E$11+1,1))-AVERAGE(OFFSET($H$3,0,0,'Données projet'!$E$11+1,1))</f>
        <v>0</v>
      </c>
      <c r="BJ20" s="59">
        <f t="shared" si="38"/>
        <v>0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>
        <f>BY20*VLOOKUP('Données projet'!$B$12,Paramètres!$A$1:$I$89,3,0)*VLOOKUP('Données projet'!$B$12,Paramètres!$A$1:$I$89,5,0)</f>
        <v>0</v>
      </c>
      <c r="CA20" s="13" t="e">
        <f t="shared" si="39"/>
        <v>#NUM!</v>
      </c>
      <c r="CB20" s="20" t="e">
        <f t="shared" si="10"/>
        <v>#NUM!</v>
      </c>
      <c r="CC20" s="59" t="e">
        <f t="shared" si="11"/>
        <v>#NUM!</v>
      </c>
      <c r="CD20" s="59">
        <f ca="1">AVERAGE(OFFSET($CC$3,0,0,'Données projet'!$E$12+1,1))-AVERAGE(OFFSET($H$3,0,0,'Données projet'!$E$12+1,1))</f>
        <v>0</v>
      </c>
      <c r="CE20" s="59">
        <f t="shared" si="40"/>
        <v>0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21.833333333333332</v>
      </c>
      <c r="N21" s="13">
        <f>IF('Données projet'!$A$36&gt;35,N20+M21-V20,IF(A21&lt;'Données projet'!$A$36,$K$205^A21,IF(A21='Données projet'!$A$36,'Données projet'!$B$36,N20+M21-V20)))</f>
        <v>193.33333333333337</v>
      </c>
      <c r="O21" s="13">
        <f>N21*VLOOKUP('Données projet'!$B$9,Paramètres!$A$1:$I$89,3,0)*VLOOKUP('Données projet'!$B$9,Paramètres!$A$1:$I$89,5,0)</f>
        <v>115.61333333333336</v>
      </c>
      <c r="P21" s="13">
        <f t="shared" si="33"/>
        <v>30.649674416622684</v>
      </c>
      <c r="Q21" s="20">
        <f t="shared" si="2"/>
        <v>254.74140516450677</v>
      </c>
      <c r="R21" s="59">
        <f t="shared" si="0"/>
        <v>548.07473849784014</v>
      </c>
      <c r="S21" s="59">
        <f ca="1">AVERAGE(OFFSET($R$3,0,0,'Données projet'!$E$9+1,1))-AVERAGE(OFFSET($H$3,0,0,'Données projet'!$E$9+1,1))</f>
        <v>204.10151832511235</v>
      </c>
      <c r="T21" s="59">
        <f t="shared" si="34"/>
        <v>406.96276429030371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7.9561672753650168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12.187885487370183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>
        <f>AI21*VLOOKUP('Données projet'!$B$10,Paramètres!$A$1:$I$89,3,0)*VLOOKUP('Données projet'!$B$10,Paramètres!$A$1:$I$89,5,0)</f>
        <v>0</v>
      </c>
      <c r="AK21" s="13" t="e">
        <f t="shared" si="35"/>
        <v>#NUM!</v>
      </c>
      <c r="AL21" s="20" t="e">
        <f t="shared" si="4"/>
        <v>#NUM!</v>
      </c>
      <c r="AM21" s="59" t="e">
        <f t="shared" si="5"/>
        <v>#NUM!</v>
      </c>
      <c r="AN21" s="59">
        <f ca="1">AVERAGE(OFFSET($AM$3,0,0,'Données projet'!$E$10+1,1))-AVERAGE(OFFSET($H$3,0,0,'Données projet'!$E$10+1,1))</f>
        <v>0</v>
      </c>
      <c r="AO21" s="59">
        <f t="shared" si="36"/>
        <v>0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>
        <f>BD21*VLOOKUP('Données projet'!$B$11,Paramètres!$A$1:$I$89,3,0)*VLOOKUP('Données projet'!$B$11,Paramètres!$A$1:$I$89,5,0)</f>
        <v>0</v>
      </c>
      <c r="BF21" s="13" t="e">
        <f t="shared" si="37"/>
        <v>#NUM!</v>
      </c>
      <c r="BG21" s="20" t="e">
        <f t="shared" si="7"/>
        <v>#NUM!</v>
      </c>
      <c r="BH21" s="59" t="e">
        <f t="shared" si="8"/>
        <v>#NUM!</v>
      </c>
      <c r="BI21" s="59">
        <f ca="1">AVERAGE(OFFSET($BH$3,0,0,'Données projet'!$E$11+1,1))-AVERAGE(OFFSET($H$3,0,0,'Données projet'!$E$11+1,1))</f>
        <v>0</v>
      </c>
      <c r="BJ21" s="59">
        <f t="shared" si="38"/>
        <v>0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>
        <f>BY21*VLOOKUP('Données projet'!$B$12,Paramètres!$A$1:$I$89,3,0)*VLOOKUP('Données projet'!$B$12,Paramètres!$A$1:$I$89,5,0)</f>
        <v>0</v>
      </c>
      <c r="CA21" s="13" t="e">
        <f t="shared" si="39"/>
        <v>#NUM!</v>
      </c>
      <c r="CB21" s="20" t="e">
        <f t="shared" si="10"/>
        <v>#NUM!</v>
      </c>
      <c r="CC21" s="59" t="e">
        <f t="shared" si="11"/>
        <v>#NUM!</v>
      </c>
      <c r="CD21" s="59">
        <f ca="1">AVERAGE(OFFSET($CC$3,0,0,'Données projet'!$E$12+1,1))-AVERAGE(OFFSET($H$3,0,0,'Données projet'!$E$12+1,1))</f>
        <v>0</v>
      </c>
      <c r="CE21" s="59">
        <f t="shared" si="40"/>
        <v>0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21.833333333333332</v>
      </c>
      <c r="N22" s="13">
        <f>IF('Données projet'!$A$36&gt;35,N21+M22-V21,IF(A22&lt;'Données projet'!$A$36,$K$205^A22,IF(A22='Données projet'!$A$36,'Données projet'!$B$36,N21+M22-V21)))</f>
        <v>215.16666666666671</v>
      </c>
      <c r="O22" s="13">
        <f>N22*VLOOKUP('Données projet'!$B$9,Paramètres!$A$1:$I$89,3,0)*VLOOKUP('Données projet'!$B$9,Paramètres!$A$1:$I$89,5,0)</f>
        <v>128.6696666666667</v>
      </c>
      <c r="P22" s="13">
        <f t="shared" si="33"/>
        <v>33.688774575687319</v>
      </c>
      <c r="Q22" s="20">
        <f t="shared" si="2"/>
        <v>282.77428516376659</v>
      </c>
      <c r="R22" s="59">
        <f t="shared" si="0"/>
        <v>576.10761849709991</v>
      </c>
      <c r="S22" s="59">
        <f ca="1">AVERAGE(OFFSET($R$3,0,0,'Données projet'!$E$9+1,1))-AVERAGE(OFFSET($H$3,0,0,'Données projet'!$E$9+1,1))</f>
        <v>204.10151832511235</v>
      </c>
      <c r="T22" s="59">
        <f t="shared" si="34"/>
        <v>406.96276429030371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7.7386054628235073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10.730882106602973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>
        <f>AI22*VLOOKUP('Données projet'!$B$10,Paramètres!$A$1:$I$89,3,0)*VLOOKUP('Données projet'!$B$10,Paramètres!$A$1:$I$89,5,0)</f>
        <v>0</v>
      </c>
      <c r="AK22" s="13" t="e">
        <f t="shared" si="35"/>
        <v>#NUM!</v>
      </c>
      <c r="AL22" s="20" t="e">
        <f t="shared" si="4"/>
        <v>#NUM!</v>
      </c>
      <c r="AM22" s="59" t="e">
        <f t="shared" si="5"/>
        <v>#NUM!</v>
      </c>
      <c r="AN22" s="59">
        <f ca="1">AVERAGE(OFFSET($AM$3,0,0,'Données projet'!$E$10+1,1))-AVERAGE(OFFSET($H$3,0,0,'Données projet'!$E$10+1,1))</f>
        <v>0</v>
      </c>
      <c r="AO22" s="59">
        <f t="shared" si="36"/>
        <v>0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>
        <f>BD22*VLOOKUP('Données projet'!$B$11,Paramètres!$A$1:$I$89,3,0)*VLOOKUP('Données projet'!$B$11,Paramètres!$A$1:$I$89,5,0)</f>
        <v>0</v>
      </c>
      <c r="BF22" s="13" t="e">
        <f t="shared" si="37"/>
        <v>#NUM!</v>
      </c>
      <c r="BG22" s="20" t="e">
        <f t="shared" si="7"/>
        <v>#NUM!</v>
      </c>
      <c r="BH22" s="59" t="e">
        <f t="shared" si="8"/>
        <v>#NUM!</v>
      </c>
      <c r="BI22" s="59">
        <f ca="1">AVERAGE(OFFSET($BH$3,0,0,'Données projet'!$E$11+1,1))-AVERAGE(OFFSET($H$3,0,0,'Données projet'!$E$11+1,1))</f>
        <v>0</v>
      </c>
      <c r="BJ22" s="59">
        <f t="shared" si="38"/>
        <v>0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>
        <f>BY22*VLOOKUP('Données projet'!$B$12,Paramètres!$A$1:$I$89,3,0)*VLOOKUP('Données projet'!$B$12,Paramètres!$A$1:$I$89,5,0)</f>
        <v>0</v>
      </c>
      <c r="CA22" s="13" t="e">
        <f t="shared" si="39"/>
        <v>#NUM!</v>
      </c>
      <c r="CB22" s="20" t="e">
        <f t="shared" si="10"/>
        <v>#NUM!</v>
      </c>
      <c r="CC22" s="59" t="e">
        <f t="shared" si="11"/>
        <v>#NUM!</v>
      </c>
      <c r="CD22" s="59">
        <f ca="1">AVERAGE(OFFSET($CC$3,0,0,'Données projet'!$E$12+1,1))-AVERAGE(OFFSET($H$3,0,0,'Données projet'!$E$12+1,1))</f>
        <v>0</v>
      </c>
      <c r="CE22" s="59">
        <f t="shared" si="40"/>
        <v>0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237</v>
      </c>
      <c r="L23" s="12">
        <f>VLOOKUP(A23,'Données projet'!$A$35:$I$55,9,0)</f>
        <v>21.833333333333332</v>
      </c>
      <c r="M23" s="12">
        <f t="array" ref="M23">INDEX(L:L,MIN(IF(ISNUMBER(L23:L219),ROW(L23:L219),"")))</f>
        <v>21.833333333333332</v>
      </c>
      <c r="N23" s="13">
        <f>IF('Données projet'!$A$36&gt;35,N22+M23-V22,IF(A23&lt;'Données projet'!$A$36,$K$205^A23,IF(A23='Données projet'!$A$36,'Données projet'!$B$36,N22+M23-V22)))</f>
        <v>237.00000000000006</v>
      </c>
      <c r="O23" s="13">
        <f>N23*VLOOKUP('Données projet'!$B$9,Paramètres!$A$1:$I$89,3,0)*VLOOKUP('Données projet'!$B$9,Paramètres!$A$1:$I$89,5,0)</f>
        <v>141.72600000000003</v>
      </c>
      <c r="P23" s="13">
        <f t="shared" si="33"/>
        <v>36.692125440686915</v>
      </c>
      <c r="Q23" s="20">
        <f t="shared" si="2"/>
        <v>310.74490180919639</v>
      </c>
      <c r="R23" s="59">
        <f t="shared" si="0"/>
        <v>604.07823514252971</v>
      </c>
      <c r="S23" s="59">
        <f ca="1">AVERAGE(OFFSET($R$3,0,0,'Données projet'!$E$9+1,1))-AVERAGE(OFFSET($H$3,0,0,'Données projet'!$E$9+1,1))</f>
        <v>204.10151832511235</v>
      </c>
      <c r="T23" s="59">
        <f t="shared" si="34"/>
        <v>406.96276429030371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66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4.7121161334559005</v>
      </c>
      <c r="AA23" s="21">
        <f>EXP(-LN(2)/25)*AA22+(1-EXP(-LN(2)/25))/(LN(2)/25)*Calculateur!V23*Calculateur!X23*VLOOKUP('Données projet'!$B$9,Paramètres!$A$1:$I$89,3,0)*0.475*44/12</f>
        <v>16.914118363049976</v>
      </c>
      <c r="AB23" s="21">
        <f>EXP(-LN(2)/2)*AB22+(1-EXP(-LN(2)/2))/(LN(2)/2)*V23*Y23*VLOOKUP('Données projet'!$B$9,Paramètres!$A$1:$I$89,3,0)*0.475*44/12</f>
        <v>19.990636833512404</v>
      </c>
      <c r="AC23" s="22">
        <f t="shared" si="3"/>
        <v>41.616871330018284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>
        <f>AI23*VLOOKUP('Données projet'!$B$10,Paramètres!$A$1:$I$89,3,0)*VLOOKUP('Données projet'!$B$10,Paramètres!$A$1:$I$89,5,0)</f>
        <v>0</v>
      </c>
      <c r="AK23" s="13" t="e">
        <f t="shared" si="35"/>
        <v>#NUM!</v>
      </c>
      <c r="AL23" s="20" t="e">
        <f t="shared" si="4"/>
        <v>#NUM!</v>
      </c>
      <c r="AM23" s="59" t="e">
        <f t="shared" si="5"/>
        <v>#NUM!</v>
      </c>
      <c r="AN23" s="59">
        <f ca="1">AVERAGE(OFFSET($AM$3,0,0,'Données projet'!$E$10+1,1))-AVERAGE(OFFSET($H$3,0,0,'Données projet'!$E$10+1,1))</f>
        <v>0</v>
      </c>
      <c r="AO23" s="59">
        <f t="shared" si="36"/>
        <v>0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>
        <f>BD23*VLOOKUP('Données projet'!$B$11,Paramètres!$A$1:$I$89,3,0)*VLOOKUP('Données projet'!$B$11,Paramètres!$A$1:$I$89,5,0)</f>
        <v>0</v>
      </c>
      <c r="BF23" s="13" t="e">
        <f t="shared" si="37"/>
        <v>#NUM!</v>
      </c>
      <c r="BG23" s="20" t="e">
        <f t="shared" si="7"/>
        <v>#NUM!</v>
      </c>
      <c r="BH23" s="59" t="e">
        <f t="shared" si="8"/>
        <v>#NUM!</v>
      </c>
      <c r="BI23" s="59">
        <f ca="1">AVERAGE(OFFSET($BH$3,0,0,'Données projet'!$E$11+1,1))-AVERAGE(OFFSET($H$3,0,0,'Données projet'!$E$11+1,1))</f>
        <v>0</v>
      </c>
      <c r="BJ23" s="59">
        <f t="shared" si="38"/>
        <v>0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>
        <f>BY23*VLOOKUP('Données projet'!$B$12,Paramètres!$A$1:$I$89,3,0)*VLOOKUP('Données projet'!$B$12,Paramètres!$A$1:$I$89,5,0)</f>
        <v>0</v>
      </c>
      <c r="CA23" s="13" t="e">
        <f t="shared" si="39"/>
        <v>#NUM!</v>
      </c>
      <c r="CB23" s="20" t="e">
        <f t="shared" si="10"/>
        <v>#NUM!</v>
      </c>
      <c r="CC23" s="59" t="e">
        <f t="shared" si="11"/>
        <v>#NUM!</v>
      </c>
      <c r="CD23" s="59">
        <f ca="1">AVERAGE(OFFSET($CC$3,0,0,'Données projet'!$E$12+1,1))-AVERAGE(OFFSET($H$3,0,0,'Données projet'!$E$12+1,1))</f>
        <v>0</v>
      </c>
      <c r="CE23" s="59">
        <f t="shared" si="40"/>
        <v>0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17.133333333333333</v>
      </c>
      <c r="N24" s="13">
        <f>IF('Données projet'!$A$36&gt;35,N23+M24-V23,IF(A24&lt;'Données projet'!$A$36,$K$205^A24,IF(A24='Données projet'!$A$36,'Données projet'!$B$36,N23+M24-V23)))</f>
        <v>188.13333333333338</v>
      </c>
      <c r="O24" s="13">
        <f>N24*VLOOKUP('Données projet'!$B$9,Paramètres!$A$1:$I$89,3,0)*VLOOKUP('Données projet'!$B$9,Paramètres!$A$1:$I$89,5,0)</f>
        <v>112.50373333333337</v>
      </c>
      <c r="P24" s="13">
        <f t="shared" si="33"/>
        <v>29.920108773815763</v>
      </c>
      <c r="Q24" s="20">
        <f t="shared" si="2"/>
        <v>248.05485833661805</v>
      </c>
      <c r="R24" s="59">
        <f t="shared" si="0"/>
        <v>541.38819166995131</v>
      </c>
      <c r="S24" s="59">
        <f ca="1">AVERAGE(OFFSET($R$3,0,0,'Données projet'!$E$9+1,1))-AVERAGE(OFFSET($H$3,0,0,'Données projet'!$E$9+1,1))</f>
        <v>204.10151832511235</v>
      </c>
      <c r="T24" s="59">
        <f t="shared" si="34"/>
        <v>406.96276429030371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4.6197144101858774</v>
      </c>
      <c r="AA24" s="21">
        <f>EXP(-LN(2)/25)*AA23+(1-EXP(-LN(2)/25))/(LN(2)/25)*Calculateur!V24*Calculateur!X24*VLOOKUP('Données projet'!$B$9,Paramètres!$A$1:$I$89,3,0)*0.475*44/12</f>
        <v>16.451600906937546</v>
      </c>
      <c r="AB24" s="21">
        <f>EXP(-LN(2)/2)*AB23+(1-EXP(-LN(2)/2))/(LN(2)/2)*V24*Y24*VLOOKUP('Données projet'!$B$9,Paramètres!$A$1:$I$89,3,0)*0.475*44/12</f>
        <v>14.135514865214194</v>
      </c>
      <c r="AC24" s="22">
        <f t="shared" si="3"/>
        <v>35.206830182337619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0</v>
      </c>
      <c r="AO24" s="59">
        <f t="shared" si="36"/>
        <v>0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0</v>
      </c>
      <c r="BJ24" s="59">
        <f t="shared" si="38"/>
        <v>0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0</v>
      </c>
      <c r="CE24" s="59">
        <f t="shared" si="40"/>
        <v>0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17.133333333333333</v>
      </c>
      <c r="N25" s="13">
        <f>IF('Données projet'!$A$36&gt;35,N24+M25-V24,IF(A25&lt;'Données projet'!$A$36,$K$205^A25,IF(A25='Données projet'!$A$36,'Données projet'!$B$36,N24+M25-V24)))</f>
        <v>205.26666666666671</v>
      </c>
      <c r="O25" s="13">
        <f>N25*VLOOKUP('Données projet'!$B$9,Paramètres!$A$1:$I$89,3,0)*VLOOKUP('Données projet'!$B$9,Paramètres!$A$1:$I$89,5,0)</f>
        <v>122.74946666666669</v>
      </c>
      <c r="P25" s="13">
        <f t="shared" si="33"/>
        <v>32.315419321497394</v>
      </c>
      <c r="Q25" s="20">
        <f t="shared" si="2"/>
        <v>270.07134309605243</v>
      </c>
      <c r="R25" s="59">
        <f t="shared" si="0"/>
        <v>563.40467642938574</v>
      </c>
      <c r="S25" s="59">
        <f ca="1">AVERAGE(OFFSET($R$3,0,0,'Données projet'!$E$9+1,1))-AVERAGE(OFFSET($H$3,0,0,'Données projet'!$E$9+1,1))</f>
        <v>204.10151832511235</v>
      </c>
      <c r="T25" s="59">
        <f t="shared" si="34"/>
        <v>406.96276429030371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4.5291246283496926</v>
      </c>
      <c r="AA25" s="21">
        <f>EXP(-LN(2)/25)*AA24+(1-EXP(-LN(2)/25))/(LN(2)/25)*Calculateur!V25*Calculateur!X25*VLOOKUP('Données projet'!$B$9,Paramètres!$A$1:$I$89,3,0)*0.475*44/12</f>
        <v>16.00173101498525</v>
      </c>
      <c r="AB25" s="21">
        <f>EXP(-LN(2)/2)*AB24+(1-EXP(-LN(2)/2))/(LN(2)/2)*V25*Y25*VLOOKUP('Données projet'!$B$9,Paramètres!$A$1:$I$89,3,0)*0.475*44/12</f>
        <v>9.9953184167562039</v>
      </c>
      <c r="AC25" s="22">
        <f t="shared" si="3"/>
        <v>30.526174060091144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0</v>
      </c>
      <c r="AO25" s="59">
        <f t="shared" si="36"/>
        <v>0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0</v>
      </c>
      <c r="BJ25" s="59">
        <f t="shared" si="38"/>
        <v>0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0</v>
      </c>
      <c r="CE25" s="59">
        <f t="shared" si="40"/>
        <v>0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17.133333333333333</v>
      </c>
      <c r="N26" s="13">
        <f>IF('Données projet'!$A$36&gt;35,N25+M26-V25,IF(A26&lt;'Données projet'!$A$36,$K$205^A26,IF(A26='Données projet'!$A$36,'Données projet'!$B$36,N25+M26-V25)))</f>
        <v>222.40000000000003</v>
      </c>
      <c r="O26" s="13">
        <f>N26*VLOOKUP('Données projet'!$B$9,Paramètres!$A$1:$I$89,3,0)*VLOOKUP('Données projet'!$B$9,Paramètres!$A$1:$I$89,5,0)</f>
        <v>132.99520000000004</v>
      </c>
      <c r="P26" s="13">
        <f t="shared" si="33"/>
        <v>34.687541912630508</v>
      </c>
      <c r="Q26" s="20">
        <f t="shared" si="2"/>
        <v>292.04744216449819</v>
      </c>
      <c r="R26" s="59">
        <f t="shared" si="0"/>
        <v>585.38077549783156</v>
      </c>
      <c r="S26" s="59">
        <f ca="1">AVERAGE(OFFSET($R$3,0,0,'Données projet'!$E$9+1,1))-AVERAGE(OFFSET($H$3,0,0,'Données projet'!$E$9+1,1))</f>
        <v>204.10151832511235</v>
      </c>
      <c r="T26" s="59">
        <f t="shared" si="34"/>
        <v>406.96276429030371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4.4403112568810048</v>
      </c>
      <c r="AA26" s="21">
        <f>EXP(-LN(2)/25)*AA25+(1-EXP(-LN(2)/25))/(LN(2)/25)*Calculateur!V26*Calculateur!X26*VLOOKUP('Données projet'!$B$9,Paramètres!$A$1:$I$89,3,0)*0.475*44/12</f>
        <v>15.564162838886016</v>
      </c>
      <c r="AB26" s="21">
        <f>EXP(-LN(2)/2)*AB25+(1-EXP(-LN(2)/2))/(LN(2)/2)*V26*Y26*VLOOKUP('Données projet'!$B$9,Paramètres!$A$1:$I$89,3,0)*0.475*44/12</f>
        <v>7.067757432607098</v>
      </c>
      <c r="AC26" s="22">
        <f t="shared" si="3"/>
        <v>27.072231528374122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0</v>
      </c>
      <c r="AO26" s="59">
        <f t="shared" si="36"/>
        <v>0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0</v>
      </c>
      <c r="BJ26" s="59">
        <f t="shared" si="38"/>
        <v>0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0</v>
      </c>
      <c r="CE26" s="59">
        <f t="shared" si="40"/>
        <v>0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17.133333333333333</v>
      </c>
      <c r="N27" s="13">
        <f>IF('Données projet'!$A$36&gt;35,N26+M27-V26,IF(A27&lt;'Données projet'!$A$36,$K$205^A27,IF(A27='Données projet'!$A$36,'Données projet'!$B$36,N26+M27-V26)))</f>
        <v>239.53333333333336</v>
      </c>
      <c r="O27" s="13">
        <f>N27*VLOOKUP('Données projet'!$B$9,Paramètres!$A$1:$I$89,3,0)*VLOOKUP('Données projet'!$B$9,Paramètres!$A$1:$I$89,5,0)</f>
        <v>143.24093333333334</v>
      </c>
      <c r="P27" s="13">
        <f t="shared" si="33"/>
        <v>37.038466016601092</v>
      </c>
      <c r="Q27" s="20">
        <f t="shared" si="2"/>
        <v>313.98662053446913</v>
      </c>
      <c r="R27" s="59">
        <f t="shared" si="0"/>
        <v>607.3199538678025</v>
      </c>
      <c r="S27" s="59">
        <f ca="1">AVERAGE(OFFSET($R$3,0,0,'Données projet'!$E$9+1,1))-AVERAGE(OFFSET($H$3,0,0,'Données projet'!$E$9+1,1))</f>
        <v>204.10151832511235</v>
      </c>
      <c r="T27" s="59">
        <f t="shared" si="34"/>
        <v>406.96276429030371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4.3532394614560106</v>
      </c>
      <c r="AA27" s="21">
        <f>EXP(-LN(2)/25)*AA26+(1-EXP(-LN(2)/25))/(LN(2)/25)*Calculateur!V27*Calculateur!X27*VLOOKUP('Données projet'!$B$9,Paramètres!$A$1:$I$89,3,0)*0.475*44/12</f>
        <v>15.138559987572927</v>
      </c>
      <c r="AB27" s="21">
        <f>EXP(-LN(2)/2)*AB26+(1-EXP(-LN(2)/2))/(LN(2)/2)*V27*Y27*VLOOKUP('Données projet'!$B$9,Paramètres!$A$1:$I$89,3,0)*0.475*44/12</f>
        <v>4.9976592083781028</v>
      </c>
      <c r="AC27" s="22">
        <f t="shared" si="3"/>
        <v>24.489458657407042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0</v>
      </c>
      <c r="AO27" s="59">
        <f t="shared" si="36"/>
        <v>0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0</v>
      </c>
      <c r="BJ27" s="59">
        <f t="shared" si="38"/>
        <v>0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0</v>
      </c>
      <c r="CE27" s="59">
        <f t="shared" si="40"/>
        <v>0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17.133333333333333</v>
      </c>
      <c r="N28" s="13">
        <f>IF('Données projet'!$A$36&gt;35,N27+M28-V27,IF(A28&lt;'Données projet'!$A$36,$K$205^A28,IF(A28='Données projet'!$A$36,'Données projet'!$B$36,N27+M28-V27)))</f>
        <v>256.66666666666669</v>
      </c>
      <c r="O28" s="13">
        <f>N28*VLOOKUP('Données projet'!$B$9,Paramètres!$A$1:$I$89,3,0)*VLOOKUP('Données projet'!$B$9,Paramètres!$A$1:$I$89,5,0)</f>
        <v>153.48666666666668</v>
      </c>
      <c r="P28" s="13">
        <f t="shared" si="33"/>
        <v>39.369880369666213</v>
      </c>
      <c r="Q28" s="20">
        <f t="shared" si="2"/>
        <v>335.89181942161309</v>
      </c>
      <c r="R28" s="59">
        <f t="shared" si="0"/>
        <v>629.22515275494641</v>
      </c>
      <c r="S28" s="59">
        <f ca="1">AVERAGE(OFFSET($R$3,0,0,'Données projet'!$E$9+1,1))-AVERAGE(OFFSET($H$3,0,0,'Données projet'!$E$9+1,1))</f>
        <v>204.10151832511235</v>
      </c>
      <c r="T28" s="59">
        <f t="shared" si="34"/>
        <v>406.96276429030371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4.2678750908307492</v>
      </c>
      <c r="AA28" s="21">
        <f>EXP(-LN(2)/25)*AA27+(1-EXP(-LN(2)/25))/(LN(2)/25)*Calculateur!V28*Calculateur!X28*VLOOKUP('Données projet'!$B$9,Paramètres!$A$1:$I$89,3,0)*0.475*44/12</f>
        <v>14.724595268610475</v>
      </c>
      <c r="AB28" s="21">
        <f>EXP(-LN(2)/2)*AB27+(1-EXP(-LN(2)/2))/(LN(2)/2)*V28*Y28*VLOOKUP('Données projet'!$B$9,Paramètres!$A$1:$I$89,3,0)*0.475*44/12</f>
        <v>3.5338787163035499</v>
      </c>
      <c r="AC28" s="22">
        <f t="shared" si="3"/>
        <v>22.526349075744776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0</v>
      </c>
      <c r="AO28" s="59">
        <f t="shared" si="36"/>
        <v>0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0</v>
      </c>
      <c r="BJ28" s="59">
        <f t="shared" si="38"/>
        <v>0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0</v>
      </c>
      <c r="CE28" s="59">
        <f t="shared" si="40"/>
        <v>0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17.133333333333333</v>
      </c>
      <c r="N29" s="13">
        <f>IF('Données projet'!$A$36&gt;35,N28+M29-V28,IF(A29&lt;'Données projet'!$A$36,$K$205^A29,IF(A29='Données projet'!$A$36,'Données projet'!$B$36,N28+M29-V28)))</f>
        <v>273.8</v>
      </c>
      <c r="O29" s="13">
        <f>N29*VLOOKUP('Données projet'!$B$9,Paramètres!$A$1:$I$89,3,0)*VLOOKUP('Données projet'!$B$9,Paramètres!$A$1:$I$89,5,0)</f>
        <v>163.73240000000001</v>
      </c>
      <c r="P29" s="13">
        <f t="shared" si="33"/>
        <v>41.683235495359668</v>
      </c>
      <c r="Q29" s="20">
        <f t="shared" si="2"/>
        <v>357.76556515441808</v>
      </c>
      <c r="R29" s="59">
        <f t="shared" si="0"/>
        <v>651.0988984877514</v>
      </c>
      <c r="S29" s="59">
        <f ca="1">AVERAGE(OFFSET($R$3,0,0,'Données projet'!$E$9+1,1))-AVERAGE(OFFSET($H$3,0,0,'Données projet'!$E$9+1,1))</f>
        <v>204.10151832511235</v>
      </c>
      <c r="T29" s="59">
        <f t="shared" si="34"/>
        <v>406.96276429030371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4.1841846634463247</v>
      </c>
      <c r="AA29" s="21">
        <f>EXP(-LN(2)/25)*AA28+(1-EXP(-LN(2)/25))/(LN(2)/25)*Calculateur!V29*Calculateur!X29*VLOOKUP('Données projet'!$B$9,Paramètres!$A$1:$I$89,3,0)*0.475*44/12</f>
        <v>14.321950436657509</v>
      </c>
      <c r="AB29" s="21">
        <f>EXP(-LN(2)/2)*AB28+(1-EXP(-LN(2)/2))/(LN(2)/2)*V29*Y29*VLOOKUP('Données projet'!$B$9,Paramètres!$A$1:$I$89,3,0)*0.475*44/12</f>
        <v>2.4988296041890519</v>
      </c>
      <c r="AC29" s="22">
        <f t="shared" si="3"/>
        <v>21.004964704292885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0</v>
      </c>
      <c r="AO29" s="59">
        <f t="shared" si="36"/>
        <v>0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0</v>
      </c>
      <c r="BJ29" s="59">
        <f t="shared" si="38"/>
        <v>0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0</v>
      </c>
      <c r="CE29" s="59">
        <f t="shared" si="40"/>
        <v>0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17.133333333333333</v>
      </c>
      <c r="N30" s="13">
        <f>IF('Données projet'!$A$36&gt;35,N29+M30-V29,IF(A30&lt;'Données projet'!$A$36,$K$205^A30,IF(A30='Données projet'!$A$36,'Données projet'!$B$36,N29+M30-V29)))</f>
        <v>290.93333333333334</v>
      </c>
      <c r="O30" s="13">
        <f>N30*VLOOKUP('Données projet'!$B$9,Paramètres!$A$1:$I$89,3,0)*VLOOKUP('Données projet'!$B$9,Paramètres!$A$1:$I$89,5,0)</f>
        <v>173.97813333333337</v>
      </c>
      <c r="P30" s="13">
        <f t="shared" si="33"/>
        <v>43.979790120432128</v>
      </c>
      <c r="Q30" s="20">
        <f t="shared" si="2"/>
        <v>379.61005001530816</v>
      </c>
      <c r="R30" s="59">
        <f t="shared" si="0"/>
        <v>672.94338334864142</v>
      </c>
      <c r="S30" s="59">
        <f ca="1">AVERAGE(OFFSET($R$3,0,0,'Données projet'!$E$9+1,1))-AVERAGE(OFFSET($H$3,0,0,'Données projet'!$E$9+1,1))</f>
        <v>204.10151832511235</v>
      </c>
      <c r="T30" s="59">
        <f t="shared" si="34"/>
        <v>406.96276429030371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4.102135354296788</v>
      </c>
      <c r="AA30" s="21">
        <f>EXP(-LN(2)/25)*AA29+(1-EXP(-LN(2)/25))/(LN(2)/25)*Calculateur!V30*Calculateur!X30*VLOOKUP('Données projet'!$B$9,Paramètres!$A$1:$I$89,3,0)*0.475*44/12</f>
        <v>13.93031594880847</v>
      </c>
      <c r="AB30" s="21">
        <f>EXP(-LN(2)/2)*AB29+(1-EXP(-LN(2)/2))/(LN(2)/2)*V30*Y30*VLOOKUP('Données projet'!$B$9,Paramètres!$A$1:$I$89,3,0)*0.475*44/12</f>
        <v>1.7669393581517752</v>
      </c>
      <c r="AC30" s="22">
        <f t="shared" si="3"/>
        <v>19.799390661257032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0</v>
      </c>
      <c r="AO30" s="59">
        <f t="shared" si="36"/>
        <v>0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0</v>
      </c>
      <c r="BJ30" s="59">
        <f t="shared" si="38"/>
        <v>0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0</v>
      </c>
      <c r="CE30" s="59">
        <f t="shared" si="40"/>
        <v>0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17.133333333333333</v>
      </c>
      <c r="N31" s="13">
        <f>IF('Données projet'!$A$36&gt;35,N30+M31-V30,IF(A31&lt;'Données projet'!$A$36,$K$205^A31,IF(A31='Données projet'!$A$36,'Données projet'!$B$36,N30+M31-V30)))</f>
        <v>308.06666666666666</v>
      </c>
      <c r="O31" s="13">
        <f>N31*VLOOKUP('Données projet'!$B$9,Paramètres!$A$1:$I$89,3,0)*VLOOKUP('Données projet'!$B$9,Paramètres!$A$1:$I$89,5,0)</f>
        <v>184.22386666666668</v>
      </c>
      <c r="P31" s="13">
        <f t="shared" si="33"/>
        <v>46.260646341367554</v>
      </c>
      <c r="Q31" s="20">
        <f t="shared" si="2"/>
        <v>401.427193488993</v>
      </c>
      <c r="R31" s="59">
        <f t="shared" si="0"/>
        <v>694.76052682232626</v>
      </c>
      <c r="S31" s="59">
        <f ca="1">AVERAGE(OFFSET($R$3,0,0,'Données projet'!$E$9+1,1))-AVERAGE(OFFSET($H$3,0,0,'Données projet'!$E$9+1,1))</f>
        <v>204.10151832511235</v>
      </c>
      <c r="T31" s="59">
        <f t="shared" si="34"/>
        <v>406.96276429030371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4.0216949820545365</v>
      </c>
      <c r="AA31" s="21">
        <f>EXP(-LN(2)/25)*AA30+(1-EXP(-LN(2)/25))/(LN(2)/25)*Calculateur!V31*Calculateur!X31*VLOOKUP('Données projet'!$B$9,Paramètres!$A$1:$I$89,3,0)*0.475*44/12</f>
        <v>13.549390726624825</v>
      </c>
      <c r="AB31" s="21">
        <f>EXP(-LN(2)/2)*AB30+(1-EXP(-LN(2)/2))/(LN(2)/2)*V31*Y31*VLOOKUP('Données projet'!$B$9,Paramètres!$A$1:$I$89,3,0)*0.475*44/12</f>
        <v>1.2494148020945262</v>
      </c>
      <c r="AC31" s="22">
        <f t="shared" si="3"/>
        <v>18.82050051077389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0</v>
      </c>
      <c r="AO31" s="59">
        <f t="shared" si="36"/>
        <v>0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0</v>
      </c>
      <c r="BJ31" s="59">
        <f t="shared" si="38"/>
        <v>0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0</v>
      </c>
      <c r="CE31" s="59">
        <f t="shared" si="40"/>
        <v>0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17.133333333333333</v>
      </c>
      <c r="N32" s="13">
        <f>IF('Données projet'!$A$36&gt;35,N31+M32-V31,IF(A32&lt;'Données projet'!$A$36,$K$205^A32,IF(A32='Données projet'!$A$36,'Données projet'!$B$36,N31+M32-V31)))</f>
        <v>325.2</v>
      </c>
      <c r="O32" s="13">
        <f>N32*VLOOKUP('Données projet'!$B$9,Paramètres!$A$1:$I$89,3,0)*VLOOKUP('Données projet'!$B$9,Paramètres!$A$1:$I$89,5,0)</f>
        <v>194.46960000000001</v>
      </c>
      <c r="P32" s="13">
        <f t="shared" si="33"/>
        <v>48.526776743352656</v>
      </c>
      <c r="Q32" s="20">
        <f t="shared" si="2"/>
        <v>423.21868949467256</v>
      </c>
      <c r="R32" s="59">
        <f t="shared" si="0"/>
        <v>716.55202282800587</v>
      </c>
      <c r="S32" s="59">
        <f ca="1">AVERAGE(OFFSET($R$3,0,0,'Données projet'!$E$9+1,1))-AVERAGE(OFFSET($H$3,0,0,'Données projet'!$E$9+1,1))</f>
        <v>204.10151832511235</v>
      </c>
      <c r="T32" s="59">
        <f t="shared" si="34"/>
        <v>406.96276429030371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3.9428319964481733</v>
      </c>
      <c r="AA32" s="21">
        <f>EXP(-LN(2)/25)*AA31+(1-EXP(-LN(2)/25))/(LN(2)/25)*Calculateur!V32*Calculateur!X32*VLOOKUP('Données projet'!$B$9,Paramètres!$A$1:$I$89,3,0)*0.475*44/12</f>
        <v>13.178881924673778</v>
      </c>
      <c r="AB32" s="21">
        <f>EXP(-LN(2)/2)*AB31+(1-EXP(-LN(2)/2))/(LN(2)/2)*V32*Y32*VLOOKUP('Données projet'!$B$9,Paramètres!$A$1:$I$89,3,0)*0.475*44/12</f>
        <v>0.88346967907588769</v>
      </c>
      <c r="AC32" s="22">
        <f t="shared" si="3"/>
        <v>18.005183600197839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0</v>
      </c>
      <c r="AO32" s="59">
        <f t="shared" si="36"/>
        <v>0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0</v>
      </c>
      <c r="BJ32" s="59">
        <f t="shared" si="38"/>
        <v>0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0</v>
      </c>
      <c r="CE32" s="59">
        <f t="shared" si="40"/>
        <v>0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17.133333333333333</v>
      </c>
      <c r="N33" s="13">
        <f>IF('Données projet'!$A$36&gt;35,N32+M33-V32,IF(A33&lt;'Données projet'!$A$36,$K$205^A33,IF(A33='Données projet'!$A$36,'Données projet'!$B$36,N32+M33-V32)))</f>
        <v>342.33333333333331</v>
      </c>
      <c r="O33" s="13">
        <f>N33*VLOOKUP('Données projet'!$B$9,Paramètres!$A$1:$I$89,3,0)*VLOOKUP('Données projet'!$B$9,Paramètres!$A$1:$I$89,5,0)</f>
        <v>204.71533333333335</v>
      </c>
      <c r="P33" s="13">
        <f t="shared" si="33"/>
        <v>50.779045641084785</v>
      </c>
      <c r="Q33" s="20">
        <f t="shared" si="2"/>
        <v>444.98604338044487</v>
      </c>
      <c r="R33" s="59">
        <f t="shared" si="0"/>
        <v>738.31937671377818</v>
      </c>
      <c r="S33" s="59">
        <f ca="1">AVERAGE(OFFSET($R$3,0,0,'Données projet'!$E$9+1,1))-AVERAGE(OFFSET($H$3,0,0,'Données projet'!$E$9+1,1))</f>
        <v>204.10151832511235</v>
      </c>
      <c r="T33" s="59">
        <f t="shared" si="34"/>
        <v>406.96276429030371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3.8655154658878792</v>
      </c>
      <c r="AA33" s="21">
        <f>EXP(-LN(2)/25)*AA32+(1-EXP(-LN(2)/25))/(LN(2)/25)*Calculateur!V33*Calculateur!X33*VLOOKUP('Données projet'!$B$9,Paramètres!$A$1:$I$89,3,0)*0.475*44/12</f>
        <v>12.818504705396293</v>
      </c>
      <c r="AB33" s="21">
        <f>EXP(-LN(2)/2)*AB32+(1-EXP(-LN(2)/2))/(LN(2)/2)*V33*Y33*VLOOKUP('Données projet'!$B$9,Paramètres!$A$1:$I$89,3,0)*0.475*44/12</f>
        <v>0.62470740104726308</v>
      </c>
      <c r="AC33" s="22">
        <f t="shared" si="3"/>
        <v>17.308727572331435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0</v>
      </c>
      <c r="AO33" s="59">
        <f t="shared" si="36"/>
        <v>0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0</v>
      </c>
      <c r="BJ33" s="59">
        <f t="shared" si="38"/>
        <v>0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0</v>
      </c>
      <c r="CE33" s="59">
        <f t="shared" si="40"/>
        <v>0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17.133333333333333</v>
      </c>
      <c r="N34" s="13">
        <f>IF('Données projet'!$A$36&gt;35,N33+M34-V33,IF(A34&lt;'Données projet'!$A$36,$K$205^A34,IF(A34='Données projet'!$A$36,'Données projet'!$B$36,N33+M34-V33)))</f>
        <v>359.46666666666664</v>
      </c>
      <c r="O34" s="13">
        <f>N34*VLOOKUP('Données projet'!$B$9,Paramètres!$A$1:$I$89,3,0)*VLOOKUP('Données projet'!$B$9,Paramètres!$A$1:$I$89,5,0)</f>
        <v>214.96106666666668</v>
      </c>
      <c r="P34" s="13">
        <f t="shared" si="33"/>
        <v>53.018225946430569</v>
      </c>
      <c r="Q34" s="20">
        <f t="shared" si="2"/>
        <v>466.7306013011443</v>
      </c>
      <c r="R34" s="59">
        <f t="shared" si="0"/>
        <v>760.06393463447762</v>
      </c>
      <c r="S34" s="59">
        <f ca="1">AVERAGE(OFFSET($R$3,0,0,'Données projet'!$E$9+1,1))-AVERAGE(OFFSET($H$3,0,0,'Données projet'!$E$9+1,1))</f>
        <v>204.10151832511235</v>
      </c>
      <c r="T34" s="59">
        <f t="shared" si="34"/>
        <v>406.96276429030371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3.7897150653334455</v>
      </c>
      <c r="AA34" s="21">
        <f>EXP(-LN(2)/25)*AA33+(1-EXP(-LN(2)/25))/(LN(2)/25)*Calculateur!V34*Calculateur!X34*VLOOKUP('Données projet'!$B$9,Paramètres!$A$1:$I$89,3,0)*0.475*44/12</f>
        <v>12.467982020131366</v>
      </c>
      <c r="AB34" s="21">
        <f>EXP(-LN(2)/2)*AB33+(1-EXP(-LN(2)/2))/(LN(2)/2)*V34*Y34*VLOOKUP('Données projet'!$B$9,Paramètres!$A$1:$I$89,3,0)*0.475*44/12</f>
        <v>0.44173483953794385</v>
      </c>
      <c r="AC34" s="22">
        <f t="shared" si="3"/>
        <v>16.699431925002756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0</v>
      </c>
      <c r="AO34" s="59">
        <f t="shared" si="36"/>
        <v>0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0</v>
      </c>
      <c r="BJ34" s="59">
        <f t="shared" si="38"/>
        <v>0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0</v>
      </c>
      <c r="CE34" s="59">
        <f t="shared" si="40"/>
        <v>0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17.133333333333333</v>
      </c>
      <c r="N35" s="13">
        <f>IF('Données projet'!$A$36&gt;35,N34+M35-V34,IF(A35&lt;'Données projet'!$A$36,$K$205^A35,IF(A35='Données projet'!$A$36,'Données projet'!$B$36,N34+M35-V34)))</f>
        <v>376.59999999999997</v>
      </c>
      <c r="O35" s="13">
        <f>N35*VLOOKUP('Données projet'!$B$9,Paramètres!$A$1:$I$89,3,0)*VLOOKUP('Données projet'!$B$9,Paramètres!$A$1:$I$89,5,0)</f>
        <v>225.20679999999999</v>
      </c>
      <c r="P35" s="13">
        <f t="shared" si="33"/>
        <v>55.245012729096509</v>
      </c>
      <c r="Q35" s="20">
        <f t="shared" ref="Q35:Q66" si="53">(O35+P35)*0.475*44/12</f>
        <v>488.45357383650975</v>
      </c>
      <c r="R35" s="59">
        <f t="shared" si="0"/>
        <v>781.78690716984306</v>
      </c>
      <c r="S35" s="59">
        <f ca="1">AVERAGE(OFFSET($R$3,0,0,'Données projet'!$E$9+1,1))-AVERAGE(OFFSET($H$3,0,0,'Données projet'!$E$9+1,1))</f>
        <v>204.10151832511235</v>
      </c>
      <c r="T35" s="59">
        <f t="shared" si="34"/>
        <v>406.96276429030371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3.7154010644002051</v>
      </c>
      <c r="AA35" s="21">
        <f>EXP(-LN(2)/25)*AA34+(1-EXP(-LN(2)/25))/(LN(2)/25)*Calculateur!V35*Calculateur!X35*VLOOKUP('Données projet'!$B$9,Paramètres!$A$1:$I$89,3,0)*0.475*44/12</f>
        <v>12.127044396128195</v>
      </c>
      <c r="AB35" s="21">
        <f>EXP(-LN(2)/2)*AB34+(1-EXP(-LN(2)/2))/(LN(2)/2)*V35*Y35*VLOOKUP('Données projet'!$B$9,Paramètres!$A$1:$I$89,3,0)*0.475*44/12</f>
        <v>0.31235370052363154</v>
      </c>
      <c r="AC35" s="22">
        <f t="shared" si="3"/>
        <v>16.154799161052029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0</v>
      </c>
      <c r="AO35" s="59">
        <f t="shared" si="36"/>
        <v>0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0</v>
      </c>
      <c r="BJ35" s="59">
        <f t="shared" si="38"/>
        <v>0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0</v>
      </c>
      <c r="CE35" s="59">
        <f t="shared" si="40"/>
        <v>0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17.133333333333333</v>
      </c>
      <c r="N36" s="13">
        <f>IF('Données projet'!$A$36&gt;35,N35+M36-V35,IF(A36&lt;'Données projet'!$A$36,$K$205^A36,IF(A36='Données projet'!$A$36,'Données projet'!$B$36,N35+M36-V35)))</f>
        <v>393.73333333333329</v>
      </c>
      <c r="O36" s="13">
        <f>N36*VLOOKUP('Données projet'!$B$9,Paramètres!$A$1:$I$89,3,0)*VLOOKUP('Données projet'!$B$9,Paramètres!$A$1:$I$89,5,0)</f>
        <v>235.45253333333335</v>
      </c>
      <c r="P36" s="13">
        <f t="shared" si="33"/>
        <v>57.460034239780867</v>
      </c>
      <c r="Q36" s="20">
        <f t="shared" si="53"/>
        <v>510.15605518984057</v>
      </c>
      <c r="R36" s="59">
        <f t="shared" si="0"/>
        <v>803.48938852317383</v>
      </c>
      <c r="S36" s="59">
        <f ca="1">AVERAGE(OFFSET($R$3,0,0,'Données projet'!$E$9+1,1))-AVERAGE(OFFSET($H$3,0,0,'Données projet'!$E$9+1,1))</f>
        <v>204.10151832511235</v>
      </c>
      <c r="T36" s="59">
        <f t="shared" si="34"/>
        <v>406.96276429030371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3.6425443156982005</v>
      </c>
      <c r="AA36" s="21">
        <f>EXP(-LN(2)/25)*AA35+(1-EXP(-LN(2)/25))/(LN(2)/25)*Calculateur!V36*Calculateur!X36*VLOOKUP('Données projet'!$B$9,Paramètres!$A$1:$I$89,3,0)*0.475*44/12</f>
        <v>11.795429729382521</v>
      </c>
      <c r="AB36" s="21">
        <f>EXP(-LN(2)/2)*AB35+(1-EXP(-LN(2)/2))/(LN(2)/2)*V36*Y36*VLOOKUP('Données projet'!$B$9,Paramètres!$A$1:$I$89,3,0)*0.475*44/12</f>
        <v>0.22086741976897192</v>
      </c>
      <c r="AC36" s="22">
        <f t="shared" si="3"/>
        <v>15.658841464849694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0</v>
      </c>
      <c r="AO36" s="59">
        <f t="shared" si="36"/>
        <v>0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0</v>
      </c>
      <c r="BJ36" s="59">
        <f t="shared" si="38"/>
        <v>0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0</v>
      </c>
      <c r="CE36" s="59">
        <f t="shared" si="40"/>
        <v>0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17.133333333333333</v>
      </c>
      <c r="N37" s="13">
        <f>IF('Données projet'!$A$36&gt;35,N36+M37-V36,IF(A37&lt;'Données projet'!$A$36,$K$205^A37,IF(A37='Données projet'!$A$36,'Données projet'!$B$36,N36+M37-V36)))</f>
        <v>410.86666666666662</v>
      </c>
      <c r="O37" s="13">
        <f>N37*VLOOKUP('Données projet'!$B$9,Paramètres!$A$1:$I$89,3,0)*VLOOKUP('Données projet'!$B$9,Paramètres!$A$1:$I$89,5,0)</f>
        <v>245.69826666666665</v>
      </c>
      <c r="P37" s="13">
        <f t="shared" si="33"/>
        <v>59.663860960490368</v>
      </c>
      <c r="Q37" s="20">
        <f t="shared" si="53"/>
        <v>531.83903895063179</v>
      </c>
      <c r="R37" s="59">
        <f t="shared" si="0"/>
        <v>825.17237228396516</v>
      </c>
      <c r="S37" s="59">
        <f ca="1">AVERAGE(OFFSET($R$3,0,0,'Données projet'!$E$9+1,1))-AVERAGE(OFFSET($H$3,0,0,'Données projet'!$E$9+1,1))</f>
        <v>204.10151832511235</v>
      </c>
      <c r="T37" s="59">
        <f t="shared" si="34"/>
        <v>406.96276429030371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3.5711162434000134</v>
      </c>
      <c r="AA37" s="21">
        <f>EXP(-LN(2)/25)*AA36+(1-EXP(-LN(2)/25))/(LN(2)/25)*Calculateur!V37*Calculateur!X37*VLOOKUP('Données projet'!$B$9,Paramètres!$A$1:$I$89,3,0)*0.475*44/12</f>
        <v>11.472883083137866</v>
      </c>
      <c r="AB37" s="21">
        <f>EXP(-LN(2)/2)*AB36+(1-EXP(-LN(2)/2))/(LN(2)/2)*V37*Y37*VLOOKUP('Données projet'!$B$9,Paramètres!$A$1:$I$89,3,0)*0.475*44/12</f>
        <v>0.15617685026181577</v>
      </c>
      <c r="AC37" s="22">
        <f t="shared" si="3"/>
        <v>15.200176176799694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0</v>
      </c>
      <c r="AO37" s="59">
        <f t="shared" si="36"/>
        <v>0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0</v>
      </c>
      <c r="BJ37" s="59">
        <f t="shared" si="38"/>
        <v>0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0</v>
      </c>
      <c r="CE37" s="59">
        <f t="shared" si="40"/>
        <v>0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428</v>
      </c>
      <c r="L38" s="12">
        <f>VLOOKUP(A38,'Données projet'!$A$35:$I$55,9,0)</f>
        <v>17.133333333333333</v>
      </c>
      <c r="M38" s="12">
        <f t="array" ref="M38">INDEX(L:L,MIN(IF(ISNUMBER(L38:L234),ROW(L38:L234),"")))</f>
        <v>17.133333333333333</v>
      </c>
      <c r="N38" s="13">
        <f>IF('Données projet'!$A$36&gt;35,N37+M38-V37,IF(A38&lt;'Données projet'!$A$36,$K$205^A38,IF(A38='Données projet'!$A$36,'Données projet'!$B$36,N37+M38-V37)))</f>
        <v>427.99999999999994</v>
      </c>
      <c r="O38" s="13">
        <f>N38*VLOOKUP('Données projet'!$B$9,Paramètres!$A$1:$I$89,3,0)*VLOOKUP('Données projet'!$B$9,Paramètres!$A$1:$I$89,5,0)</f>
        <v>255.94400000000002</v>
      </c>
      <c r="P38" s="13">
        <f t="shared" si="33"/>
        <v>61.857013102708841</v>
      </c>
      <c r="Q38" s="20">
        <f t="shared" si="53"/>
        <v>553.50343115388466</v>
      </c>
      <c r="R38" s="59">
        <f t="shared" si="0"/>
        <v>846.83676448721803</v>
      </c>
      <c r="S38" s="59">
        <f ca="1">AVERAGE(OFFSET($R$3,0,0,'Données projet'!$E$9+1,1))-AVERAGE(OFFSET($H$3,0,0,'Données projet'!$E$9+1,1))</f>
        <v>204.10151832511235</v>
      </c>
      <c r="T38" s="59">
        <f t="shared" si="34"/>
        <v>406.96276429030371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428</v>
      </c>
      <c r="W38" s="16">
        <f>IF(ISNA(VLOOKUP(A38,'Données projet'!$A$35:$I$55,5,0)),0%,VLOOKUP(A38,'Données projet'!$A$35:$I$55,5,0)*VLOOKUP('Données projet'!$B$9,Paramètres!$A$1:$I$89,7,0))</f>
        <v>0.13500000000000001</v>
      </c>
      <c r="X38" s="16">
        <f>IF(ISNA(VLOOKUP(A38,'Données projet'!$A$35:$I$55,6,0)),0%,VLOOKUP(A38,'Données projet'!$A$35:$I$55,6,0)*VLOOKUP('Données projet'!$B$9,Paramètres!$A$1:$I$89,7,0))</f>
        <v>0.1575</v>
      </c>
      <c r="Y38" s="16">
        <f>IF(ISNA(VLOOKUP(A38,'Données projet'!$A$35:$I$55,7,0)),0%,VLOOKUP(A38,'Données projet'!$A$35:$I$55,7,0))</f>
        <v>0.35</v>
      </c>
      <c r="Z38" s="21">
        <f>EXP(-LN(2)/35)*Z37+(1-EXP(-LN(2)/35))/(LN(2)/35)*V38*W38*VLOOKUP('Données projet'!$B$9,Paramètres!$A$1:$I$89,3,0)*0.475*44/12</f>
        <v>49.337127584740159</v>
      </c>
      <c r="AA38" s="21">
        <f>EXP(-LN(2)/25)*AA37+(1-EXP(-LN(2)/25))/(LN(2)/25)*Calculateur!V38*Calculateur!X38*VLOOKUP('Données projet'!$B$9,Paramètres!$A$1:$I$89,3,0)*0.475*44/12</f>
        <v>64.423982095674418</v>
      </c>
      <c r="AB38" s="21">
        <f>EXP(-LN(2)/2)*AB37+(1-EXP(-LN(2)/2))/(LN(2)/2)*V38*Y38*VLOOKUP('Données projet'!$B$9,Paramètres!$A$1:$I$89,3,0)*0.475*44/12</f>
        <v>101.53625581522431</v>
      </c>
      <c r="AC38" s="22">
        <f t="shared" si="3"/>
        <v>215.29736549563887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0</v>
      </c>
      <c r="AO38" s="59">
        <f t="shared" si="36"/>
        <v>0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0</v>
      </c>
      <c r="BJ38" s="59">
        <f t="shared" si="38"/>
        <v>0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0</v>
      </c>
      <c r="CE38" s="59">
        <f t="shared" si="40"/>
        <v>0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-5.6843418860808015E-14</v>
      </c>
      <c r="O39" s="13">
        <f>N39*VLOOKUP('Données projet'!$B$9,Paramètres!$A$1:$I$89,3,0)*VLOOKUP('Données projet'!$B$9,Paramètres!$A$1:$I$89,5,0)</f>
        <v>-3.3992364478763198E-14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204.10151832511235</v>
      </c>
      <c r="T39" s="59">
        <f t="shared" si="34"/>
        <v>406.96276429030371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48.369656605479825</v>
      </c>
      <c r="AA39" s="21">
        <f>EXP(-LN(2)/25)*AA38+(1-EXP(-LN(2)/25))/(LN(2)/25)*Calculateur!V39*Calculateur!X39*VLOOKUP('Données projet'!$B$9,Paramètres!$A$1:$I$89,3,0)*0.475*44/12</f>
        <v>62.662304917358227</v>
      </c>
      <c r="AB39" s="21">
        <f>EXP(-LN(2)/2)*AB38+(1-EXP(-LN(2)/2))/(LN(2)/2)*V39*Y39*VLOOKUP('Données projet'!$B$9,Paramètres!$A$1:$I$89,3,0)*0.475*44/12</f>
        <v>71.796975023237138</v>
      </c>
      <c r="AC39" s="22">
        <f t="shared" si="3"/>
        <v>182.8289365460752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0</v>
      </c>
      <c r="AO39" s="59">
        <f t="shared" si="36"/>
        <v>0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0</v>
      </c>
      <c r="BJ39" s="59">
        <f t="shared" si="38"/>
        <v>0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0</v>
      </c>
      <c r="CE39" s="59">
        <f t="shared" si="40"/>
        <v>0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-5.6843418860808015E-14</v>
      </c>
      <c r="O40" s="13">
        <f>N40*VLOOKUP('Données projet'!$B$9,Paramètres!$A$1:$I$89,3,0)*VLOOKUP('Données projet'!$B$9,Paramètres!$A$1:$I$89,5,0)</f>
        <v>-3.3992364478763198E-14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204.10151832511235</v>
      </c>
      <c r="T40" s="59">
        <f t="shared" si="34"/>
        <v>406.96276429030371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47.421157142023759</v>
      </c>
      <c r="AA40" s="21">
        <f>EXP(-LN(2)/25)*AA39+(1-EXP(-LN(2)/25))/(LN(2)/25)*Calculateur!V40*Calculateur!X40*VLOOKUP('Données projet'!$B$9,Paramètres!$A$1:$I$89,3,0)*0.475*44/12</f>
        <v>60.948800894125668</v>
      </c>
      <c r="AB40" s="21">
        <f>EXP(-LN(2)/2)*AB39+(1-EXP(-LN(2)/2))/(LN(2)/2)*V40*Y40*VLOOKUP('Données projet'!$B$9,Paramètres!$A$1:$I$89,3,0)*0.475*44/12</f>
        <v>50.768127907612161</v>
      </c>
      <c r="AC40" s="22">
        <f t="shared" si="3"/>
        <v>159.13808594376158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0</v>
      </c>
      <c r="AO40" s="59">
        <f t="shared" si="36"/>
        <v>0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0</v>
      </c>
      <c r="BJ40" s="59">
        <f t="shared" si="38"/>
        <v>0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0</v>
      </c>
      <c r="CE40" s="59">
        <f t="shared" si="40"/>
        <v>0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-5.6843418860808015E-14</v>
      </c>
      <c r="O41" s="13">
        <f>N41*VLOOKUP('Données projet'!$B$9,Paramètres!$A$1:$I$89,3,0)*VLOOKUP('Données projet'!$B$9,Paramètres!$A$1:$I$89,5,0)</f>
        <v>-3.3992364478763198E-14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204.10151832511235</v>
      </c>
      <c r="T41" s="59">
        <f t="shared" si="34"/>
        <v>406.96276429030371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46.491257174518516</v>
      </c>
      <c r="AA41" s="21">
        <f>EXP(-LN(2)/25)*AA40+(1-EXP(-LN(2)/25))/(LN(2)/25)*Calculateur!V41*Calculateur!X41*VLOOKUP('Données projet'!$B$9,Paramètres!$A$1:$I$89,3,0)*0.475*44/12</f>
        <v>59.282152728517666</v>
      </c>
      <c r="AB41" s="21">
        <f>EXP(-LN(2)/2)*AB40+(1-EXP(-LN(2)/2))/(LN(2)/2)*V41*Y41*VLOOKUP('Données projet'!$B$9,Paramètres!$A$1:$I$89,3,0)*0.475*44/12</f>
        <v>35.898487511618569</v>
      </c>
      <c r="AC41" s="22">
        <f t="shared" si="3"/>
        <v>141.67189741465475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0</v>
      </c>
      <c r="AO41" s="59">
        <f t="shared" si="36"/>
        <v>0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0</v>
      </c>
      <c r="BJ41" s="59">
        <f t="shared" si="38"/>
        <v>0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0</v>
      </c>
      <c r="CE41" s="59">
        <f t="shared" si="40"/>
        <v>0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-5.6843418860808015E-14</v>
      </c>
      <c r="O42" s="13">
        <f>N42*VLOOKUP('Données projet'!$B$9,Paramètres!$A$1:$I$89,3,0)*VLOOKUP('Données projet'!$B$9,Paramètres!$A$1:$I$89,5,0)</f>
        <v>-3.3992364478763198E-14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204.10151832511235</v>
      </c>
      <c r="T42" s="59">
        <f t="shared" si="34"/>
        <v>406.96276429030371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45.579591978193079</v>
      </c>
      <c r="AA42" s="21">
        <f>EXP(-LN(2)/25)*AA41+(1-EXP(-LN(2)/25))/(LN(2)/25)*Calculateur!V42*Calculateur!X42*VLOOKUP('Données projet'!$B$9,Paramètres!$A$1:$I$89,3,0)*0.475*44/12</f>
        <v>57.661079144643431</v>
      </c>
      <c r="AB42" s="21">
        <f>EXP(-LN(2)/2)*AB41+(1-EXP(-LN(2)/2))/(LN(2)/2)*V42*Y42*VLOOKUP('Données projet'!$B$9,Paramètres!$A$1:$I$89,3,0)*0.475*44/12</f>
        <v>25.384063953806081</v>
      </c>
      <c r="AC42" s="22">
        <f t="shared" si="3"/>
        <v>128.62473507664259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0</v>
      </c>
      <c r="AO42" s="59">
        <f t="shared" si="36"/>
        <v>0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0</v>
      </c>
      <c r="BJ42" s="59">
        <f t="shared" si="38"/>
        <v>0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0</v>
      </c>
      <c r="CE42" s="59">
        <f t="shared" si="40"/>
        <v>0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-5.6843418860808015E-14</v>
      </c>
      <c r="O43" s="13">
        <f>N43*VLOOKUP('Données projet'!$B$9,Paramètres!$A$1:$I$89,3,0)*VLOOKUP('Données projet'!$B$9,Paramètres!$A$1:$I$89,5,0)</f>
        <v>-3.3992364478763198E-14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204.10151832511235</v>
      </c>
      <c r="T43" s="59">
        <f t="shared" si="34"/>
        <v>406.96276429030371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44.685803980306716</v>
      </c>
      <c r="AA43" s="21">
        <f>EXP(-LN(2)/25)*AA42+(1-EXP(-LN(2)/25))/(LN(2)/25)*Calculateur!V43*Calculateur!X43*VLOOKUP('Données projet'!$B$9,Paramètres!$A$1:$I$89,3,0)*0.475*44/12</f>
        <v>56.08433390316879</v>
      </c>
      <c r="AB43" s="21">
        <f>EXP(-LN(2)/2)*AB42+(1-EXP(-LN(2)/2))/(LN(2)/2)*V43*Y43*VLOOKUP('Données projet'!$B$9,Paramètres!$A$1:$I$89,3,0)*0.475*44/12</f>
        <v>17.949243755809285</v>
      </c>
      <c r="AC43" s="22">
        <f t="shared" si="3"/>
        <v>118.71938163928479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0</v>
      </c>
      <c r="AO43" s="59">
        <f t="shared" si="36"/>
        <v>0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0</v>
      </c>
      <c r="BJ43" s="59">
        <f t="shared" si="38"/>
        <v>0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0</v>
      </c>
      <c r="CE43" s="59">
        <f t="shared" si="40"/>
        <v>0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-5.6843418860808015E-14</v>
      </c>
      <c r="O44" s="13">
        <f>N44*VLOOKUP('Données projet'!$B$9,Paramètres!$A$1:$I$89,3,0)*VLOOKUP('Données projet'!$B$9,Paramètres!$A$1:$I$89,5,0)</f>
        <v>-3.3992364478763198E-14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204.10151832511235</v>
      </c>
      <c r="T44" s="59">
        <f t="shared" si="34"/>
        <v>406.96276429030371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43.809542619902054</v>
      </c>
      <c r="AA44" s="21">
        <f>EXP(-LN(2)/25)*AA43+(1-EXP(-LN(2)/25))/(LN(2)/25)*Calculateur!V44*Calculateur!X44*VLOOKUP('Données projet'!$B$9,Paramètres!$A$1:$I$89,3,0)*0.475*44/12</f>
        <v>54.5507048432397</v>
      </c>
      <c r="AB44" s="21">
        <f>EXP(-LN(2)/2)*AB43+(1-EXP(-LN(2)/2))/(LN(2)/2)*V44*Y44*VLOOKUP('Données projet'!$B$9,Paramètres!$A$1:$I$89,3,0)*0.475*44/12</f>
        <v>12.69203197690304</v>
      </c>
      <c r="AC44" s="22">
        <f t="shared" si="3"/>
        <v>111.05227944004479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0</v>
      </c>
      <c r="AO44" s="59">
        <f t="shared" si="36"/>
        <v>0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0</v>
      </c>
      <c r="BJ44" s="59">
        <f t="shared" si="38"/>
        <v>0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0</v>
      </c>
      <c r="CE44" s="59">
        <f t="shared" si="40"/>
        <v>0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-5.6843418860808015E-14</v>
      </c>
      <c r="O45" s="13">
        <f>N45*VLOOKUP('Données projet'!$B$9,Paramètres!$A$1:$I$89,3,0)*VLOOKUP('Données projet'!$B$9,Paramètres!$A$1:$I$89,5,0)</f>
        <v>-3.3992364478763198E-14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204.10151832511235</v>
      </c>
      <c r="T45" s="59">
        <f t="shared" si="34"/>
        <v>406.96276429030371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42.950464210308276</v>
      </c>
      <c r="AA45" s="21">
        <f>EXP(-LN(2)/25)*AA44+(1-EXP(-LN(2)/25))/(LN(2)/25)*Calculateur!V45*Calculateur!X45*VLOOKUP('Données projet'!$B$9,Paramètres!$A$1:$I$89,3,0)*0.475*44/12</f>
        <v>53.059012950604419</v>
      </c>
      <c r="AB45" s="21">
        <f>EXP(-LN(2)/2)*AB44+(1-EXP(-LN(2)/2))/(LN(2)/2)*V45*Y45*VLOOKUP('Données projet'!$B$9,Paramètres!$A$1:$I$89,3,0)*0.475*44/12</f>
        <v>8.9746218779046423</v>
      </c>
      <c r="AC45" s="22">
        <f t="shared" si="3"/>
        <v>104.98409903881733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0</v>
      </c>
      <c r="AO45" s="59">
        <f t="shared" si="36"/>
        <v>0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0</v>
      </c>
      <c r="BJ45" s="59">
        <f t="shared" si="38"/>
        <v>0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0</v>
      </c>
      <c r="CE45" s="59">
        <f t="shared" si="40"/>
        <v>0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-5.6843418860808015E-14</v>
      </c>
      <c r="O46" s="13">
        <f>N46*VLOOKUP('Données projet'!$B$9,Paramètres!$A$1:$I$89,3,0)*VLOOKUP('Données projet'!$B$9,Paramètres!$A$1:$I$89,5,0)</f>
        <v>-3.3992364478763198E-14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204.10151832511235</v>
      </c>
      <c r="T46" s="59">
        <f t="shared" si="34"/>
        <v>406.96276429030371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42.108231804340541</v>
      </c>
      <c r="AA46" s="21">
        <f>EXP(-LN(2)/25)*AA45+(1-EXP(-LN(2)/25))/(LN(2)/25)*Calculateur!V46*Calculateur!X46*VLOOKUP('Données projet'!$B$9,Paramètres!$A$1:$I$89,3,0)*0.475*44/12</f>
        <v>51.608111451217916</v>
      </c>
      <c r="AB46" s="21">
        <f>EXP(-LN(2)/2)*AB45+(1-EXP(-LN(2)/2))/(LN(2)/2)*V46*Y46*VLOOKUP('Données projet'!$B$9,Paramètres!$A$1:$I$89,3,0)*0.475*44/12</f>
        <v>6.3460159884515202</v>
      </c>
      <c r="AC46" s="22">
        <f t="shared" si="3"/>
        <v>100.06235924400998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0</v>
      </c>
      <c r="AO46" s="59">
        <f t="shared" si="36"/>
        <v>0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0</v>
      </c>
      <c r="BJ46" s="59">
        <f t="shared" si="38"/>
        <v>0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0</v>
      </c>
      <c r="CE46" s="59">
        <f t="shared" si="40"/>
        <v>0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-5.6843418860808015E-14</v>
      </c>
      <c r="O47" s="13">
        <f>N47*VLOOKUP('Données projet'!$B$9,Paramètres!$A$1:$I$89,3,0)*VLOOKUP('Données projet'!$B$9,Paramètres!$A$1:$I$89,5,0)</f>
        <v>-3.3992364478763198E-14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204.10151832511235</v>
      </c>
      <c r="T47" s="59">
        <f t="shared" si="34"/>
        <v>406.96276429030371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41.282515062142792</v>
      </c>
      <c r="AA47" s="21">
        <f>EXP(-LN(2)/25)*AA46+(1-EXP(-LN(2)/25))/(LN(2)/25)*Calculateur!V47*Calculateur!X47*VLOOKUP('Données projet'!$B$9,Paramètres!$A$1:$I$89,3,0)*0.475*44/12</f>
        <v>50.196884929631736</v>
      </c>
      <c r="AB47" s="21">
        <f>EXP(-LN(2)/2)*AB46+(1-EXP(-LN(2)/2))/(LN(2)/2)*V47*Y47*VLOOKUP('Données projet'!$B$9,Paramètres!$A$1:$I$89,3,0)*0.475*44/12</f>
        <v>4.4873109389523211</v>
      </c>
      <c r="AC47" s="22">
        <f t="shared" si="3"/>
        <v>95.966710930726848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0</v>
      </c>
      <c r="AO47" s="59">
        <f t="shared" si="36"/>
        <v>0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0</v>
      </c>
      <c r="BJ47" s="59">
        <f t="shared" si="38"/>
        <v>0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0</v>
      </c>
      <c r="CE47" s="59">
        <f t="shared" si="40"/>
        <v>0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-5.6843418860808015E-14</v>
      </c>
      <c r="O48" s="13">
        <f>N48*VLOOKUP('Données projet'!$B$9,Paramètres!$A$1:$I$89,3,0)*VLOOKUP('Données projet'!$B$9,Paramètres!$A$1:$I$89,5,0)</f>
        <v>-3.3992364478763198E-14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204.10151832511235</v>
      </c>
      <c r="T48" s="59">
        <f t="shared" si="34"/>
        <v>406.96276429030371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40.472990121622054</v>
      </c>
      <c r="AA48" s="21">
        <f>EXP(-LN(2)/25)*AA47+(1-EXP(-LN(2)/25))/(LN(2)/25)*Calculateur!V48*Calculateur!X48*VLOOKUP('Données projet'!$B$9,Paramètres!$A$1:$I$89,3,0)*0.475*44/12</f>
        <v>48.824248471491501</v>
      </c>
      <c r="AB48" s="21">
        <f>EXP(-LN(2)/2)*AB47+(1-EXP(-LN(2)/2))/(LN(2)/2)*V48*Y48*VLOOKUP('Données projet'!$B$9,Paramètres!$A$1:$I$89,3,0)*0.475*44/12</f>
        <v>3.1730079942257601</v>
      </c>
      <c r="AC48" s="22">
        <f t="shared" si="3"/>
        <v>92.470246587339304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0</v>
      </c>
      <c r="AO48" s="59">
        <f t="shared" si="36"/>
        <v>0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0</v>
      </c>
      <c r="BJ48" s="59">
        <f t="shared" si="38"/>
        <v>0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0</v>
      </c>
      <c r="CE48" s="59">
        <f t="shared" si="40"/>
        <v>0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204.10151832511235</v>
      </c>
      <c r="T49" s="59">
        <f t="shared" si="34"/>
        <v>406.96276429030371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39.679339471423468</v>
      </c>
      <c r="AA49" s="21">
        <f>EXP(-LN(2)/25)*AA48+(1-EXP(-LN(2)/25))/(LN(2)/25)*Calculateur!V49*Calculateur!X49*VLOOKUP('Données projet'!$B$9,Paramètres!$A$1:$I$89,3,0)*0.475*44/12</f>
        <v>47.489146829482927</v>
      </c>
      <c r="AB49" s="21">
        <f>EXP(-LN(2)/2)*AB48+(1-EXP(-LN(2)/2))/(LN(2)/2)*V49*Y49*VLOOKUP('Données projet'!$B$9,Paramètres!$A$1:$I$89,3,0)*0.475*44/12</f>
        <v>2.2436554694761606</v>
      </c>
      <c r="AC49" s="22">
        <f t="shared" si="3"/>
        <v>89.412141770382561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0</v>
      </c>
      <c r="AO49" s="59">
        <f t="shared" si="36"/>
        <v>0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0</v>
      </c>
      <c r="BJ49" s="59">
        <f t="shared" si="38"/>
        <v>0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0</v>
      </c>
      <c r="CE49" s="59">
        <f t="shared" si="40"/>
        <v>0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204.10151832511235</v>
      </c>
      <c r="T50" s="59">
        <f t="shared" si="34"/>
        <v>406.96276429030371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38.901251826396184</v>
      </c>
      <c r="AA50" s="21">
        <f>EXP(-LN(2)/25)*AA49+(1-EXP(-LN(2)/25))/(LN(2)/25)*Calculateur!V50*Calculateur!X50*VLOOKUP('Données projet'!$B$9,Paramètres!$A$1:$I$89,3,0)*0.475*44/12</f>
        <v>46.190553612085019</v>
      </c>
      <c r="AB50" s="21">
        <f>EXP(-LN(2)/2)*AB49+(1-EXP(-LN(2)/2))/(LN(2)/2)*V50*Y50*VLOOKUP('Données projet'!$B$9,Paramètres!$A$1:$I$89,3,0)*0.475*44/12</f>
        <v>1.58650399711288</v>
      </c>
      <c r="AC50" s="22">
        <f t="shared" si="3"/>
        <v>86.678309435594088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0</v>
      </c>
      <c r="AO50" s="59">
        <f t="shared" si="36"/>
        <v>0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0</v>
      </c>
      <c r="BJ50" s="59">
        <f t="shared" si="38"/>
        <v>0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0</v>
      </c>
      <c r="CE50" s="59">
        <f t="shared" si="40"/>
        <v>0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204.10151832511235</v>
      </c>
      <c r="T51" s="59">
        <f t="shared" si="34"/>
        <v>406.96276429030371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38.138422005501283</v>
      </c>
      <c r="AA51" s="21">
        <f>EXP(-LN(2)/25)*AA50+(1-EXP(-LN(2)/25))/(LN(2)/25)*Calculateur!V51*Calculateur!X51*VLOOKUP('Données projet'!$B$9,Paramètres!$A$1:$I$89,3,0)*0.475*44/12</f>
        <v>44.927470494506906</v>
      </c>
      <c r="AB51" s="21">
        <f>EXP(-LN(2)/2)*AB50+(1-EXP(-LN(2)/2))/(LN(2)/2)*V51*Y51*VLOOKUP('Données projet'!$B$9,Paramètres!$A$1:$I$89,3,0)*0.475*44/12</f>
        <v>1.1218277347380803</v>
      </c>
      <c r="AC51" s="22">
        <f t="shared" si="3"/>
        <v>84.187720234746266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0</v>
      </c>
      <c r="AO51" s="59">
        <f t="shared" si="36"/>
        <v>0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0</v>
      </c>
      <c r="BJ51" s="59">
        <f t="shared" si="38"/>
        <v>0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0</v>
      </c>
      <c r="CE51" s="59">
        <f t="shared" si="40"/>
        <v>0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204.10151832511235</v>
      </c>
      <c r="T52" s="59">
        <f t="shared" si="34"/>
        <v>406.96276429030371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37.390550812113879</v>
      </c>
      <c r="AA52" s="21">
        <f>EXP(-LN(2)/25)*AA51+(1-EXP(-LN(2)/25))/(LN(2)/25)*Calculateur!V52*Calculateur!X52*VLOOKUP('Données projet'!$B$9,Paramètres!$A$1:$I$89,3,0)*0.475*44/12</f>
        <v>43.698926451201622</v>
      </c>
      <c r="AB52" s="21">
        <f>EXP(-LN(2)/2)*AB51+(1-EXP(-LN(2)/2))/(LN(2)/2)*V52*Y52*VLOOKUP('Données projet'!$B$9,Paramètres!$A$1:$I$89,3,0)*0.475*44/12</f>
        <v>0.79325199855644002</v>
      </c>
      <c r="AC52" s="22">
        <f t="shared" si="3"/>
        <v>81.882729261871944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0</v>
      </c>
      <c r="AO52" s="59">
        <f t="shared" si="36"/>
        <v>0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0</v>
      </c>
      <c r="BJ52" s="59">
        <f t="shared" si="38"/>
        <v>0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0</v>
      </c>
      <c r="CE52" s="59">
        <f t="shared" si="40"/>
        <v>0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204.10151832511235</v>
      </c>
      <c r="T53" s="59">
        <f t="shared" si="34"/>
        <v>406.96276429030371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36.657344916672415</v>
      </c>
      <c r="AA53" s="21">
        <f>EXP(-LN(2)/25)*AA52+(1-EXP(-LN(2)/25))/(LN(2)/25)*Calculateur!V53*Calculateur!X53*VLOOKUP('Données projet'!$B$9,Paramètres!$A$1:$I$89,3,0)*0.475*44/12</f>
        <v>42.503977009366849</v>
      </c>
      <c r="AB53" s="21">
        <f>EXP(-LN(2)/2)*AB52+(1-EXP(-LN(2)/2))/(LN(2)/2)*V53*Y53*VLOOKUP('Données projet'!$B$9,Paramètres!$A$1:$I$89,3,0)*0.475*44/12</f>
        <v>0.56091386736904014</v>
      </c>
      <c r="AC53" s="22">
        <f t="shared" si="3"/>
        <v>79.722235793408302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0</v>
      </c>
      <c r="AO53" s="59">
        <f t="shared" si="36"/>
        <v>0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0</v>
      </c>
      <c r="BJ53" s="59">
        <f t="shared" si="38"/>
        <v>0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0</v>
      </c>
      <c r="CE53" s="59">
        <f t="shared" si="40"/>
        <v>0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204.10151832511235</v>
      </c>
      <c r="T54" s="59">
        <f t="shared" si="34"/>
        <v>406.96276429030371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35.938516741629122</v>
      </c>
      <c r="AA54" s="21">
        <f>EXP(-LN(2)/25)*AA53+(1-EXP(-LN(2)/25))/(LN(2)/25)*Calculateur!V54*Calculateur!X54*VLOOKUP('Données projet'!$B$9,Paramètres!$A$1:$I$89,3,0)*0.475*44/12</f>
        <v>41.341703522858708</v>
      </c>
      <c r="AB54" s="21">
        <f>EXP(-LN(2)/2)*AB53+(1-EXP(-LN(2)/2))/(LN(2)/2)*V54*Y54*VLOOKUP('Données projet'!$B$9,Paramètres!$A$1:$I$89,3,0)*0.475*44/12</f>
        <v>0.39662599927822001</v>
      </c>
      <c r="AC54" s="22">
        <f t="shared" si="3"/>
        <v>77.676846263766052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0</v>
      </c>
      <c r="AO54" s="59">
        <f t="shared" si="36"/>
        <v>0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0</v>
      </c>
      <c r="BJ54" s="59">
        <f t="shared" si="38"/>
        <v>0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0</v>
      </c>
      <c r="CE54" s="59">
        <f t="shared" si="40"/>
        <v>0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204.10151832511235</v>
      </c>
      <c r="T55" s="59">
        <f t="shared" si="34"/>
        <v>406.96276429030371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35.233784348656535</v>
      </c>
      <c r="AA55" s="21">
        <f>EXP(-LN(2)/25)*AA54+(1-EXP(-LN(2)/25))/(LN(2)/25)*Calculateur!V55*Calculateur!X55*VLOOKUP('Données projet'!$B$9,Paramètres!$A$1:$I$89,3,0)*0.475*44/12</f>
        <v>40.211212465960436</v>
      </c>
      <c r="AB55" s="21">
        <f>EXP(-LN(2)/2)*AB54+(1-EXP(-LN(2)/2))/(LN(2)/2)*V55*Y55*VLOOKUP('Données projet'!$B$9,Paramètres!$A$1:$I$89,3,0)*0.475*44/12</f>
        <v>0.28045693368452007</v>
      </c>
      <c r="AC55" s="22">
        <f t="shared" si="3"/>
        <v>75.72545374830149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0</v>
      </c>
      <c r="AO55" s="59">
        <f t="shared" si="36"/>
        <v>0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0</v>
      </c>
      <c r="BJ55" s="59">
        <f t="shared" si="38"/>
        <v>0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0</v>
      </c>
      <c r="CE55" s="59">
        <f t="shared" si="40"/>
        <v>0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204.10151832511235</v>
      </c>
      <c r="T56" s="59">
        <f t="shared" si="34"/>
        <v>406.96276429030371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34.542871328065822</v>
      </c>
      <c r="AA56" s="21">
        <f>EXP(-LN(2)/25)*AA55+(1-EXP(-LN(2)/25))/(LN(2)/25)*Calculateur!V56*Calculateur!X56*VLOOKUP('Données projet'!$B$9,Paramètres!$A$1:$I$89,3,0)*0.475*44/12</f>
        <v>39.11163474646299</v>
      </c>
      <c r="AB56" s="21">
        <f>EXP(-LN(2)/2)*AB55+(1-EXP(-LN(2)/2))/(LN(2)/2)*V56*Y56*VLOOKUP('Données projet'!$B$9,Paramètres!$A$1:$I$89,3,0)*0.475*44/12</f>
        <v>0.19831299963911</v>
      </c>
      <c r="AC56" s="22">
        <f t="shared" si="3"/>
        <v>73.852819074167925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0</v>
      </c>
      <c r="AO56" s="59">
        <f t="shared" si="36"/>
        <v>0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0</v>
      </c>
      <c r="BJ56" s="59">
        <f t="shared" si="38"/>
        <v>0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0</v>
      </c>
      <c r="CE56" s="59">
        <f t="shared" si="40"/>
        <v>0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204.10151832511235</v>
      </c>
      <c r="T57" s="59">
        <f t="shared" si="34"/>
        <v>406.96276429030371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33.865506690393566</v>
      </c>
      <c r="AA57" s="21">
        <f>EXP(-LN(2)/25)*AA56+(1-EXP(-LN(2)/25))/(LN(2)/25)*Calculateur!V57*Calculateur!X57*VLOOKUP('Données projet'!$B$9,Paramètres!$A$1:$I$89,3,0)*0.475*44/12</f>
        <v>38.04212503752948</v>
      </c>
      <c r="AB57" s="21">
        <f>EXP(-LN(2)/2)*AB56+(1-EXP(-LN(2)/2))/(LN(2)/2)*V57*Y57*VLOOKUP('Données projet'!$B$9,Paramètres!$A$1:$I$89,3,0)*0.475*44/12</f>
        <v>0.14022846684226004</v>
      </c>
      <c r="AC57" s="22">
        <f t="shared" si="3"/>
        <v>72.047860194765306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0</v>
      </c>
      <c r="AO57" s="59">
        <f t="shared" si="36"/>
        <v>0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0</v>
      </c>
      <c r="BJ57" s="59">
        <f t="shared" si="38"/>
        <v>0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0</v>
      </c>
      <c r="CE57" s="59">
        <f t="shared" si="40"/>
        <v>0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204.10151832511235</v>
      </c>
      <c r="T58" s="59">
        <f t="shared" si="34"/>
        <v>406.96276429030371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33.201424760114428</v>
      </c>
      <c r="AA58" s="21">
        <f>EXP(-LN(2)/25)*AA57+(1-EXP(-LN(2)/25))/(LN(2)/25)*Calculateur!V58*Calculateur!X58*VLOOKUP('Données projet'!$B$9,Paramètres!$A$1:$I$89,3,0)*0.475*44/12</f>
        <v>37.001861127829827</v>
      </c>
      <c r="AB58" s="21">
        <f>EXP(-LN(2)/2)*AB57+(1-EXP(-LN(2)/2))/(LN(2)/2)*V58*Y58*VLOOKUP('Données projet'!$B$9,Paramètres!$A$1:$I$89,3,0)*0.475*44/12</f>
        <v>9.9156499819555002E-2</v>
      </c>
      <c r="AC58" s="22">
        <f t="shared" si="3"/>
        <v>70.302442387763804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0</v>
      </c>
      <c r="AO58" s="59">
        <f t="shared" si="36"/>
        <v>0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0</v>
      </c>
      <c r="BJ58" s="59">
        <f t="shared" si="38"/>
        <v>0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0</v>
      </c>
      <c r="CE58" s="59">
        <f t="shared" si="40"/>
        <v>0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204.10151832511235</v>
      </c>
      <c r="T59" s="59">
        <f t="shared" si="34"/>
        <v>406.96276429030371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32.55036507143808</v>
      </c>
      <c r="AA59" s="21">
        <f>EXP(-LN(2)/25)*AA58+(1-EXP(-LN(2)/25))/(LN(2)/25)*Calculateur!V59*Calculateur!X59*VLOOKUP('Données projet'!$B$9,Paramètres!$A$1:$I$89,3,0)*0.475*44/12</f>
        <v>35.990043289446014</v>
      </c>
      <c r="AB59" s="21">
        <f>EXP(-LN(2)/2)*AB58+(1-EXP(-LN(2)/2))/(LN(2)/2)*V59*Y59*VLOOKUP('Données projet'!$B$9,Paramètres!$A$1:$I$89,3,0)*0.475*44/12</f>
        <v>7.0114233421130018E-2</v>
      </c>
      <c r="AC59" s="22">
        <f t="shared" si="3"/>
        <v>68.610522594305237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0</v>
      </c>
      <c r="AO59" s="59">
        <f t="shared" si="36"/>
        <v>0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0</v>
      </c>
      <c r="BJ59" s="59">
        <f t="shared" si="38"/>
        <v>0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0</v>
      </c>
      <c r="CE59" s="59">
        <f t="shared" si="40"/>
        <v>0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204.10151832511235</v>
      </c>
      <c r="T60" s="59">
        <f t="shared" si="34"/>
        <v>406.96276429030371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31.912072266149476</v>
      </c>
      <c r="AA60" s="21">
        <f>EXP(-LN(2)/25)*AA59+(1-EXP(-LN(2)/25))/(LN(2)/25)*Calculateur!V60*Calculateur!X60*VLOOKUP('Données projet'!$B$9,Paramètres!$A$1:$I$89,3,0)*0.475*44/12</f>
        <v>35.00589366306199</v>
      </c>
      <c r="AB60" s="21">
        <f>EXP(-LN(2)/2)*AB59+(1-EXP(-LN(2)/2))/(LN(2)/2)*V60*Y60*VLOOKUP('Données projet'!$B$9,Paramètres!$A$1:$I$89,3,0)*0.475*44/12</f>
        <v>4.9578249909777501E-2</v>
      </c>
      <c r="AC60" s="22">
        <f t="shared" si="3"/>
        <v>66.967544179121234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0</v>
      </c>
      <c r="AO60" s="59">
        <f t="shared" si="36"/>
        <v>0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0</v>
      </c>
      <c r="BJ60" s="59">
        <f t="shared" si="38"/>
        <v>0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0</v>
      </c>
      <c r="CE60" s="59">
        <f t="shared" si="40"/>
        <v>0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204.10151832511235</v>
      </c>
      <c r="T61" s="59">
        <f t="shared" si="34"/>
        <v>406.96276429030371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31.286295993452413</v>
      </c>
      <c r="AA61" s="21">
        <f>EXP(-LN(2)/25)*AA60+(1-EXP(-LN(2)/25))/(LN(2)/25)*Calculateur!V61*Calculateur!X61*VLOOKUP('Données projet'!$B$9,Paramètres!$A$1:$I$89,3,0)*0.475*44/12</f>
        <v>34.048655659965618</v>
      </c>
      <c r="AB61" s="21">
        <f>EXP(-LN(2)/2)*AB60+(1-EXP(-LN(2)/2))/(LN(2)/2)*V61*Y61*VLOOKUP('Données projet'!$B$9,Paramètres!$A$1:$I$89,3,0)*0.475*44/12</f>
        <v>3.5057116710565009E-2</v>
      </c>
      <c r="AC61" s="22">
        <f t="shared" si="3"/>
        <v>65.370008770128592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0</v>
      </c>
      <c r="AO61" s="59">
        <f t="shared" si="36"/>
        <v>0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0</v>
      </c>
      <c r="BJ61" s="59">
        <f t="shared" si="38"/>
        <v>0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0</v>
      </c>
      <c r="CE61" s="59">
        <f t="shared" si="40"/>
        <v>0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204.10151832511235</v>
      </c>
      <c r="T62" s="59">
        <f t="shared" si="34"/>
        <v>406.96276429030371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30.672790811777102</v>
      </c>
      <c r="AA62" s="21">
        <f>EXP(-LN(2)/25)*AA61+(1-EXP(-LN(2)/25))/(LN(2)/25)*Calculateur!V62*Calculateur!X62*VLOOKUP('Données projet'!$B$9,Paramètres!$A$1:$I$89,3,0)*0.475*44/12</f>
        <v>33.117593380402873</v>
      </c>
      <c r="AB62" s="21">
        <f>EXP(-LN(2)/2)*AB61+(1-EXP(-LN(2)/2))/(LN(2)/2)*V62*Y62*VLOOKUP('Données projet'!$B$9,Paramètres!$A$1:$I$89,3,0)*0.475*44/12</f>
        <v>2.4789124954888751E-2</v>
      </c>
      <c r="AC62" s="22">
        <f t="shared" si="3"/>
        <v>63.815173317134857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0</v>
      </c>
      <c r="AO62" s="59">
        <f t="shared" si="36"/>
        <v>0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0</v>
      </c>
      <c r="BJ62" s="59">
        <f t="shared" si="38"/>
        <v>0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0</v>
      </c>
      <c r="CE62" s="59">
        <f t="shared" si="40"/>
        <v>0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204.10151832511235</v>
      </c>
      <c r="T63" s="59">
        <f t="shared" si="34"/>
        <v>406.96276429030371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30.071316092513232</v>
      </c>
      <c r="AA63" s="21">
        <f>EXP(-LN(2)/25)*AA62+(1-EXP(-LN(2)/25))/(LN(2)/25)*Calculateur!V63*Calculateur!X63*VLOOKUP('Données projet'!$B$9,Paramètres!$A$1:$I$89,3,0)*0.475*44/12</f>
        <v>32.211991047837209</v>
      </c>
      <c r="AB63" s="21">
        <f>EXP(-LN(2)/2)*AB62+(1-EXP(-LN(2)/2))/(LN(2)/2)*V63*Y63*VLOOKUP('Données projet'!$B$9,Paramètres!$A$1:$I$89,3,0)*0.475*44/12</f>
        <v>1.7528558355282504E-2</v>
      </c>
      <c r="AC63" s="22">
        <f t="shared" si="3"/>
        <v>62.300835698705725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0</v>
      </c>
      <c r="AO63" s="59">
        <f t="shared" si="36"/>
        <v>0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0</v>
      </c>
      <c r="BJ63" s="59">
        <f t="shared" si="38"/>
        <v>0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0</v>
      </c>
      <c r="CE63" s="59">
        <f t="shared" si="40"/>
        <v>0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204.10151832511235</v>
      </c>
      <c r="T64" s="59">
        <f t="shared" si="34"/>
        <v>406.96276429030371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29.481635925630773</v>
      </c>
      <c r="AA64" s="21">
        <f>EXP(-LN(2)/25)*AA63+(1-EXP(-LN(2)/25))/(LN(2)/25)*Calculateur!V64*Calculateur!X64*VLOOKUP('Données projet'!$B$9,Paramètres!$A$1:$I$89,3,0)*0.475*44/12</f>
        <v>31.331152458679114</v>
      </c>
      <c r="AB64" s="21">
        <f>EXP(-LN(2)/2)*AB63+(1-EXP(-LN(2)/2))/(LN(2)/2)*V64*Y64*VLOOKUP('Données projet'!$B$9,Paramètres!$A$1:$I$89,3,0)*0.475*44/12</f>
        <v>1.2394562477444375E-2</v>
      </c>
      <c r="AC64" s="22">
        <f t="shared" si="3"/>
        <v>60.825182946787329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0</v>
      </c>
      <c r="AO64" s="59">
        <f t="shared" si="36"/>
        <v>0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0</v>
      </c>
      <c r="BJ64" s="59">
        <f t="shared" si="38"/>
        <v>0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0</v>
      </c>
      <c r="CE64" s="59">
        <f t="shared" si="40"/>
        <v>0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204.10151832511235</v>
      </c>
      <c r="T65" s="59">
        <f t="shared" si="34"/>
        <v>406.96276429030371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28.903519027151489</v>
      </c>
      <c r="AA65" s="21">
        <f>EXP(-LN(2)/25)*AA64+(1-EXP(-LN(2)/25))/(LN(2)/25)*Calculateur!V65*Calculateur!X65*VLOOKUP('Données projet'!$B$9,Paramètres!$A$1:$I$89,3,0)*0.475*44/12</f>
        <v>30.474400447062834</v>
      </c>
      <c r="AB65" s="21">
        <f>EXP(-LN(2)/2)*AB64+(1-EXP(-LN(2)/2))/(LN(2)/2)*V65*Y65*VLOOKUP('Données projet'!$B$9,Paramètres!$A$1:$I$89,3,0)*0.475*44/12</f>
        <v>8.7642791776412522E-3</v>
      </c>
      <c r="AC65" s="22">
        <f t="shared" si="3"/>
        <v>59.386683753391964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0</v>
      </c>
      <c r="AO65" s="59">
        <f t="shared" si="36"/>
        <v>0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0</v>
      </c>
      <c r="BJ65" s="59">
        <f t="shared" si="38"/>
        <v>0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0</v>
      </c>
      <c r="CE65" s="59">
        <f t="shared" si="40"/>
        <v>0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204.10151832511235</v>
      </c>
      <c r="T66" s="59">
        <f t="shared" si="34"/>
        <v>406.96276429030371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28.336738648434896</v>
      </c>
      <c r="AA66" s="21">
        <f>EXP(-LN(2)/25)*AA65+(1-EXP(-LN(2)/25))/(LN(2)/25)*Calculateur!V66*Calculateur!X66*VLOOKUP('Données projet'!$B$9,Paramètres!$A$1:$I$89,3,0)*0.475*44/12</f>
        <v>29.641076364258833</v>
      </c>
      <c r="AB66" s="21">
        <f>EXP(-LN(2)/2)*AB65+(1-EXP(-LN(2)/2))/(LN(2)/2)*V66*Y66*VLOOKUP('Données projet'!$B$9,Paramètres!$A$1:$I$89,3,0)*0.475*44/12</f>
        <v>6.1972812387221876E-3</v>
      </c>
      <c r="AC66" s="22">
        <f t="shared" si="3"/>
        <v>57.984012293932444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0</v>
      </c>
      <c r="AO66" s="59">
        <f t="shared" si="36"/>
        <v>0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0</v>
      </c>
      <c r="BJ66" s="59">
        <f t="shared" si="38"/>
        <v>0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0</v>
      </c>
      <c r="CE66" s="59">
        <f t="shared" si="40"/>
        <v>0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204.10151832511235</v>
      </c>
      <c r="T67" s="59">
        <f t="shared" si="34"/>
        <v>406.96276429030371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27.781072487243037</v>
      </c>
      <c r="AA67" s="21">
        <f>EXP(-LN(2)/25)*AA66+(1-EXP(-LN(2)/25))/(LN(2)/25)*Calculateur!V67*Calculateur!X67*VLOOKUP('Données projet'!$B$9,Paramètres!$A$1:$I$89,3,0)*0.475*44/12</f>
        <v>28.830539572321715</v>
      </c>
      <c r="AB67" s="21">
        <f>EXP(-LN(2)/2)*AB66+(1-EXP(-LN(2)/2))/(LN(2)/2)*V67*Y67*VLOOKUP('Données projet'!$B$9,Paramètres!$A$1:$I$89,3,0)*0.475*44/12</f>
        <v>4.3821395888206261E-3</v>
      </c>
      <c r="AC67" s="22">
        <f t="shared" si="3"/>
        <v>56.615994199153569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0</v>
      </c>
      <c r="AO67" s="59">
        <f t="shared" si="36"/>
        <v>0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0</v>
      </c>
      <c r="BJ67" s="59">
        <f t="shared" si="38"/>
        <v>0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0</v>
      </c>
      <c r="CE67" s="59">
        <f t="shared" si="40"/>
        <v>0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204.10151832511235</v>
      </c>
      <c r="T68" s="59">
        <f t="shared" si="34"/>
        <v>406.96276429030371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27.236302600549259</v>
      </c>
      <c r="AA68" s="21">
        <f>EXP(-LN(2)/25)*AA67+(1-EXP(-LN(2)/25))/(LN(2)/25)*Calculateur!V68*Calculateur!X68*VLOOKUP('Données projet'!$B$9,Paramètres!$A$1:$I$89,3,0)*0.475*44/12</f>
        <v>28.042166951584395</v>
      </c>
      <c r="AB68" s="21">
        <f>EXP(-LN(2)/2)*AB67+(1-EXP(-LN(2)/2))/(LN(2)/2)*V68*Y68*VLOOKUP('Données projet'!$B$9,Paramètres!$A$1:$I$89,3,0)*0.475*44/12</f>
        <v>3.0986406193610938E-3</v>
      </c>
      <c r="AC68" s="22">
        <f t="shared" ref="AC68:AC131" si="57">SUM(Z68:AB68)</f>
        <v>55.281568192753021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0</v>
      </c>
      <c r="AO68" s="59">
        <f t="shared" si="36"/>
        <v>0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0</v>
      </c>
      <c r="BJ68" s="59">
        <f t="shared" si="38"/>
        <v>0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0</v>
      </c>
      <c r="CE68" s="59">
        <f t="shared" si="40"/>
        <v>0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204.10151832511235</v>
      </c>
      <c r="T69" s="59">
        <f t="shared" ref="T69:T132" si="88">$T$3</f>
        <v>406.96276429030371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26.702215319056727</v>
      </c>
      <c r="AA69" s="21">
        <f>EXP(-LN(2)/25)*AA68+(1-EXP(-LN(2)/25))/(LN(2)/25)*Calculateur!V69*Calculateur!X69*VLOOKUP('Données projet'!$B$9,Paramètres!$A$1:$I$89,3,0)*0.475*44/12</f>
        <v>27.27535242161985</v>
      </c>
      <c r="AB69" s="21">
        <f>EXP(-LN(2)/2)*AB68+(1-EXP(-LN(2)/2))/(LN(2)/2)*V69*Y69*VLOOKUP('Données projet'!$B$9,Paramètres!$A$1:$I$89,3,0)*0.475*44/12</f>
        <v>2.1910697944103131E-3</v>
      </c>
      <c r="AC69" s="22">
        <f t="shared" si="57"/>
        <v>53.97975881047099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0</v>
      </c>
      <c r="AO69" s="59">
        <f t="shared" ref="AO69:AO132" si="90">$AO$3</f>
        <v>0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0</v>
      </c>
      <c r="BJ69" s="59">
        <f t="shared" ref="BJ69:BJ132" si="92">$BJ$3</f>
        <v>0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0</v>
      </c>
      <c r="CE69" s="59">
        <f t="shared" ref="CE69:CE132" si="94">$CE$3</f>
        <v>0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204.10151832511235</v>
      </c>
      <c r="T70" s="59">
        <f t="shared" si="88"/>
        <v>406.96276429030371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26.178601163393186</v>
      </c>
      <c r="AA70" s="21">
        <f>EXP(-LN(2)/25)*AA69+(1-EXP(-LN(2)/25))/(LN(2)/25)*Calculateur!V70*Calculateur!X70*VLOOKUP('Données projet'!$B$9,Paramètres!$A$1:$I$89,3,0)*0.475*44/12</f>
        <v>26.52950647530221</v>
      </c>
      <c r="AB70" s="21">
        <f>EXP(-LN(2)/2)*AB69+(1-EXP(-LN(2)/2))/(LN(2)/2)*V70*Y70*VLOOKUP('Données projet'!$B$9,Paramètres!$A$1:$I$89,3,0)*0.475*44/12</f>
        <v>1.5493203096805469E-3</v>
      </c>
      <c r="AC70" s="22">
        <f t="shared" si="57"/>
        <v>52.709656959005073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0</v>
      </c>
      <c r="AO70" s="59">
        <f t="shared" si="90"/>
        <v>0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0</v>
      </c>
      <c r="BJ70" s="59">
        <f t="shared" si="92"/>
        <v>0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0</v>
      </c>
      <c r="CE70" s="59">
        <f t="shared" si="94"/>
        <v>0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204.10151832511235</v>
      </c>
      <c r="T71" s="59">
        <f t="shared" si="88"/>
        <v>406.96276429030371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25.665254761949107</v>
      </c>
      <c r="AA71" s="21">
        <f>EXP(-LN(2)/25)*AA70+(1-EXP(-LN(2)/25))/(LN(2)/25)*Calculateur!V71*Calculateur!X71*VLOOKUP('Données projet'!$B$9,Paramètres!$A$1:$I$89,3,0)*0.475*44/12</f>
        <v>25.804055725608958</v>
      </c>
      <c r="AB71" s="21">
        <f>EXP(-LN(2)/2)*AB70+(1-EXP(-LN(2)/2))/(LN(2)/2)*V71*Y71*VLOOKUP('Données projet'!$B$9,Paramètres!$A$1:$I$89,3,0)*0.475*44/12</f>
        <v>1.0955348972051565E-3</v>
      </c>
      <c r="AC71" s="22">
        <f t="shared" si="57"/>
        <v>51.470406022455265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0</v>
      </c>
      <c r="AO71" s="59">
        <f t="shared" si="90"/>
        <v>0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0</v>
      </c>
      <c r="BJ71" s="59">
        <f t="shared" si="92"/>
        <v>0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0</v>
      </c>
      <c r="CE71" s="59">
        <f t="shared" si="94"/>
        <v>0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204.10151832511235</v>
      </c>
      <c r="T72" s="59">
        <f t="shared" si="88"/>
        <v>406.96276429030371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25.16197477032696</v>
      </c>
      <c r="AA72" s="21">
        <f>EXP(-LN(2)/25)*AA71+(1-EXP(-LN(2)/25))/(LN(2)/25)*Calculateur!V72*Calculateur!X72*VLOOKUP('Données projet'!$B$9,Paramètres!$A$1:$I$89,3,0)*0.475*44/12</f>
        <v>25.098442464815868</v>
      </c>
      <c r="AB72" s="21">
        <f>EXP(-LN(2)/2)*AB71+(1-EXP(-LN(2)/2))/(LN(2)/2)*V72*Y72*VLOOKUP('Données projet'!$B$9,Paramètres!$A$1:$I$89,3,0)*0.475*44/12</f>
        <v>7.7466015484027346E-4</v>
      </c>
      <c r="AC72" s="22">
        <f t="shared" si="57"/>
        <v>50.261191895297664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0</v>
      </c>
      <c r="AO72" s="59">
        <f t="shared" si="90"/>
        <v>0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0</v>
      </c>
      <c r="BJ72" s="59">
        <f t="shared" si="92"/>
        <v>0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0</v>
      </c>
      <c r="CE72" s="59">
        <f t="shared" si="94"/>
        <v>0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204.10151832511235</v>
      </c>
      <c r="T73" s="59">
        <f t="shared" si="88"/>
        <v>406.96276429030371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24.66856379237004</v>
      </c>
      <c r="AA73" s="21">
        <f>EXP(-LN(2)/25)*AA72+(1-EXP(-LN(2)/25))/(LN(2)/25)*Calculateur!V73*Calculateur!X73*VLOOKUP('Données projet'!$B$9,Paramètres!$A$1:$I$89,3,0)*0.475*44/12</f>
        <v>24.41212423574575</v>
      </c>
      <c r="AB73" s="21">
        <f>EXP(-LN(2)/2)*AB72+(1-EXP(-LN(2)/2))/(LN(2)/2)*V73*Y73*VLOOKUP('Données projet'!$B$9,Paramètres!$A$1:$I$89,3,0)*0.475*44/12</f>
        <v>5.4776744860257826E-4</v>
      </c>
      <c r="AC73" s="22">
        <f t="shared" si="57"/>
        <v>49.081235795564389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0</v>
      </c>
      <c r="AO73" s="59">
        <f t="shared" si="90"/>
        <v>0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0</v>
      </c>
      <c r="BJ73" s="59">
        <f t="shared" si="92"/>
        <v>0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0</v>
      </c>
      <c r="CE73" s="59">
        <f t="shared" si="94"/>
        <v>0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204.10151832511235</v>
      </c>
      <c r="T74" s="59">
        <f t="shared" si="88"/>
        <v>406.96276429030371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24.184828302739874</v>
      </c>
      <c r="AA74" s="21">
        <f>EXP(-LN(2)/25)*AA73+(1-EXP(-LN(2)/25))/(LN(2)/25)*Calculateur!V74*Calculateur!X74*VLOOKUP('Données projet'!$B$9,Paramètres!$A$1:$I$89,3,0)*0.475*44/12</f>
        <v>23.744573414741463</v>
      </c>
      <c r="AB74" s="21">
        <f>EXP(-LN(2)/2)*AB73+(1-EXP(-LN(2)/2))/(LN(2)/2)*V74*Y74*VLOOKUP('Données projet'!$B$9,Paramètres!$A$1:$I$89,3,0)*0.475*44/12</f>
        <v>3.8733007742013673E-4</v>
      </c>
      <c r="AC74" s="22">
        <f t="shared" si="57"/>
        <v>47.929789047558764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0</v>
      </c>
      <c r="AO74" s="59">
        <f t="shared" si="90"/>
        <v>0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0</v>
      </c>
      <c r="BJ74" s="59">
        <f t="shared" si="92"/>
        <v>0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0</v>
      </c>
      <c r="CE74" s="59">
        <f t="shared" si="94"/>
        <v>0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204.10151832511235</v>
      </c>
      <c r="T75" s="59">
        <f t="shared" si="88"/>
        <v>406.96276429030371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23.71057857101184</v>
      </c>
      <c r="AA75" s="21">
        <f>EXP(-LN(2)/25)*AA74+(1-EXP(-LN(2)/25))/(LN(2)/25)*Calculateur!V75*Calculateur!X75*VLOOKUP('Données projet'!$B$9,Paramètres!$A$1:$I$89,3,0)*0.475*44/12</f>
        <v>23.095276806042509</v>
      </c>
      <c r="AB75" s="21">
        <f>EXP(-LN(2)/2)*AB74+(1-EXP(-LN(2)/2))/(LN(2)/2)*V75*Y75*VLOOKUP('Données projet'!$B$9,Paramètres!$A$1:$I$89,3,0)*0.475*44/12</f>
        <v>2.7388372430128913E-4</v>
      </c>
      <c r="AC75" s="22">
        <f t="shared" si="57"/>
        <v>46.806129260778654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0</v>
      </c>
      <c r="AO75" s="59">
        <f t="shared" si="90"/>
        <v>0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0</v>
      </c>
      <c r="BJ75" s="59">
        <f t="shared" si="92"/>
        <v>0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0</v>
      </c>
      <c r="CE75" s="59">
        <f t="shared" si="94"/>
        <v>0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204.10151832511235</v>
      </c>
      <c r="T76" s="59">
        <f t="shared" si="88"/>
        <v>406.96276429030371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23.245628587259219</v>
      </c>
      <c r="AA76" s="21">
        <f>EXP(-LN(2)/25)*AA75+(1-EXP(-LN(2)/25))/(LN(2)/25)*Calculateur!V76*Calculateur!X76*VLOOKUP('Données projet'!$B$9,Paramètres!$A$1:$I$89,3,0)*0.475*44/12</f>
        <v>22.463735247253453</v>
      </c>
      <c r="AB76" s="21">
        <f>EXP(-LN(2)/2)*AB75+(1-EXP(-LN(2)/2))/(LN(2)/2)*V76*Y76*VLOOKUP('Données projet'!$B$9,Paramètres!$A$1:$I$89,3,0)*0.475*44/12</f>
        <v>1.9366503871006836E-4</v>
      </c>
      <c r="AC76" s="22">
        <f t="shared" si="57"/>
        <v>45.70955749955138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0</v>
      </c>
      <c r="AO76" s="59">
        <f t="shared" si="90"/>
        <v>0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0</v>
      </c>
      <c r="BJ76" s="59">
        <f t="shared" si="92"/>
        <v>0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0</v>
      </c>
      <c r="CE76" s="59">
        <f t="shared" si="94"/>
        <v>0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204.10151832511235</v>
      </c>
      <c r="T77" s="59">
        <f t="shared" si="88"/>
        <v>406.96276429030371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22.789795989096501</v>
      </c>
      <c r="AA77" s="21">
        <f>EXP(-LN(2)/25)*AA76+(1-EXP(-LN(2)/25))/(LN(2)/25)*Calculateur!V77*Calculateur!X77*VLOOKUP('Données projet'!$B$9,Paramètres!$A$1:$I$89,3,0)*0.475*44/12</f>
        <v>21.849463225600811</v>
      </c>
      <c r="AB77" s="21">
        <f>EXP(-LN(2)/2)*AB76+(1-EXP(-LN(2)/2))/(LN(2)/2)*V77*Y77*VLOOKUP('Données projet'!$B$9,Paramètres!$A$1:$I$89,3,0)*0.475*44/12</f>
        <v>1.3694186215064457E-4</v>
      </c>
      <c r="AC77" s="22">
        <f t="shared" si="57"/>
        <v>44.639396156559464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0</v>
      </c>
      <c r="AO77" s="59">
        <f t="shared" si="90"/>
        <v>0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0</v>
      </c>
      <c r="BJ77" s="59">
        <f t="shared" si="92"/>
        <v>0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0</v>
      </c>
      <c r="CE77" s="59">
        <f t="shared" si="94"/>
        <v>0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204.10151832511235</v>
      </c>
      <c r="T78" s="59">
        <f t="shared" si="88"/>
        <v>406.96276429030371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22.342901990153322</v>
      </c>
      <c r="AA78" s="21">
        <f>EXP(-LN(2)/25)*AA77+(1-EXP(-LN(2)/25))/(LN(2)/25)*Calculateur!V78*Calculateur!X78*VLOOKUP('Données projet'!$B$9,Paramètres!$A$1:$I$89,3,0)*0.475*44/12</f>
        <v>21.251988504683425</v>
      </c>
      <c r="AB78" s="21">
        <f>EXP(-LN(2)/2)*AB77+(1-EXP(-LN(2)/2))/(LN(2)/2)*V78*Y78*VLOOKUP('Données projet'!$B$9,Paramètres!$A$1:$I$89,3,0)*0.475*44/12</f>
        <v>9.6832519355034182E-5</v>
      </c>
      <c r="AC78" s="22">
        <f t="shared" si="57"/>
        <v>43.594987327356101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0</v>
      </c>
      <c r="AO78" s="59">
        <f t="shared" si="90"/>
        <v>0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0</v>
      </c>
      <c r="BJ78" s="59">
        <f t="shared" si="92"/>
        <v>0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0</v>
      </c>
      <c r="CE78" s="59">
        <f t="shared" si="94"/>
        <v>0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204.10151832511235</v>
      </c>
      <c r="T79" s="59">
        <f t="shared" si="88"/>
        <v>406.96276429030371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21.904771309950995</v>
      </c>
      <c r="AA79" s="21">
        <f>EXP(-LN(2)/25)*AA78+(1-EXP(-LN(2)/25))/(LN(2)/25)*Calculateur!V79*Calculateur!X79*VLOOKUP('Données projet'!$B$9,Paramètres!$A$1:$I$89,3,0)*0.475*44/12</f>
        <v>20.670851761429354</v>
      </c>
      <c r="AB79" s="21">
        <f>EXP(-LN(2)/2)*AB78+(1-EXP(-LN(2)/2))/(LN(2)/2)*V79*Y79*VLOOKUP('Données projet'!$B$9,Paramètres!$A$1:$I$89,3,0)*0.475*44/12</f>
        <v>6.8470931075322283E-5</v>
      </c>
      <c r="AC79" s="22">
        <f t="shared" si="57"/>
        <v>42.575691542311425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0</v>
      </c>
      <c r="AO79" s="59">
        <f t="shared" si="90"/>
        <v>0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0</v>
      </c>
      <c r="BJ79" s="59">
        <f t="shared" si="92"/>
        <v>0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0</v>
      </c>
      <c r="CE79" s="59">
        <f t="shared" si="94"/>
        <v>0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204.10151832511235</v>
      </c>
      <c r="T80" s="59">
        <f t="shared" si="88"/>
        <v>406.96276429030371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21.475232105154106</v>
      </c>
      <c r="AA80" s="21">
        <f>EXP(-LN(2)/25)*AA79+(1-EXP(-LN(2)/25))/(LN(2)/25)*Calculateur!V80*Calculateur!X80*VLOOKUP('Données projet'!$B$9,Paramètres!$A$1:$I$89,3,0)*0.475*44/12</f>
        <v>20.105606232980218</v>
      </c>
      <c r="AB80" s="21">
        <f>EXP(-LN(2)/2)*AB79+(1-EXP(-LN(2)/2))/(LN(2)/2)*V80*Y80*VLOOKUP('Données projet'!$B$9,Paramètres!$A$1:$I$89,3,0)*0.475*44/12</f>
        <v>4.8416259677517091E-5</v>
      </c>
      <c r="AC80" s="22">
        <f t="shared" si="57"/>
        <v>41.580886754394008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0</v>
      </c>
      <c r="AO80" s="59">
        <f t="shared" si="90"/>
        <v>0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0</v>
      </c>
      <c r="BJ80" s="59">
        <f t="shared" si="92"/>
        <v>0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0</v>
      </c>
      <c r="CE80" s="59">
        <f t="shared" si="94"/>
        <v>0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204.10151832511235</v>
      </c>
      <c r="T81" s="59">
        <f t="shared" si="88"/>
        <v>406.96276429030371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21.054115902170238</v>
      </c>
      <c r="AA81" s="21">
        <f>EXP(-LN(2)/25)*AA80+(1-EXP(-LN(2)/25))/(LN(2)/25)*Calculateur!V81*Calculateur!X81*VLOOKUP('Données projet'!$B$9,Paramètres!$A$1:$I$89,3,0)*0.475*44/12</f>
        <v>19.555817373231495</v>
      </c>
      <c r="AB81" s="21">
        <f>EXP(-LN(2)/2)*AB80+(1-EXP(-LN(2)/2))/(LN(2)/2)*V81*Y81*VLOOKUP('Données projet'!$B$9,Paramètres!$A$1:$I$89,3,0)*0.475*44/12</f>
        <v>3.4235465537661141E-5</v>
      </c>
      <c r="AC81" s="22">
        <f t="shared" si="57"/>
        <v>40.609967510867264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0</v>
      </c>
      <c r="AO81" s="59">
        <f t="shared" si="90"/>
        <v>0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0</v>
      </c>
      <c r="BJ81" s="59">
        <f t="shared" si="92"/>
        <v>0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0</v>
      </c>
      <c r="CE81" s="59">
        <f t="shared" si="94"/>
        <v>0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204.10151832511235</v>
      </c>
      <c r="T82" s="59">
        <f t="shared" si="88"/>
        <v>406.96276429030371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20.641257531071364</v>
      </c>
      <c r="AA82" s="21">
        <f>EXP(-LN(2)/25)*AA81+(1-EXP(-LN(2)/25))/(LN(2)/25)*Calculateur!V82*Calculateur!X82*VLOOKUP('Données projet'!$B$9,Paramètres!$A$1:$I$89,3,0)*0.475*44/12</f>
        <v>19.02106251876474</v>
      </c>
      <c r="AB82" s="21">
        <f>EXP(-LN(2)/2)*AB81+(1-EXP(-LN(2)/2))/(LN(2)/2)*V82*Y82*VLOOKUP('Données projet'!$B$9,Paramètres!$A$1:$I$89,3,0)*0.475*44/12</f>
        <v>2.4208129838758545E-5</v>
      </c>
      <c r="AC82" s="22">
        <f t="shared" si="57"/>
        <v>39.662344257965941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0</v>
      </c>
      <c r="AO82" s="59">
        <f t="shared" si="90"/>
        <v>0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0</v>
      </c>
      <c r="BJ82" s="59">
        <f t="shared" si="92"/>
        <v>0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0</v>
      </c>
      <c r="CE82" s="59">
        <f t="shared" si="94"/>
        <v>0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204.10151832511235</v>
      </c>
      <c r="T83" s="59">
        <f t="shared" si="88"/>
        <v>406.96276429030371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20.236495060810999</v>
      </c>
      <c r="AA83" s="21">
        <f>EXP(-LN(2)/25)*AA82+(1-EXP(-LN(2)/25))/(LN(2)/25)*Calculateur!V83*Calculateur!X83*VLOOKUP('Données projet'!$B$9,Paramètres!$A$1:$I$89,3,0)*0.475*44/12</f>
        <v>18.500930563914913</v>
      </c>
      <c r="AB83" s="21">
        <f>EXP(-LN(2)/2)*AB82+(1-EXP(-LN(2)/2))/(LN(2)/2)*V83*Y83*VLOOKUP('Données projet'!$B$9,Paramètres!$A$1:$I$89,3,0)*0.475*44/12</f>
        <v>1.7117732768830571E-5</v>
      </c>
      <c r="AC83" s="22">
        <f t="shared" si="57"/>
        <v>38.737442742458683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0</v>
      </c>
      <c r="AO83" s="59">
        <f t="shared" si="90"/>
        <v>0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0</v>
      </c>
      <c r="BJ83" s="59">
        <f t="shared" si="92"/>
        <v>0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0</v>
      </c>
      <c r="CE83" s="59">
        <f t="shared" si="94"/>
        <v>0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204.10151832511235</v>
      </c>
      <c r="T84" s="59">
        <f t="shared" si="88"/>
        <v>406.96276429030371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19.839669735711709</v>
      </c>
      <c r="AA84" s="21">
        <f>EXP(-LN(2)/25)*AA83+(1-EXP(-LN(2)/25))/(LN(2)/25)*Calculateur!V84*Calculateur!X84*VLOOKUP('Données projet'!$B$9,Paramètres!$A$1:$I$89,3,0)*0.475*44/12</f>
        <v>17.995021644723007</v>
      </c>
      <c r="AB84" s="21">
        <f>EXP(-LN(2)/2)*AB83+(1-EXP(-LN(2)/2))/(LN(2)/2)*V84*Y84*VLOOKUP('Données projet'!$B$9,Paramètres!$A$1:$I$89,3,0)*0.475*44/12</f>
        <v>1.2104064919379273E-5</v>
      </c>
      <c r="AC84" s="22">
        <f t="shared" si="57"/>
        <v>37.834703484499641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0</v>
      </c>
      <c r="AO84" s="59">
        <f t="shared" si="90"/>
        <v>0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0</v>
      </c>
      <c r="BJ84" s="59">
        <f t="shared" si="92"/>
        <v>0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0</v>
      </c>
      <c r="CE84" s="59">
        <f t="shared" si="94"/>
        <v>0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204.10151832511235</v>
      </c>
      <c r="T85" s="59">
        <f t="shared" si="88"/>
        <v>406.96276429030371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19.450625913198067</v>
      </c>
      <c r="AA85" s="21">
        <f>EXP(-LN(2)/25)*AA84+(1-EXP(-LN(2)/25))/(LN(2)/25)*Calculateur!V85*Calculateur!X85*VLOOKUP('Données projet'!$B$9,Paramètres!$A$1:$I$89,3,0)*0.475*44/12</f>
        <v>17.502946831530995</v>
      </c>
      <c r="AB85" s="21">
        <f>EXP(-LN(2)/2)*AB84+(1-EXP(-LN(2)/2))/(LN(2)/2)*V85*Y85*VLOOKUP('Données projet'!$B$9,Paramètres!$A$1:$I$89,3,0)*0.475*44/12</f>
        <v>8.5588663844152854E-6</v>
      </c>
      <c r="AC85" s="22">
        <f t="shared" si="57"/>
        <v>36.953581303595442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0</v>
      </c>
      <c r="AO85" s="59">
        <f t="shared" si="90"/>
        <v>0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0</v>
      </c>
      <c r="BJ85" s="59">
        <f t="shared" si="92"/>
        <v>0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0</v>
      </c>
      <c r="CE85" s="59">
        <f t="shared" si="94"/>
        <v>0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204.10151832511235</v>
      </c>
      <c r="T86" s="59">
        <f t="shared" si="88"/>
        <v>406.96276429030371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19.069211002750617</v>
      </c>
      <c r="AA86" s="21">
        <f>EXP(-LN(2)/25)*AA85+(1-EXP(-LN(2)/25))/(LN(2)/25)*Calculateur!V86*Calculateur!X86*VLOOKUP('Données projet'!$B$9,Paramètres!$A$1:$I$89,3,0)*0.475*44/12</f>
        <v>17.024327829982809</v>
      </c>
      <c r="AB86" s="21">
        <f>EXP(-LN(2)/2)*AB85+(1-EXP(-LN(2)/2))/(LN(2)/2)*V86*Y86*VLOOKUP('Données projet'!$B$9,Paramètres!$A$1:$I$89,3,0)*0.475*44/12</f>
        <v>6.0520324596896364E-6</v>
      </c>
      <c r="AC86" s="22">
        <f t="shared" si="57"/>
        <v>36.09354488476589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0</v>
      </c>
      <c r="AO86" s="59">
        <f t="shared" si="90"/>
        <v>0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0</v>
      </c>
      <c r="BJ86" s="59">
        <f t="shared" si="92"/>
        <v>0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0</v>
      </c>
      <c r="CE86" s="59">
        <f t="shared" si="94"/>
        <v>0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204.10151832511235</v>
      </c>
      <c r="T87" s="59">
        <f t="shared" si="88"/>
        <v>406.96276429030371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18.695275406056915</v>
      </c>
      <c r="AA87" s="21">
        <f>EXP(-LN(2)/25)*AA86+(1-EXP(-LN(2)/25))/(LN(2)/25)*Calculateur!V87*Calculateur!X87*VLOOKUP('Données projet'!$B$9,Paramètres!$A$1:$I$89,3,0)*0.475*44/12</f>
        <v>16.558796690201437</v>
      </c>
      <c r="AB87" s="21">
        <f>EXP(-LN(2)/2)*AB86+(1-EXP(-LN(2)/2))/(LN(2)/2)*V87*Y87*VLOOKUP('Données projet'!$B$9,Paramètres!$A$1:$I$89,3,0)*0.475*44/12</f>
        <v>4.2794331922076427E-6</v>
      </c>
      <c r="AC87" s="22">
        <f t="shared" si="57"/>
        <v>35.254076375691547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0</v>
      </c>
      <c r="AO87" s="59">
        <f t="shared" si="90"/>
        <v>0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0</v>
      </c>
      <c r="BJ87" s="59">
        <f t="shared" si="92"/>
        <v>0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0</v>
      </c>
      <c r="CE87" s="59">
        <f t="shared" si="94"/>
        <v>0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204.10151832511235</v>
      </c>
      <c r="T88" s="59">
        <f t="shared" si="88"/>
        <v>406.96276429030371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18.328672458336186</v>
      </c>
      <c r="AA88" s="21">
        <f>EXP(-LN(2)/25)*AA87+(1-EXP(-LN(2)/25))/(LN(2)/25)*Calculateur!V88*Calculateur!X88*VLOOKUP('Données projet'!$B$9,Paramètres!$A$1:$I$89,3,0)*0.475*44/12</f>
        <v>16.105995523918605</v>
      </c>
      <c r="AB88" s="21">
        <f>EXP(-LN(2)/2)*AB87+(1-EXP(-LN(2)/2))/(LN(2)/2)*V88*Y88*VLOOKUP('Données projet'!$B$9,Paramètres!$A$1:$I$89,3,0)*0.475*44/12</f>
        <v>3.0260162298448182E-6</v>
      </c>
      <c r="AC88" s="22">
        <f t="shared" si="57"/>
        <v>34.434671008271025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0</v>
      </c>
      <c r="AO88" s="59">
        <f t="shared" si="90"/>
        <v>0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0</v>
      </c>
      <c r="BJ88" s="59">
        <f t="shared" si="92"/>
        <v>0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0</v>
      </c>
      <c r="CE88" s="59">
        <f t="shared" si="94"/>
        <v>0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204.10151832511235</v>
      </c>
      <c r="T89" s="59">
        <f t="shared" si="88"/>
        <v>406.96276429030371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17.96925837081454</v>
      </c>
      <c r="AA89" s="21">
        <f>EXP(-LN(2)/25)*AA88+(1-EXP(-LN(2)/25))/(LN(2)/25)*Calculateur!V89*Calculateur!X89*VLOOKUP('Données projet'!$B$9,Paramètres!$A$1:$I$89,3,0)*0.475*44/12</f>
        <v>15.665576229339557</v>
      </c>
      <c r="AB89" s="21">
        <f>EXP(-LN(2)/2)*AB88+(1-EXP(-LN(2)/2))/(LN(2)/2)*V89*Y89*VLOOKUP('Données projet'!$B$9,Paramètres!$A$1:$I$89,3,0)*0.475*44/12</f>
        <v>2.1397165961038213E-6</v>
      </c>
      <c r="AC89" s="22">
        <f t="shared" si="57"/>
        <v>33.634836739870693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0</v>
      </c>
      <c r="AO89" s="59">
        <f t="shared" si="90"/>
        <v>0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0</v>
      </c>
      <c r="BJ89" s="59">
        <f t="shared" si="92"/>
        <v>0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0</v>
      </c>
      <c r="CE89" s="59">
        <f t="shared" si="94"/>
        <v>0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204.10151832511235</v>
      </c>
      <c r="T90" s="59">
        <f t="shared" si="88"/>
        <v>406.96276429030371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17.616892174328246</v>
      </c>
      <c r="AA90" s="21">
        <f>EXP(-LN(2)/25)*AA89+(1-EXP(-LN(2)/25))/(LN(2)/25)*Calculateur!V90*Calculateur!X90*VLOOKUP('Données projet'!$B$9,Paramètres!$A$1:$I$89,3,0)*0.475*44/12</f>
        <v>15.237200223531417</v>
      </c>
      <c r="AB90" s="21">
        <f>EXP(-LN(2)/2)*AB89+(1-EXP(-LN(2)/2))/(LN(2)/2)*V90*Y90*VLOOKUP('Données projet'!$B$9,Paramètres!$A$1:$I$89,3,0)*0.475*44/12</f>
        <v>1.5130081149224091E-6</v>
      </c>
      <c r="AC90" s="22">
        <f t="shared" si="57"/>
        <v>32.854093910867775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0</v>
      </c>
      <c r="AO90" s="59">
        <f t="shared" si="90"/>
        <v>0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0</v>
      </c>
      <c r="BJ90" s="59">
        <f t="shared" si="92"/>
        <v>0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0</v>
      </c>
      <c r="CE90" s="59">
        <f t="shared" si="94"/>
        <v>0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204.10151832511235</v>
      </c>
      <c r="T91" s="59">
        <f t="shared" si="88"/>
        <v>406.96276429030371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17.271435664032889</v>
      </c>
      <c r="AA91" s="21">
        <f>EXP(-LN(2)/25)*AA90+(1-EXP(-LN(2)/25))/(LN(2)/25)*Calculateur!V91*Calculateur!X91*VLOOKUP('Données projet'!$B$9,Paramètres!$A$1:$I$89,3,0)*0.475*44/12</f>
        <v>14.820538182129416</v>
      </c>
      <c r="AB91" s="21">
        <f>EXP(-LN(2)/2)*AB90+(1-EXP(-LN(2)/2))/(LN(2)/2)*V91*Y91*VLOOKUP('Données projet'!$B$9,Paramètres!$A$1:$I$89,3,0)*0.475*44/12</f>
        <v>1.0698582980519107E-6</v>
      </c>
      <c r="AC91" s="22">
        <f t="shared" si="57"/>
        <v>32.091974916020604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0</v>
      </c>
      <c r="AO91" s="59">
        <f t="shared" si="90"/>
        <v>0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0</v>
      </c>
      <c r="BJ91" s="59">
        <f t="shared" si="92"/>
        <v>0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0</v>
      </c>
      <c r="CE91" s="59">
        <f t="shared" si="94"/>
        <v>0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204.10151832511235</v>
      </c>
      <c r="T92" s="59">
        <f t="shared" si="88"/>
        <v>406.96276429030371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16.932753345196762</v>
      </c>
      <c r="AA92" s="21">
        <f>EXP(-LN(2)/25)*AA91+(1-EXP(-LN(2)/25))/(LN(2)/25)*Calculateur!V92*Calculateur!X92*VLOOKUP('Données projet'!$B$9,Paramètres!$A$1:$I$89,3,0)*0.475*44/12</f>
        <v>14.415269786160858</v>
      </c>
      <c r="AB92" s="21">
        <f>EXP(-LN(2)/2)*AB91+(1-EXP(-LN(2)/2))/(LN(2)/2)*V92*Y92*VLOOKUP('Données projet'!$B$9,Paramètres!$A$1:$I$89,3,0)*0.475*44/12</f>
        <v>7.5650405746120455E-7</v>
      </c>
      <c r="AC92" s="22">
        <f t="shared" si="57"/>
        <v>31.348023887861679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0</v>
      </c>
      <c r="AO92" s="59">
        <f t="shared" si="90"/>
        <v>0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0</v>
      </c>
      <c r="BJ92" s="59">
        <f t="shared" si="92"/>
        <v>0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0</v>
      </c>
      <c r="CE92" s="59">
        <f t="shared" si="94"/>
        <v>0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204.10151832511235</v>
      </c>
      <c r="T93" s="59">
        <f t="shared" si="88"/>
        <v>406.96276429030371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16.600712380057193</v>
      </c>
      <c r="AA93" s="21">
        <f>EXP(-LN(2)/25)*AA92+(1-EXP(-LN(2)/25))/(LN(2)/25)*Calculateur!V93*Calculateur!X93*VLOOKUP('Données projet'!$B$9,Paramètres!$A$1:$I$89,3,0)*0.475*44/12</f>
        <v>14.021083475792198</v>
      </c>
      <c r="AB93" s="21">
        <f>EXP(-LN(2)/2)*AB92+(1-EXP(-LN(2)/2))/(LN(2)/2)*V93*Y93*VLOOKUP('Données projet'!$B$9,Paramètres!$A$1:$I$89,3,0)*0.475*44/12</f>
        <v>5.3492914902595534E-7</v>
      </c>
      <c r="AC93" s="22">
        <f t="shared" si="57"/>
        <v>30.621796390778542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0</v>
      </c>
      <c r="AO93" s="59">
        <f t="shared" si="90"/>
        <v>0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0</v>
      </c>
      <c r="BJ93" s="59">
        <f t="shared" si="92"/>
        <v>0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0</v>
      </c>
      <c r="CE93" s="59">
        <f t="shared" si="94"/>
        <v>0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204.10151832511235</v>
      </c>
      <c r="T94" s="59">
        <f t="shared" si="88"/>
        <v>406.96276429030371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16.275182535719019</v>
      </c>
      <c r="AA94" s="21">
        <f>EXP(-LN(2)/25)*AA93+(1-EXP(-LN(2)/25))/(LN(2)/25)*Calculateur!V94*Calculateur!X94*VLOOKUP('Données projet'!$B$9,Paramètres!$A$1:$I$89,3,0)*0.475*44/12</f>
        <v>13.637676210809925</v>
      </c>
      <c r="AB94" s="21">
        <f>EXP(-LN(2)/2)*AB93+(1-EXP(-LN(2)/2))/(LN(2)/2)*V94*Y94*VLOOKUP('Données projet'!$B$9,Paramètres!$A$1:$I$89,3,0)*0.475*44/12</f>
        <v>3.7825202873060227E-7</v>
      </c>
      <c r="AC94" s="22">
        <f t="shared" si="57"/>
        <v>29.912859124780972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0</v>
      </c>
      <c r="AO94" s="59">
        <f t="shared" si="90"/>
        <v>0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0</v>
      </c>
      <c r="BJ94" s="59">
        <f t="shared" si="92"/>
        <v>0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0</v>
      </c>
      <c r="CE94" s="59">
        <f t="shared" si="94"/>
        <v>0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204.10151832511235</v>
      </c>
      <c r="T95" s="59">
        <f t="shared" si="88"/>
        <v>406.96276429030371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15.956036133074717</v>
      </c>
      <c r="AA95" s="21">
        <f>EXP(-LN(2)/25)*AA94+(1-EXP(-LN(2)/25))/(LN(2)/25)*Calculateur!V95*Calculateur!X95*VLOOKUP('Données projet'!$B$9,Paramètres!$A$1:$I$89,3,0)*0.475*44/12</f>
        <v>13.264753237651105</v>
      </c>
      <c r="AB95" s="21">
        <f>EXP(-LN(2)/2)*AB94+(1-EXP(-LN(2)/2))/(LN(2)/2)*V95*Y95*VLOOKUP('Données projet'!$B$9,Paramètres!$A$1:$I$89,3,0)*0.475*44/12</f>
        <v>2.6746457451297767E-7</v>
      </c>
      <c r="AC95" s="22">
        <f t="shared" si="57"/>
        <v>29.220789638190396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0</v>
      </c>
      <c r="AO95" s="59">
        <f t="shared" si="90"/>
        <v>0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0</v>
      </c>
      <c r="BJ95" s="59">
        <f t="shared" si="92"/>
        <v>0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0</v>
      </c>
      <c r="CE95" s="59">
        <f t="shared" si="94"/>
        <v>0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204.10151832511235</v>
      </c>
      <c r="T96" s="59">
        <f t="shared" si="88"/>
        <v>406.96276429030371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15.643147996726185</v>
      </c>
      <c r="AA96" s="21">
        <f>EXP(-LN(2)/25)*AA95+(1-EXP(-LN(2)/25))/(LN(2)/25)*Calculateur!V96*Calculateur!X96*VLOOKUP('Données projet'!$B$9,Paramètres!$A$1:$I$89,3,0)*0.475*44/12</f>
        <v>12.902027862804479</v>
      </c>
      <c r="AB96" s="21">
        <f>EXP(-LN(2)/2)*AB95+(1-EXP(-LN(2)/2))/(LN(2)/2)*V96*Y96*VLOOKUP('Données projet'!$B$9,Paramètres!$A$1:$I$89,3,0)*0.475*44/12</f>
        <v>1.8912601436530114E-7</v>
      </c>
      <c r="AC96" s="22">
        <f t="shared" si="57"/>
        <v>28.545176048656678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0</v>
      </c>
      <c r="AO96" s="59">
        <f t="shared" si="90"/>
        <v>0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0</v>
      </c>
      <c r="BJ96" s="59">
        <f t="shared" si="92"/>
        <v>0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0</v>
      </c>
      <c r="CE96" s="59">
        <f t="shared" si="94"/>
        <v>0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204.10151832511235</v>
      </c>
      <c r="T97" s="59">
        <f t="shared" si="88"/>
        <v>406.96276429030371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15.336395405888529</v>
      </c>
      <c r="AA97" s="21">
        <f>EXP(-LN(2)/25)*AA96+(1-EXP(-LN(2)/25))/(LN(2)/25)*Calculateur!V97*Calculateur!X97*VLOOKUP('Données projet'!$B$9,Paramètres!$A$1:$I$89,3,0)*0.475*44/12</f>
        <v>12.549221232407934</v>
      </c>
      <c r="AB97" s="21">
        <f>EXP(-LN(2)/2)*AB96+(1-EXP(-LN(2)/2))/(LN(2)/2)*V97*Y97*VLOOKUP('Données projet'!$B$9,Paramètres!$A$1:$I$89,3,0)*0.475*44/12</f>
        <v>1.3373228725648883E-7</v>
      </c>
      <c r="AC97" s="22">
        <f t="shared" si="57"/>
        <v>27.885616772028747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0</v>
      </c>
      <c r="AO97" s="59">
        <f t="shared" si="90"/>
        <v>0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0</v>
      </c>
      <c r="BJ97" s="59">
        <f t="shared" si="92"/>
        <v>0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0</v>
      </c>
      <c r="CE97" s="59">
        <f t="shared" si="94"/>
        <v>0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204.10151832511235</v>
      </c>
      <c r="T98" s="59">
        <f t="shared" si="88"/>
        <v>406.96276429030371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15.035658046256595</v>
      </c>
      <c r="AA98" s="21">
        <f>EXP(-LN(2)/25)*AA97+(1-EXP(-LN(2)/25))/(LN(2)/25)*Calculateur!V98*Calculateur!X98*VLOOKUP('Données projet'!$B$9,Paramètres!$A$1:$I$89,3,0)*0.475*44/12</f>
        <v>12.206062117872875</v>
      </c>
      <c r="AB98" s="21">
        <f>EXP(-LN(2)/2)*AB97+(1-EXP(-LN(2)/2))/(LN(2)/2)*V98*Y98*VLOOKUP('Données projet'!$B$9,Paramètres!$A$1:$I$89,3,0)*0.475*44/12</f>
        <v>9.4563007182650568E-8</v>
      </c>
      <c r="AC98" s="22">
        <f t="shared" si="57"/>
        <v>27.241720258692474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0</v>
      </c>
      <c r="AO98" s="59">
        <f t="shared" si="90"/>
        <v>0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0</v>
      </c>
      <c r="BJ98" s="59">
        <f t="shared" si="92"/>
        <v>0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0</v>
      </c>
      <c r="CE98" s="59">
        <f t="shared" si="94"/>
        <v>0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204.10151832511235</v>
      </c>
      <c r="T99" s="59">
        <f t="shared" si="88"/>
        <v>406.96276429030371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14.740817962815365</v>
      </c>
      <c r="AA99" s="21">
        <f>EXP(-LN(2)/25)*AA98+(1-EXP(-LN(2)/25))/(LN(2)/25)*Calculateur!V99*Calculateur!X99*VLOOKUP('Données projet'!$B$9,Paramètres!$A$1:$I$89,3,0)*0.475*44/12</f>
        <v>11.872286707370732</v>
      </c>
      <c r="AB99" s="21">
        <f>EXP(-LN(2)/2)*AB98+(1-EXP(-LN(2)/2))/(LN(2)/2)*V99*Y99*VLOOKUP('Données projet'!$B$9,Paramètres!$A$1:$I$89,3,0)*0.475*44/12</f>
        <v>6.6866143628244417E-8</v>
      </c>
      <c r="AC99" s="22">
        <f t="shared" si="57"/>
        <v>26.61310473705224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0</v>
      </c>
      <c r="AO99" s="59">
        <f t="shared" si="90"/>
        <v>0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0</v>
      </c>
      <c r="BJ99" s="59">
        <f t="shared" si="92"/>
        <v>0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0</v>
      </c>
      <c r="CE99" s="59">
        <f t="shared" si="94"/>
        <v>0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204.10151832511235</v>
      </c>
      <c r="T100" s="59">
        <f t="shared" si="88"/>
        <v>406.96276429030371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14.451759513575725</v>
      </c>
      <c r="AA100" s="21">
        <f>EXP(-LN(2)/25)*AA99+(1-EXP(-LN(2)/25))/(LN(2)/25)*Calculateur!V100*Calculateur!X100*VLOOKUP('Données projet'!$B$9,Paramètres!$A$1:$I$89,3,0)*0.475*44/12</f>
        <v>11.547638403021255</v>
      </c>
      <c r="AB100" s="21">
        <f>EXP(-LN(2)/2)*AB99+(1-EXP(-LN(2)/2))/(LN(2)/2)*V100*Y100*VLOOKUP('Données projet'!$B$9,Paramètres!$A$1:$I$89,3,0)*0.475*44/12</f>
        <v>4.7281503591325284E-8</v>
      </c>
      <c r="AC100" s="22">
        <f t="shared" si="57"/>
        <v>25.999397963878483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0</v>
      </c>
      <c r="AO100" s="59">
        <f t="shared" si="90"/>
        <v>0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0</v>
      </c>
      <c r="BJ100" s="59">
        <f t="shared" si="92"/>
        <v>0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0</v>
      </c>
      <c r="CE100" s="59">
        <f t="shared" si="94"/>
        <v>0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204.10151832511235</v>
      </c>
      <c r="T101" s="59">
        <f t="shared" si="88"/>
        <v>406.96276429030371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14.168369324217428</v>
      </c>
      <c r="AA101" s="21">
        <f>EXP(-LN(2)/25)*AA100+(1-EXP(-LN(2)/25))/(LN(2)/25)*Calculateur!V101*Calculateur!X101*VLOOKUP('Données projet'!$B$9,Paramètres!$A$1:$I$89,3,0)*0.475*44/12</f>
        <v>11.231867623626727</v>
      </c>
      <c r="AB101" s="21">
        <f>EXP(-LN(2)/2)*AB100+(1-EXP(-LN(2)/2))/(LN(2)/2)*V101*Y101*VLOOKUP('Données projet'!$B$9,Paramètres!$A$1:$I$89,3,0)*0.475*44/12</f>
        <v>3.3433071814122208E-8</v>
      </c>
      <c r="AC101" s="22">
        <f t="shared" si="57"/>
        <v>25.400236981277228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0</v>
      </c>
      <c r="AO101" s="59">
        <f t="shared" si="90"/>
        <v>0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0</v>
      </c>
      <c r="BJ101" s="59">
        <f t="shared" si="92"/>
        <v>0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0</v>
      </c>
      <c r="CE101" s="59">
        <f t="shared" si="94"/>
        <v>0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204.10151832511235</v>
      </c>
      <c r="T102" s="59">
        <f t="shared" si="88"/>
        <v>406.96276429030371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13.890536243621501</v>
      </c>
      <c r="AA102" s="21">
        <f>EXP(-LN(2)/25)*AA101+(1-EXP(-LN(2)/25))/(LN(2)/25)*Calculateur!V102*Calculateur!X102*VLOOKUP('Données projet'!$B$9,Paramètres!$A$1:$I$89,3,0)*0.475*44/12</f>
        <v>10.924731612800406</v>
      </c>
      <c r="AB102" s="21">
        <f>EXP(-LN(2)/2)*AB101+(1-EXP(-LN(2)/2))/(LN(2)/2)*V102*Y102*VLOOKUP('Données projet'!$B$9,Paramètres!$A$1:$I$89,3,0)*0.475*44/12</f>
        <v>2.3640751795662642E-8</v>
      </c>
      <c r="AC102" s="22">
        <f t="shared" si="57"/>
        <v>24.815267880062656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0</v>
      </c>
      <c r="AO102" s="59">
        <f t="shared" si="90"/>
        <v>0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0</v>
      </c>
      <c r="BJ102" s="59">
        <f t="shared" si="92"/>
        <v>0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0</v>
      </c>
      <c r="CE102" s="59">
        <f t="shared" si="94"/>
        <v>0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204.10151832511235</v>
      </c>
      <c r="T103" s="59">
        <f t="shared" si="88"/>
        <v>406.96276429030371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13.618151300274613</v>
      </c>
      <c r="AA103" s="21">
        <f>EXP(-LN(2)/25)*AA102+(1-EXP(-LN(2)/25))/(LN(2)/25)*Calculateur!V103*Calculateur!X103*VLOOKUP('Données projet'!$B$9,Paramètres!$A$1:$I$89,3,0)*0.475*44/12</f>
        <v>10.625994252341712</v>
      </c>
      <c r="AB103" s="21">
        <f>EXP(-LN(2)/2)*AB102+(1-EXP(-LN(2)/2))/(LN(2)/2)*V103*Y103*VLOOKUP('Données projet'!$B$9,Paramètres!$A$1:$I$89,3,0)*0.475*44/12</f>
        <v>1.6716535907061104E-8</v>
      </c>
      <c r="AC103" s="22">
        <f t="shared" si="57"/>
        <v>24.244145569332861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0</v>
      </c>
      <c r="AO103" s="59">
        <f t="shared" si="90"/>
        <v>0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0</v>
      </c>
      <c r="BJ103" s="59">
        <f t="shared" si="92"/>
        <v>0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0</v>
      </c>
      <c r="CE103" s="59">
        <f t="shared" si="94"/>
        <v>0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204.10151832511235</v>
      </c>
      <c r="T104" s="59">
        <f t="shared" si="88"/>
        <v>406.96276429030371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13.351107659528347</v>
      </c>
      <c r="AA104" s="21">
        <f>EXP(-LN(2)/25)*AA103+(1-EXP(-LN(2)/25))/(LN(2)/25)*Calculateur!V104*Calculateur!X104*VLOOKUP('Données projet'!$B$9,Paramètres!$A$1:$I$89,3,0)*0.475*44/12</f>
        <v>10.335425880714677</v>
      </c>
      <c r="AB104" s="21">
        <f>EXP(-LN(2)/2)*AB103+(1-EXP(-LN(2)/2))/(LN(2)/2)*V104*Y104*VLOOKUP('Données projet'!$B$9,Paramètres!$A$1:$I$89,3,0)*0.475*44/12</f>
        <v>1.1820375897831321E-8</v>
      </c>
      <c r="AC104" s="22">
        <f t="shared" si="57"/>
        <v>23.686533552063402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0</v>
      </c>
      <c r="AO104" s="59">
        <f t="shared" si="90"/>
        <v>0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0</v>
      </c>
      <c r="BJ104" s="59">
        <f t="shared" si="92"/>
        <v>0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0</v>
      </c>
      <c r="CE104" s="59">
        <f t="shared" si="94"/>
        <v>0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204.10151832511235</v>
      </c>
      <c r="T105" s="59">
        <f t="shared" si="88"/>
        <v>406.96276429030371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13.089300581696577</v>
      </c>
      <c r="AA105" s="21">
        <f>EXP(-LN(2)/25)*AA104+(1-EXP(-LN(2)/25))/(LN(2)/25)*Calculateur!V105*Calculateur!X105*VLOOKUP('Données projet'!$B$9,Paramètres!$A$1:$I$89,3,0)*0.475*44/12</f>
        <v>10.052803116490109</v>
      </c>
      <c r="AB105" s="21">
        <f>EXP(-LN(2)/2)*AB104+(1-EXP(-LN(2)/2))/(LN(2)/2)*V105*Y105*VLOOKUP('Données projet'!$B$9,Paramètres!$A$1:$I$89,3,0)*0.475*44/12</f>
        <v>8.3582679535305521E-9</v>
      </c>
      <c r="AC105" s="22">
        <f t="shared" si="57"/>
        <v>23.142103706544955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0</v>
      </c>
      <c r="AO105" s="59">
        <f t="shared" si="90"/>
        <v>0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0</v>
      </c>
      <c r="BJ105" s="59">
        <f t="shared" si="92"/>
        <v>0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0</v>
      </c>
      <c r="CE105" s="59">
        <f t="shared" si="94"/>
        <v>0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204.10151832511235</v>
      </c>
      <c r="T106" s="59">
        <f t="shared" si="88"/>
        <v>406.96276429030371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12.832627380974538</v>
      </c>
      <c r="AA106" s="21">
        <f>EXP(-LN(2)/25)*AA105+(1-EXP(-LN(2)/25))/(LN(2)/25)*Calculateur!V106*Calculateur!X106*VLOOKUP('Données projet'!$B$9,Paramètres!$A$1:$I$89,3,0)*0.475*44/12</f>
        <v>9.7779086866157474</v>
      </c>
      <c r="AB106" s="21">
        <f>EXP(-LN(2)/2)*AB105+(1-EXP(-LN(2)/2))/(LN(2)/2)*V106*Y106*VLOOKUP('Données projet'!$B$9,Paramètres!$A$1:$I$89,3,0)*0.475*44/12</f>
        <v>5.9101879489156605E-9</v>
      </c>
      <c r="AC106" s="22">
        <f t="shared" si="57"/>
        <v>22.610536073500473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0</v>
      </c>
      <c r="AO106" s="59">
        <f t="shared" si="90"/>
        <v>0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0</v>
      </c>
      <c r="BJ106" s="59">
        <f t="shared" si="92"/>
        <v>0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0</v>
      </c>
      <c r="CE106" s="59">
        <f t="shared" si="94"/>
        <v>0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204.10151832511235</v>
      </c>
      <c r="T107" s="59">
        <f t="shared" si="88"/>
        <v>406.96276429030371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12.580987385163464</v>
      </c>
      <c r="AA107" s="21">
        <f>EXP(-LN(2)/25)*AA106+(1-EXP(-LN(2)/25))/(LN(2)/25)*Calculateur!V107*Calculateur!X107*VLOOKUP('Données projet'!$B$9,Paramètres!$A$1:$I$89,3,0)*0.475*44/12</f>
        <v>9.5105312593823701</v>
      </c>
      <c r="AB107" s="21">
        <f>EXP(-LN(2)/2)*AB106+(1-EXP(-LN(2)/2))/(LN(2)/2)*V107*Y107*VLOOKUP('Données projet'!$B$9,Paramètres!$A$1:$I$89,3,0)*0.475*44/12</f>
        <v>4.1791339767652761E-9</v>
      </c>
      <c r="AC107" s="22">
        <f t="shared" si="57"/>
        <v>22.091518648724971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0</v>
      </c>
      <c r="AO107" s="59">
        <f t="shared" si="90"/>
        <v>0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0</v>
      </c>
      <c r="BJ107" s="59">
        <f t="shared" si="92"/>
        <v>0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0</v>
      </c>
      <c r="CE107" s="59">
        <f t="shared" si="94"/>
        <v>0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204.10151832511235</v>
      </c>
      <c r="T108" s="59">
        <f t="shared" si="88"/>
        <v>406.96276429030371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12.334281896185004</v>
      </c>
      <c r="AA108" s="21">
        <f>EXP(-LN(2)/25)*AA107+(1-EXP(-LN(2)/25))/(LN(2)/25)*Calculateur!V108*Calculateur!X108*VLOOKUP('Données projet'!$B$9,Paramètres!$A$1:$I$89,3,0)*0.475*44/12</f>
        <v>9.2504652819574567</v>
      </c>
      <c r="AB108" s="21">
        <f>EXP(-LN(2)/2)*AB107+(1-EXP(-LN(2)/2))/(LN(2)/2)*V108*Y108*VLOOKUP('Données projet'!$B$9,Paramètres!$A$1:$I$89,3,0)*0.475*44/12</f>
        <v>2.9550939744578303E-9</v>
      </c>
      <c r="AC108" s="22">
        <f t="shared" si="57"/>
        <v>21.584747181097555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0</v>
      </c>
      <c r="AO108" s="59">
        <f t="shared" si="90"/>
        <v>0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0</v>
      </c>
      <c r="BJ108" s="59">
        <f t="shared" si="92"/>
        <v>0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0</v>
      </c>
      <c r="CE108" s="59">
        <f t="shared" si="94"/>
        <v>0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204.10151832511235</v>
      </c>
      <c r="T109" s="59">
        <f t="shared" si="88"/>
        <v>406.96276429030371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12.092414151369923</v>
      </c>
      <c r="AA109" s="21">
        <f>EXP(-LN(2)/25)*AA108+(1-EXP(-LN(2)/25))/(LN(2)/25)*Calculateur!V109*Calculateur!X109*VLOOKUP('Données projet'!$B$9,Paramètres!$A$1:$I$89,3,0)*0.475*44/12</f>
        <v>8.9975108223615035</v>
      </c>
      <c r="AB109" s="21">
        <f>EXP(-LN(2)/2)*AB108+(1-EXP(-LN(2)/2))/(LN(2)/2)*V109*Y109*VLOOKUP('Données projet'!$B$9,Paramètres!$A$1:$I$89,3,0)*0.475*44/12</f>
        <v>2.089566988382638E-9</v>
      </c>
      <c r="AC109" s="22">
        <f t="shared" si="57"/>
        <v>21.089924975820995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0</v>
      </c>
      <c r="AO109" s="59">
        <f t="shared" si="90"/>
        <v>0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0</v>
      </c>
      <c r="BJ109" s="59">
        <f t="shared" si="92"/>
        <v>0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0</v>
      </c>
      <c r="CE109" s="59">
        <f t="shared" si="94"/>
        <v>0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204.10151832511235</v>
      </c>
      <c r="T110" s="59">
        <f t="shared" si="88"/>
        <v>406.96276429030371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11.855289285505906</v>
      </c>
      <c r="AA110" s="21">
        <f>EXP(-LN(2)/25)*AA109+(1-EXP(-LN(2)/25))/(LN(2)/25)*Calculateur!V110*Calculateur!X110*VLOOKUP('Données projet'!$B$9,Paramètres!$A$1:$I$89,3,0)*0.475*44/12</f>
        <v>8.7514734157654974</v>
      </c>
      <c r="AB110" s="21">
        <f>EXP(-LN(2)/2)*AB109+(1-EXP(-LN(2)/2))/(LN(2)/2)*V110*Y110*VLOOKUP('Données projet'!$B$9,Paramètres!$A$1:$I$89,3,0)*0.475*44/12</f>
        <v>1.4775469872289151E-9</v>
      </c>
      <c r="AC110" s="22">
        <f t="shared" si="57"/>
        <v>20.606762702748952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0</v>
      </c>
      <c r="AO110" s="59">
        <f t="shared" si="90"/>
        <v>0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0</v>
      </c>
      <c r="BJ110" s="59">
        <f t="shared" si="92"/>
        <v>0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0</v>
      </c>
      <c r="CE110" s="59">
        <f t="shared" si="94"/>
        <v>0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204.10151832511235</v>
      </c>
      <c r="T111" s="59">
        <f t="shared" si="88"/>
        <v>406.96276429030371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11.622814293629595</v>
      </c>
      <c r="AA111" s="21">
        <f>EXP(-LN(2)/25)*AA110+(1-EXP(-LN(2)/25))/(LN(2)/25)*Calculateur!V111*Calculateur!X111*VLOOKUP('Données projet'!$B$9,Paramètres!$A$1:$I$89,3,0)*0.475*44/12</f>
        <v>8.5121639149914046</v>
      </c>
      <c r="AB111" s="21">
        <f>EXP(-LN(2)/2)*AB110+(1-EXP(-LN(2)/2))/(LN(2)/2)*V111*Y111*VLOOKUP('Données projet'!$B$9,Paramètres!$A$1:$I$89,3,0)*0.475*44/12</f>
        <v>1.044783494191319E-9</v>
      </c>
      <c r="AC111" s="22">
        <f t="shared" si="57"/>
        <v>20.134978209665782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0</v>
      </c>
      <c r="AO111" s="59">
        <f t="shared" si="90"/>
        <v>0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0</v>
      </c>
      <c r="BJ111" s="59">
        <f t="shared" si="92"/>
        <v>0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0</v>
      </c>
      <c r="CE111" s="59">
        <f t="shared" si="94"/>
        <v>0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204.10151832511235</v>
      </c>
      <c r="T112" s="59">
        <f t="shared" si="88"/>
        <v>406.96276429030371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11.394897994548236</v>
      </c>
      <c r="AA112" s="21">
        <f>EXP(-LN(2)/25)*AA111+(1-EXP(-LN(2)/25))/(LN(2)/25)*Calculateur!V112*Calculateur!X112*VLOOKUP('Données projet'!$B$9,Paramètres!$A$1:$I$89,3,0)*0.475*44/12</f>
        <v>8.2793983451007183</v>
      </c>
      <c r="AB112" s="21">
        <f>EXP(-LN(2)/2)*AB111+(1-EXP(-LN(2)/2))/(LN(2)/2)*V112*Y112*VLOOKUP('Données projet'!$B$9,Paramètres!$A$1:$I$89,3,0)*0.475*44/12</f>
        <v>7.3877349361445757E-10</v>
      </c>
      <c r="AC112" s="22">
        <f t="shared" si="57"/>
        <v>19.674296340387727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0</v>
      </c>
      <c r="AO112" s="59">
        <f t="shared" si="90"/>
        <v>0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0</v>
      </c>
      <c r="BJ112" s="59">
        <f t="shared" si="92"/>
        <v>0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0</v>
      </c>
      <c r="CE112" s="59">
        <f t="shared" si="94"/>
        <v>0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204.10151832511235</v>
      </c>
      <c r="T113" s="59">
        <f t="shared" si="88"/>
        <v>406.96276429030371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11.171450995076647</v>
      </c>
      <c r="AA113" s="21">
        <f>EXP(-LN(2)/25)*AA112+(1-EXP(-LN(2)/25))/(LN(2)/25)*Calculateur!V113*Calculateur!X113*VLOOKUP('Données projet'!$B$9,Paramètres!$A$1:$I$89,3,0)*0.475*44/12</f>
        <v>8.0529977619593023</v>
      </c>
      <c r="AB113" s="21">
        <f>EXP(-LN(2)/2)*AB112+(1-EXP(-LN(2)/2))/(LN(2)/2)*V113*Y113*VLOOKUP('Données projet'!$B$9,Paramètres!$A$1:$I$89,3,0)*0.475*44/12</f>
        <v>5.2239174709565951E-10</v>
      </c>
      <c r="AC113" s="22">
        <f t="shared" si="57"/>
        <v>19.224448757558342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0</v>
      </c>
      <c r="AO113" s="59">
        <f t="shared" si="90"/>
        <v>0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0</v>
      </c>
      <c r="BJ113" s="59">
        <f t="shared" si="92"/>
        <v>0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0</v>
      </c>
      <c r="CE113" s="59">
        <f t="shared" si="94"/>
        <v>0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204.10151832511235</v>
      </c>
      <c r="T114" s="59">
        <f t="shared" si="88"/>
        <v>406.96276429030371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10.952385654975483</v>
      </c>
      <c r="AA114" s="21">
        <f>EXP(-LN(2)/25)*AA113+(1-EXP(-LN(2)/25))/(LN(2)/25)*Calculateur!V114*Calculateur!X114*VLOOKUP('Données projet'!$B$9,Paramètres!$A$1:$I$89,3,0)*0.475*44/12</f>
        <v>7.8327881146697784</v>
      </c>
      <c r="AB114" s="21">
        <f>EXP(-LN(2)/2)*AB113+(1-EXP(-LN(2)/2))/(LN(2)/2)*V114*Y114*VLOOKUP('Données projet'!$B$9,Paramètres!$A$1:$I$89,3,0)*0.475*44/12</f>
        <v>3.6938674680722878E-10</v>
      </c>
      <c r="AC114" s="22">
        <f t="shared" si="57"/>
        <v>18.785173770014648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0</v>
      </c>
      <c r="AO114" s="59">
        <f t="shared" si="90"/>
        <v>0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0</v>
      </c>
      <c r="BJ114" s="59">
        <f t="shared" si="92"/>
        <v>0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0</v>
      </c>
      <c r="CE114" s="59">
        <f t="shared" si="94"/>
        <v>0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204.10151832511235</v>
      </c>
      <c r="T115" s="59">
        <f t="shared" si="88"/>
        <v>406.96276429030371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10.737616052577039</v>
      </c>
      <c r="AA115" s="21">
        <f>EXP(-LN(2)/25)*AA114+(1-EXP(-LN(2)/25))/(LN(2)/25)*Calculateur!V115*Calculateur!X115*VLOOKUP('Données projet'!$B$9,Paramètres!$A$1:$I$89,3,0)*0.475*44/12</f>
        <v>7.6186001117657085</v>
      </c>
      <c r="AB115" s="21">
        <f>EXP(-LN(2)/2)*AB114+(1-EXP(-LN(2)/2))/(LN(2)/2)*V115*Y115*VLOOKUP('Données projet'!$B$9,Paramètres!$A$1:$I$89,3,0)*0.475*44/12</f>
        <v>2.6119587354782975E-10</v>
      </c>
      <c r="AC115" s="22">
        <f t="shared" si="57"/>
        <v>18.356216164603943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0</v>
      </c>
      <c r="AO115" s="59">
        <f t="shared" si="90"/>
        <v>0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0</v>
      </c>
      <c r="BJ115" s="59">
        <f t="shared" si="92"/>
        <v>0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0</v>
      </c>
      <c r="CE115" s="59">
        <f t="shared" si="94"/>
        <v>0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204.10151832511235</v>
      </c>
      <c r="T116" s="59">
        <f t="shared" si="88"/>
        <v>406.96276429030371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10.527057951085105</v>
      </c>
      <c r="AA116" s="21">
        <f>EXP(-LN(2)/25)*AA115+(1-EXP(-LN(2)/25))/(LN(2)/25)*Calculateur!V116*Calculateur!X116*VLOOKUP('Données projet'!$B$9,Paramètres!$A$1:$I$89,3,0)*0.475*44/12</f>
        <v>7.4102690910647082</v>
      </c>
      <c r="AB116" s="21">
        <f>EXP(-LN(2)/2)*AB115+(1-EXP(-LN(2)/2))/(LN(2)/2)*V116*Y116*VLOOKUP('Données projet'!$B$9,Paramètres!$A$1:$I$89,3,0)*0.475*44/12</f>
        <v>1.8469337340361439E-10</v>
      </c>
      <c r="AC116" s="22">
        <f t="shared" si="57"/>
        <v>17.937327042334509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0</v>
      </c>
      <c r="AO116" s="59">
        <f t="shared" si="90"/>
        <v>0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0</v>
      </c>
      <c r="BJ116" s="59">
        <f t="shared" si="92"/>
        <v>0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0</v>
      </c>
      <c r="CE116" s="59">
        <f t="shared" si="94"/>
        <v>0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204.10151832511235</v>
      </c>
      <c r="T117" s="59">
        <f t="shared" si="88"/>
        <v>406.96276429030371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10.320628765535668</v>
      </c>
      <c r="AA117" s="21">
        <f>EXP(-LN(2)/25)*AA116+(1-EXP(-LN(2)/25))/(LN(2)/25)*Calculateur!V117*Calculateur!X117*VLOOKUP('Données projet'!$B$9,Paramètres!$A$1:$I$89,3,0)*0.475*44/12</f>
        <v>7.2076348930804288</v>
      </c>
      <c r="AB117" s="21">
        <f>EXP(-LN(2)/2)*AB116+(1-EXP(-LN(2)/2))/(LN(2)/2)*V117*Y117*VLOOKUP('Données projet'!$B$9,Paramètres!$A$1:$I$89,3,0)*0.475*44/12</f>
        <v>1.3059793677391488E-10</v>
      </c>
      <c r="AC117" s="22">
        <f t="shared" si="57"/>
        <v>17.528263658746695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0</v>
      </c>
      <c r="AO117" s="59">
        <f t="shared" si="90"/>
        <v>0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0</v>
      </c>
      <c r="BJ117" s="59">
        <f t="shared" si="92"/>
        <v>0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0</v>
      </c>
      <c r="CE117" s="59">
        <f t="shared" si="94"/>
        <v>0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204.10151832511235</v>
      </c>
      <c r="T118" s="59">
        <f t="shared" si="88"/>
        <v>406.96276429030371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10.118247530405485</v>
      </c>
      <c r="AA118" s="21">
        <f>EXP(-LN(2)/25)*AA117+(1-EXP(-LN(2)/25))/(LN(2)/25)*Calculateur!V118*Calculateur!X118*VLOOKUP('Données projet'!$B$9,Paramètres!$A$1:$I$89,3,0)*0.475*44/12</f>
        <v>7.0105417378960988</v>
      </c>
      <c r="AB118" s="21">
        <f>EXP(-LN(2)/2)*AB117+(1-EXP(-LN(2)/2))/(LN(2)/2)*V118*Y118*VLOOKUP('Données projet'!$B$9,Paramètres!$A$1:$I$89,3,0)*0.475*44/12</f>
        <v>9.2346686701807196E-11</v>
      </c>
      <c r="AC118" s="22">
        <f t="shared" si="57"/>
        <v>17.12878926839393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0</v>
      </c>
      <c r="AO118" s="59">
        <f t="shared" si="90"/>
        <v>0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0</v>
      </c>
      <c r="BJ118" s="59">
        <f t="shared" si="92"/>
        <v>0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0</v>
      </c>
      <c r="CE118" s="59">
        <f t="shared" si="94"/>
        <v>0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204.10151832511235</v>
      </c>
      <c r="T119" s="59">
        <f t="shared" si="88"/>
        <v>406.96276429030371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9.9198348678558403</v>
      </c>
      <c r="AA119" s="21">
        <f>EXP(-LN(2)/25)*AA118+(1-EXP(-LN(2)/25))/(LN(2)/25)*Calculateur!V119*Calculateur!X119*VLOOKUP('Données projet'!$B$9,Paramètres!$A$1:$I$89,3,0)*0.475*44/12</f>
        <v>6.8188381054049625</v>
      </c>
      <c r="AB119" s="21">
        <f>EXP(-LN(2)/2)*AB118+(1-EXP(-LN(2)/2))/(LN(2)/2)*V119*Y119*VLOOKUP('Données projet'!$B$9,Paramètres!$A$1:$I$89,3,0)*0.475*44/12</f>
        <v>6.5298968386957438E-11</v>
      </c>
      <c r="AC119" s="22">
        <f t="shared" si="57"/>
        <v>16.738672973326103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0</v>
      </c>
      <c r="AO119" s="59">
        <f t="shared" si="90"/>
        <v>0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0</v>
      </c>
      <c r="BJ119" s="59">
        <f t="shared" si="92"/>
        <v>0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0</v>
      </c>
      <c r="CE119" s="59">
        <f t="shared" si="94"/>
        <v>0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204.10151832511235</v>
      </c>
      <c r="T120" s="59">
        <f t="shared" si="88"/>
        <v>406.96276429030371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9.7253129565990193</v>
      </c>
      <c r="AA120" s="21">
        <f>EXP(-LN(2)/25)*AA119+(1-EXP(-LN(2)/25))/(LN(2)/25)*Calculateur!V120*Calculateur!X120*VLOOKUP('Données projet'!$B$9,Paramètres!$A$1:$I$89,3,0)*0.475*44/12</f>
        <v>6.6323766188255524</v>
      </c>
      <c r="AB120" s="21">
        <f>EXP(-LN(2)/2)*AB119+(1-EXP(-LN(2)/2))/(LN(2)/2)*V120*Y120*VLOOKUP('Données projet'!$B$9,Paramètres!$A$1:$I$89,3,0)*0.475*44/12</f>
        <v>4.6173343350903598E-11</v>
      </c>
      <c r="AC120" s="22">
        <f t="shared" si="57"/>
        <v>16.357689575470747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0</v>
      </c>
      <c r="AO120" s="59">
        <f t="shared" si="90"/>
        <v>0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0</v>
      </c>
      <c r="BJ120" s="59">
        <f t="shared" si="92"/>
        <v>0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0</v>
      </c>
      <c r="CE120" s="59">
        <f t="shared" si="94"/>
        <v>0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204.10151832511235</v>
      </c>
      <c r="T121" s="59">
        <f t="shared" si="88"/>
        <v>406.96276429030371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9.5346055013752942</v>
      </c>
      <c r="AA121" s="21">
        <f>EXP(-LN(2)/25)*AA120+(1-EXP(-LN(2)/25))/(LN(2)/25)*Calculateur!V121*Calculateur!X121*VLOOKUP('Données projet'!$B$9,Paramètres!$A$1:$I$89,3,0)*0.475*44/12</f>
        <v>6.4510139314022394</v>
      </c>
      <c r="AB121" s="21">
        <f>EXP(-LN(2)/2)*AB120+(1-EXP(-LN(2)/2))/(LN(2)/2)*V121*Y121*VLOOKUP('Données projet'!$B$9,Paramètres!$A$1:$I$89,3,0)*0.475*44/12</f>
        <v>3.2649484193478719E-11</v>
      </c>
      <c r="AC121" s="22">
        <f t="shared" si="57"/>
        <v>15.985619432810182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0</v>
      </c>
      <c r="AO121" s="59">
        <f t="shared" si="90"/>
        <v>0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0</v>
      </c>
      <c r="BJ121" s="59">
        <f t="shared" si="92"/>
        <v>0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0</v>
      </c>
      <c r="CE121" s="59">
        <f t="shared" si="94"/>
        <v>0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204.10151832511235</v>
      </c>
      <c r="T122" s="59">
        <f t="shared" si="88"/>
        <v>406.96276429030371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9.3476377030284432</v>
      </c>
      <c r="AA122" s="21">
        <f>EXP(-LN(2)/25)*AA121+(1-EXP(-LN(2)/25))/(LN(2)/25)*Calculateur!V122*Calculateur!X122*VLOOKUP('Données projet'!$B$9,Paramètres!$A$1:$I$89,3,0)*0.475*44/12</f>
        <v>6.274610616203967</v>
      </c>
      <c r="AB122" s="21">
        <f>EXP(-LN(2)/2)*AB121+(1-EXP(-LN(2)/2))/(LN(2)/2)*V122*Y122*VLOOKUP('Données projet'!$B$9,Paramètres!$A$1:$I$89,3,0)*0.475*44/12</f>
        <v>2.3086671675451799E-11</v>
      </c>
      <c r="AC122" s="22">
        <f t="shared" si="57"/>
        <v>15.622248319255498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0</v>
      </c>
      <c r="AO122" s="59">
        <f t="shared" si="90"/>
        <v>0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0</v>
      </c>
      <c r="BJ122" s="59">
        <f t="shared" si="92"/>
        <v>0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0</v>
      </c>
      <c r="CE122" s="59">
        <f t="shared" si="94"/>
        <v>0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204.10151832511235</v>
      </c>
      <c r="T123" s="59">
        <f t="shared" si="88"/>
        <v>406.96276429030371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9.1643362291680788</v>
      </c>
      <c r="AA123" s="21">
        <f>EXP(-LN(2)/25)*AA122+(1-EXP(-LN(2)/25))/(LN(2)/25)*Calculateur!V123*Calculateur!X123*VLOOKUP('Données projet'!$B$9,Paramètres!$A$1:$I$89,3,0)*0.475*44/12</f>
        <v>6.1030310589364376</v>
      </c>
      <c r="AB123" s="21">
        <f>EXP(-LN(2)/2)*AB122+(1-EXP(-LN(2)/2))/(LN(2)/2)*V123*Y123*VLOOKUP('Données projet'!$B$9,Paramètres!$A$1:$I$89,3,0)*0.475*44/12</f>
        <v>1.632474209673936E-11</v>
      </c>
      <c r="AC123" s="22">
        <f t="shared" si="57"/>
        <v>15.267367288120841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0</v>
      </c>
      <c r="AO123" s="59">
        <f t="shared" si="90"/>
        <v>0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0</v>
      </c>
      <c r="BJ123" s="59">
        <f t="shared" si="92"/>
        <v>0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0</v>
      </c>
      <c r="CE123" s="59">
        <f t="shared" si="94"/>
        <v>0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204.10151832511235</v>
      </c>
      <c r="T124" s="59">
        <f t="shared" si="88"/>
        <v>406.96276429030371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8.9846291854072557</v>
      </c>
      <c r="AA124" s="21">
        <f>EXP(-LN(2)/25)*AA123+(1-EXP(-LN(2)/25))/(LN(2)/25)*Calculateur!V124*Calculateur!X124*VLOOKUP('Données projet'!$B$9,Paramètres!$A$1:$I$89,3,0)*0.475*44/12</f>
        <v>5.9361433536853658</v>
      </c>
      <c r="AB124" s="21">
        <f>EXP(-LN(2)/2)*AB123+(1-EXP(-LN(2)/2))/(LN(2)/2)*V124*Y124*VLOOKUP('Données projet'!$B$9,Paramètres!$A$1:$I$89,3,0)*0.475*44/12</f>
        <v>1.1543335837725899E-11</v>
      </c>
      <c r="AC124" s="22">
        <f t="shared" si="57"/>
        <v>14.920772539104163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0</v>
      </c>
      <c r="AO124" s="59">
        <f t="shared" si="90"/>
        <v>0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0</v>
      </c>
      <c r="BJ124" s="59">
        <f t="shared" si="92"/>
        <v>0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0</v>
      </c>
      <c r="CE124" s="59">
        <f t="shared" si="94"/>
        <v>0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204.10151832511235</v>
      </c>
      <c r="T125" s="59">
        <f t="shared" si="88"/>
        <v>406.96276429030371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8.8084460871641088</v>
      </c>
      <c r="AA125" s="21">
        <f>EXP(-LN(2)/25)*AA124+(1-EXP(-LN(2)/25))/(LN(2)/25)*Calculateur!V125*Calculateur!X125*VLOOKUP('Données projet'!$B$9,Paramètres!$A$1:$I$89,3,0)*0.475*44/12</f>
        <v>5.7738192015106273</v>
      </c>
      <c r="AB125" s="21">
        <f>EXP(-LN(2)/2)*AB124+(1-EXP(-LN(2)/2))/(LN(2)/2)*V125*Y125*VLOOKUP('Données projet'!$B$9,Paramètres!$A$1:$I$89,3,0)*0.475*44/12</f>
        <v>8.1623710483696798E-12</v>
      </c>
      <c r="AC125" s="22">
        <f t="shared" si="57"/>
        <v>14.582265288682899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0</v>
      </c>
      <c r="AO125" s="59">
        <f t="shared" si="90"/>
        <v>0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0</v>
      </c>
      <c r="BJ125" s="59">
        <f t="shared" si="92"/>
        <v>0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0</v>
      </c>
      <c r="CE125" s="59">
        <f t="shared" si="94"/>
        <v>0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204.10151832511235</v>
      </c>
      <c r="T126" s="59">
        <f t="shared" si="88"/>
        <v>406.96276429030371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8.6357178320164323</v>
      </c>
      <c r="AA126" s="21">
        <f>EXP(-LN(2)/25)*AA125+(1-EXP(-LN(2)/25))/(LN(2)/25)*Calculateur!V126*Calculateur!X126*VLOOKUP('Données projet'!$B$9,Paramètres!$A$1:$I$89,3,0)*0.475*44/12</f>
        <v>5.6159338118133633</v>
      </c>
      <c r="AB126" s="21">
        <f>EXP(-LN(2)/2)*AB125+(1-EXP(-LN(2)/2))/(LN(2)/2)*V126*Y126*VLOOKUP('Données projet'!$B$9,Paramètres!$A$1:$I$89,3,0)*0.475*44/12</f>
        <v>5.7716679188629497E-12</v>
      </c>
      <c r="AC126" s="22">
        <f t="shared" si="57"/>
        <v>14.251651643835567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0</v>
      </c>
      <c r="AO126" s="59">
        <f t="shared" si="90"/>
        <v>0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0</v>
      </c>
      <c r="BJ126" s="59">
        <f t="shared" si="92"/>
        <v>0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0</v>
      </c>
      <c r="CE126" s="59">
        <f t="shared" si="94"/>
        <v>0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204.10151832511235</v>
      </c>
      <c r="T127" s="59">
        <f t="shared" si="88"/>
        <v>406.96276429030371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8.4663766725983685</v>
      </c>
      <c r="AA127" s="21">
        <f>EXP(-LN(2)/25)*AA126+(1-EXP(-LN(2)/25))/(LN(2)/25)*Calculateur!V127*Calculateur!X127*VLOOKUP('Données projet'!$B$9,Paramètres!$A$1:$I$89,3,0)*0.475*44/12</f>
        <v>5.4623658064002028</v>
      </c>
      <c r="AB127" s="21">
        <f>EXP(-LN(2)/2)*AB126+(1-EXP(-LN(2)/2))/(LN(2)/2)*V127*Y127*VLOOKUP('Données projet'!$B$9,Paramètres!$A$1:$I$89,3,0)*0.475*44/12</f>
        <v>4.0811855241848399E-12</v>
      </c>
      <c r="AC127" s="22">
        <f t="shared" si="57"/>
        <v>13.928742479002654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0</v>
      </c>
      <c r="AO127" s="59">
        <f t="shared" si="90"/>
        <v>0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0</v>
      </c>
      <c r="BJ127" s="59">
        <f t="shared" si="92"/>
        <v>0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0</v>
      </c>
      <c r="CE127" s="59">
        <f t="shared" si="94"/>
        <v>0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204.10151832511235</v>
      </c>
      <c r="T128" s="59">
        <f t="shared" si="88"/>
        <v>406.96276429030371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8.3003561900285838</v>
      </c>
      <c r="AA128" s="21">
        <f>EXP(-LN(2)/25)*AA127+(1-EXP(-LN(2)/25))/(LN(2)/25)*Calculateur!V128*Calculateur!X128*VLOOKUP('Données projet'!$B$9,Paramètres!$A$1:$I$89,3,0)*0.475*44/12</f>
        <v>5.3129971261708562</v>
      </c>
      <c r="AB128" s="21">
        <f>EXP(-LN(2)/2)*AB127+(1-EXP(-LN(2)/2))/(LN(2)/2)*V128*Y128*VLOOKUP('Données projet'!$B$9,Paramètres!$A$1:$I$89,3,0)*0.475*44/12</f>
        <v>2.8858339594314749E-12</v>
      </c>
      <c r="AC128" s="22">
        <f t="shared" si="57"/>
        <v>13.613353316202327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0</v>
      </c>
      <c r="AO128" s="59">
        <f t="shared" si="90"/>
        <v>0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0</v>
      </c>
      <c r="BJ128" s="59">
        <f t="shared" si="92"/>
        <v>0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0</v>
      </c>
      <c r="CE128" s="59">
        <f t="shared" si="94"/>
        <v>0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204.10151832511235</v>
      </c>
      <c r="T129" s="59">
        <f t="shared" si="88"/>
        <v>406.96276429030371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8.1375912678594968</v>
      </c>
      <c r="AA129" s="21">
        <f>EXP(-LN(2)/25)*AA128+(1-EXP(-LN(2)/25))/(LN(2)/25)*Calculateur!V129*Calculateur!X129*VLOOKUP('Données projet'!$B$9,Paramètres!$A$1:$I$89,3,0)*0.475*44/12</f>
        <v>5.1677129403573385</v>
      </c>
      <c r="AB129" s="21">
        <f>EXP(-LN(2)/2)*AB128+(1-EXP(-LN(2)/2))/(LN(2)/2)*V129*Y129*VLOOKUP('Données projet'!$B$9,Paramètres!$A$1:$I$89,3,0)*0.475*44/12</f>
        <v>2.04059276209242E-12</v>
      </c>
      <c r="AC129" s="22">
        <f t="shared" si="57"/>
        <v>13.305304208218876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0</v>
      </c>
      <c r="AO129" s="59">
        <f t="shared" si="90"/>
        <v>0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0</v>
      </c>
      <c r="BJ129" s="59">
        <f t="shared" si="92"/>
        <v>0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0</v>
      </c>
      <c r="CE129" s="59">
        <f t="shared" si="94"/>
        <v>0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204.10151832511235</v>
      </c>
      <c r="T130" s="59">
        <f t="shared" si="88"/>
        <v>406.96276429030371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7.9780180665373468</v>
      </c>
      <c r="AA130" s="21">
        <f>EXP(-LN(2)/25)*AA129+(1-EXP(-LN(2)/25))/(LN(2)/25)*Calculateur!V130*Calculateur!X130*VLOOKUP('Données projet'!$B$9,Paramètres!$A$1:$I$89,3,0)*0.475*44/12</f>
        <v>5.0264015582450545</v>
      </c>
      <c r="AB130" s="21">
        <f>EXP(-LN(2)/2)*AB129+(1-EXP(-LN(2)/2))/(LN(2)/2)*V130*Y130*VLOOKUP('Données projet'!$B$9,Paramètres!$A$1:$I$89,3,0)*0.475*44/12</f>
        <v>1.4429169797157374E-12</v>
      </c>
      <c r="AC130" s="22">
        <f t="shared" si="57"/>
        <v>13.004419624783843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0</v>
      </c>
      <c r="AO130" s="59">
        <f t="shared" si="90"/>
        <v>0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0</v>
      </c>
      <c r="BJ130" s="59">
        <f t="shared" si="92"/>
        <v>0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0</v>
      </c>
      <c r="CE130" s="59">
        <f t="shared" si="94"/>
        <v>0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204.10151832511235</v>
      </c>
      <c r="T131" s="59">
        <f t="shared" si="88"/>
        <v>406.96276429030371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7.8215739983630819</v>
      </c>
      <c r="AA131" s="21">
        <f>EXP(-LN(2)/25)*AA130+(1-EXP(-LN(2)/25))/(LN(2)/25)*Calculateur!V131*Calculateur!X131*VLOOKUP('Données projet'!$B$9,Paramètres!$A$1:$I$89,3,0)*0.475*44/12</f>
        <v>4.8889543433078737</v>
      </c>
      <c r="AB131" s="21">
        <f>EXP(-LN(2)/2)*AB130+(1-EXP(-LN(2)/2))/(LN(2)/2)*V131*Y131*VLOOKUP('Données projet'!$B$9,Paramètres!$A$1:$I$89,3,0)*0.475*44/12</f>
        <v>1.02029638104621E-12</v>
      </c>
      <c r="AC131" s="22">
        <f t="shared" si="57"/>
        <v>12.710528341671974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0</v>
      </c>
      <c r="AO131" s="59">
        <f t="shared" si="90"/>
        <v>0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0</v>
      </c>
      <c r="BJ131" s="59">
        <f t="shared" si="92"/>
        <v>0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0</v>
      </c>
      <c r="CE131" s="59">
        <f t="shared" si="94"/>
        <v>0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204.10151832511235</v>
      </c>
      <c r="T132" s="59">
        <f t="shared" si="88"/>
        <v>406.96276429030371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7.6681977029442541</v>
      </c>
      <c r="AA132" s="21">
        <f>EXP(-LN(2)/25)*AA131+(1-EXP(-LN(2)/25))/(LN(2)/25)*Calculateur!V132*Calculateur!X132*VLOOKUP('Données projet'!$B$9,Paramètres!$A$1:$I$89,3,0)*0.475*44/12</f>
        <v>4.755265629691185</v>
      </c>
      <c r="AB132" s="21">
        <f>EXP(-LN(2)/2)*AB131+(1-EXP(-LN(2)/2))/(LN(2)/2)*V132*Y132*VLOOKUP('Données projet'!$B$9,Paramètres!$A$1:$I$89,3,0)*0.475*44/12</f>
        <v>7.2145848985786872E-13</v>
      </c>
      <c r="AC132" s="22">
        <f t="shared" ref="AC132:AC153" si="111">SUM(Z132:AB132)</f>
        <v>12.42346333263616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0</v>
      </c>
      <c r="AO132" s="59">
        <f t="shared" si="90"/>
        <v>0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0</v>
      </c>
      <c r="BJ132" s="59">
        <f t="shared" si="92"/>
        <v>0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0</v>
      </c>
      <c r="CE132" s="59">
        <f t="shared" si="94"/>
        <v>0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204.10151832511235</v>
      </c>
      <c r="T133" s="59">
        <f t="shared" ref="T133:T196" si="142">$T$3</f>
        <v>406.96276429030371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7.5178290231282867</v>
      </c>
      <c r="AA133" s="21">
        <f>EXP(-LN(2)/25)*AA132+(1-EXP(-LN(2)/25))/(LN(2)/25)*Calculateur!V133*Calculateur!X133*VLOOKUP('Données projet'!$B$9,Paramètres!$A$1:$I$89,3,0)*0.475*44/12</f>
        <v>4.6252326409787283</v>
      </c>
      <c r="AB133" s="21">
        <f>EXP(-LN(2)/2)*AB132+(1-EXP(-LN(2)/2))/(LN(2)/2)*V133*Y133*VLOOKUP('Données projet'!$B$9,Paramètres!$A$1:$I$89,3,0)*0.475*44/12</f>
        <v>5.1014819052310499E-13</v>
      </c>
      <c r="AC133" s="22">
        <f t="shared" si="111"/>
        <v>12.143061664107526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0</v>
      </c>
      <c r="AO133" s="59">
        <f t="shared" ref="AO133:AO196" si="144">$AO$3</f>
        <v>0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0</v>
      </c>
      <c r="BJ133" s="59">
        <f t="shared" ref="BJ133:BJ196" si="146">$BJ$3</f>
        <v>0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0</v>
      </c>
      <c r="CE133" s="59">
        <f t="shared" ref="CE133:CE196" si="148">$CE$3</f>
        <v>0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204.10151832511235</v>
      </c>
      <c r="T134" s="59">
        <f t="shared" si="142"/>
        <v>406.96276429030371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7.3704089814076719</v>
      </c>
      <c r="AA134" s="21">
        <f>EXP(-LN(2)/25)*AA133+(1-EXP(-LN(2)/25))/(LN(2)/25)*Calculateur!V134*Calculateur!X134*VLOOKUP('Données projet'!$B$9,Paramètres!$A$1:$I$89,3,0)*0.475*44/12</f>
        <v>4.4987554111807517</v>
      </c>
      <c r="AB134" s="21">
        <f>EXP(-LN(2)/2)*AB133+(1-EXP(-LN(2)/2))/(LN(2)/2)*V134*Y134*VLOOKUP('Données projet'!$B$9,Paramètres!$A$1:$I$89,3,0)*0.475*44/12</f>
        <v>3.6072924492893436E-13</v>
      </c>
      <c r="AC134" s="22">
        <f t="shared" si="111"/>
        <v>11.869164392588784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0</v>
      </c>
      <c r="AO134" s="59">
        <f t="shared" si="144"/>
        <v>0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0</v>
      </c>
      <c r="BJ134" s="59">
        <f t="shared" si="146"/>
        <v>0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0</v>
      </c>
      <c r="CE134" s="59">
        <f t="shared" si="148"/>
        <v>0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204.10151832511235</v>
      </c>
      <c r="T135" s="59">
        <f t="shared" si="142"/>
        <v>406.96276429030371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7.2258797567878519</v>
      </c>
      <c r="AA135" s="21">
        <f>EXP(-LN(2)/25)*AA134+(1-EXP(-LN(2)/25))/(LN(2)/25)*Calculateur!V135*Calculateur!X135*VLOOKUP('Données projet'!$B$9,Paramètres!$A$1:$I$89,3,0)*0.475*44/12</f>
        <v>4.3757367078827487</v>
      </c>
      <c r="AB135" s="21">
        <f>EXP(-LN(2)/2)*AB134+(1-EXP(-LN(2)/2))/(LN(2)/2)*V135*Y135*VLOOKUP('Données projet'!$B$9,Paramètres!$A$1:$I$89,3,0)*0.475*44/12</f>
        <v>2.5507409526155249E-13</v>
      </c>
      <c r="AC135" s="22">
        <f t="shared" si="111"/>
        <v>11.601616464670856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0</v>
      </c>
      <c r="AO135" s="59">
        <f t="shared" si="144"/>
        <v>0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0</v>
      </c>
      <c r="BJ135" s="59">
        <f t="shared" si="146"/>
        <v>0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0</v>
      </c>
      <c r="CE135" s="59">
        <f t="shared" si="148"/>
        <v>0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204.10151832511235</v>
      </c>
      <c r="T136" s="59">
        <f t="shared" si="142"/>
        <v>406.96276429030371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7.0841846621087043</v>
      </c>
      <c r="AA136" s="21">
        <f>EXP(-LN(2)/25)*AA135+(1-EXP(-LN(2)/25))/(LN(2)/25)*Calculateur!V136*Calculateur!X136*VLOOKUP('Données projet'!$B$9,Paramètres!$A$1:$I$89,3,0)*0.475*44/12</f>
        <v>4.2560819574957023</v>
      </c>
      <c r="AB136" s="21">
        <f>EXP(-LN(2)/2)*AB135+(1-EXP(-LN(2)/2))/(LN(2)/2)*V136*Y136*VLOOKUP('Données projet'!$B$9,Paramètres!$A$1:$I$89,3,0)*0.475*44/12</f>
        <v>1.8036462246446718E-13</v>
      </c>
      <c r="AC136" s="22">
        <f t="shared" si="111"/>
        <v>11.340266619604588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0</v>
      </c>
      <c r="AO136" s="59">
        <f t="shared" si="144"/>
        <v>0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0</v>
      </c>
      <c r="BJ136" s="59">
        <f t="shared" si="146"/>
        <v>0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0</v>
      </c>
      <c r="CE136" s="59">
        <f t="shared" si="148"/>
        <v>0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204.10151832511235</v>
      </c>
      <c r="T137" s="59">
        <f t="shared" si="142"/>
        <v>406.96276429030371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6.9452681218107406</v>
      </c>
      <c r="AA137" s="21">
        <f>EXP(-LN(2)/25)*AA136+(1-EXP(-LN(2)/25))/(LN(2)/25)*Calculateur!V137*Calculateur!X137*VLOOKUP('Données projet'!$B$9,Paramètres!$A$1:$I$89,3,0)*0.475*44/12</f>
        <v>4.1396991725503591</v>
      </c>
      <c r="AB137" s="21">
        <f>EXP(-LN(2)/2)*AB136+(1-EXP(-LN(2)/2))/(LN(2)/2)*V137*Y137*VLOOKUP('Données projet'!$B$9,Paramètres!$A$1:$I$89,3,0)*0.475*44/12</f>
        <v>1.2753704763077625E-13</v>
      </c>
      <c r="AC137" s="22">
        <f t="shared" si="111"/>
        <v>11.084967294361228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0</v>
      </c>
      <c r="AO137" s="59">
        <f t="shared" si="144"/>
        <v>0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0</v>
      </c>
      <c r="BJ137" s="59">
        <f t="shared" si="146"/>
        <v>0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0</v>
      </c>
      <c r="CE137" s="59">
        <f t="shared" si="148"/>
        <v>0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204.10151832511235</v>
      </c>
      <c r="T138" s="59">
        <f t="shared" si="142"/>
        <v>406.96276429030371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6.8090756501372969</v>
      </c>
      <c r="AA138" s="21">
        <f>EXP(-LN(2)/25)*AA137+(1-EXP(-LN(2)/25))/(LN(2)/25)*Calculateur!V138*Calculateur!X138*VLOOKUP('Données projet'!$B$9,Paramètres!$A$1:$I$89,3,0)*0.475*44/12</f>
        <v>4.0264988809796511</v>
      </c>
      <c r="AB138" s="21">
        <f>EXP(-LN(2)/2)*AB137+(1-EXP(-LN(2)/2))/(LN(2)/2)*V138*Y138*VLOOKUP('Données projet'!$B$9,Paramètres!$A$1:$I$89,3,0)*0.475*44/12</f>
        <v>9.018231123223359E-14</v>
      </c>
      <c r="AC138" s="22">
        <f t="shared" si="111"/>
        <v>10.835574531117038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0</v>
      </c>
      <c r="AO138" s="59">
        <f t="shared" si="144"/>
        <v>0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0</v>
      </c>
      <c r="BJ138" s="59">
        <f t="shared" si="146"/>
        <v>0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0</v>
      </c>
      <c r="CE138" s="59">
        <f t="shared" si="148"/>
        <v>0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204.10151832511235</v>
      </c>
      <c r="T139" s="59">
        <f t="shared" si="142"/>
        <v>406.96276429030371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6.6755538297641639</v>
      </c>
      <c r="AA139" s="21">
        <f>EXP(-LN(2)/25)*AA138+(1-EXP(-LN(2)/25))/(LN(2)/25)*Calculateur!V139*Calculateur!X139*VLOOKUP('Données projet'!$B$9,Paramètres!$A$1:$I$89,3,0)*0.475*44/12</f>
        <v>3.9163940573348892</v>
      </c>
      <c r="AB139" s="21">
        <f>EXP(-LN(2)/2)*AB138+(1-EXP(-LN(2)/2))/(LN(2)/2)*V139*Y139*VLOOKUP('Données projet'!$B$9,Paramètres!$A$1:$I$89,3,0)*0.475*44/12</f>
        <v>6.3768523815388123E-14</v>
      </c>
      <c r="AC139" s="22">
        <f t="shared" si="111"/>
        <v>10.591947887099117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0</v>
      </c>
      <c r="AO139" s="59">
        <f t="shared" si="144"/>
        <v>0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0</v>
      </c>
      <c r="BJ139" s="59">
        <f t="shared" si="146"/>
        <v>0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0</v>
      </c>
      <c r="CE139" s="59">
        <f t="shared" si="148"/>
        <v>0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204.10151832511235</v>
      </c>
      <c r="T140" s="59">
        <f t="shared" si="142"/>
        <v>406.96276429030371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6.5446502908482795</v>
      </c>
      <c r="AA140" s="21">
        <f>EXP(-LN(2)/25)*AA139+(1-EXP(-LN(2)/25))/(LN(2)/25)*Calculateur!V140*Calculateur!X140*VLOOKUP('Données projet'!$B$9,Paramètres!$A$1:$I$89,3,0)*0.475*44/12</f>
        <v>3.8093000558828543</v>
      </c>
      <c r="AB140" s="21">
        <f>EXP(-LN(2)/2)*AB139+(1-EXP(-LN(2)/2))/(LN(2)/2)*V140*Y140*VLOOKUP('Données projet'!$B$9,Paramètres!$A$1:$I$89,3,0)*0.475*44/12</f>
        <v>4.5091155616116795E-14</v>
      </c>
      <c r="AC140" s="22">
        <f t="shared" si="111"/>
        <v>10.353950346731178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0</v>
      </c>
      <c r="AO140" s="59">
        <f t="shared" si="144"/>
        <v>0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0</v>
      </c>
      <c r="BJ140" s="59">
        <f t="shared" si="146"/>
        <v>0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0</v>
      </c>
      <c r="CE140" s="59">
        <f t="shared" si="148"/>
        <v>0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204.10151832511235</v>
      </c>
      <c r="T141" s="59">
        <f t="shared" si="142"/>
        <v>406.96276429030371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6.4163136904872609</v>
      </c>
      <c r="AA141" s="21">
        <f>EXP(-LN(2)/25)*AA140+(1-EXP(-LN(2)/25))/(LN(2)/25)*Calculateur!V141*Calculateur!X141*VLOOKUP('Données projet'!$B$9,Paramètres!$A$1:$I$89,3,0)*0.475*44/12</f>
        <v>3.7051345455323541</v>
      </c>
      <c r="AB141" s="21">
        <f>EXP(-LN(2)/2)*AB140+(1-EXP(-LN(2)/2))/(LN(2)/2)*V141*Y141*VLOOKUP('Données projet'!$B$9,Paramètres!$A$1:$I$89,3,0)*0.475*44/12</f>
        <v>3.1884261907694062E-14</v>
      </c>
      <c r="AC141" s="22">
        <f t="shared" si="111"/>
        <v>10.121448236019647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0</v>
      </c>
      <c r="AO141" s="59">
        <f t="shared" si="144"/>
        <v>0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0</v>
      </c>
      <c r="BJ141" s="59">
        <f t="shared" si="146"/>
        <v>0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0</v>
      </c>
      <c r="CE141" s="59">
        <f t="shared" si="148"/>
        <v>0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204.10151832511235</v>
      </c>
      <c r="T142" s="59">
        <f t="shared" si="142"/>
        <v>406.96276429030371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6.2904936925817241</v>
      </c>
      <c r="AA142" s="21">
        <f>EXP(-LN(2)/25)*AA141+(1-EXP(-LN(2)/25))/(LN(2)/25)*Calculateur!V142*Calculateur!X142*VLOOKUP('Données projet'!$B$9,Paramètres!$A$1:$I$89,3,0)*0.475*44/12</f>
        <v>3.6038174465402144</v>
      </c>
      <c r="AB142" s="21">
        <f>EXP(-LN(2)/2)*AB141+(1-EXP(-LN(2)/2))/(LN(2)/2)*V142*Y142*VLOOKUP('Données projet'!$B$9,Paramètres!$A$1:$I$89,3,0)*0.475*44/12</f>
        <v>2.2545577808058397E-14</v>
      </c>
      <c r="AC142" s="22">
        <f t="shared" si="111"/>
        <v>9.894311139121962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0</v>
      </c>
      <c r="AO142" s="59">
        <f t="shared" si="144"/>
        <v>0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0</v>
      </c>
      <c r="BJ142" s="59">
        <f t="shared" si="146"/>
        <v>0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0</v>
      </c>
      <c r="CE142" s="59">
        <f t="shared" si="148"/>
        <v>0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204.10151832511235</v>
      </c>
      <c r="T143" s="59">
        <f t="shared" si="142"/>
        <v>406.96276429030371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6.1671409480924941</v>
      </c>
      <c r="AA143" s="21">
        <f>EXP(-LN(2)/25)*AA142+(1-EXP(-LN(2)/25))/(LN(2)/25)*Calculateur!V143*Calculateur!X143*VLOOKUP('Données projet'!$B$9,Paramètres!$A$1:$I$89,3,0)*0.475*44/12</f>
        <v>3.5052708689480494</v>
      </c>
      <c r="AB143" s="21">
        <f>EXP(-LN(2)/2)*AB142+(1-EXP(-LN(2)/2))/(LN(2)/2)*V143*Y143*VLOOKUP('Données projet'!$B$9,Paramètres!$A$1:$I$89,3,0)*0.475*44/12</f>
        <v>1.5942130953847031E-14</v>
      </c>
      <c r="AC143" s="22">
        <f t="shared" si="111"/>
        <v>9.67241181704056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0</v>
      </c>
      <c r="AO143" s="59">
        <f t="shared" si="144"/>
        <v>0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0</v>
      </c>
      <c r="BJ143" s="59">
        <f t="shared" si="146"/>
        <v>0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0</v>
      </c>
      <c r="CE143" s="59">
        <f t="shared" si="148"/>
        <v>0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204.10151832511235</v>
      </c>
      <c r="T144" s="59">
        <f t="shared" si="142"/>
        <v>406.96276429030371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6.0462070756849533</v>
      </c>
      <c r="AA144" s="21">
        <f>EXP(-LN(2)/25)*AA143+(1-EXP(-LN(2)/25))/(LN(2)/25)*Calculateur!V144*Calculateur!X144*VLOOKUP('Données projet'!$B$9,Paramètres!$A$1:$I$89,3,0)*0.475*44/12</f>
        <v>3.4094190527024812</v>
      </c>
      <c r="AB144" s="21">
        <f>EXP(-LN(2)/2)*AB143+(1-EXP(-LN(2)/2))/(LN(2)/2)*V144*Y144*VLOOKUP('Données projet'!$B$9,Paramètres!$A$1:$I$89,3,0)*0.475*44/12</f>
        <v>1.1272788904029199E-14</v>
      </c>
      <c r="AC144" s="22">
        <f t="shared" si="111"/>
        <v>9.4556261283874452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0</v>
      </c>
      <c r="AO144" s="59">
        <f t="shared" si="144"/>
        <v>0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0</v>
      </c>
      <c r="BJ144" s="59">
        <f t="shared" si="146"/>
        <v>0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0</v>
      </c>
      <c r="CE144" s="59">
        <f t="shared" si="148"/>
        <v>0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204.10151832511235</v>
      </c>
      <c r="T145" s="59">
        <f t="shared" si="142"/>
        <v>406.96276429030371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5.927644642752945</v>
      </c>
      <c r="AA145" s="21">
        <f>EXP(-LN(2)/25)*AA144+(1-EXP(-LN(2)/25))/(LN(2)/25)*Calculateur!V145*Calculateur!X145*VLOOKUP('Données projet'!$B$9,Paramètres!$A$1:$I$89,3,0)*0.475*44/12</f>
        <v>3.3161883094127762</v>
      </c>
      <c r="AB145" s="21">
        <f>EXP(-LN(2)/2)*AB144+(1-EXP(-LN(2)/2))/(LN(2)/2)*V145*Y145*VLOOKUP('Données projet'!$B$9,Paramètres!$A$1:$I$89,3,0)*0.475*44/12</f>
        <v>7.9710654769235154E-15</v>
      </c>
      <c r="AC145" s="22">
        <f t="shared" si="111"/>
        <v>9.2438329521657288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0</v>
      </c>
      <c r="AO145" s="59">
        <f t="shared" si="144"/>
        <v>0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0</v>
      </c>
      <c r="BJ145" s="59">
        <f t="shared" si="146"/>
        <v>0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0</v>
      </c>
      <c r="CE145" s="59">
        <f t="shared" si="148"/>
        <v>0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204.10151832511235</v>
      </c>
      <c r="T146" s="59">
        <f t="shared" si="142"/>
        <v>406.96276429030371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5.8114071468147905</v>
      </c>
      <c r="AA146" s="21">
        <f>EXP(-LN(2)/25)*AA145+(1-EXP(-LN(2)/25))/(LN(2)/25)*Calculateur!V146*Calculateur!X146*VLOOKUP('Données projet'!$B$9,Paramètres!$A$1:$I$89,3,0)*0.475*44/12</f>
        <v>3.2255069657011197</v>
      </c>
      <c r="AB146" s="21">
        <f>EXP(-LN(2)/2)*AB145+(1-EXP(-LN(2)/2))/(LN(2)/2)*V146*Y146*VLOOKUP('Données projet'!$B$9,Paramètres!$A$1:$I$89,3,0)*0.475*44/12</f>
        <v>5.6363944520145993E-15</v>
      </c>
      <c r="AC146" s="22">
        <f t="shared" si="111"/>
        <v>9.036914112515916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0</v>
      </c>
      <c r="AO146" s="59">
        <f t="shared" si="144"/>
        <v>0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0</v>
      </c>
      <c r="BJ146" s="59">
        <f t="shared" si="146"/>
        <v>0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0</v>
      </c>
      <c r="CE146" s="59">
        <f t="shared" si="148"/>
        <v>0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204.10151832511235</v>
      </c>
      <c r="T147" s="59">
        <f t="shared" si="142"/>
        <v>406.96276429030371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5.6974489972741109</v>
      </c>
      <c r="AA147" s="21">
        <f>EXP(-LN(2)/25)*AA146+(1-EXP(-LN(2)/25))/(LN(2)/25)*Calculateur!V147*Calculateur!X147*VLOOKUP('Données projet'!$B$9,Paramètres!$A$1:$I$89,3,0)*0.475*44/12</f>
        <v>3.1373053081019835</v>
      </c>
      <c r="AB147" s="21">
        <f>EXP(-LN(2)/2)*AB146+(1-EXP(-LN(2)/2))/(LN(2)/2)*V147*Y147*VLOOKUP('Données projet'!$B$9,Paramètres!$A$1:$I$89,3,0)*0.475*44/12</f>
        <v>3.9855327384617577E-15</v>
      </c>
      <c r="AC147" s="22">
        <f t="shared" si="111"/>
        <v>8.834754305376098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0</v>
      </c>
      <c r="AO147" s="59">
        <f t="shared" si="144"/>
        <v>0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0</v>
      </c>
      <c r="BJ147" s="59">
        <f t="shared" si="146"/>
        <v>0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0</v>
      </c>
      <c r="CE147" s="59">
        <f t="shared" si="148"/>
        <v>0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204.10151832511235</v>
      </c>
      <c r="T148" s="59">
        <f t="shared" si="142"/>
        <v>406.96276429030371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5.5857254975383164</v>
      </c>
      <c r="AA148" s="21">
        <f>EXP(-LN(2)/25)*AA147+(1-EXP(-LN(2)/25))/(LN(2)/25)*Calculateur!V148*Calculateur!X148*VLOOKUP('Données projet'!$B$9,Paramètres!$A$1:$I$89,3,0)*0.475*44/12</f>
        <v>3.0515155294682188</v>
      </c>
      <c r="AB148" s="21">
        <f>EXP(-LN(2)/2)*AB147+(1-EXP(-LN(2)/2))/(LN(2)/2)*V148*Y148*VLOOKUP('Données projet'!$B$9,Paramètres!$A$1:$I$89,3,0)*0.475*44/12</f>
        <v>2.8181972260072997E-15</v>
      </c>
      <c r="AC148" s="22">
        <f t="shared" si="111"/>
        <v>8.6372410270065387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0</v>
      </c>
      <c r="AO148" s="59">
        <f t="shared" si="144"/>
        <v>0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0</v>
      </c>
      <c r="BJ148" s="59">
        <f t="shared" si="146"/>
        <v>0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0</v>
      </c>
      <c r="CE148" s="59">
        <f t="shared" si="148"/>
        <v>0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204.10151832511235</v>
      </c>
      <c r="T149" s="59">
        <f t="shared" si="142"/>
        <v>406.96276429030371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5.4761928274877345</v>
      </c>
      <c r="AA149" s="21">
        <f>EXP(-LN(2)/25)*AA148+(1-EXP(-LN(2)/25))/(LN(2)/25)*Calculateur!V149*Calculateur!X149*VLOOKUP('Données projet'!$B$9,Paramètres!$A$1:$I$89,3,0)*0.475*44/12</f>
        <v>2.9680716768426829</v>
      </c>
      <c r="AB149" s="21">
        <f>EXP(-LN(2)/2)*AB148+(1-EXP(-LN(2)/2))/(LN(2)/2)*V149*Y149*VLOOKUP('Données projet'!$B$9,Paramètres!$A$1:$I$89,3,0)*0.475*44/12</f>
        <v>1.9927663692308789E-15</v>
      </c>
      <c r="AC149" s="22">
        <f t="shared" si="111"/>
        <v>8.4442645043304196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0</v>
      </c>
      <c r="AO149" s="59">
        <f t="shared" si="144"/>
        <v>0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0</v>
      </c>
      <c r="BJ149" s="59">
        <f t="shared" si="146"/>
        <v>0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0</v>
      </c>
      <c r="CE149" s="59">
        <f t="shared" si="148"/>
        <v>0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204.10151832511235</v>
      </c>
      <c r="T150" s="59">
        <f t="shared" si="142"/>
        <v>406.96276429030371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5.3688080262885123</v>
      </c>
      <c r="AA150" s="21">
        <f>EXP(-LN(2)/25)*AA149+(1-EXP(-LN(2)/25))/(LN(2)/25)*Calculateur!V150*Calculateur!X150*VLOOKUP('Données projet'!$B$9,Paramètres!$A$1:$I$89,3,0)*0.475*44/12</f>
        <v>2.8869096007553137</v>
      </c>
      <c r="AB150" s="21">
        <f>EXP(-LN(2)/2)*AB149+(1-EXP(-LN(2)/2))/(LN(2)/2)*V150*Y150*VLOOKUP('Données projet'!$B$9,Paramètres!$A$1:$I$89,3,0)*0.475*44/12</f>
        <v>1.4090986130036498E-15</v>
      </c>
      <c r="AC150" s="22">
        <f t="shared" si="111"/>
        <v>8.2557176270438273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0</v>
      </c>
      <c r="AO150" s="59">
        <f t="shared" si="144"/>
        <v>0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0</v>
      </c>
      <c r="BJ150" s="59">
        <f t="shared" si="146"/>
        <v>0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0</v>
      </c>
      <c r="CE150" s="59">
        <f t="shared" si="148"/>
        <v>0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204.10151832511235</v>
      </c>
      <c r="T151" s="59">
        <f t="shared" si="142"/>
        <v>406.96276429030371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5.2635289755425454</v>
      </c>
      <c r="AA151" s="21">
        <f>EXP(-LN(2)/25)*AA150+(1-EXP(-LN(2)/25))/(LN(2)/25)*Calculateur!V151*Calculateur!X151*VLOOKUP('Données projet'!$B$9,Paramètres!$A$1:$I$89,3,0)*0.475*44/12</f>
        <v>2.8079669059066816</v>
      </c>
      <c r="AB151" s="21">
        <f>EXP(-LN(2)/2)*AB150+(1-EXP(-LN(2)/2))/(LN(2)/2)*V151*Y151*VLOOKUP('Données projet'!$B$9,Paramètres!$A$1:$I$89,3,0)*0.475*44/12</f>
        <v>9.9638318461543943E-16</v>
      </c>
      <c r="AC151" s="22">
        <f t="shared" si="111"/>
        <v>8.0714958814492288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0</v>
      </c>
      <c r="AO151" s="59">
        <f t="shared" si="144"/>
        <v>0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0</v>
      </c>
      <c r="BJ151" s="59">
        <f t="shared" si="146"/>
        <v>0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0</v>
      </c>
      <c r="CE151" s="59">
        <f t="shared" si="148"/>
        <v>0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204.10151832511235</v>
      </c>
      <c r="T152" s="59">
        <f t="shared" si="142"/>
        <v>406.96276429030371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5.1603143827678268</v>
      </c>
      <c r="AA152" s="21">
        <f>EXP(-LN(2)/25)*AA151+(1-EXP(-LN(2)/25))/(LN(2)/25)*Calculateur!V152*Calculateur!X152*VLOOKUP('Données projet'!$B$9,Paramètres!$A$1:$I$89,3,0)*0.475*44/12</f>
        <v>2.7311829032001014</v>
      </c>
      <c r="AB152" s="21">
        <f>EXP(-LN(2)/2)*AB151+(1-EXP(-LN(2)/2))/(LN(2)/2)*V152*Y152*VLOOKUP('Données projet'!$B$9,Paramètres!$A$1:$I$89,3,0)*0.475*44/12</f>
        <v>7.0454930650182492E-16</v>
      </c>
      <c r="AC152" s="22">
        <f t="shared" si="111"/>
        <v>7.8914972859679287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0</v>
      </c>
      <c r="AO152" s="59">
        <f t="shared" si="144"/>
        <v>0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0</v>
      </c>
      <c r="BJ152" s="59">
        <f t="shared" si="146"/>
        <v>0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0</v>
      </c>
      <c r="CE152" s="59">
        <f t="shared" si="148"/>
        <v>0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204.10151832511235</v>
      </c>
      <c r="T153" s="59">
        <f t="shared" si="142"/>
        <v>406.96276429030371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5.0591237652027354</v>
      </c>
      <c r="AA153" s="21">
        <f>EXP(-LN(2)/25)*AA152+(1-EXP(-LN(2)/25))/(LN(2)/25)*Calculateur!V153*Calculateur!X153*VLOOKUP('Données projet'!$B$9,Paramètres!$A$1:$I$89,3,0)*0.475*44/12</f>
        <v>2.6564985630854281</v>
      </c>
      <c r="AB153" s="21">
        <f>EXP(-LN(2)/2)*AB152+(1-EXP(-LN(2)/2))/(LN(2)/2)*V153*Y153*VLOOKUP('Données projet'!$B$9,Paramètres!$A$1:$I$89,3,0)*0.475*44/12</f>
        <v>4.9819159230771971E-16</v>
      </c>
      <c r="AC153" s="22">
        <f t="shared" si="111"/>
        <v>7.7156223282881644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0</v>
      </c>
      <c r="AO153" s="59">
        <f t="shared" si="144"/>
        <v>0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0</v>
      </c>
      <c r="BJ153" s="59">
        <f t="shared" si="146"/>
        <v>0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0</v>
      </c>
      <c r="CE153" s="59">
        <f t="shared" si="148"/>
        <v>0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204.10151832511235</v>
      </c>
      <c r="T154" s="59">
        <f t="shared" si="142"/>
        <v>406.96276429030371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4.9599174339279131</v>
      </c>
      <c r="AA154" s="21">
        <f>EXP(-LN(2)/25)*AA153+(1-EXP(-LN(2)/25))/(LN(2)/25)*Calculateur!V154*Calculateur!X154*VLOOKUP('Données projet'!$B$9,Paramètres!$A$1:$I$89,3,0)*0.475*44/12</f>
        <v>2.5838564701786693</v>
      </c>
      <c r="AB154" s="21">
        <f>EXP(-LN(2)/2)*AB153+(1-EXP(-LN(2)/2))/(LN(2)/2)*V154*Y154*VLOOKUP('Données projet'!$B$9,Paramètres!$A$1:$I$89,3,0)*0.475*44/12</f>
        <v>3.5227465325091246E-16</v>
      </c>
      <c r="AC154" s="22">
        <f t="shared" ref="AC154:AC203" si="163">SUM(Z154:AB154)</f>
        <v>7.5437739041065823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0</v>
      </c>
      <c r="AO154" s="59">
        <f t="shared" si="144"/>
        <v>0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0</v>
      </c>
      <c r="BJ154" s="59">
        <f t="shared" si="146"/>
        <v>0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0</v>
      </c>
      <c r="CE154" s="59">
        <f t="shared" si="148"/>
        <v>0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204.10151832511235</v>
      </c>
      <c r="T155" s="59">
        <f t="shared" si="142"/>
        <v>406.96276429030371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4.8626564782995025</v>
      </c>
      <c r="AA155" s="21">
        <f>EXP(-LN(2)/25)*AA154+(1-EXP(-LN(2)/25))/(LN(2)/25)*Calculateur!V155*Calculateur!X155*VLOOKUP('Données projet'!$B$9,Paramètres!$A$1:$I$89,3,0)*0.475*44/12</f>
        <v>2.5132007791225273</v>
      </c>
      <c r="AB155" s="21">
        <f>EXP(-LN(2)/2)*AB154+(1-EXP(-LN(2)/2))/(LN(2)/2)*V155*Y155*VLOOKUP('Données projet'!$B$9,Paramètres!$A$1:$I$89,3,0)*0.475*44/12</f>
        <v>2.4909579615385986E-16</v>
      </c>
      <c r="AC155" s="22">
        <f t="shared" si="163"/>
        <v>7.3758572574220302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0</v>
      </c>
      <c r="AO155" s="59">
        <f t="shared" si="144"/>
        <v>0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0</v>
      </c>
      <c r="BJ155" s="59">
        <f t="shared" si="146"/>
        <v>0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0</v>
      </c>
      <c r="CE155" s="59">
        <f t="shared" si="148"/>
        <v>0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204.10151832511235</v>
      </c>
      <c r="T156" s="59">
        <f t="shared" si="142"/>
        <v>406.96276429030371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4.76730275068764</v>
      </c>
      <c r="AA156" s="21">
        <f>EXP(-LN(2)/25)*AA155+(1-EXP(-LN(2)/25))/(LN(2)/25)*Calculateur!V156*Calculateur!X156*VLOOKUP('Données projet'!$B$9,Paramètres!$A$1:$I$89,3,0)*0.475*44/12</f>
        <v>2.4444771716539369</v>
      </c>
      <c r="AB156" s="21">
        <f>EXP(-LN(2)/2)*AB155+(1-EXP(-LN(2)/2))/(LN(2)/2)*V156*Y156*VLOOKUP('Données projet'!$B$9,Paramètres!$A$1:$I$89,3,0)*0.475*44/12</f>
        <v>1.7613732662545623E-16</v>
      </c>
      <c r="AC156" s="22">
        <f t="shared" si="163"/>
        <v>7.2117799223415773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0</v>
      </c>
      <c r="AO156" s="59">
        <f t="shared" si="144"/>
        <v>0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0</v>
      </c>
      <c r="BJ156" s="59">
        <f t="shared" si="146"/>
        <v>0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0</v>
      </c>
      <c r="CE156" s="59">
        <f t="shared" si="148"/>
        <v>0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204.10151832511235</v>
      </c>
      <c r="T157" s="59">
        <f t="shared" si="142"/>
        <v>406.96276429030371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4.6738188515142154</v>
      </c>
      <c r="AA157" s="21">
        <f>EXP(-LN(2)/25)*AA156+(1-EXP(-LN(2)/25))/(LN(2)/25)*Calculateur!V157*Calculateur!X157*VLOOKUP('Données projet'!$B$9,Paramètres!$A$1:$I$89,3,0)*0.475*44/12</f>
        <v>2.3776328148455925</v>
      </c>
      <c r="AB157" s="21">
        <f>EXP(-LN(2)/2)*AB156+(1-EXP(-LN(2)/2))/(LN(2)/2)*V157*Y157*VLOOKUP('Données projet'!$B$9,Paramètres!$A$1:$I$89,3,0)*0.475*44/12</f>
        <v>1.2454789807692993E-16</v>
      </c>
      <c r="AC157" s="22">
        <f t="shared" si="163"/>
        <v>7.0514516663598084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0</v>
      </c>
      <c r="AO157" s="59">
        <f t="shared" si="144"/>
        <v>0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0</v>
      </c>
      <c r="BJ157" s="59">
        <f t="shared" si="146"/>
        <v>0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0</v>
      </c>
      <c r="CE157" s="59">
        <f t="shared" si="148"/>
        <v>0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204.10151832511235</v>
      </c>
      <c r="T158" s="59">
        <f t="shared" si="142"/>
        <v>406.96276429030371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4.5821681145840332</v>
      </c>
      <c r="AA158" s="21">
        <f>EXP(-LN(2)/25)*AA157+(1-EXP(-LN(2)/25))/(LN(2)/25)*Calculateur!V158*Calculateur!X158*VLOOKUP('Données projet'!$B$9,Paramètres!$A$1:$I$89,3,0)*0.475*44/12</f>
        <v>2.3126163204893642</v>
      </c>
      <c r="AB158" s="21">
        <f>EXP(-LN(2)/2)*AB157+(1-EXP(-LN(2)/2))/(LN(2)/2)*V158*Y158*VLOOKUP('Données projet'!$B$9,Paramètres!$A$1:$I$89,3,0)*0.475*44/12</f>
        <v>8.8068663312728115E-17</v>
      </c>
      <c r="AC158" s="22">
        <f t="shared" si="163"/>
        <v>6.8947844350733973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0</v>
      </c>
      <c r="AO158" s="59">
        <f t="shared" si="144"/>
        <v>0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0</v>
      </c>
      <c r="BJ158" s="59">
        <f t="shared" si="146"/>
        <v>0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0</v>
      </c>
      <c r="CE158" s="59">
        <f t="shared" si="148"/>
        <v>0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204.10151832511235</v>
      </c>
      <c r="T159" s="59">
        <f t="shared" si="142"/>
        <v>406.96276429030371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4.4923145927036217</v>
      </c>
      <c r="AA159" s="21">
        <f>EXP(-LN(2)/25)*AA158+(1-EXP(-LN(2)/25))/(LN(2)/25)*Calculateur!V159*Calculateur!X159*VLOOKUP('Données projet'!$B$9,Paramètres!$A$1:$I$89,3,0)*0.475*44/12</f>
        <v>2.2493777055903759</v>
      </c>
      <c r="AB159" s="21">
        <f>EXP(-LN(2)/2)*AB158+(1-EXP(-LN(2)/2))/(LN(2)/2)*V159*Y159*VLOOKUP('Données projet'!$B$9,Paramètres!$A$1:$I$89,3,0)*0.475*44/12</f>
        <v>6.2273949038464964E-17</v>
      </c>
      <c r="AC159" s="22">
        <f t="shared" si="163"/>
        <v>6.741692298293998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0</v>
      </c>
      <c r="AO159" s="59">
        <f t="shared" si="144"/>
        <v>0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0</v>
      </c>
      <c r="BJ159" s="59">
        <f t="shared" si="146"/>
        <v>0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0</v>
      </c>
      <c r="CE159" s="59">
        <f t="shared" si="148"/>
        <v>0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204.10151832511235</v>
      </c>
      <c r="T160" s="59">
        <f t="shared" si="142"/>
        <v>406.96276429030371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4.4042230435820482</v>
      </c>
      <c r="AA160" s="21">
        <f>EXP(-LN(2)/25)*AA159+(1-EXP(-LN(2)/25))/(LN(2)/25)*Calculateur!V160*Calculateur!X160*VLOOKUP('Données projet'!$B$9,Paramètres!$A$1:$I$89,3,0)*0.475*44/12</f>
        <v>2.1878683539413744</v>
      </c>
      <c r="AB160" s="21">
        <f>EXP(-LN(2)/2)*AB159+(1-EXP(-LN(2)/2))/(LN(2)/2)*V160*Y160*VLOOKUP('Données projet'!$B$9,Paramètres!$A$1:$I$89,3,0)*0.475*44/12</f>
        <v>4.4034331656364057E-17</v>
      </c>
      <c r="AC160" s="22">
        <f t="shared" si="163"/>
        <v>6.5920913975234221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0</v>
      </c>
      <c r="AO160" s="59">
        <f t="shared" si="144"/>
        <v>0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0</v>
      </c>
      <c r="BJ160" s="59">
        <f t="shared" si="146"/>
        <v>0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0</v>
      </c>
      <c r="CE160" s="59">
        <f t="shared" si="148"/>
        <v>0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204.10151832511235</v>
      </c>
      <c r="T161" s="59">
        <f t="shared" si="142"/>
        <v>406.96276429030371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4.3178589160082099</v>
      </c>
      <c r="AA161" s="21">
        <f>EXP(-LN(2)/25)*AA160+(1-EXP(-LN(2)/25))/(LN(2)/25)*Calculateur!V161*Calculateur!X161*VLOOKUP('Données projet'!$B$9,Paramètres!$A$1:$I$89,3,0)*0.475*44/12</f>
        <v>2.1280409787478511</v>
      </c>
      <c r="AB161" s="21">
        <f>EXP(-LN(2)/2)*AB160+(1-EXP(-LN(2)/2))/(LN(2)/2)*V161*Y161*VLOOKUP('Données projet'!$B$9,Paramètres!$A$1:$I$89,3,0)*0.475*44/12</f>
        <v>3.1136974519232482E-17</v>
      </c>
      <c r="AC161" s="22">
        <f t="shared" si="163"/>
        <v>6.4458998947560611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0</v>
      </c>
      <c r="AO161" s="59">
        <f t="shared" si="144"/>
        <v>0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0</v>
      </c>
      <c r="BJ161" s="59">
        <f t="shared" si="146"/>
        <v>0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0</v>
      </c>
      <c r="CE161" s="59">
        <f t="shared" si="148"/>
        <v>0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204.10151832511235</v>
      </c>
      <c r="T162" s="59">
        <f t="shared" si="142"/>
        <v>406.96276429030371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4.233188336299178</v>
      </c>
      <c r="AA162" s="21">
        <f>EXP(-LN(2)/25)*AA161+(1-EXP(-LN(2)/25))/(LN(2)/25)*Calculateur!V162*Calculateur!X162*VLOOKUP('Données projet'!$B$9,Paramètres!$A$1:$I$89,3,0)*0.475*44/12</f>
        <v>2.0698495862751796</v>
      </c>
      <c r="AB162" s="21">
        <f>EXP(-LN(2)/2)*AB161+(1-EXP(-LN(2)/2))/(LN(2)/2)*V162*Y162*VLOOKUP('Données projet'!$B$9,Paramètres!$A$1:$I$89,3,0)*0.475*44/12</f>
        <v>2.2017165828182029E-17</v>
      </c>
      <c r="AC162" s="22">
        <f t="shared" si="163"/>
        <v>6.303037922574358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0</v>
      </c>
      <c r="AO162" s="59">
        <f t="shared" si="144"/>
        <v>0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0</v>
      </c>
      <c r="BJ162" s="59">
        <f t="shared" si="146"/>
        <v>0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0</v>
      </c>
      <c r="CE162" s="59">
        <f t="shared" si="148"/>
        <v>0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204.10151832511235</v>
      </c>
      <c r="T163" s="59">
        <f t="shared" si="142"/>
        <v>406.96276429030371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4.1501780950142857</v>
      </c>
      <c r="AA163" s="21">
        <f>EXP(-LN(2)/25)*AA162+(1-EXP(-LN(2)/25))/(LN(2)/25)*Calculateur!V163*Calculateur!X163*VLOOKUP('Données projet'!$B$9,Paramètres!$A$1:$I$89,3,0)*0.475*44/12</f>
        <v>2.0132494404898256</v>
      </c>
      <c r="AB163" s="21">
        <f>EXP(-LN(2)/2)*AB162+(1-EXP(-LN(2)/2))/(LN(2)/2)*V163*Y163*VLOOKUP('Données projet'!$B$9,Paramètres!$A$1:$I$89,3,0)*0.475*44/12</f>
        <v>1.5568487259616241E-17</v>
      </c>
      <c r="AC163" s="22">
        <f t="shared" si="163"/>
        <v>6.1634275355041108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0</v>
      </c>
      <c r="AO163" s="59">
        <f t="shared" si="144"/>
        <v>0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0</v>
      </c>
      <c r="BJ163" s="59">
        <f t="shared" si="146"/>
        <v>0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0</v>
      </c>
      <c r="CE163" s="59">
        <f t="shared" si="148"/>
        <v>0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204.10151832511235</v>
      </c>
      <c r="T164" s="59">
        <f t="shared" si="142"/>
        <v>406.96276429030371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4.0687956339297422</v>
      </c>
      <c r="AA164" s="21">
        <f>EXP(-LN(2)/25)*AA163+(1-EXP(-LN(2)/25))/(LN(2)/25)*Calculateur!V164*Calculateur!X164*VLOOKUP('Données projet'!$B$9,Paramètres!$A$1:$I$89,3,0)*0.475*44/12</f>
        <v>1.9581970286674446</v>
      </c>
      <c r="AB164" s="21">
        <f>EXP(-LN(2)/2)*AB163+(1-EXP(-LN(2)/2))/(LN(2)/2)*V164*Y164*VLOOKUP('Données projet'!$B$9,Paramètres!$A$1:$I$89,3,0)*0.475*44/12</f>
        <v>1.1008582914091014E-17</v>
      </c>
      <c r="AC164" s="22">
        <f t="shared" si="163"/>
        <v>6.0269926625971868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0</v>
      </c>
      <c r="AO164" s="59">
        <f t="shared" si="144"/>
        <v>0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0</v>
      </c>
      <c r="BJ164" s="59">
        <f t="shared" si="146"/>
        <v>0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0</v>
      </c>
      <c r="CE164" s="59">
        <f t="shared" si="148"/>
        <v>0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204.10151832511235</v>
      </c>
      <c r="T165" s="59">
        <f t="shared" si="142"/>
        <v>406.96276429030371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3.9890090332686672</v>
      </c>
      <c r="AA165" s="21">
        <f>EXP(-LN(2)/25)*AA164+(1-EXP(-LN(2)/25))/(LN(2)/25)*Calculateur!V165*Calculateur!X165*VLOOKUP('Données projet'!$B$9,Paramètres!$A$1:$I$89,3,0)*0.475*44/12</f>
        <v>1.9046500279414271</v>
      </c>
      <c r="AB165" s="21">
        <f>EXP(-LN(2)/2)*AB164+(1-EXP(-LN(2)/2))/(LN(2)/2)*V165*Y165*VLOOKUP('Données projet'!$B$9,Paramètres!$A$1:$I$89,3,0)*0.475*44/12</f>
        <v>7.7842436298081205E-18</v>
      </c>
      <c r="AC165" s="22">
        <f t="shared" si="163"/>
        <v>5.8936590612100943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0</v>
      </c>
      <c r="AO165" s="59">
        <f t="shared" si="144"/>
        <v>0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0</v>
      </c>
      <c r="BJ165" s="59">
        <f t="shared" si="146"/>
        <v>0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0</v>
      </c>
      <c r="CE165" s="59">
        <f t="shared" si="148"/>
        <v>0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204.10151832511235</v>
      </c>
      <c r="T166" s="59">
        <f t="shared" si="142"/>
        <v>406.96276429030371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3.9107869991815347</v>
      </c>
      <c r="AA166" s="21">
        <f>EXP(-LN(2)/25)*AA165+(1-EXP(-LN(2)/25))/(LN(2)/25)*Calculateur!V166*Calculateur!X166*VLOOKUP('Données projet'!$B$9,Paramètres!$A$1:$I$89,3,0)*0.475*44/12</f>
        <v>1.8525672727661771</v>
      </c>
      <c r="AB166" s="21">
        <f>EXP(-LN(2)/2)*AB165+(1-EXP(-LN(2)/2))/(LN(2)/2)*V166*Y166*VLOOKUP('Données projet'!$B$9,Paramètres!$A$1:$I$89,3,0)*0.475*44/12</f>
        <v>5.5042914570455072E-18</v>
      </c>
      <c r="AC166" s="22">
        <f t="shared" si="163"/>
        <v>5.763354271947712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0</v>
      </c>
      <c r="AO166" s="59">
        <f t="shared" si="144"/>
        <v>0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0</v>
      </c>
      <c r="BJ166" s="59">
        <f t="shared" si="146"/>
        <v>0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0</v>
      </c>
      <c r="CE166" s="59">
        <f t="shared" si="148"/>
        <v>0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204.10151832511235</v>
      </c>
      <c r="T167" s="59">
        <f t="shared" si="142"/>
        <v>406.96276429030371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3.8340988514721213</v>
      </c>
      <c r="AA167" s="21">
        <f>EXP(-LN(2)/25)*AA166+(1-EXP(-LN(2)/25))/(LN(2)/25)*Calculateur!V167*Calculateur!X167*VLOOKUP('Données projet'!$B$9,Paramètres!$A$1:$I$89,3,0)*0.475*44/12</f>
        <v>1.8019087232701072</v>
      </c>
      <c r="AB167" s="21">
        <f>EXP(-LN(2)/2)*AB166+(1-EXP(-LN(2)/2))/(LN(2)/2)*V167*Y167*VLOOKUP('Données projet'!$B$9,Paramètres!$A$1:$I$89,3,0)*0.475*44/12</f>
        <v>3.8921218149040603E-18</v>
      </c>
      <c r="AC167" s="22">
        <f t="shared" si="163"/>
        <v>5.6360075747422282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0</v>
      </c>
      <c r="AO167" s="59">
        <f t="shared" si="144"/>
        <v>0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0</v>
      </c>
      <c r="BJ167" s="59">
        <f t="shared" si="146"/>
        <v>0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0</v>
      </c>
      <c r="CE167" s="59">
        <f t="shared" si="148"/>
        <v>0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204.10151832511235</v>
      </c>
      <c r="T168" s="59">
        <f t="shared" si="142"/>
        <v>406.96276429030371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3.758914511564138</v>
      </c>
      <c r="AA168" s="21">
        <f>EXP(-LN(2)/25)*AA167+(1-EXP(-LN(2)/25))/(LN(2)/25)*Calculateur!V168*Calculateur!X168*VLOOKUP('Données projet'!$B$9,Paramètres!$A$1:$I$89,3,0)*0.475*44/12</f>
        <v>1.7526354344740247</v>
      </c>
      <c r="AB168" s="21">
        <f>EXP(-LN(2)/2)*AB167+(1-EXP(-LN(2)/2))/(LN(2)/2)*V168*Y168*VLOOKUP('Données projet'!$B$9,Paramètres!$A$1:$I$89,3,0)*0.475*44/12</f>
        <v>2.7521457285227536E-18</v>
      </c>
      <c r="AC168" s="22">
        <f t="shared" si="163"/>
        <v>5.511549946038163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0</v>
      </c>
      <c r="AO168" s="59">
        <f t="shared" si="144"/>
        <v>0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0</v>
      </c>
      <c r="BJ168" s="59">
        <f t="shared" si="146"/>
        <v>0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0</v>
      </c>
      <c r="CE168" s="59">
        <f t="shared" si="148"/>
        <v>0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204.10151832511235</v>
      </c>
      <c r="T169" s="59">
        <f t="shared" si="142"/>
        <v>406.96276429030371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3.685204490703831</v>
      </c>
      <c r="AA169" s="21">
        <f>EXP(-LN(2)/25)*AA168+(1-EXP(-LN(2)/25))/(LN(2)/25)*Calculateur!V169*Calculateur!X169*VLOOKUP('Données projet'!$B$9,Paramètres!$A$1:$I$89,3,0)*0.475*44/12</f>
        <v>1.7047095263512406</v>
      </c>
      <c r="AB169" s="21">
        <f>EXP(-LN(2)/2)*AB168+(1-EXP(-LN(2)/2))/(LN(2)/2)*V169*Y169*VLOOKUP('Données projet'!$B$9,Paramètres!$A$1:$I$89,3,0)*0.475*44/12</f>
        <v>1.9460609074520301E-18</v>
      </c>
      <c r="AC169" s="22">
        <f t="shared" si="163"/>
        <v>5.3899140170550712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0</v>
      </c>
      <c r="AO169" s="59">
        <f t="shared" si="144"/>
        <v>0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0</v>
      </c>
      <c r="BJ169" s="59">
        <f t="shared" si="146"/>
        <v>0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0</v>
      </c>
      <c r="CE169" s="59">
        <f t="shared" si="148"/>
        <v>0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204.10151832511235</v>
      </c>
      <c r="T170" s="59">
        <f t="shared" si="142"/>
        <v>406.96276429030371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3.6129398783939211</v>
      </c>
      <c r="AA170" s="21">
        <f>EXP(-LN(2)/25)*AA169+(1-EXP(-LN(2)/25))/(LN(2)/25)*Calculateur!V170*Calculateur!X170*VLOOKUP('Données projet'!$B$9,Paramètres!$A$1:$I$89,3,0)*0.475*44/12</f>
        <v>1.6580941547063881</v>
      </c>
      <c r="AB170" s="21">
        <f>EXP(-LN(2)/2)*AB169+(1-EXP(-LN(2)/2))/(LN(2)/2)*V170*Y170*VLOOKUP('Données projet'!$B$9,Paramètres!$A$1:$I$89,3,0)*0.475*44/12</f>
        <v>1.3760728642613768E-18</v>
      </c>
      <c r="AC170" s="22">
        <f t="shared" si="163"/>
        <v>5.2710340331003094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0</v>
      </c>
      <c r="AO170" s="59">
        <f t="shared" si="144"/>
        <v>0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0</v>
      </c>
      <c r="BJ170" s="59">
        <f t="shared" si="146"/>
        <v>0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0</v>
      </c>
      <c r="CE170" s="59">
        <f t="shared" si="148"/>
        <v>0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204.10151832511235</v>
      </c>
      <c r="T171" s="59">
        <f t="shared" si="142"/>
        <v>406.96276429030371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3.5420923310543473</v>
      </c>
      <c r="AA171" s="21">
        <f>EXP(-LN(2)/25)*AA170+(1-EXP(-LN(2)/25))/(LN(2)/25)*Calculateur!V171*Calculateur!X171*VLOOKUP('Données projet'!$B$9,Paramètres!$A$1:$I$89,3,0)*0.475*44/12</f>
        <v>1.6127534828505599</v>
      </c>
      <c r="AB171" s="21">
        <f>EXP(-LN(2)/2)*AB170+(1-EXP(-LN(2)/2))/(LN(2)/2)*V171*Y171*VLOOKUP('Données projet'!$B$9,Paramètres!$A$1:$I$89,3,0)*0.475*44/12</f>
        <v>9.7303045372601507E-19</v>
      </c>
      <c r="AC171" s="22">
        <f t="shared" si="163"/>
        <v>5.1548458139049069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0</v>
      </c>
      <c r="AO171" s="59">
        <f t="shared" si="144"/>
        <v>0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0</v>
      </c>
      <c r="BJ171" s="59">
        <f t="shared" si="146"/>
        <v>0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0</v>
      </c>
      <c r="CE171" s="59">
        <f t="shared" si="148"/>
        <v>0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204.10151832511235</v>
      </c>
      <c r="T172" s="59">
        <f t="shared" si="142"/>
        <v>406.96276429030371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3.4726340609053654</v>
      </c>
      <c r="AA172" s="21">
        <f>EXP(-LN(2)/25)*AA171+(1-EXP(-LN(2)/25))/(LN(2)/25)*Calculateur!V172*Calculateur!X172*VLOOKUP('Données projet'!$B$9,Paramètres!$A$1:$I$89,3,0)*0.475*44/12</f>
        <v>1.5686526540509917</v>
      </c>
      <c r="AB172" s="21">
        <f>EXP(-LN(2)/2)*AB171+(1-EXP(-LN(2)/2))/(LN(2)/2)*V172*Y172*VLOOKUP('Données projet'!$B$9,Paramètres!$A$1:$I$89,3,0)*0.475*44/12</f>
        <v>6.880364321306884E-19</v>
      </c>
      <c r="AC172" s="22">
        <f t="shared" si="163"/>
        <v>5.0412867149563567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0</v>
      </c>
      <c r="AO172" s="59">
        <f t="shared" si="144"/>
        <v>0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0</v>
      </c>
      <c r="BJ172" s="59">
        <f t="shared" si="146"/>
        <v>0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0</v>
      </c>
      <c r="CE172" s="59">
        <f t="shared" si="148"/>
        <v>0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204.10151832511235</v>
      </c>
      <c r="T173" s="59">
        <f t="shared" si="142"/>
        <v>406.96276429030371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3.4045378250686436</v>
      </c>
      <c r="AA173" s="21">
        <f>EXP(-LN(2)/25)*AA172+(1-EXP(-LN(2)/25))/(LN(2)/25)*Calculateur!V173*Calculateur!X173*VLOOKUP('Données projet'!$B$9,Paramètres!$A$1:$I$89,3,0)*0.475*44/12</f>
        <v>1.5257577647341094</v>
      </c>
      <c r="AB173" s="21">
        <f>EXP(-LN(2)/2)*AB172+(1-EXP(-LN(2)/2))/(LN(2)/2)*V173*Y173*VLOOKUP('Données projet'!$B$9,Paramètres!$A$1:$I$89,3,0)*0.475*44/12</f>
        <v>4.8651522686300753E-19</v>
      </c>
      <c r="AC173" s="22">
        <f t="shared" si="163"/>
        <v>4.9302955898027534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0</v>
      </c>
      <c r="AO173" s="59">
        <f t="shared" si="144"/>
        <v>0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0</v>
      </c>
      <c r="BJ173" s="59">
        <f t="shared" si="146"/>
        <v>0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0</v>
      </c>
      <c r="CE173" s="59">
        <f t="shared" si="148"/>
        <v>0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204.10151832511235</v>
      </c>
      <c r="T174" s="59">
        <f t="shared" si="142"/>
        <v>406.96276429030371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3.3377769148820771</v>
      </c>
      <c r="AA174" s="21">
        <f>EXP(-LN(2)/25)*AA173+(1-EXP(-LN(2)/25))/(LN(2)/25)*Calculateur!V174*Calculateur!X174*VLOOKUP('Données projet'!$B$9,Paramètres!$A$1:$I$89,3,0)*0.475*44/12</f>
        <v>1.4840358384213415</v>
      </c>
      <c r="AB174" s="21">
        <f>EXP(-LN(2)/2)*AB173+(1-EXP(-LN(2)/2))/(LN(2)/2)*V174*Y174*VLOOKUP('Données projet'!$B$9,Paramètres!$A$1:$I$89,3,0)*0.475*44/12</f>
        <v>3.440182160653442E-19</v>
      </c>
      <c r="AC174" s="22">
        <f t="shared" si="163"/>
        <v>4.8218127533034183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0</v>
      </c>
      <c r="AO174" s="59">
        <f t="shared" si="144"/>
        <v>0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0</v>
      </c>
      <c r="BJ174" s="59">
        <f t="shared" si="146"/>
        <v>0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0</v>
      </c>
      <c r="CE174" s="59">
        <f t="shared" si="148"/>
        <v>0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204.10151832511235</v>
      </c>
      <c r="T175" s="59">
        <f t="shared" si="142"/>
        <v>406.96276429030371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3.2723251454241349</v>
      </c>
      <c r="AA175" s="21">
        <f>EXP(-LN(2)/25)*AA174+(1-EXP(-LN(2)/25))/(LN(2)/25)*Calculateur!V175*Calculateur!X175*VLOOKUP('Données projet'!$B$9,Paramètres!$A$1:$I$89,3,0)*0.475*44/12</f>
        <v>1.4434548003776568</v>
      </c>
      <c r="AB175" s="21">
        <f>EXP(-LN(2)/2)*AB174+(1-EXP(-LN(2)/2))/(LN(2)/2)*V175*Y175*VLOOKUP('Données projet'!$B$9,Paramètres!$A$1:$I$89,3,0)*0.475*44/12</f>
        <v>2.4325761343150377E-19</v>
      </c>
      <c r="AC175" s="22">
        <f t="shared" si="163"/>
        <v>4.7157799458017919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0</v>
      </c>
      <c r="AO175" s="59">
        <f t="shared" si="144"/>
        <v>0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0</v>
      </c>
      <c r="BJ175" s="59">
        <f t="shared" si="146"/>
        <v>0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0</v>
      </c>
      <c r="CE175" s="59">
        <f t="shared" si="148"/>
        <v>0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204.10151832511235</v>
      </c>
      <c r="T176" s="59">
        <f t="shared" si="142"/>
        <v>406.96276429030371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3.2081568452436255</v>
      </c>
      <c r="AA176" s="21">
        <f>EXP(-LN(2)/25)*AA175+(1-EXP(-LN(2)/25))/(LN(2)/25)*Calculateur!V176*Calculateur!X176*VLOOKUP('Données projet'!$B$9,Paramètres!$A$1:$I$89,3,0)*0.475*44/12</f>
        <v>1.4039834529533408</v>
      </c>
      <c r="AB176" s="21">
        <f>EXP(-LN(2)/2)*AB175+(1-EXP(-LN(2)/2))/(LN(2)/2)*V176*Y176*VLOOKUP('Données projet'!$B$9,Paramètres!$A$1:$I$89,3,0)*0.475*44/12</f>
        <v>1.720091080326721E-19</v>
      </c>
      <c r="AC176" s="22">
        <f t="shared" si="163"/>
        <v>4.6121402981969659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0</v>
      </c>
      <c r="AO176" s="59">
        <f t="shared" si="144"/>
        <v>0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0</v>
      </c>
      <c r="BJ176" s="59">
        <f t="shared" si="146"/>
        <v>0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0</v>
      </c>
      <c r="CE176" s="59">
        <f t="shared" si="148"/>
        <v>0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204.10151832511235</v>
      </c>
      <c r="T177" s="59">
        <f t="shared" si="142"/>
        <v>406.96276429030371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3.1452468462908576</v>
      </c>
      <c r="AA177" s="21">
        <f>EXP(-LN(2)/25)*AA176+(1-EXP(-LN(2)/25))/(LN(2)/25)*Calculateur!V177*Calculateur!X177*VLOOKUP('Données projet'!$B$9,Paramètres!$A$1:$I$89,3,0)*0.475*44/12</f>
        <v>1.3655914516000507</v>
      </c>
      <c r="AB177" s="21">
        <f>EXP(-LN(2)/2)*AB176+(1-EXP(-LN(2)/2))/(LN(2)/2)*V177*Y177*VLOOKUP('Données projet'!$B$9,Paramètres!$A$1:$I$89,3,0)*0.475*44/12</f>
        <v>1.2162880671575188E-19</v>
      </c>
      <c r="AC177" s="22">
        <f t="shared" si="163"/>
        <v>4.5108382978909081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0</v>
      </c>
      <c r="AO177" s="59">
        <f t="shared" si="144"/>
        <v>0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0</v>
      </c>
      <c r="BJ177" s="59">
        <f t="shared" si="146"/>
        <v>0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0</v>
      </c>
      <c r="CE177" s="59">
        <f t="shared" si="148"/>
        <v>0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204.10151832511235</v>
      </c>
      <c r="T178" s="59">
        <f t="shared" si="142"/>
        <v>406.96276429030371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3.0835704740462426</v>
      </c>
      <c r="AA178" s="21">
        <f>EXP(-LN(2)/25)*AA177+(1-EXP(-LN(2)/25))/(LN(2)/25)*Calculateur!V178*Calculateur!X178*VLOOKUP('Données projet'!$B$9,Paramètres!$A$1:$I$89,3,0)*0.475*44/12</f>
        <v>1.328249281542714</v>
      </c>
      <c r="AB178" s="21">
        <f>EXP(-LN(2)/2)*AB177+(1-EXP(-LN(2)/2))/(LN(2)/2)*V178*Y178*VLOOKUP('Données projet'!$B$9,Paramètres!$A$1:$I$89,3,0)*0.475*44/12</f>
        <v>8.600455401633605E-20</v>
      </c>
      <c r="AC178" s="22">
        <f t="shared" si="163"/>
        <v>4.4118197555889562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0</v>
      </c>
      <c r="AO178" s="59">
        <f t="shared" si="144"/>
        <v>0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0</v>
      </c>
      <c r="BJ178" s="59">
        <f t="shared" si="146"/>
        <v>0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0</v>
      </c>
      <c r="CE178" s="59">
        <f t="shared" si="148"/>
        <v>0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204.10151832511235</v>
      </c>
      <c r="T179" s="59">
        <f t="shared" si="142"/>
        <v>406.96276429030371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3.0231035378424722</v>
      </c>
      <c r="AA179" s="21">
        <f>EXP(-LN(2)/25)*AA178+(1-EXP(-LN(2)/25))/(LN(2)/25)*Calculateur!V179*Calculateur!X179*VLOOKUP('Données projet'!$B$9,Paramètres!$A$1:$I$89,3,0)*0.475*44/12</f>
        <v>1.2919282350893346</v>
      </c>
      <c r="AB179" s="21">
        <f>EXP(-LN(2)/2)*AB178+(1-EXP(-LN(2)/2))/(LN(2)/2)*V179*Y179*VLOOKUP('Données projet'!$B$9,Paramètres!$A$1:$I$89,3,0)*0.475*44/12</f>
        <v>6.0814403357875942E-20</v>
      </c>
      <c r="AC179" s="22">
        <f t="shared" si="163"/>
        <v>4.3150317729318068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0</v>
      </c>
      <c r="AO179" s="59">
        <f t="shared" si="144"/>
        <v>0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0</v>
      </c>
      <c r="BJ179" s="59">
        <f t="shared" si="146"/>
        <v>0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0</v>
      </c>
      <c r="CE179" s="59">
        <f t="shared" si="148"/>
        <v>0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204.10151832511235</v>
      </c>
      <c r="T180" s="59">
        <f t="shared" si="142"/>
        <v>406.96276429030371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2.9638223213764685</v>
      </c>
      <c r="AA180" s="21">
        <f>EXP(-LN(2)/25)*AA179+(1-EXP(-LN(2)/25))/(LN(2)/25)*Calculateur!V180*Calculateur!X180*VLOOKUP('Données projet'!$B$9,Paramètres!$A$1:$I$89,3,0)*0.475*44/12</f>
        <v>1.2566003895612636</v>
      </c>
      <c r="AB180" s="21">
        <f>EXP(-LN(2)/2)*AB179+(1-EXP(-LN(2)/2))/(LN(2)/2)*V180*Y180*VLOOKUP('Données projet'!$B$9,Paramètres!$A$1:$I$89,3,0)*0.475*44/12</f>
        <v>4.3002277008168025E-20</v>
      </c>
      <c r="AC180" s="22">
        <f t="shared" si="163"/>
        <v>4.2204227109377319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0</v>
      </c>
      <c r="AO180" s="59">
        <f t="shared" si="144"/>
        <v>0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0</v>
      </c>
      <c r="BJ180" s="59">
        <f t="shared" si="146"/>
        <v>0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0</v>
      </c>
      <c r="CE180" s="59">
        <f t="shared" si="148"/>
        <v>0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204.10151832511235</v>
      </c>
      <c r="T181" s="59">
        <f t="shared" si="142"/>
        <v>406.96276429030371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2.9057035734073913</v>
      </c>
      <c r="AA181" s="21">
        <f>EXP(-LN(2)/25)*AA180+(1-EXP(-LN(2)/25))/(LN(2)/25)*Calculateur!V181*Calculateur!X181*VLOOKUP('Données projet'!$B$9,Paramètres!$A$1:$I$89,3,0)*0.475*44/12</f>
        <v>1.2222385858269684</v>
      </c>
      <c r="AB181" s="21">
        <f>EXP(-LN(2)/2)*AB180+(1-EXP(-LN(2)/2))/(LN(2)/2)*V181*Y181*VLOOKUP('Données projet'!$B$9,Paramètres!$A$1:$I$89,3,0)*0.475*44/12</f>
        <v>3.0407201678937971E-20</v>
      </c>
      <c r="AC181" s="22">
        <f t="shared" si="163"/>
        <v>4.1279421592343599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0</v>
      </c>
      <c r="AO181" s="59">
        <f t="shared" si="144"/>
        <v>0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0</v>
      </c>
      <c r="BJ181" s="59">
        <f t="shared" si="146"/>
        <v>0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0</v>
      </c>
      <c r="CE181" s="59">
        <f t="shared" si="148"/>
        <v>0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204.10151832511235</v>
      </c>
      <c r="T182" s="59">
        <f t="shared" si="142"/>
        <v>406.96276429030371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2.8487244986370515</v>
      </c>
      <c r="AA182" s="21">
        <f>EXP(-LN(2)/25)*AA181+(1-EXP(-LN(2)/25))/(LN(2)/25)*Calculateur!V182*Calculateur!X182*VLOOKUP('Données projet'!$B$9,Paramètres!$A$1:$I$89,3,0)*0.475*44/12</f>
        <v>1.1888164074227963</v>
      </c>
      <c r="AB182" s="21">
        <f>EXP(-LN(2)/2)*AB181+(1-EXP(-LN(2)/2))/(LN(2)/2)*V182*Y182*VLOOKUP('Données projet'!$B$9,Paramètres!$A$1:$I$89,3,0)*0.475*44/12</f>
        <v>2.1501138504084012E-20</v>
      </c>
      <c r="AC182" s="22">
        <f t="shared" si="163"/>
        <v>4.0375409060598475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0</v>
      </c>
      <c r="AO182" s="59">
        <f t="shared" si="144"/>
        <v>0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0</v>
      </c>
      <c r="BJ182" s="59">
        <f t="shared" si="146"/>
        <v>0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0</v>
      </c>
      <c r="CE182" s="59">
        <f t="shared" si="148"/>
        <v>0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204.10151832511235</v>
      </c>
      <c r="T183" s="59">
        <f t="shared" si="142"/>
        <v>406.96276429030371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2.7928627487691542</v>
      </c>
      <c r="AA183" s="21">
        <f>EXP(-LN(2)/25)*AA182+(1-EXP(-LN(2)/25))/(LN(2)/25)*Calculateur!V183*Calculateur!X183*VLOOKUP('Données projet'!$B$9,Paramètres!$A$1:$I$89,3,0)*0.475*44/12</f>
        <v>1.1563081602446821</v>
      </c>
      <c r="AB183" s="21">
        <f>EXP(-LN(2)/2)*AB182+(1-EXP(-LN(2)/2))/(LN(2)/2)*V183*Y183*VLOOKUP('Données projet'!$B$9,Paramètres!$A$1:$I$89,3,0)*0.475*44/12</f>
        <v>1.5203600839468985E-20</v>
      </c>
      <c r="AC183" s="22">
        <f t="shared" si="163"/>
        <v>3.9491709090138363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0</v>
      </c>
      <c r="AO183" s="59">
        <f t="shared" si="144"/>
        <v>0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0</v>
      </c>
      <c r="BJ183" s="59">
        <f t="shared" si="146"/>
        <v>0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0</v>
      </c>
      <c r="CE183" s="59">
        <f t="shared" si="148"/>
        <v>0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204.10151832511235</v>
      </c>
      <c r="T184" s="59">
        <f t="shared" si="142"/>
        <v>406.96276429030371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2.7380964137438633</v>
      </c>
      <c r="AA184" s="21">
        <f>EXP(-LN(2)/25)*AA183+(1-EXP(-LN(2)/25))/(LN(2)/25)*Calculateur!V184*Calculateur!X184*VLOOKUP('Données projet'!$B$9,Paramètres!$A$1:$I$89,3,0)*0.475*44/12</f>
        <v>1.1246888527951879</v>
      </c>
      <c r="AB184" s="21">
        <f>EXP(-LN(2)/2)*AB183+(1-EXP(-LN(2)/2))/(LN(2)/2)*V184*Y184*VLOOKUP('Données projet'!$B$9,Paramètres!$A$1:$I$89,3,0)*0.475*44/12</f>
        <v>1.0750569252042006E-20</v>
      </c>
      <c r="AC184" s="22">
        <f t="shared" si="163"/>
        <v>3.862785266539051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0</v>
      </c>
      <c r="AO184" s="59">
        <f t="shared" si="144"/>
        <v>0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0</v>
      </c>
      <c r="BJ184" s="59">
        <f t="shared" si="146"/>
        <v>0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0</v>
      </c>
      <c r="CE184" s="59">
        <f t="shared" si="148"/>
        <v>0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204.10151832511235</v>
      </c>
      <c r="T185" s="59">
        <f t="shared" si="142"/>
        <v>406.96276429030371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2.6844040131442526</v>
      </c>
      <c r="AA185" s="21">
        <f>EXP(-LN(2)/25)*AA184+(1-EXP(-LN(2)/25))/(LN(2)/25)*Calculateur!V185*Calculateur!X185*VLOOKUP('Données projet'!$B$9,Paramètres!$A$1:$I$89,3,0)*0.475*44/12</f>
        <v>1.0939341769706872</v>
      </c>
      <c r="AB185" s="21">
        <f>EXP(-LN(2)/2)*AB184+(1-EXP(-LN(2)/2))/(LN(2)/2)*V185*Y185*VLOOKUP('Données projet'!$B$9,Paramètres!$A$1:$I$89,3,0)*0.475*44/12</f>
        <v>7.6018004197344927E-21</v>
      </c>
      <c r="AC185" s="22">
        <f t="shared" si="163"/>
        <v>3.7783381901149395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0</v>
      </c>
      <c r="AO185" s="59">
        <f t="shared" si="144"/>
        <v>0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0</v>
      </c>
      <c r="BJ185" s="59">
        <f t="shared" si="146"/>
        <v>0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0</v>
      </c>
      <c r="CE185" s="59">
        <f t="shared" si="148"/>
        <v>0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204.10151832511235</v>
      </c>
      <c r="T186" s="59">
        <f t="shared" si="142"/>
        <v>406.96276429030371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2.6317644877712696</v>
      </c>
      <c r="AA186" s="21">
        <f>EXP(-LN(2)/25)*AA185+(1-EXP(-LN(2)/25))/(LN(2)/25)*Calculateur!V186*Calculateur!X186*VLOOKUP('Données projet'!$B$9,Paramètres!$A$1:$I$89,3,0)*0.475*44/12</f>
        <v>1.0640204893739256</v>
      </c>
      <c r="AB186" s="21">
        <f>EXP(-LN(2)/2)*AB185+(1-EXP(-LN(2)/2))/(LN(2)/2)*V186*Y186*VLOOKUP('Données projet'!$B$9,Paramètres!$A$1:$I$89,3,0)*0.475*44/12</f>
        <v>5.3752846260210031E-21</v>
      </c>
      <c r="AC186" s="22">
        <f t="shared" si="163"/>
        <v>3.6957849771451952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0</v>
      </c>
      <c r="AO186" s="59">
        <f t="shared" si="144"/>
        <v>0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0</v>
      </c>
      <c r="BJ186" s="59">
        <f t="shared" si="146"/>
        <v>0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0</v>
      </c>
      <c r="CE186" s="59">
        <f t="shared" si="148"/>
        <v>0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204.10151832511235</v>
      </c>
      <c r="T187" s="59">
        <f t="shared" si="142"/>
        <v>406.96276429030371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2.5801571913839103</v>
      </c>
      <c r="AA187" s="21">
        <f>EXP(-LN(2)/25)*AA186+(1-EXP(-LN(2)/25))/(LN(2)/25)*Calculateur!V187*Calculateur!X187*VLOOKUP('Données projet'!$B$9,Paramètres!$A$1:$I$89,3,0)*0.475*44/12</f>
        <v>1.0349247931375898</v>
      </c>
      <c r="AB187" s="21">
        <f>EXP(-LN(2)/2)*AB186+(1-EXP(-LN(2)/2))/(LN(2)/2)*V187*Y187*VLOOKUP('Données projet'!$B$9,Paramètres!$A$1:$I$89,3,0)*0.475*44/12</f>
        <v>3.8009002098672464E-21</v>
      </c>
      <c r="AC187" s="22">
        <f t="shared" si="163"/>
        <v>3.6150819845214999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0</v>
      </c>
      <c r="AO187" s="59">
        <f t="shared" si="144"/>
        <v>0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0</v>
      </c>
      <c r="BJ187" s="59">
        <f t="shared" si="146"/>
        <v>0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0</v>
      </c>
      <c r="CE187" s="59">
        <f t="shared" si="148"/>
        <v>0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204.10151832511235</v>
      </c>
      <c r="T188" s="59">
        <f t="shared" si="142"/>
        <v>406.96276429030371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2.5295618826013646</v>
      </c>
      <c r="AA188" s="21">
        <f>EXP(-LN(2)/25)*AA187+(1-EXP(-LN(2)/25))/(LN(2)/25)*Calculateur!V188*Calculateur!X188*VLOOKUP('Données projet'!$B$9,Paramètres!$A$1:$I$89,3,0)*0.475*44/12</f>
        <v>1.0066247202449128</v>
      </c>
      <c r="AB188" s="21">
        <f>EXP(-LN(2)/2)*AB187+(1-EXP(-LN(2)/2))/(LN(2)/2)*V188*Y188*VLOOKUP('Données projet'!$B$9,Paramètres!$A$1:$I$89,3,0)*0.475*44/12</f>
        <v>2.6876423130105015E-21</v>
      </c>
      <c r="AC188" s="22">
        <f t="shared" si="163"/>
        <v>3.5361866028462776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0</v>
      </c>
      <c r="AO188" s="59">
        <f t="shared" si="144"/>
        <v>0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0</v>
      </c>
      <c r="BJ188" s="59">
        <f t="shared" si="146"/>
        <v>0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0</v>
      </c>
      <c r="CE188" s="59">
        <f t="shared" si="148"/>
        <v>0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204.10151832511235</v>
      </c>
      <c r="T189" s="59">
        <f t="shared" si="142"/>
        <v>406.96276429030371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2.4799587169639534</v>
      </c>
      <c r="AA189" s="21">
        <f>EXP(-LN(2)/25)*AA188+(1-EXP(-LN(2)/25))/(LN(2)/25)*Calculateur!V189*Calculateur!X189*VLOOKUP('Données projet'!$B$9,Paramètres!$A$1:$I$89,3,0)*0.475*44/12</f>
        <v>0.9790985143337223</v>
      </c>
      <c r="AB189" s="21">
        <f>EXP(-LN(2)/2)*AB188+(1-EXP(-LN(2)/2))/(LN(2)/2)*V189*Y189*VLOOKUP('Données projet'!$B$9,Paramètres!$A$1:$I$89,3,0)*0.475*44/12</f>
        <v>1.9004501049336232E-21</v>
      </c>
      <c r="AC189" s="22">
        <f t="shared" si="163"/>
        <v>3.4590572312976757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0</v>
      </c>
      <c r="AO189" s="59">
        <f t="shared" si="144"/>
        <v>0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0</v>
      </c>
      <c r="BJ189" s="59">
        <f t="shared" si="146"/>
        <v>0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0</v>
      </c>
      <c r="CE189" s="59">
        <f t="shared" si="148"/>
        <v>0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204.10151832511235</v>
      </c>
      <c r="T190" s="59">
        <f t="shared" si="142"/>
        <v>406.96276429030371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2.4313282391497482</v>
      </c>
      <c r="AA190" s="21">
        <f>EXP(-LN(2)/25)*AA189+(1-EXP(-LN(2)/25))/(LN(2)/25)*Calculateur!V190*Calculateur!X190*VLOOKUP('Données projet'!$B$9,Paramètres!$A$1:$I$89,3,0)*0.475*44/12</f>
        <v>0.95232501397071356</v>
      </c>
      <c r="AB190" s="21">
        <f>EXP(-LN(2)/2)*AB189+(1-EXP(-LN(2)/2))/(LN(2)/2)*V190*Y190*VLOOKUP('Données projet'!$B$9,Paramètres!$A$1:$I$89,3,0)*0.475*44/12</f>
        <v>1.3438211565052508E-21</v>
      </c>
      <c r="AC190" s="22">
        <f t="shared" si="163"/>
        <v>3.3836532531204617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0</v>
      </c>
      <c r="AO190" s="59">
        <f t="shared" si="144"/>
        <v>0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0</v>
      </c>
      <c r="BJ190" s="59">
        <f t="shared" si="146"/>
        <v>0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0</v>
      </c>
      <c r="CE190" s="59">
        <f t="shared" si="148"/>
        <v>0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204.10151832511235</v>
      </c>
      <c r="T191" s="59">
        <f t="shared" si="142"/>
        <v>406.96276429030371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2.3836513753438169</v>
      </c>
      <c r="AA191" s="21">
        <f>EXP(-LN(2)/25)*AA190+(1-EXP(-LN(2)/25))/(LN(2)/25)*Calculateur!V191*Calculateur!X191*VLOOKUP('Données projet'!$B$9,Paramètres!$A$1:$I$89,3,0)*0.475*44/12</f>
        <v>0.92628363638308853</v>
      </c>
      <c r="AB191" s="21">
        <f>EXP(-LN(2)/2)*AB190+(1-EXP(-LN(2)/2))/(LN(2)/2)*V191*Y191*VLOOKUP('Données projet'!$B$9,Paramètres!$A$1:$I$89,3,0)*0.475*44/12</f>
        <v>9.5022505246681159E-22</v>
      </c>
      <c r="AC191" s="22">
        <f t="shared" si="163"/>
        <v>3.3099350117269055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0</v>
      </c>
      <c r="AO191" s="59">
        <f t="shared" si="144"/>
        <v>0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0</v>
      </c>
      <c r="BJ191" s="59">
        <f t="shared" si="146"/>
        <v>0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0</v>
      </c>
      <c r="CE191" s="59">
        <f t="shared" si="148"/>
        <v>0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204.10151832511235</v>
      </c>
      <c r="T192" s="59">
        <f t="shared" si="142"/>
        <v>406.96276429030371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2.3369094257571046</v>
      </c>
      <c r="AA192" s="21">
        <f>EXP(-LN(2)/25)*AA191+(1-EXP(-LN(2)/25))/(LN(2)/25)*Calculateur!V192*Calculateur!X192*VLOOKUP('Données projet'!$B$9,Paramètres!$A$1:$I$89,3,0)*0.475*44/12</f>
        <v>0.9009543616350536</v>
      </c>
      <c r="AB192" s="21">
        <f>EXP(-LN(2)/2)*AB191+(1-EXP(-LN(2)/2))/(LN(2)/2)*V192*Y192*VLOOKUP('Données projet'!$B$9,Paramètres!$A$1:$I$89,3,0)*0.475*44/12</f>
        <v>6.7191057825262539E-22</v>
      </c>
      <c r="AC192" s="22">
        <f t="shared" si="163"/>
        <v>3.2378637873921581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0</v>
      </c>
      <c r="AO192" s="59">
        <f t="shared" si="144"/>
        <v>0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0</v>
      </c>
      <c r="BJ192" s="59">
        <f t="shared" si="146"/>
        <v>0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0</v>
      </c>
      <c r="CE192" s="59">
        <f t="shared" si="148"/>
        <v>0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204.10151832511235</v>
      </c>
      <c r="T193" s="59">
        <f t="shared" si="142"/>
        <v>406.96276429030371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2.2910840572920135</v>
      </c>
      <c r="AA193" s="21">
        <f>EXP(-LN(2)/25)*AA192+(1-EXP(-LN(2)/25))/(LN(2)/25)*Calculateur!V193*Calculateur!X193*VLOOKUP('Données projet'!$B$9,Paramètres!$A$1:$I$89,3,0)*0.475*44/12</f>
        <v>0.87631771723701235</v>
      </c>
      <c r="AB193" s="21">
        <f>EXP(-LN(2)/2)*AB192+(1-EXP(-LN(2)/2))/(LN(2)/2)*V193*Y193*VLOOKUP('Données projet'!$B$9,Paramètres!$A$1:$I$89,3,0)*0.475*44/12</f>
        <v>4.7511252623340579E-22</v>
      </c>
      <c r="AC193" s="22">
        <f t="shared" si="163"/>
        <v>3.1674017745290257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0</v>
      </c>
      <c r="AO193" s="59">
        <f t="shared" si="144"/>
        <v>0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0</v>
      </c>
      <c r="BJ193" s="59">
        <f t="shared" si="146"/>
        <v>0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0</v>
      </c>
      <c r="CE193" s="59">
        <f t="shared" si="148"/>
        <v>0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204.10151832511235</v>
      </c>
      <c r="T194" s="59">
        <f t="shared" si="142"/>
        <v>406.96276429030371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2.2461572963518082</v>
      </c>
      <c r="AA194" s="21">
        <f>EXP(-LN(2)/25)*AA193+(1-EXP(-LN(2)/25))/(LN(2)/25)*Calculateur!V194*Calculateur!X194*VLOOKUP('Données projet'!$B$9,Paramètres!$A$1:$I$89,3,0)*0.475*44/12</f>
        <v>0.85235476317562031</v>
      </c>
      <c r="AB194" s="21">
        <f>EXP(-LN(2)/2)*AB193+(1-EXP(-LN(2)/2))/(LN(2)/2)*V194*Y194*VLOOKUP('Données projet'!$B$9,Paramètres!$A$1:$I$89,3,0)*0.475*44/12</f>
        <v>3.3595528912631269E-22</v>
      </c>
      <c r="AC194" s="22">
        <f t="shared" si="163"/>
        <v>3.0985120595274287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0</v>
      </c>
      <c r="AO194" s="59">
        <f t="shared" si="144"/>
        <v>0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0</v>
      </c>
      <c r="BJ194" s="59">
        <f t="shared" si="146"/>
        <v>0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0</v>
      </c>
      <c r="CE194" s="59">
        <f t="shared" si="148"/>
        <v>0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204.10151832511235</v>
      </c>
      <c r="T195" s="59">
        <f t="shared" si="142"/>
        <v>406.96276429030371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2.2021115217910219</v>
      </c>
      <c r="AA195" s="21">
        <f>EXP(-LN(2)/25)*AA194+(1-EXP(-LN(2)/25))/(LN(2)/25)*Calculateur!V195*Calculateur!X195*VLOOKUP('Données projet'!$B$9,Paramètres!$A$1:$I$89,3,0)*0.475*44/12</f>
        <v>0.82904707735319405</v>
      </c>
      <c r="AB195" s="21">
        <f>EXP(-LN(2)/2)*AB194+(1-EXP(-LN(2)/2))/(LN(2)/2)*V195*Y195*VLOOKUP('Données projet'!$B$9,Paramètres!$A$1:$I$89,3,0)*0.475*44/12</f>
        <v>2.375562631167029E-22</v>
      </c>
      <c r="AC195" s="22">
        <f t="shared" si="163"/>
        <v>3.031158599144216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0</v>
      </c>
      <c r="AO195" s="59">
        <f t="shared" si="144"/>
        <v>0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0</v>
      </c>
      <c r="BJ195" s="59">
        <f t="shared" si="146"/>
        <v>0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0</v>
      </c>
      <c r="CE195" s="59">
        <f t="shared" si="148"/>
        <v>0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204.10151832511235</v>
      </c>
      <c r="T196" s="59">
        <f t="shared" si="142"/>
        <v>406.96276429030371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2.1589294580041027</v>
      </c>
      <c r="AA196" s="21">
        <f>EXP(-LN(2)/25)*AA195+(1-EXP(-LN(2)/25))/(LN(2)/25)*Calculateur!V196*Calculateur!X196*VLOOKUP('Données projet'!$B$9,Paramètres!$A$1:$I$89,3,0)*0.475*44/12</f>
        <v>0.80637674142527993</v>
      </c>
      <c r="AB196" s="21">
        <f>EXP(-LN(2)/2)*AB195+(1-EXP(-LN(2)/2))/(LN(2)/2)*V196*Y196*VLOOKUP('Données projet'!$B$9,Paramètres!$A$1:$I$89,3,0)*0.475*44/12</f>
        <v>1.6797764456315635E-22</v>
      </c>
      <c r="AC196" s="22">
        <f t="shared" si="163"/>
        <v>2.9653061994293828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0</v>
      </c>
      <c r="AO196" s="59">
        <f t="shared" si="144"/>
        <v>0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0</v>
      </c>
      <c r="BJ196" s="59">
        <f t="shared" si="146"/>
        <v>0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0</v>
      </c>
      <c r="CE196" s="59">
        <f t="shared" si="148"/>
        <v>0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204.10151832511235</v>
      </c>
      <c r="T197" s="59">
        <f t="shared" ref="T197:T203" si="204">$T$3</f>
        <v>406.96276429030371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2.1165941681495868</v>
      </c>
      <c r="AA197" s="21">
        <f>EXP(-LN(2)/25)*AA196+(1-EXP(-LN(2)/25))/(LN(2)/25)*Calculateur!V197*Calculateur!X197*VLOOKUP('Données projet'!$B$9,Paramètres!$A$1:$I$89,3,0)*0.475*44/12</f>
        <v>0.78432632702549587</v>
      </c>
      <c r="AB197" s="21">
        <f>EXP(-LN(2)/2)*AB196+(1-EXP(-LN(2)/2))/(LN(2)/2)*V197*Y197*VLOOKUP('Données projet'!$B$9,Paramètres!$A$1:$I$89,3,0)*0.475*44/12</f>
        <v>1.1877813155835145E-22</v>
      </c>
      <c r="AC197" s="22">
        <f t="shared" si="163"/>
        <v>2.9009204951750824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0</v>
      </c>
      <c r="AO197" s="59">
        <f t="shared" ref="AO197:AO203" si="205">$AO$3</f>
        <v>0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0</v>
      </c>
      <c r="BJ197" s="59">
        <f t="shared" ref="BJ197:BJ203" si="206">$BJ$3</f>
        <v>0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0</v>
      </c>
      <c r="CE197" s="59">
        <f t="shared" ref="CE197:CE203" si="207">$CE$3</f>
        <v>0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204.10151832511235</v>
      </c>
      <c r="T198" s="59">
        <f t="shared" si="204"/>
        <v>406.96276429030371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2.0750890475071406</v>
      </c>
      <c r="AA198" s="21">
        <f>EXP(-LN(2)/25)*AA197+(1-EXP(-LN(2)/25))/(LN(2)/25)*Calculateur!V198*Calculateur!X198*VLOOKUP('Données projet'!$B$9,Paramètres!$A$1:$I$89,3,0)*0.475*44/12</f>
        <v>0.7628788823670547</v>
      </c>
      <c r="AB198" s="21">
        <f>EXP(-LN(2)/2)*AB197+(1-EXP(-LN(2)/2))/(LN(2)/2)*V198*Y198*VLOOKUP('Données projet'!$B$9,Paramètres!$A$1:$I$89,3,0)*0.475*44/12</f>
        <v>8.3988822281578173E-23</v>
      </c>
      <c r="AC198" s="22">
        <f t="shared" si="163"/>
        <v>2.8379679298741953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0</v>
      </c>
      <c r="AO198" s="59">
        <f t="shared" si="205"/>
        <v>0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0</v>
      </c>
      <c r="BJ198" s="59">
        <f t="shared" si="206"/>
        <v>0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0</v>
      </c>
      <c r="CE198" s="59">
        <f t="shared" si="207"/>
        <v>0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204.10151832511235</v>
      </c>
      <c r="T199" s="59">
        <f t="shared" si="204"/>
        <v>406.96276429030371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2.0343978169648693</v>
      </c>
      <c r="AA199" s="21">
        <f>EXP(-LN(2)/25)*AA198+(1-EXP(-LN(2)/25))/(LN(2)/25)*Calculateur!V199*Calculateur!X199*VLOOKUP('Données projet'!$B$9,Paramètres!$A$1:$I$89,3,0)*0.475*44/12</f>
        <v>0.74201791921067073</v>
      </c>
      <c r="AB199" s="21">
        <f>EXP(-LN(2)/2)*AB198+(1-EXP(-LN(2)/2))/(LN(2)/2)*V199*Y199*VLOOKUP('Données projet'!$B$9,Paramètres!$A$1:$I$89,3,0)*0.475*44/12</f>
        <v>5.9389065779175724E-23</v>
      </c>
      <c r="AC199" s="22">
        <f t="shared" si="163"/>
        <v>2.7764157361755402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0</v>
      </c>
      <c r="AO199" s="59">
        <f t="shared" si="205"/>
        <v>0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0</v>
      </c>
      <c r="BJ199" s="59">
        <f t="shared" si="206"/>
        <v>0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0</v>
      </c>
      <c r="CE199" s="59">
        <f t="shared" si="207"/>
        <v>0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204.10151832511235</v>
      </c>
      <c r="T200" s="59">
        <f t="shared" si="204"/>
        <v>406.96276429030371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1.9945045166343318</v>
      </c>
      <c r="AA200" s="21">
        <f>EXP(-LN(2)/25)*AA199+(1-EXP(-LN(2)/25))/(LN(2)/25)*Calculateur!V200*Calculateur!X200*VLOOKUP('Données projet'!$B$9,Paramètres!$A$1:$I$89,3,0)*0.475*44/12</f>
        <v>0.72172740018882842</v>
      </c>
      <c r="AB200" s="21">
        <f>EXP(-LN(2)/2)*AB199+(1-EXP(-LN(2)/2))/(LN(2)/2)*V200*Y200*VLOOKUP('Données projet'!$B$9,Paramètres!$A$1:$I$89,3,0)*0.475*44/12</f>
        <v>4.1994411140789087E-23</v>
      </c>
      <c r="AC200" s="22">
        <f t="shared" si="163"/>
        <v>2.7162319168231601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0</v>
      </c>
      <c r="AO200" s="59">
        <f t="shared" si="205"/>
        <v>0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0</v>
      </c>
      <c r="BJ200" s="59">
        <f t="shared" si="206"/>
        <v>0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0</v>
      </c>
      <c r="CE200" s="59">
        <f t="shared" si="207"/>
        <v>0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204.10151832511235</v>
      </c>
      <c r="T201" s="59">
        <f t="shared" si="204"/>
        <v>406.96276429030371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1.9553934995907656</v>
      </c>
      <c r="AA201" s="21">
        <f>EXP(-LN(2)/25)*AA200+(1-EXP(-LN(2)/25))/(LN(2)/25)*Calculateur!V201*Calculateur!X201*VLOOKUP('Données projet'!$B$9,Paramètres!$A$1:$I$89,3,0)*0.475*44/12</f>
        <v>0.70199172647667041</v>
      </c>
      <c r="AB201" s="21">
        <f>EXP(-LN(2)/2)*AB200+(1-EXP(-LN(2)/2))/(LN(2)/2)*V201*Y201*VLOOKUP('Données projet'!$B$9,Paramètres!$A$1:$I$89,3,0)*0.475*44/12</f>
        <v>2.9694532889587862E-23</v>
      </c>
      <c r="AC201" s="22">
        <f t="shared" si="163"/>
        <v>2.657385226067436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0</v>
      </c>
      <c r="AO201" s="59">
        <f t="shared" si="205"/>
        <v>0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0</v>
      </c>
      <c r="BJ201" s="59">
        <f t="shared" si="206"/>
        <v>0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0</v>
      </c>
      <c r="CE201" s="59">
        <f t="shared" si="207"/>
        <v>0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204.10151832511235</v>
      </c>
      <c r="T202" s="59">
        <f t="shared" si="204"/>
        <v>406.96276429030371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1.9170494257360589</v>
      </c>
      <c r="AA202" s="21">
        <f>EXP(-LN(2)/25)*AA201+(1-EXP(-LN(2)/25))/(LN(2)/25)*Calculateur!V202*Calculateur!X202*VLOOKUP('Données projet'!$B$9,Paramètres!$A$1:$I$89,3,0)*0.475*44/12</f>
        <v>0.68279572580002534</v>
      </c>
      <c r="AB202" s="21">
        <f>EXP(-LN(2)/2)*AB201+(1-EXP(-LN(2)/2))/(LN(2)/2)*V202*Y202*VLOOKUP('Données projet'!$B$9,Paramètres!$A$1:$I$89,3,0)*0.475*44/12</f>
        <v>2.0997205570394543E-23</v>
      </c>
      <c r="AC202" s="22">
        <f t="shared" si="163"/>
        <v>2.5998451515360843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0</v>
      </c>
      <c r="AO202" s="59">
        <f t="shared" si="205"/>
        <v>0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0</v>
      </c>
      <c r="BJ202" s="59">
        <f t="shared" si="206"/>
        <v>0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0</v>
      </c>
      <c r="CE202" s="59">
        <f t="shared" si="207"/>
        <v>0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204.10151832511235</v>
      </c>
      <c r="T203" s="59">
        <f t="shared" si="204"/>
        <v>406.96276429030371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1.8794572557820672</v>
      </c>
      <c r="AA203" s="21">
        <f>EXP(-LN(2)/25)*AA202+(1-EXP(-LN(2)/25))/(LN(2)/25)*Calculateur!V203*Calculateur!X203*VLOOKUP('Données projet'!$B$9,Paramètres!$A$1:$I$89,3,0)*0.475*44/12</f>
        <v>0.66412464077135702</v>
      </c>
      <c r="AB203" s="21">
        <f>EXP(-LN(2)/2)*AB202+(1-EXP(-LN(2)/2))/(LN(2)/2)*V203*Y203*VLOOKUP('Données projet'!$B$9,Paramètres!$A$1:$I$89,3,0)*0.475*44/12</f>
        <v>1.4847266444793931E-23</v>
      </c>
      <c r="AC203" s="22">
        <f t="shared" si="163"/>
        <v>2.543581896553424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0</v>
      </c>
      <c r="AO203" s="59">
        <f t="shared" si="205"/>
        <v>0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0</v>
      </c>
      <c r="BJ203" s="59">
        <f t="shared" si="206"/>
        <v>0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0</v>
      </c>
      <c r="CE203" s="59">
        <f t="shared" si="207"/>
        <v>0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1.4343388344847876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90" zoomScaleNormal="90" workbookViewId="0">
      <selection activeCell="F26" sqref="F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15.952300000000001</v>
      </c>
      <c r="C6" s="147">
        <f ca="1">IF(OR('Données projet'!B9="",'Données projet'!C9="",'Données projet'!C9=0%),0,Calculateur!S3)</f>
        <v>204.10151832511235</v>
      </c>
      <c r="D6" s="147">
        <f>IF(OR('Données projet'!B9="",'Données projet'!C9="",'Données projet'!C9=0%),0,Calculateur!T3)</f>
        <v>406.96276429030371</v>
      </c>
      <c r="E6" s="147">
        <f ca="1">MIN(C6,D6)</f>
        <v>204.10151832511235</v>
      </c>
      <c r="F6" s="147">
        <f ca="1">E6*B6</f>
        <v>3255.8886507776901</v>
      </c>
      <c r="G6" s="147">
        <f ca="1">F6*(100%-'Données projet'!$C$24)*(100%-'Données projet'!$C$25)*(100%-'Données projet'!$C$26)*(100%-'Données projet'!$C$27)</f>
        <v>2490.7548178449333</v>
      </c>
      <c r="H6" s="148">
        <f>IF(OR('Données projet'!B9="",'Données projet'!C9="",'Données projet'!C9=0%),0,AVERAGE(Calculateur!$AC$3:$AC$33)*B6)</f>
        <v>193.87943982345629</v>
      </c>
      <c r="I6" s="149">
        <f>H6*(100%-'Données projet'!$C$24)*(100%-'Données projet'!$C$25)*(100%-'Données projet'!$C$26)*(100%-'Données projet'!$C$27)</f>
        <v>148.31777146494406</v>
      </c>
      <c r="J6" s="150">
        <f>IF(OR('Données projet'!B9="",'Données projet'!C9="",'Données projet'!C9=0%),0,SUM(Calculateur!$V$3:$V$33)*VLOOKUP('Données projet'!$B$9,Paramètres!$A$1:$I$89,9,0)*B6)</f>
        <v>1091.775412</v>
      </c>
      <c r="K6" s="151">
        <f>J6*(100%-'Données projet'!$C$24)*(100%-'Données projet'!$C$25)*(100%-'Données projet'!$C$26)*(100%-'Données projet'!$C$27)</f>
        <v>835.20819017999997</v>
      </c>
      <c r="L6" s="152">
        <f ca="1">G6+I6+K6</f>
        <v>3474.2807794898772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Bouleau verruqueux</v>
      </c>
      <c r="B7" s="154">
        <f>'Données projet'!D10</f>
        <v>0.52590000000000003</v>
      </c>
      <c r="C7" s="147">
        <f ca="1"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ca="1" si="0">MIN(C7,D7)</f>
        <v>0</v>
      </c>
      <c r="F7" s="147">
        <f t="shared" ref="F7:F15" ca="1" si="1">E7*B7</f>
        <v>0</v>
      </c>
      <c r="G7" s="147">
        <f ca="1"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tauzin</v>
      </c>
      <c r="B8" s="154">
        <f>'Données projet'!D11</f>
        <v>0.52590000000000003</v>
      </c>
      <c r="C8" s="147">
        <f ca="1"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ca="1" si="0"/>
        <v>0</v>
      </c>
      <c r="F8" s="147">
        <f t="shared" ca="1" si="1"/>
        <v>0</v>
      </c>
      <c r="G8" s="147">
        <f ca="1"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Chêne-liège</v>
      </c>
      <c r="B9" s="154">
        <f>'Données projet'!D12</f>
        <v>0.52590000000000003</v>
      </c>
      <c r="C9" s="147">
        <f ca="1"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ca="1" si="0"/>
        <v>0</v>
      </c>
      <c r="F9" s="147">
        <f t="shared" ca="1" si="1"/>
        <v>0</v>
      </c>
      <c r="G9" s="147">
        <f ca="1"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3255.8886507776901</v>
      </c>
      <c r="G16" s="166">
        <f t="shared" ca="1" si="3"/>
        <v>2490.7548178449333</v>
      </c>
      <c r="H16" s="167">
        <f t="shared" si="3"/>
        <v>193.87943982345629</v>
      </c>
      <c r="I16" s="167">
        <f t="shared" si="3"/>
        <v>148.31777146494406</v>
      </c>
      <c r="J16" s="168">
        <f t="shared" si="3"/>
        <v>1091.775412</v>
      </c>
      <c r="K16" s="168">
        <f t="shared" si="3"/>
        <v>835.20819017999997</v>
      </c>
      <c r="L16" s="169">
        <f t="shared" ca="1" si="3"/>
        <v>3474.2807794898772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Bouleau verruqueux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tauzin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Chêne-liège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80" zoomScaleNormal="80" workbookViewId="0">
      <selection activeCell="N19" sqref="N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3920.5040478926767</v>
      </c>
      <c r="U10" s="178">
        <f>'Données projet'!D9</f>
        <v>15.952300000000001</v>
      </c>
      <c r="V10" s="177">
        <f>U10*T10</f>
        <v>62541.056723198351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Bouleau verruqueux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-3306.1276162517106</v>
      </c>
      <c r="U11" s="178">
        <f>'Données projet'!D10</f>
        <v>0.52590000000000003</v>
      </c>
      <c r="V11" s="177">
        <f t="shared" ref="V11" si="0">U11*T11</f>
        <v>-1738.6925133867746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tauzin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-4089</v>
      </c>
      <c r="U12" s="178">
        <f>'Données projet'!D11</f>
        <v>0.52590000000000003</v>
      </c>
      <c r="V12" s="177">
        <f t="shared" ref="V12:V19" si="1">U12*T12</f>
        <v>-2150.4050999999999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Chêne-liège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-1537</v>
      </c>
      <c r="U13" s="178">
        <f>'Données projet'!D12</f>
        <v>0.52590000000000003</v>
      </c>
      <c r="V13" s="177">
        <f t="shared" si="1"/>
        <v>-808.30830000000003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40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515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39.999999999999986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1199.9999999999995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(5+500+200+285+100)*1.12</f>
        <v>1220.8000000000002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14</v>
      </c>
      <c r="B23" s="181">
        <f>'Données projet'!D36</f>
        <v>50</v>
      </c>
      <c r="C23" s="193">
        <v>15</v>
      </c>
      <c r="D23" s="182">
        <f>B23*C23</f>
        <v>750</v>
      </c>
      <c r="E23" s="193"/>
      <c r="F23" s="230"/>
      <c r="H23" s="190">
        <v>3</v>
      </c>
      <c r="I23" s="191">
        <f>60+246</f>
        <v>306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-951.57253844327352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66</v>
      </c>
      <c r="C24" s="193">
        <v>30</v>
      </c>
      <c r="D24" s="182">
        <f t="shared" ref="D24:D42" si="2">B24*C24</f>
        <v>1980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3616.6921560747569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35</v>
      </c>
      <c r="B25" s="181">
        <f>'Données projet'!D38</f>
        <v>428</v>
      </c>
      <c r="C25" s="193">
        <v>35</v>
      </c>
      <c r="D25" s="182">
        <f t="shared" si="2"/>
        <v>14980</v>
      </c>
      <c r="E25" s="193"/>
      <c r="F25" s="233"/>
      <c r="H25" s="190">
        <v>5</v>
      </c>
      <c r="I25" s="191">
        <f>60+246</f>
        <v>306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-4568.2646945180304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0</v>
      </c>
      <c r="B26" s="181">
        <f>'Données projet'!D39</f>
        <v>0</v>
      </c>
      <c r="C26" s="193">
        <v>45</v>
      </c>
      <c r="D26" s="182">
        <f t="shared" si="2"/>
        <v>0</v>
      </c>
      <c r="E26" s="193"/>
      <c r="F26" s="233"/>
      <c r="G26" s="229"/>
      <c r="H26" s="190">
        <v>6</v>
      </c>
      <c r="I26" s="191">
        <v>60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60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f>60+246</f>
        <v>306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f>60+246</f>
        <v>306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f>60+246</f>
        <v>306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f>60+246</f>
        <v>306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Bouleau verruqueux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1300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>
        <v>2500</v>
      </c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</v>
      </c>
      <c r="I71" s="191">
        <v>60</v>
      </c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52</v>
      </c>
      <c r="I72" s="191">
        <v>60</v>
      </c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53</v>
      </c>
      <c r="I73" s="191">
        <v>60</v>
      </c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>
        <v>54</v>
      </c>
      <c r="I74" s="191">
        <v>60</v>
      </c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>
        <v>55</v>
      </c>
      <c r="I75" s="191">
        <v>60</v>
      </c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tauzin</v>
      </c>
      <c r="C76" s="4"/>
      <c r="D76" s="4"/>
      <c r="E76" s="4"/>
      <c r="F76" s="230"/>
      <c r="G76" s="206"/>
      <c r="H76" s="190">
        <v>56</v>
      </c>
      <c r="I76" s="191">
        <v>60</v>
      </c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>
        <v>57</v>
      </c>
      <c r="I77" s="191">
        <v>60</v>
      </c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v>60</v>
      </c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1589</v>
      </c>
      <c r="F79" s="231"/>
      <c r="G79" s="206"/>
      <c r="H79" s="190">
        <v>59</v>
      </c>
      <c r="I79" s="191">
        <v>60</v>
      </c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60</v>
      </c>
      <c r="I80" s="191">
        <v>60</v>
      </c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61</v>
      </c>
      <c r="I81" s="191">
        <v>60</v>
      </c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62</v>
      </c>
      <c r="I82" s="191">
        <v>60</v>
      </c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63</v>
      </c>
      <c r="I83" s="191">
        <v>60</v>
      </c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64</v>
      </c>
      <c r="I84" s="191">
        <v>60</v>
      </c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>
        <v>2500</v>
      </c>
      <c r="F85" s="232"/>
      <c r="G85" s="205"/>
      <c r="H85" s="190">
        <v>65</v>
      </c>
      <c r="I85" s="191">
        <v>60</v>
      </c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>
        <v>66</v>
      </c>
      <c r="I86" s="191">
        <v>60</v>
      </c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>
        <v>67</v>
      </c>
      <c r="I87" s="191">
        <v>60</v>
      </c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>
        <v>68</v>
      </c>
      <c r="I88" s="191">
        <v>60</v>
      </c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>
        <v>69</v>
      </c>
      <c r="I89" s="191">
        <v>60</v>
      </c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>
        <v>70</v>
      </c>
      <c r="I90" s="191">
        <v>60</v>
      </c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>
        <v>71</v>
      </c>
      <c r="I91" s="191">
        <v>60</v>
      </c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>
        <v>72</v>
      </c>
      <c r="I92" s="191">
        <v>60</v>
      </c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>
        <v>73</v>
      </c>
      <c r="I93" s="191">
        <v>60</v>
      </c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>
        <v>74</v>
      </c>
      <c r="I94" s="191">
        <v>60</v>
      </c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>
        <v>75</v>
      </c>
      <c r="I95" s="191">
        <v>60</v>
      </c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>
        <v>76</v>
      </c>
      <c r="I96" s="191">
        <v>60</v>
      </c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>
        <v>77</v>
      </c>
      <c r="I97" s="191">
        <v>60</v>
      </c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>
        <v>78</v>
      </c>
      <c r="I98" s="191">
        <v>60</v>
      </c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>
        <v>79</v>
      </c>
      <c r="I99" s="191">
        <v>60</v>
      </c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>
        <v>80</v>
      </c>
      <c r="I100" s="191">
        <v>60</v>
      </c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>
        <v>81</v>
      </c>
      <c r="I101" s="191">
        <v>60</v>
      </c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>
        <v>82</v>
      </c>
      <c r="I102" s="191">
        <v>60</v>
      </c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>
        <v>83</v>
      </c>
      <c r="I103" s="191">
        <v>60</v>
      </c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>
        <v>84</v>
      </c>
      <c r="I104" s="191">
        <v>60</v>
      </c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>
        <v>85</v>
      </c>
      <c r="I105" s="191">
        <v>60</v>
      </c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>
        <v>86</v>
      </c>
      <c r="I106" s="191">
        <v>60</v>
      </c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Chêne-liège</v>
      </c>
      <c r="C107" s="4"/>
      <c r="D107" s="4"/>
      <c r="E107" s="4"/>
      <c r="F107" s="230"/>
      <c r="G107" s="206"/>
      <c r="H107" s="190">
        <v>87</v>
      </c>
      <c r="I107" s="191">
        <v>60</v>
      </c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>
        <v>88</v>
      </c>
      <c r="I108" s="191">
        <v>60</v>
      </c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>
        <v>89</v>
      </c>
      <c r="I109" s="191">
        <v>60</v>
      </c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1537</v>
      </c>
      <c r="F110" s="231"/>
      <c r="G110" s="206"/>
      <c r="H110" s="190">
        <v>90</v>
      </c>
      <c r="I110" s="191">
        <v>60</v>
      </c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>
        <v>91</v>
      </c>
      <c r="I111" s="191">
        <v>60</v>
      </c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>
        <v>92</v>
      </c>
      <c r="I112" s="191">
        <v>60</v>
      </c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>
        <v>93</v>
      </c>
      <c r="I113" s="191">
        <v>60</v>
      </c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>
        <v>94</v>
      </c>
      <c r="I114" s="191">
        <v>60</v>
      </c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>
        <v>2500</v>
      </c>
      <c r="F115" s="231"/>
      <c r="G115" s="205"/>
      <c r="H115" s="190">
        <v>95</v>
      </c>
      <c r="I115" s="191">
        <v>60</v>
      </c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>
        <v>96</v>
      </c>
      <c r="I116" s="191">
        <v>60</v>
      </c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>
        <v>97</v>
      </c>
      <c r="I117" s="191">
        <v>60</v>
      </c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>
        <v>98</v>
      </c>
      <c r="I118" s="191">
        <v>60</v>
      </c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>
        <v>99</v>
      </c>
      <c r="I119" s="191">
        <v>60</v>
      </c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>
        <v>100</v>
      </c>
      <c r="I120" s="191">
        <v>60</v>
      </c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>
        <v>101</v>
      </c>
      <c r="I121" s="191">
        <v>60</v>
      </c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>
        <v>102</v>
      </c>
      <c r="I122" s="191">
        <v>60</v>
      </c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>
        <v>103</v>
      </c>
      <c r="I123" s="191">
        <v>60</v>
      </c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>
        <v>104</v>
      </c>
      <c r="I124" s="191">
        <v>60</v>
      </c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>
        <v>105</v>
      </c>
      <c r="I125" s="191">
        <v>60</v>
      </c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>
        <v>106</v>
      </c>
      <c r="I126" s="191">
        <v>60</v>
      </c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>
        <v>107</v>
      </c>
      <c r="I127" s="191">
        <v>60</v>
      </c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>
        <v>108</v>
      </c>
      <c r="I128" s="191">
        <v>60</v>
      </c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>
        <v>109</v>
      </c>
      <c r="I129" s="191">
        <v>60</v>
      </c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>
        <v>110</v>
      </c>
      <c r="I130" s="191">
        <v>60</v>
      </c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>
        <v>111</v>
      </c>
      <c r="I131" s="191">
        <v>60</v>
      </c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>
        <v>112</v>
      </c>
      <c r="I132" s="191">
        <v>60</v>
      </c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>
        <v>113</v>
      </c>
      <c r="I133" s="191">
        <v>60</v>
      </c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>
        <v>114</v>
      </c>
      <c r="I134" s="191">
        <v>60</v>
      </c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>
        <v>115</v>
      </c>
      <c r="I135" s="191">
        <v>60</v>
      </c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>
        <v>116</v>
      </c>
      <c r="I136" s="191">
        <v>60</v>
      </c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>
        <v>117</v>
      </c>
      <c r="I137" s="191">
        <v>60</v>
      </c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>
        <v>118</v>
      </c>
      <c r="I138" s="191">
        <v>60</v>
      </c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>
        <v>119</v>
      </c>
      <c r="I139" s="191">
        <v>60</v>
      </c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>
        <v>120</v>
      </c>
      <c r="I140" s="191">
        <v>60</v>
      </c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Cécile De Coincy</cp:lastModifiedBy>
  <dcterms:created xsi:type="dcterms:W3CDTF">2021-02-01T08:22:39Z</dcterms:created>
  <dcterms:modified xsi:type="dcterms:W3CDTF">2023-01-23T15:43:57Z</dcterms:modified>
</cp:coreProperties>
</file>