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831"/>
  <workbookPr codeName="ThisWorkbook"/>
  <mc:AlternateContent xmlns:mc="http://schemas.openxmlformats.org/markup-compatibility/2006">
    <mc:Choice Requires="x15">
      <x15ac:absPath xmlns:x15ac="http://schemas.microsoft.com/office/spreadsheetml/2010/11/ac" url="P:\Bureau\PARTAGE\Label Bas Carbone\Le Mans\2023\Lancosme (36)\"/>
    </mc:Choice>
  </mc:AlternateContent>
  <xr:revisionPtr revIDLastSave="0" documentId="8_{65160AEE-0FE3-46AC-9794-34DBD9242896}" xr6:coauthVersionLast="47" xr6:coauthVersionMax="47" xr10:uidLastSave="{00000000-0000-0000-0000-000000000000}"/>
  <bookViews>
    <workbookView xWindow="-120" yWindow="-120" windowWidth="29040" windowHeight="15840" tabRatio="866" activeTab="1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20" i="6" l="1"/>
  <c r="B68" i="1" l="1"/>
  <c r="D68" i="1" s="1"/>
  <c r="B45" i="1" l="1"/>
  <c r="D45" i="1" s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EC4" i="2" s="1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BR4" i="2" s="1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GL4" i="2" l="1"/>
  <c r="EA4" i="2"/>
  <c r="FR4" i="2"/>
  <c r="FQ4" i="2"/>
  <c r="BQ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R5" i="2" s="1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EX5" i="2" s="1"/>
  <c r="DV5" i="2"/>
  <c r="DM5" i="2"/>
  <c r="DA5" i="2"/>
  <c r="CR5" i="2"/>
  <c r="CQ5" i="2"/>
  <c r="EU5" i="2"/>
  <c r="EG5" i="2"/>
  <c r="DW5" i="2"/>
  <c r="EC5" i="2" s="1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A5" i="2" l="1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EA6" i="2" s="1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EB7" i="2" s="1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I7" i="2" s="1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EX7" i="2" s="1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A7" i="2" l="1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E10" i="2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FS10" i="2" l="1"/>
  <c r="EA10" i="2"/>
  <c r="HH10" i="2"/>
  <c r="EB10" i="2"/>
  <c r="HG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V12" i="2" l="1"/>
  <c r="EW12" i="2"/>
  <c r="HH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HG13" i="2" s="1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EC13" i="2" s="1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HI13" i="2" l="1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G14" i="2" s="1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EX14" i="2" s="1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EB14" i="2" l="1"/>
  <c r="HH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FS15" i="2" s="1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S18" i="2" s="1"/>
  <c r="FP18" i="2"/>
  <c r="FX18" i="2"/>
  <c r="DZ18" i="2"/>
  <c r="DL18" i="2"/>
  <c r="DE18" i="2"/>
  <c r="GG18" i="2"/>
  <c r="EQ18" i="2"/>
  <c r="EH18" i="2"/>
  <c r="CJ18" i="2"/>
  <c r="GK18" i="2"/>
  <c r="FB18" i="2"/>
  <c r="ER18" i="2"/>
  <c r="EX18" i="2" s="1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EA18" i="2" l="1"/>
  <c r="EV18" i="2"/>
  <c r="EW18" i="2"/>
  <c r="HG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I19" i="2" s="1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FS19" i="2" l="1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HH20" i="2" s="1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S20" i="2" s="1"/>
  <c r="FB20" i="2"/>
  <c r="ER20" i="2"/>
  <c r="DV20" i="2"/>
  <c r="DM20" i="2"/>
  <c r="DA20" i="2"/>
  <c r="EU20" i="2"/>
  <c r="EG20" i="2"/>
  <c r="DW20" i="2"/>
  <c r="EC20" i="2" s="1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EV20" i="2" l="1"/>
  <c r="EW20" i="2"/>
  <c r="HG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EV21" i="2" l="1"/>
  <c r="HH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H22" i="2" l="1"/>
  <c r="HG22" i="2"/>
  <c r="EB22" i="2"/>
  <c r="EA22" i="2"/>
  <c r="EW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EX23" i="2" s="1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HI23" i="2" l="1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H24" i="2" s="1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EW24" i="2"/>
  <c r="HG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HI25" i="2" s="1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EC25" i="2" l="1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C26" i="2" s="1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I27" i="2" s="1"/>
  <c r="HF27" i="2"/>
  <c r="GK27" i="2"/>
  <c r="GS27" i="2"/>
  <c r="GG27" i="2"/>
  <c r="FX27" i="2"/>
  <c r="FL27" i="2"/>
  <c r="FC27" i="2"/>
  <c r="GR27" i="2"/>
  <c r="FW27" i="2"/>
  <c r="FM27" i="2"/>
  <c r="FS27" i="2" s="1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EX27" i="2" s="1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EC27" i="2" l="1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HI28" i="2" s="1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EV28" i="2" l="1"/>
  <c r="EB28" i="2"/>
  <c r="FS28" i="2"/>
  <c r="EC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HI29" i="2" s="1"/>
  <c r="GR29" i="2"/>
  <c r="GH29" i="2"/>
  <c r="GK29" i="2"/>
  <c r="GS29" i="2"/>
  <c r="FW29" i="2"/>
  <c r="FM29" i="2"/>
  <c r="FS29" i="2" s="1"/>
  <c r="FP29" i="2"/>
  <c r="GG29" i="2"/>
  <c r="FX29" i="2"/>
  <c r="EQ29" i="2"/>
  <c r="EH29" i="2"/>
  <c r="CJ29" i="2"/>
  <c r="FL29" i="2"/>
  <c r="FC29" i="2"/>
  <c r="FB29" i="2"/>
  <c r="ER29" i="2"/>
  <c r="EX29" i="2" s="1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EC29" i="2" l="1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B30" i="2" l="1"/>
  <c r="EV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HH32" i="2" s="1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EX32" i="2" l="1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EV33" i="2" s="1"/>
  <c r="DX33" i="2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HG33" i="2" l="1"/>
  <c r="EW33" i="2"/>
  <c r="HH33" i="2"/>
  <c r="EA33" i="2"/>
  <c r="EB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CM35" i="2" s="1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EA35" i="2"/>
  <c r="FQ35" i="2"/>
  <c r="HH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A37" i="2" l="1"/>
  <c r="HG37" i="2"/>
  <c r="EB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I38" i="2" s="1"/>
  <c r="HF38" i="2"/>
  <c r="GS38" i="2"/>
  <c r="GR38" i="2"/>
  <c r="GK38" i="2"/>
  <c r="GH38" i="2"/>
  <c r="FL38" i="2"/>
  <c r="FC38" i="2"/>
  <c r="FW38" i="2"/>
  <c r="FM38" i="2"/>
  <c r="FS38" i="2" s="1"/>
  <c r="FP38" i="2"/>
  <c r="DZ38" i="2"/>
  <c r="DL38" i="2"/>
  <c r="DE38" i="2"/>
  <c r="FX38" i="2"/>
  <c r="EQ38" i="2"/>
  <c r="EH38" i="2"/>
  <c r="CJ38" i="2"/>
  <c r="GG38" i="2"/>
  <c r="FB38" i="2"/>
  <c r="ER38" i="2"/>
  <c r="EX38" i="2" s="1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EW38" i="2" l="1"/>
  <c r="EA38" i="2"/>
  <c r="HH38" i="2"/>
  <c r="HG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EA42" i="2" l="1"/>
  <c r="EV42" i="2"/>
  <c r="HG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I43" i="2" s="1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EX43" i="2" s="1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DG43" i="2"/>
  <c r="EA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FS44" i="2" s="1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EC44" i="2" l="1"/>
  <c r="HG44" i="2"/>
  <c r="EW44" i="2"/>
  <c r="HH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HI45" i="2" s="1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EB45" i="2" l="1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G46" i="2" s="1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C46" i="2" s="1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I46" i="2" l="1"/>
  <c r="EW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G48" i="2" s="1"/>
  <c r="HE48" i="2"/>
  <c r="HH48" i="2" s="1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EC48" i="2" s="1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S50" i="2" s="1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C50" i="2" s="1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HI50" i="2" l="1"/>
  <c r="HG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EX51" i="2" s="1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A51" i="2" l="1"/>
  <c r="EB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V52" i="2" l="1"/>
  <c r="EB52" i="2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EA53" i="2" l="1"/>
  <c r="HG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EX55" i="2" l="1"/>
  <c r="FS55" i="2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EB57" i="2" s="1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FS57" i="2"/>
  <c r="EV57" i="2"/>
  <c r="HH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C58" i="2" s="1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A58" i="2" l="1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EA59" i="2" l="1"/>
  <c r="HH59" i="2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HI60" i="2" s="1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HH60" i="2"/>
  <c r="HG60" i="2"/>
  <c r="EV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EV61" i="2" s="1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EX61" i="2" s="1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HH62" i="2" s="1"/>
  <c r="GI62" i="2"/>
  <c r="GJ62" i="2"/>
  <c r="ET62" i="2"/>
  <c r="FO62" i="2"/>
  <c r="FN62" i="2"/>
  <c r="DY62" i="2"/>
  <c r="ES62" i="2"/>
  <c r="DX62" i="2"/>
  <c r="EA62" i="2" s="1"/>
  <c r="BN62" i="2"/>
  <c r="DD62" i="2"/>
  <c r="CH62" i="2"/>
  <c r="AS62" i="2"/>
  <c r="W62" i="2"/>
  <c r="DC62" i="2"/>
  <c r="CI62" i="2"/>
  <c r="BM62" i="2"/>
  <c r="X62" i="2"/>
  <c r="AR62" i="2"/>
  <c r="HC62" i="2"/>
  <c r="HI62" i="2" s="1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EC63" i="2" s="1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EV64" i="2" s="1"/>
  <c r="DX64" i="2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EC64" i="2" s="1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EA64" i="2" l="1"/>
  <c r="HH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HH66" i="2" l="1"/>
  <c r="FS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S69" i="2" s="1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EC69" i="2" l="1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G70" i="2" s="1"/>
  <c r="HE70" i="2"/>
  <c r="GI70" i="2"/>
  <c r="GJ70" i="2"/>
  <c r="ET70" i="2"/>
  <c r="FO70" i="2"/>
  <c r="FN70" i="2"/>
  <c r="ES70" i="2"/>
  <c r="BN70" i="2"/>
  <c r="DY70" i="2"/>
  <c r="EB70" i="2" s="1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I70" i="2" l="1"/>
  <c r="EW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HH71" i="2" s="1"/>
  <c r="GI71" i="2"/>
  <c r="GJ71" i="2"/>
  <c r="ES71" i="2"/>
  <c r="ET71" i="2"/>
  <c r="FO71" i="2"/>
  <c r="FN71" i="2"/>
  <c r="DY71" i="2"/>
  <c r="DD71" i="2"/>
  <c r="DC71" i="2"/>
  <c r="BN71" i="2"/>
  <c r="DX71" i="2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EW71" i="2" l="1"/>
  <c r="EA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HH72" i="2" s="1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EX72" i="2" s="1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HI73" i="2" s="1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EW73" i="2" l="1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FS74" i="2" l="1"/>
  <c r="FR74" i="2"/>
  <c r="EW74" i="2"/>
  <c r="HG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HH75" i="2" s="1"/>
  <c r="GI75" i="2"/>
  <c r="FO75" i="2"/>
  <c r="ES75" i="2"/>
  <c r="GJ75" i="2"/>
  <c r="ET75" i="2"/>
  <c r="DY75" i="2"/>
  <c r="FN75" i="2"/>
  <c r="DC75" i="2"/>
  <c r="BN75" i="2"/>
  <c r="CI75" i="2"/>
  <c r="BM75" i="2"/>
  <c r="DX75" i="2"/>
  <c r="EA75" i="2" s="1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FS75" i="2" s="1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HG75" i="2" l="1"/>
  <c r="EB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FS76" i="2" s="1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HH76" i="2" l="1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HI77" i="2" s="1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V78" i="2" l="1"/>
  <c r="EB78" i="2"/>
  <c r="HI78" i="2"/>
  <c r="EW78" i="2"/>
  <c r="EC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G79" i="2" l="1"/>
  <c r="EB79" i="2"/>
  <c r="HH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H80" i="2" l="1"/>
  <c r="HG80" i="2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EC81" i="2" s="1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HI81" i="2" l="1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EV82" i="2" s="1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EW83" i="2" s="1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V83" i="2" l="1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S84" i="2" s="1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EV85" i="2" s="1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EC85" i="2" s="1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HH85" i="2" l="1"/>
  <c r="HI85" i="2"/>
  <c r="EW85" i="2"/>
  <c r="HG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EC86" i="2" s="1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B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X87" i="2" l="1"/>
  <c r="EA87" i="2"/>
  <c r="EB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I88" i="2" s="1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G88" i="2" l="1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EX92" i="2" s="1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W92" i="2" l="1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HI93" i="2" s="1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EC93" i="2" l="1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G94" i="2" s="1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EX94" i="2" l="1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G95" i="2" s="1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EX95" i="2" s="1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FS98" i="2" l="1"/>
  <c r="HI98" i="2"/>
  <c r="EW98" i="2"/>
  <c r="EX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HH99" i="2" l="1"/>
  <c r="EB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EX100" i="2" s="1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V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EC102" i="2" s="1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HI102" i="2" l="1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I103" i="2" s="1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EX104" i="2" s="1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W104" i="2" l="1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BN105" i="2"/>
  <c r="ET105" i="2"/>
  <c r="DD105" i="2"/>
  <c r="DC105" i="2"/>
  <c r="W105" i="2"/>
  <c r="HF105" i="2"/>
  <c r="GR105" i="2"/>
  <c r="GK105" i="2"/>
  <c r="HC105" i="2"/>
  <c r="FW105" i="2"/>
  <c r="FM105" i="2"/>
  <c r="FS105" i="2" s="1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EB105" i="2" l="1"/>
  <c r="EA105" i="2"/>
  <c r="EV105" i="2"/>
  <c r="HH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EC107" i="2" s="1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B107" i="2" l="1"/>
  <c r="EX107" i="2"/>
  <c r="EA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FS108" i="2" s="1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A108" i="2" l="1"/>
  <c r="EW108" i="2"/>
  <c r="EB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B109" i="2" l="1"/>
  <c r="EX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HH110" i="2" s="1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EB110" i="2" l="1"/>
  <c r="HG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EB112" i="2" s="1"/>
  <c r="CI112" i="2"/>
  <c r="BM112" i="2"/>
  <c r="DC112" i="2"/>
  <c r="AR112" i="2"/>
  <c r="CH112" i="2"/>
  <c r="DD112" i="2"/>
  <c r="BN112" i="2"/>
  <c r="AS112" i="2"/>
  <c r="X112" i="2"/>
  <c r="W112" i="2"/>
  <c r="HC112" i="2"/>
  <c r="HI112" i="2" s="1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EX112" i="2" s="1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FQ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FS113" i="2" s="1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C113" i="2" l="1"/>
  <c r="EX113" i="2"/>
  <c r="EB113" i="2"/>
  <c r="HG113" i="2"/>
  <c r="EW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G114" i="2" s="1"/>
  <c r="HE114" i="2"/>
  <c r="HH114" i="2" s="1"/>
  <c r="GI114" i="2"/>
  <c r="GJ114" i="2"/>
  <c r="ET114" i="2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EW114" i="2" l="1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FS115" i="2" s="1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EX115" i="2" s="1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HI115" i="2" l="1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EC116" i="2" l="1"/>
  <c r="HG116" i="2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G117" i="2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HH118" i="2" s="1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S118" i="2" s="1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EX118" i="2" s="1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Q118" i="2" l="1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EX119" i="2" s="1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HG119" i="2" l="1"/>
  <c r="FR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EX120" i="2" l="1"/>
  <c r="FR120" i="2"/>
  <c r="FQ120" i="2"/>
  <c r="HI120" i="2"/>
  <c r="HH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HD121" i="2"/>
  <c r="FN121" i="2"/>
  <c r="GI121" i="2"/>
  <c r="ES121" i="2"/>
  <c r="DX121" i="2"/>
  <c r="EA121" i="2" s="1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HI121" i="2" s="1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FR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I122" i="2" s="1"/>
  <c r="HF122" i="2"/>
  <c r="HB122" i="2"/>
  <c r="GS122" i="2"/>
  <c r="GR122" i="2"/>
  <c r="GH122" i="2"/>
  <c r="FL122" i="2"/>
  <c r="FC122" i="2"/>
  <c r="GK122" i="2"/>
  <c r="FW122" i="2"/>
  <c r="FM122" i="2"/>
  <c r="FS122" i="2" s="1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C122" i="2" s="1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W122" i="2" l="1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HH124" i="2" s="1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FS124" i="2" s="1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G124" i="2" l="1"/>
  <c r="EX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EC125" i="2" s="1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FS125" i="2" l="1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FS126" i="2" s="1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EA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EV127" i="2"/>
  <c r="FS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EX128" i="2" s="1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FS128" i="2" s="1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EV128" i="2" l="1"/>
  <c r="EB128" i="2"/>
  <c r="HG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HI129" i="2" s="1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I130" i="2" s="1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FS130" i="2" l="1"/>
  <c r="EW130" i="2"/>
  <c r="EX130" i="2"/>
  <c r="EB130" i="2"/>
  <c r="HH130" i="2"/>
  <c r="HG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G132" i="2" s="1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HH133" i="2" l="1"/>
  <c r="EV133" i="2"/>
  <c r="EW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HG134" i="2" l="1"/>
  <c r="EV134" i="2"/>
  <c r="EW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W135" i="2" l="1"/>
  <c r="EA135" i="2"/>
  <c r="EX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FS136" i="2" s="1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HI136" i="2" l="1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EX137" i="2" s="1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HH137" i="2" l="1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H139" i="2" s="1"/>
  <c r="HD139" i="2"/>
  <c r="GI139" i="2"/>
  <c r="FO139" i="2"/>
  <c r="ES139" i="2"/>
  <c r="GJ139" i="2"/>
  <c r="ET139" i="2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FS139" i="2" s="1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EB139" i="2"/>
  <c r="EW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EC140" i="2" s="1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X140" i="2" l="1"/>
  <c r="EB140" i="2"/>
  <c r="FR140" i="2"/>
  <c r="HH140" i="2"/>
  <c r="HG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AS141" i="2"/>
  <c r="W141" i="2"/>
  <c r="HF141" i="2"/>
  <c r="HC141" i="2"/>
  <c r="GR141" i="2"/>
  <c r="GK141" i="2"/>
  <c r="HB141" i="2"/>
  <c r="GS141" i="2"/>
  <c r="FW141" i="2"/>
  <c r="FM141" i="2"/>
  <c r="FS141" i="2" s="1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A141" i="2" l="1"/>
  <c r="HH141" i="2"/>
  <c r="HG141" i="2"/>
  <c r="EB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G142" i="2" s="1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C142" i="2" s="1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EW142" i="2" l="1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FS143" i="2" s="1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EA144" i="2" s="1"/>
  <c r="FN144" i="2"/>
  <c r="ET144" i="2"/>
  <c r="DY144" i="2"/>
  <c r="EB144" i="2" s="1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FR144" i="2" l="1"/>
  <c r="HH144" i="2"/>
  <c r="EX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R145" i="2" s="1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EX145" i="2" s="1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EA145" i="2" l="1"/>
  <c r="HG145" i="2"/>
  <c r="EB145" i="2"/>
  <c r="HH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I146" i="2" s="1"/>
  <c r="HF146" i="2"/>
  <c r="HB146" i="2"/>
  <c r="GS146" i="2"/>
  <c r="GR146" i="2"/>
  <c r="GH146" i="2"/>
  <c r="FL146" i="2"/>
  <c r="FC146" i="2"/>
  <c r="FW146" i="2"/>
  <c r="FM146" i="2"/>
  <c r="FS146" i="2" s="1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EA146" i="2" l="1"/>
  <c r="HH146" i="2"/>
  <c r="FR146" i="2"/>
  <c r="HG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EC149" i="2" s="1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EX149" i="2" l="1"/>
  <c r="HG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EC150" i="2" s="1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HH150" i="2" l="1"/>
  <c r="HG150" i="2"/>
  <c r="EV150" i="2"/>
  <c r="FS150" i="2"/>
  <c r="HI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EC151" i="2" s="1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EV152" i="2" s="1"/>
  <c r="DX152" i="2"/>
  <c r="FN152" i="2"/>
  <c r="ET152" i="2"/>
  <c r="CI152" i="2"/>
  <c r="BM152" i="2"/>
  <c r="HE152" i="2"/>
  <c r="DC152" i="2"/>
  <c r="DY152" i="2"/>
  <c r="EB152" i="2" s="1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C152" i="2" l="1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EX153" i="2" s="1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HG154" i="2"/>
  <c r="EX154" i="2"/>
  <c r="AA154" i="2"/>
  <c r="EV154" i="2"/>
  <c r="EC154" i="2"/>
  <c r="EA154" i="2"/>
  <c r="FS154" i="2"/>
  <c r="HI154" i="2"/>
  <c r="GN154" i="2"/>
  <c r="DF154" i="2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HH155" i="2" s="1"/>
  <c r="GK155" i="2"/>
  <c r="FB155" i="2"/>
  <c r="HF155" i="2"/>
  <c r="FC155" i="2"/>
  <c r="FW155" i="2"/>
  <c r="FL155" i="2"/>
  <c r="ES155" i="2"/>
  <c r="ER155" i="2"/>
  <c r="EX155" i="2" s="1"/>
  <c r="DW155" i="2"/>
  <c r="ET155" i="2"/>
  <c r="EW155" i="2" s="1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ED154" i="2"/>
  <c r="D194" i="2"/>
  <c r="G194" i="2" s="1"/>
  <c r="DI154" i="2"/>
  <c r="DI153" i="2"/>
  <c r="FT153" i="2"/>
  <c r="CN153" i="2"/>
  <c r="HJ153" i="2"/>
  <c r="GO153" i="2"/>
  <c r="EY153" i="2"/>
  <c r="ED153" i="2"/>
  <c r="AC153" i="2"/>
  <c r="AX151" i="2"/>
  <c r="AC154" i="2" l="1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Y155" i="2" s="1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FS156" i="2" s="1"/>
  <c r="ET156" i="2"/>
  <c r="EU156" i="2"/>
  <c r="DX156" i="2"/>
  <c r="GJ156" i="2"/>
  <c r="EH156" i="2"/>
  <c r="DL156" i="2"/>
  <c r="EQ156" i="2"/>
  <c r="ER156" i="2"/>
  <c r="EX156" i="2" s="1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EB156" i="2" s="1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H156" i="2" s="1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D155" i="2"/>
  <c r="AX152" i="2"/>
  <c r="AB156" i="2" l="1"/>
  <c r="HH156" i="2"/>
  <c r="HG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EA157" i="2" s="1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HH157" i="2"/>
  <c r="HG157" i="2"/>
  <c r="EC157" i="2"/>
  <c r="EB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HH158" i="2" s="1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EC158" i="2" s="1"/>
  <c r="DC158" i="2"/>
  <c r="CI158" i="2"/>
  <c r="DD158" i="2"/>
  <c r="CJ158" i="2"/>
  <c r="BA158" i="2"/>
  <c r="AP158" i="2"/>
  <c r="DE158" i="2"/>
  <c r="ES158" i="2"/>
  <c r="EV158" i="2" s="1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HG158" i="2" l="1"/>
  <c r="EW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ED158" i="2" s="1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HI159" i="2" s="1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A159" i="2" l="1"/>
  <c r="HH159" i="2"/>
  <c r="EC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EY159" i="2" s="1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HI160" i="2" s="1"/>
  <c r="GI160" i="2"/>
  <c r="FP160" i="2"/>
  <c r="HD160" i="2"/>
  <c r="HG160" i="2" s="1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EC160" i="2" l="1"/>
  <c r="HH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HG161" i="2" s="1"/>
  <c r="GJ161" i="2"/>
  <c r="HE161" i="2"/>
  <c r="HH161" i="2" s="1"/>
  <c r="GK161" i="2"/>
  <c r="FB161" i="2"/>
  <c r="EQ161" i="2"/>
  <c r="DM161" i="2"/>
  <c r="EG161" i="2"/>
  <c r="ER161" i="2"/>
  <c r="EX161" i="2" s="1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AB161" i="2" s="1"/>
  <c r="H199" i="2"/>
  <c r="AX158" i="2"/>
  <c r="D200" i="2"/>
  <c r="G200" i="2" s="1"/>
  <c r="EB161" i="2" l="1"/>
  <c r="FS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EW162" i="2" s="1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EC162" i="2" s="1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HH162" i="2" l="1"/>
  <c r="HG162" i="2"/>
  <c r="EB162" i="2"/>
  <c r="FS162" i="2"/>
  <c r="AU162" i="2"/>
  <c r="EX162" i="2"/>
  <c r="EA162" i="2"/>
  <c r="EV162" i="2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ED162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EA163" i="2" s="1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EY162" i="2"/>
  <c r="AX160" i="2"/>
  <c r="EV163" i="2" l="1"/>
  <c r="HI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FR164" i="2" s="1"/>
  <c r="HC164" i="2"/>
  <c r="GI164" i="2"/>
  <c r="FP164" i="2"/>
  <c r="HD164" i="2"/>
  <c r="HG164" i="2" s="1"/>
  <c r="HE164" i="2"/>
  <c r="HH164" i="2" s="1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A164" i="2" l="1"/>
  <c r="EX164" i="2"/>
  <c r="EV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HH165" i="2" l="1"/>
  <c r="EA165" i="2"/>
  <c r="HG165" i="2"/>
  <c r="EX165" i="2"/>
  <c r="EB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ED165" i="2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FS166" i="2" l="1"/>
  <c r="HG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HH167" i="2" s="1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FR167" i="2" s="1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DG167" i="2" s="1"/>
  <c r="CJ167" i="2"/>
  <c r="BK167" i="2"/>
  <c r="AR167" i="2"/>
  <c r="DE167" i="2"/>
  <c r="BL167" i="2"/>
  <c r="AS167" i="2"/>
  <c r="BV167" i="2"/>
  <c r="BO167" i="2"/>
  <c r="BB167" i="2"/>
  <c r="ER167" i="2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X167" i="2"/>
  <c r="EC167" i="2"/>
  <c r="HI167" i="2"/>
  <c r="FS167" i="2"/>
  <c r="GN167" i="2"/>
  <c r="HG167" i="2"/>
  <c r="DI166" i="2"/>
  <c r="DF167" i="2"/>
  <c r="DH167" i="2"/>
  <c r="DI167" i="2" s="1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HH168" i="2" s="1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HI168" i="2" s="1"/>
  <c r="GI168" i="2"/>
  <c r="FP168" i="2"/>
  <c r="HD168" i="2"/>
  <c r="GJ168" i="2"/>
  <c r="EH168" i="2"/>
  <c r="ES168" i="2"/>
  <c r="EV168" i="2" s="1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EW168" i="2" s="1"/>
  <c r="DM168" i="2"/>
  <c r="BV168" i="2"/>
  <c r="BO168" i="2"/>
  <c r="EU168" i="2"/>
  <c r="DV168" i="2"/>
  <c r="CQ168" i="2"/>
  <c r="DW168" i="2"/>
  <c r="EC168" i="2" s="1"/>
  <c r="DY168" i="2"/>
  <c r="EB168" i="2" s="1"/>
  <c r="DA168" i="2"/>
  <c r="CG168" i="2"/>
  <c r="AQ168" i="2"/>
  <c r="AG168" i="2"/>
  <c r="CR168" i="2"/>
  <c r="BB168" i="2"/>
  <c r="AP168" i="2"/>
  <c r="AR168" i="2"/>
  <c r="DD168" i="2"/>
  <c r="DG168" i="2" s="1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FS168" i="2" l="1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FS169" i="2" s="1"/>
  <c r="GS169" i="2"/>
  <c r="HB169" i="2"/>
  <c r="GH169" i="2"/>
  <c r="FO169" i="2"/>
  <c r="HC169" i="2"/>
  <c r="GI169" i="2"/>
  <c r="FP169" i="2"/>
  <c r="HD169" i="2"/>
  <c r="GJ169" i="2"/>
  <c r="HE169" i="2"/>
  <c r="HH169" i="2" s="1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CN169" i="2" l="1"/>
  <c r="HI170" i="2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EB171" i="2" s="1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FS171" i="2" l="1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EY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HI172" i="2" s="1"/>
  <c r="GI172" i="2"/>
  <c r="FP172" i="2"/>
  <c r="HD172" i="2"/>
  <c r="HE172" i="2"/>
  <c r="GK172" i="2"/>
  <c r="FB172" i="2"/>
  <c r="HF172" i="2"/>
  <c r="FC172" i="2"/>
  <c r="FW172" i="2"/>
  <c r="FL172" i="2"/>
  <c r="GR172" i="2"/>
  <c r="FX172" i="2"/>
  <c r="FM172" i="2"/>
  <c r="ET172" i="2"/>
  <c r="EW172" i="2" s="1"/>
  <c r="ER172" i="2"/>
  <c r="DX172" i="2"/>
  <c r="EA172" i="2" s="1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EB172" i="2" s="1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HG172" i="2" l="1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H173" i="2" s="1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EB173" i="2" s="1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W173" i="2" l="1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C174" i="2" s="1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HH174" i="2" l="1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FS175" i="2" s="1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EB175" i="2" s="1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EA175" i="2" s="1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W175" i="2" l="1"/>
  <c r="HI175" i="2"/>
  <c r="EX175" i="2"/>
  <c r="EC175" i="2"/>
  <c r="EV175" i="2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EY175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EC176" i="2" s="1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FS177" i="2" s="1"/>
  <c r="GS177" i="2"/>
  <c r="HB177" i="2"/>
  <c r="GH177" i="2"/>
  <c r="FO177" i="2"/>
  <c r="HC177" i="2"/>
  <c r="GI177" i="2"/>
  <c r="FP177" i="2"/>
  <c r="HD177" i="2"/>
  <c r="GJ177" i="2"/>
  <c r="HE177" i="2"/>
  <c r="HH177" i="2" s="1"/>
  <c r="GK177" i="2"/>
  <c r="FB177" i="2"/>
  <c r="EQ177" i="2"/>
  <c r="ET177" i="2"/>
  <c r="EW177" i="2" s="1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HI177" i="2" l="1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FS178" i="2" s="1"/>
  <c r="GS178" i="2"/>
  <c r="GG178" i="2"/>
  <c r="FN178" i="2"/>
  <c r="HB178" i="2"/>
  <c r="HC178" i="2"/>
  <c r="GI178" i="2"/>
  <c r="FP178" i="2"/>
  <c r="HD178" i="2"/>
  <c r="GJ178" i="2"/>
  <c r="HE178" i="2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EA178" i="2" s="1"/>
  <c r="CQ178" i="2"/>
  <c r="EH178" i="2"/>
  <c r="DY178" i="2"/>
  <c r="EB178" i="2" s="1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FQ178" i="2" l="1"/>
  <c r="HH178" i="2"/>
  <c r="HG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HH179" i="2" s="1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B179" i="2" s="1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DF179" i="2" s="1"/>
  <c r="CG179" i="2"/>
  <c r="W179" i="2"/>
  <c r="AX176" i="2"/>
  <c r="ED178" i="2"/>
  <c r="EV179" i="2" l="1"/>
  <c r="HG179" i="2"/>
  <c r="HI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HI180" i="2" s="1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EX180" i="2" s="1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HG180" i="2" l="1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HG181" i="2" s="1"/>
  <c r="GJ181" i="2"/>
  <c r="HE181" i="2"/>
  <c r="HF181" i="2"/>
  <c r="FC181" i="2"/>
  <c r="FW181" i="2"/>
  <c r="FL181" i="2"/>
  <c r="GR181" i="2"/>
  <c r="FX181" i="2"/>
  <c r="FM181" i="2"/>
  <c r="FS181" i="2" s="1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EW181" i="2" s="1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EV181" i="2" l="1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EX182" i="2" s="1"/>
  <c r="DW182" i="2"/>
  <c r="EC182" i="2" s="1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DG182" i="2" s="1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FS182" i="2" l="1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FS183" i="2" s="1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EA183" i="2" s="1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HI184" i="2" s="1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FS184" i="2" l="1"/>
  <c r="EX184" i="2"/>
  <c r="EC184" i="2"/>
  <c r="AW184" i="2"/>
  <c r="EB184" i="2"/>
  <c r="EV184" i="2"/>
  <c r="EA184" i="2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HI185" i="2" s="1"/>
  <c r="GI185" i="2"/>
  <c r="FP185" i="2"/>
  <c r="HD185" i="2"/>
  <c r="HG185" i="2" s="1"/>
  <c r="GJ185" i="2"/>
  <c r="HE185" i="2"/>
  <c r="HH185" i="2" s="1"/>
  <c r="GK185" i="2"/>
  <c r="FB185" i="2"/>
  <c r="EQ185" i="2"/>
  <c r="FN185" i="2"/>
  <c r="ES185" i="2"/>
  <c r="EV185" i="2" s="1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EA185" i="2" s="1"/>
  <c r="CR185" i="2"/>
  <c r="CF185" i="2"/>
  <c r="BM185" i="2"/>
  <c r="AT185" i="2"/>
  <c r="ET185" i="2"/>
  <c r="EW185" i="2" s="1"/>
  <c r="DY185" i="2"/>
  <c r="EB185" i="2" s="1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D184" i="2"/>
  <c r="AU185" i="2" l="1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FS186" i="2" s="1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EB186" i="2" s="1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FR186" i="2"/>
  <c r="EX186" i="2"/>
  <c r="EC186" i="2"/>
  <c r="EV186" i="2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HG187" i="2" s="1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EB187" i="2" s="1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EC187" i="2" s="1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EY186" i="2"/>
  <c r="AX184" i="2"/>
  <c r="HH187" i="2" l="1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G188" i="2" s="1"/>
  <c r="HE188" i="2"/>
  <c r="HH188" i="2" s="1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I188" i="2" l="1"/>
  <c r="FS188" i="2"/>
  <c r="EC188" i="2"/>
  <c r="EV188" i="2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EV189" i="2" s="1"/>
  <c r="DY189" i="2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A189" i="2" s="1"/>
  <c r="EY188" i="2"/>
  <c r="AX186" i="2"/>
  <c r="EB189" i="2" l="1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GJ190" i="2"/>
  <c r="HE190" i="2"/>
  <c r="HH190" i="2" s="1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V190" i="2"/>
  <c r="EW190" i="2"/>
  <c r="HG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GJ191" i="2"/>
  <c r="HE191" i="2"/>
  <c r="GK191" i="2"/>
  <c r="HF191" i="2"/>
  <c r="GR191" i="2"/>
  <c r="FX191" i="2"/>
  <c r="GS191" i="2"/>
  <c r="GG191" i="2"/>
  <c r="HB191" i="2"/>
  <c r="GH191" i="2"/>
  <c r="HC191" i="2"/>
  <c r="HI191" i="2" s="1"/>
  <c r="GI191" i="2"/>
  <c r="FP191" i="2"/>
  <c r="EG191" i="2"/>
  <c r="FC191" i="2"/>
  <c r="FW191" i="2"/>
  <c r="FL191" i="2"/>
  <c r="FM191" i="2"/>
  <c r="FO191" i="2"/>
  <c r="ER191" i="2"/>
  <c r="ET191" i="2"/>
  <c r="EW191" i="2" s="1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HH191" i="2" l="1"/>
  <c r="HG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HI192" i="2" s="1"/>
  <c r="GI192" i="2"/>
  <c r="HD192" i="2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EC192" i="2" s="1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V192" i="2" s="1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W192" i="2" l="1"/>
  <c r="HG192" i="2"/>
  <c r="HH192" i="2"/>
  <c r="EB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HI193" i="2" s="1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FQ193" i="2" s="1"/>
  <c r="EH193" i="2"/>
  <c r="DL193" i="2"/>
  <c r="DD193" i="2"/>
  <c r="ET193" i="2"/>
  <c r="DX193" i="2"/>
  <c r="EU193" i="2"/>
  <c r="DY193" i="2"/>
  <c r="EB193" i="2" s="1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EX193" i="2" l="1"/>
  <c r="EA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HI194" i="2" s="1"/>
  <c r="GI194" i="2"/>
  <c r="HD194" i="2"/>
  <c r="HG194" i="2" s="1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CN193" i="2" l="1"/>
  <c r="FQ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HG195" i="2" s="1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EA195" i="2" s="1"/>
  <c r="CR195" i="2"/>
  <c r="BV195" i="2"/>
  <c r="BO195" i="2"/>
  <c r="FN195" i="2"/>
  <c r="FQ195" i="2" s="1"/>
  <c r="DY195" i="2"/>
  <c r="EB195" i="2" s="1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DH195" i="2" s="1"/>
  <c r="AQ195" i="2"/>
  <c r="AT195" i="2"/>
  <c r="AG195" i="2"/>
  <c r="W195" i="2"/>
  <c r="AA194" i="2"/>
  <c r="AA195" i="2" s="1"/>
  <c r="AX192" i="2"/>
  <c r="HI195" i="2" l="1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G196" i="2" s="1"/>
  <c r="HE196" i="2"/>
  <c r="HH196" i="2" s="1"/>
  <c r="GK196" i="2"/>
  <c r="HF196" i="2"/>
  <c r="FW196" i="2"/>
  <c r="GR196" i="2"/>
  <c r="FX196" i="2"/>
  <c r="FM196" i="2"/>
  <c r="ET196" i="2"/>
  <c r="EW196" i="2" s="1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FS196" i="2" l="1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HG197" i="2" s="1"/>
  <c r="GJ197" i="2"/>
  <c r="HE197" i="2"/>
  <c r="HH197" i="2" s="1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EW197" i="2" s="1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A197" i="2" s="1"/>
  <c r="AX194" i="2"/>
  <c r="EC197" i="2" l="1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HI198" i="2" s="1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EV198" i="2" s="1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EW198" i="2" s="1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FS198" i="2" l="1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HG199" i="2" s="1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EW199" i="2" s="1"/>
  <c r="FC199" i="2"/>
  <c r="FL199" i="2"/>
  <c r="FN199" i="2"/>
  <c r="EH199" i="2"/>
  <c r="FO199" i="2"/>
  <c r="ER199" i="2"/>
  <c r="DW199" i="2"/>
  <c r="DA199" i="2"/>
  <c r="ES199" i="2"/>
  <c r="EV199" i="2" s="1"/>
  <c r="DX199" i="2"/>
  <c r="EA199" i="2" s="1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FS199" i="2" s="1"/>
  <c r="DM199" i="2"/>
  <c r="BV199" i="2"/>
  <c r="BO199" i="2"/>
  <c r="BB199" i="2"/>
  <c r="DY199" i="2"/>
  <c r="EB199" i="2" s="1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H199" i="2" l="1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W200" i="2" l="1"/>
  <c r="EX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HG201" i="2" s="1"/>
  <c r="GJ201" i="2"/>
  <c r="HE201" i="2"/>
  <c r="HH201" i="2" s="1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5" i="2" a="1"/>
  <c r="M5" i="2" s="1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Y200" i="2"/>
  <c r="ED200" i="2"/>
  <c r="DI200" i="2"/>
  <c r="EA201" i="2" l="1"/>
  <c r="EB201" i="2"/>
  <c r="FS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FZ6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HI202" i="2" s="1"/>
  <c r="GJ202" i="2"/>
  <c r="HD202" i="2"/>
  <c r="HG202" i="2" s="1"/>
  <c r="GK202" i="2"/>
  <c r="HE202" i="2"/>
  <c r="FC202" i="2"/>
  <c r="FP202" i="2"/>
  <c r="EG202" i="2"/>
  <c r="FL202" i="2"/>
  <c r="ES202" i="2"/>
  <c r="FM202" i="2"/>
  <c r="FS202" i="2" s="1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DL202" i="2"/>
  <c r="ET202" i="2"/>
  <c r="EW202" i="2" s="1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EX202" i="2" l="1"/>
  <c r="FR202" i="2"/>
  <c r="HH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H203" i="2" s="1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FS203" i="2" s="1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47" i="2" a="1"/>
  <c r="FY47" i="2" s="1"/>
  <c r="FY79" i="2" a="1"/>
  <c r="FY79" i="2" s="1"/>
  <c r="FY109" i="2" a="1"/>
  <c r="FY109" i="2" s="1"/>
  <c r="FY50" i="2" a="1"/>
  <c r="FY50" i="2" s="1"/>
  <c r="FY54" i="2" a="1"/>
  <c r="FY54" i="2" s="1"/>
  <c r="FY57" i="2" a="1"/>
  <c r="FY57" i="2" s="1"/>
  <c r="FY90" i="2" a="1"/>
  <c r="FY90" i="2" s="1"/>
  <c r="FY22" i="2" a="1"/>
  <c r="FY22" i="2" s="1"/>
  <c r="FY32" i="2" a="1"/>
  <c r="FY32" i="2" s="1"/>
  <c r="FY146" i="2" a="1"/>
  <c r="FY146" i="2" s="1"/>
  <c r="FY165" i="2" a="1"/>
  <c r="FY165" i="2" s="1"/>
  <c r="FY35" i="2" a="1"/>
  <c r="FY35" i="2" s="1"/>
  <c r="FY29" i="2" a="1"/>
  <c r="FY29" i="2" s="1"/>
  <c r="FY140" i="2" a="1"/>
  <c r="FY140" i="2" s="1"/>
  <c r="FY133" i="2" a="1"/>
  <c r="FY133" i="2" s="1"/>
  <c r="FY18" i="2" a="1"/>
  <c r="FY18" i="2" s="1"/>
  <c r="FY71" i="2" a="1"/>
  <c r="FY71" i="2" s="1"/>
  <c r="FY120" i="2" a="1"/>
  <c r="FY120" i="2" s="1"/>
  <c r="FY66" i="2" a="1"/>
  <c r="FY66" i="2" s="1"/>
  <c r="FY69" i="2" a="1"/>
  <c r="FY69" i="2" s="1"/>
  <c r="FY102" i="2" a="1"/>
  <c r="FY102" i="2" s="1"/>
  <c r="FY153" i="2" a="1"/>
  <c r="FY153" i="2" s="1"/>
  <c r="FY110" i="2" a="1"/>
  <c r="FY110" i="2" s="1"/>
  <c r="FY191" i="2" a="1"/>
  <c r="FY191" i="2" s="1"/>
  <c r="FY143" i="2" a="1"/>
  <c r="FY143" i="2" s="1"/>
  <c r="FY159" i="2" a="1"/>
  <c r="FY159" i="2" s="1"/>
  <c r="FY173" i="2" a="1"/>
  <c r="FY173" i="2" s="1"/>
  <c r="FY186" i="2" a="1"/>
  <c r="FY186" i="2" s="1"/>
  <c r="FY152" i="2" a="1"/>
  <c r="FY152" i="2" s="1"/>
  <c r="FY73" i="2" a="1"/>
  <c r="FY73" i="2" s="1"/>
  <c r="FY111" i="2" a="1"/>
  <c r="FY111" i="2" s="1"/>
  <c r="FY92" i="2" a="1"/>
  <c r="FY92" i="2" s="1"/>
  <c r="FY116" i="2" a="1"/>
  <c r="FY116" i="2" s="1"/>
  <c r="FY99" i="2" a="1"/>
  <c r="FY99" i="2" s="1"/>
  <c r="FY174" i="2" a="1"/>
  <c r="FY174" i="2" s="1"/>
  <c r="FY78" i="2" a="1"/>
  <c r="FY78" i="2" s="1"/>
  <c r="FY28" i="2" a="1"/>
  <c r="FY28" i="2" s="1"/>
  <c r="FY188" i="2" a="1"/>
  <c r="FY188" i="2" s="1"/>
  <c r="FY126" i="2" a="1"/>
  <c r="FY126" i="2" s="1"/>
  <c r="FY55" i="2" a="1"/>
  <c r="FY55" i="2" s="1"/>
  <c r="FY178" i="2" a="1"/>
  <c r="FY178" i="2" s="1"/>
  <c r="AH92" i="2" a="1"/>
  <c r="AH92" i="2" s="1"/>
  <c r="FY72" i="2" a="1"/>
  <c r="FY72" i="2" s="1"/>
  <c r="FY190" i="2" a="1"/>
  <c r="FY190" i="2" s="1"/>
  <c r="FY62" i="2" a="1"/>
  <c r="FY62" i="2" s="1"/>
  <c r="FY169" i="2" a="1"/>
  <c r="FY169" i="2" s="1"/>
  <c r="FY124" i="2" a="1"/>
  <c r="FY124" i="2" s="1"/>
  <c r="FY24" i="2" a="1"/>
  <c r="FY24" i="2" s="1"/>
  <c r="FY149" i="2" a="1"/>
  <c r="FY149" i="2" s="1"/>
  <c r="FY164" i="2" a="1"/>
  <c r="FY164" i="2" s="1"/>
  <c r="FY34" i="2" a="1"/>
  <c r="FY34" i="2" s="1"/>
  <c r="FY104" i="2" a="1"/>
  <c r="FY104" i="2" s="1"/>
  <c r="FY172" i="2" a="1"/>
  <c r="FY172" i="2" s="1"/>
  <c r="FD21" i="2" a="1"/>
  <c r="FD21" i="2" s="1"/>
  <c r="FD144" i="2" a="1"/>
  <c r="FD144" i="2" s="1"/>
  <c r="FD59" i="2" a="1"/>
  <c r="FD59" i="2" s="1"/>
  <c r="DN56" i="2" a="1"/>
  <c r="DN56" i="2" s="1"/>
  <c r="GT115" i="2" a="1"/>
  <c r="GT115" i="2" s="1"/>
  <c r="GT184" i="2" a="1"/>
  <c r="GT184" i="2" s="1"/>
  <c r="GT181" i="2" a="1"/>
  <c r="GT181" i="2" s="1"/>
  <c r="GT68" i="2" a="1"/>
  <c r="GT68" i="2" s="1"/>
  <c r="GT51" i="2" a="1"/>
  <c r="GT51" i="2" s="1"/>
  <c r="GT122" i="2" a="1"/>
  <c r="GT122" i="2" s="1"/>
  <c r="GT121" i="2" a="1"/>
  <c r="GT121" i="2" s="1"/>
  <c r="GT133" i="2" a="1"/>
  <c r="GT133" i="2" s="1"/>
  <c r="GT33" i="2" a="1"/>
  <c r="GT33" i="2" s="1"/>
  <c r="GT152" i="2" a="1"/>
  <c r="GT152" i="2" s="1"/>
  <c r="GT147" i="2" a="1"/>
  <c r="GT147" i="2" s="1"/>
  <c r="GT102" i="2" a="1"/>
  <c r="GT102" i="2" s="1"/>
  <c r="GT11" i="2" a="1"/>
  <c r="GT11" i="2" s="1"/>
  <c r="EI198" i="2" a="1"/>
  <c r="EI198" i="2" s="1"/>
  <c r="EI166" i="2" a="1"/>
  <c r="EI166" i="2" s="1"/>
  <c r="EI153" i="2" a="1"/>
  <c r="EI153" i="2" s="1"/>
  <c r="EI106" i="2" a="1"/>
  <c r="EI106" i="2" s="1"/>
  <c r="EI29" i="2" a="1"/>
  <c r="EI29" i="2" s="1"/>
  <c r="EI150" i="2" a="1"/>
  <c r="EI150" i="2" s="1"/>
  <c r="EI162" i="2" a="1"/>
  <c r="EI162" i="2" s="1"/>
  <c r="EI145" i="2" a="1"/>
  <c r="EI145" i="2" s="1"/>
  <c r="EI178" i="2" a="1"/>
  <c r="EI178" i="2" s="1"/>
  <c r="EI142" i="2" a="1"/>
  <c r="EI142" i="2" s="1"/>
  <c r="DN155" i="2" a="1"/>
  <c r="DN155" i="2" s="1"/>
  <c r="CS66" i="2" a="1"/>
  <c r="CS66" i="2" s="1"/>
  <c r="DN124" i="2" a="1"/>
  <c r="DN124" i="2" s="1"/>
  <c r="CS52" i="2" a="1"/>
  <c r="CS52" i="2" s="1"/>
  <c r="CS129" i="2" a="1"/>
  <c r="CS129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CS116" i="2" a="1"/>
  <c r="CS116" i="2" s="1"/>
  <c r="EI195" i="2" a="1"/>
  <c r="EI195" i="2" s="1"/>
  <c r="DN123" i="2" a="1"/>
  <c r="DN123" i="2" s="1"/>
  <c r="CS137" i="2" a="1"/>
  <c r="CS137" i="2" s="1"/>
  <c r="AH151" i="2" a="1"/>
  <c r="AH151" i="2" s="1"/>
  <c r="DN103" i="2" a="1"/>
  <c r="DN103" i="2" s="1"/>
  <c r="DN114" i="2" a="1"/>
  <c r="DN114" i="2" s="1"/>
  <c r="CS77" i="2" a="1"/>
  <c r="CS77" i="2" s="1"/>
  <c r="AH90" i="2" a="1"/>
  <c r="AH90" i="2" s="1"/>
  <c r="AH19" i="2" a="1"/>
  <c r="AH19" i="2" s="1"/>
  <c r="AH166" i="2" a="1"/>
  <c r="AH166" i="2" s="1"/>
  <c r="AH199" i="2" a="1"/>
  <c r="AH199" i="2" s="1"/>
  <c r="AH62" i="2" a="1"/>
  <c r="AH62" i="2" s="1"/>
  <c r="AH163" i="2" a="1"/>
  <c r="AH163" i="2" s="1"/>
  <c r="CS161" i="2" a="1"/>
  <c r="CS161" i="2" s="1"/>
  <c r="CS105" i="2" a="1"/>
  <c r="CS105" i="2" s="1"/>
  <c r="CS38" i="2" a="1"/>
  <c r="CS38" i="2" s="1"/>
  <c r="FY58" i="2" a="1"/>
  <c r="FY58" i="2" s="1"/>
  <c r="FY86" i="2" a="1"/>
  <c r="FY86" i="2" s="1"/>
  <c r="FY115" i="2" a="1"/>
  <c r="FY115" i="2" s="1"/>
  <c r="FY182" i="2" a="1"/>
  <c r="FY182" i="2" s="1"/>
  <c r="FY82" i="2" a="1"/>
  <c r="FY82" i="2" s="1"/>
  <c r="FY196" i="2" a="1"/>
  <c r="FY196" i="2" s="1"/>
  <c r="FY42" i="2" a="1"/>
  <c r="FY42" i="2" s="1"/>
  <c r="FY30" i="2" a="1"/>
  <c r="FY30" i="2" s="1"/>
  <c r="FY80" i="2" a="1"/>
  <c r="FY80" i="2" s="1"/>
  <c r="FY142" i="2" a="1"/>
  <c r="FY142" i="2" s="1"/>
  <c r="FY167" i="2" a="1"/>
  <c r="FY167" i="2" s="1"/>
  <c r="FY121" i="2" a="1"/>
  <c r="FY121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DN63" i="2" a="1"/>
  <c r="DN63" i="2" s="1"/>
  <c r="CS120" i="2" a="1"/>
  <c r="CS120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8" i="2" a="1"/>
  <c r="EI38" i="2" s="1"/>
  <c r="EI109" i="2" a="1"/>
  <c r="EI109" i="2" s="1"/>
  <c r="EI87" i="2" a="1"/>
  <c r="EI87" i="2" s="1"/>
  <c r="EI36" i="2" a="1"/>
  <c r="EI36" i="2" s="1"/>
  <c r="EI57" i="2" a="1"/>
  <c r="EI57" i="2" s="1"/>
  <c r="EI71" i="2" a="1"/>
  <c r="EI71" i="2" s="1"/>
  <c r="EI165" i="2" a="1"/>
  <c r="EI165" i="2" s="1"/>
  <c r="EI34" i="2" a="1"/>
  <c r="EI34" i="2" s="1"/>
  <c r="EI20" i="2" a="1"/>
  <c r="EI20" i="2" s="1"/>
  <c r="EI128" i="2" a="1"/>
  <c r="EI128" i="2" s="1"/>
  <c r="EI113" i="2" a="1"/>
  <c r="EI113" i="2" s="1"/>
  <c r="EI16" i="2" a="1"/>
  <c r="EI16" i="2" s="1"/>
  <c r="EI170" i="2" a="1"/>
  <c r="EI170" i="2" s="1"/>
  <c r="EI67" i="2" a="1"/>
  <c r="EI67" i="2" s="1"/>
  <c r="EI139" i="2" a="1"/>
  <c r="EI139" i="2" s="1"/>
  <c r="EI35" i="2" a="1"/>
  <c r="EI35" i="2" s="1"/>
  <c r="EI37" i="2" a="1"/>
  <c r="EI37" i="2" s="1"/>
  <c r="DN168" i="2" a="1"/>
  <c r="DN168" i="2" s="1"/>
  <c r="CS185" i="2" a="1"/>
  <c r="CS185" i="2" s="1"/>
  <c r="DN80" i="2" a="1"/>
  <c r="DN80" i="2" s="1"/>
  <c r="CS56" i="2" a="1"/>
  <c r="CS56" i="2" s="1"/>
  <c r="CS114" i="2" a="1"/>
  <c r="CS114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CS24" i="2" a="1"/>
  <c r="CS24" i="2" s="1"/>
  <c r="CS134" i="2" a="1"/>
  <c r="CS134" i="2" s="1"/>
  <c r="DN45" i="2" a="1"/>
  <c r="DN45" i="2" s="1"/>
  <c r="CS72" i="2" a="1"/>
  <c r="CS72" i="2" s="1"/>
  <c r="BX107" i="2" a="1"/>
  <c r="BX107" i="2" s="1"/>
  <c r="FD82" i="2" a="1"/>
  <c r="FD82" i="2" s="1"/>
  <c r="DN187" i="2" a="1"/>
  <c r="DN187" i="2" s="1"/>
  <c r="HJ202" i="2"/>
  <c r="EY202" i="2"/>
  <c r="AX200" i="2"/>
  <c r="BC18" i="2" l="1" a="1"/>
  <c r="BC18" i="2" s="1"/>
  <c r="BC84" i="2" a="1"/>
  <c r="BC84" i="2" s="1"/>
  <c r="BC82" i="2" a="1"/>
  <c r="BC82" i="2" s="1"/>
  <c r="BC83" i="2" a="1"/>
  <c r="BC83" i="2" s="1"/>
  <c r="BC164" i="2" a="1"/>
  <c r="BC164" i="2" s="1"/>
  <c r="BC151" i="2" a="1"/>
  <c r="BC151" i="2" s="1"/>
  <c r="BC192" i="2" a="1"/>
  <c r="BC192" i="2" s="1"/>
  <c r="BC47" i="2" a="1"/>
  <c r="BC47" i="2" s="1"/>
  <c r="BC55" i="2" a="1"/>
  <c r="BC55" i="2" s="1"/>
  <c r="BC68" i="2" a="1"/>
  <c r="BC68" i="2" s="1"/>
  <c r="BC185" i="2" a="1"/>
  <c r="BC185" i="2" s="1"/>
  <c r="BC130" i="2" a="1"/>
  <c r="BC130" i="2" s="1"/>
  <c r="BC117" i="2" a="1"/>
  <c r="BC117" i="2" s="1"/>
  <c r="BC58" i="2" a="1"/>
  <c r="BC58" i="2" s="1"/>
  <c r="BC143" i="2" a="1"/>
  <c r="BC143" i="2" s="1"/>
  <c r="BC181" i="2" a="1"/>
  <c r="BC181" i="2" s="1"/>
  <c r="BC34" i="2" a="1"/>
  <c r="BC34" i="2" s="1"/>
  <c r="BC7" i="2" a="1"/>
  <c r="BC7" i="2" s="1"/>
  <c r="BC31" i="2" a="1"/>
  <c r="BC31" i="2" s="1"/>
  <c r="BC65" i="2" a="1"/>
  <c r="BC65" i="2" s="1"/>
  <c r="BC114" i="2" a="1"/>
  <c r="BC114" i="2" s="1"/>
  <c r="BC38" i="2" a="1"/>
  <c r="BC38" i="2" s="1"/>
  <c r="BC32" i="2" a="1"/>
  <c r="BC32" i="2" s="1"/>
  <c r="BC126" i="2" a="1"/>
  <c r="BC126" i="2" s="1"/>
  <c r="BP203" i="2"/>
  <c r="HG203" i="2"/>
  <c r="FR203" i="2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A203" i="2"/>
  <c r="ED203" i="2" s="1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L203" i="2"/>
  <c r="FZ8" i="2"/>
  <c r="FZ9" i="2" s="1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Y7" i="2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FT203" i="2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Y203" i="2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CN203" i="2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10" i="2" l="1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J16" i="2" l="1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I141" i="2" l="1"/>
  <c r="BI61" i="2"/>
  <c r="BI129" i="2"/>
  <c r="BI192" i="2"/>
  <c r="BI171" i="2"/>
  <c r="BI29" i="2"/>
  <c r="BI49" i="2"/>
  <c r="BI182" i="2"/>
  <c r="BI151" i="2"/>
  <c r="BI82" i="2"/>
  <c r="BI84" i="2"/>
  <c r="BI56" i="2"/>
  <c r="BI156" i="2"/>
  <c r="BI21" i="2"/>
  <c r="BI197" i="2"/>
  <c r="BI169" i="2"/>
  <c r="BI33" i="2"/>
  <c r="BI146" i="2"/>
  <c r="BI161" i="2"/>
  <c r="BI44" i="2"/>
  <c r="BI59" i="2"/>
  <c r="BI81" i="2"/>
  <c r="BI72" i="2"/>
  <c r="BI193" i="2"/>
  <c r="BI51" i="2"/>
  <c r="BI64" i="2"/>
  <c r="BI26" i="2"/>
  <c r="BI198" i="2"/>
  <c r="BI60" i="2"/>
  <c r="BI167" i="2"/>
  <c r="BI87" i="2"/>
  <c r="BI126" i="2"/>
  <c r="BI134" i="2"/>
  <c r="BI131" i="2"/>
  <c r="BI117" i="2"/>
  <c r="BI189" i="2"/>
  <c r="BI138" i="2"/>
  <c r="BI174" i="2"/>
  <c r="BI104" i="2"/>
  <c r="BI202" i="2"/>
  <c r="BI32" i="2"/>
  <c r="BI14" i="2"/>
  <c r="BI11" i="2"/>
  <c r="BI62" i="2"/>
  <c r="BI55" i="2"/>
  <c r="BI162" i="2"/>
  <c r="BI166" i="2"/>
  <c r="BI113" i="2"/>
  <c r="BI181" i="2"/>
  <c r="BI191" i="2"/>
  <c r="BI187" i="2"/>
  <c r="BI195" i="2"/>
  <c r="BI196" i="2"/>
  <c r="BI102" i="2"/>
  <c r="BI35" i="2"/>
  <c r="BI147" i="2"/>
  <c r="BI111" i="2"/>
  <c r="BI67" i="2"/>
  <c r="BI164" i="2"/>
  <c r="BI119" i="2"/>
  <c r="BI30" i="2"/>
  <c r="BI48" i="2"/>
  <c r="BI184" i="2"/>
  <c r="BI50" i="2"/>
  <c r="BI20" i="2"/>
  <c r="BI150" i="2"/>
  <c r="BI122" i="2"/>
  <c r="BI34" i="2"/>
  <c r="BI139" i="2"/>
  <c r="BI185" i="2"/>
  <c r="BI9" i="2"/>
  <c r="BI118" i="2"/>
  <c r="BI201" i="2"/>
  <c r="BI178" i="2"/>
  <c r="BI19" i="2"/>
  <c r="BI148" i="2"/>
  <c r="BI144" i="2"/>
  <c r="BI94" i="2"/>
  <c r="BI80" i="2"/>
  <c r="BI5" i="2"/>
  <c r="BI93" i="2"/>
  <c r="BI41" i="2"/>
  <c r="BI114" i="2"/>
  <c r="BI27" i="2"/>
  <c r="BI69" i="2"/>
  <c r="BI90" i="2"/>
  <c r="BI177" i="2"/>
  <c r="BI152" i="2"/>
  <c r="BI142" i="2"/>
  <c r="BI75" i="2"/>
  <c r="BI183" i="2"/>
  <c r="BI91" i="2"/>
  <c r="BI58" i="2"/>
  <c r="BI95" i="2"/>
  <c r="BI163" i="2"/>
  <c r="BI45" i="2"/>
  <c r="BI4" i="2"/>
  <c r="BI125" i="2"/>
  <c r="BI40" i="2"/>
  <c r="BI165" i="2"/>
  <c r="BI137" i="2"/>
  <c r="BI135" i="2"/>
  <c r="BI65" i="2"/>
  <c r="BI96" i="2"/>
  <c r="BI179" i="2"/>
  <c r="BI92" i="2"/>
  <c r="BI145" i="2"/>
  <c r="BI73" i="2"/>
  <c r="BI24" i="2"/>
  <c r="BI37" i="2"/>
  <c r="BI190" i="2"/>
  <c r="BI3" i="2"/>
  <c r="C8" i="4" s="1"/>
  <c r="E8" i="4" s="1"/>
  <c r="F8" i="4" s="1"/>
  <c r="G8" i="4" s="1"/>
  <c r="L8" i="4" s="1"/>
  <c r="BI124" i="2"/>
  <c r="BI199" i="2"/>
  <c r="BI10" i="2"/>
  <c r="BI100" i="2"/>
  <c r="BI39" i="2"/>
  <c r="BI83" i="2"/>
  <c r="BI68" i="2"/>
  <c r="BI31" i="2"/>
  <c r="BI188" i="2"/>
  <c r="BI186" i="2"/>
  <c r="BI120" i="2"/>
  <c r="BI18" i="2"/>
  <c r="BI7" i="2"/>
  <c r="BI128" i="2"/>
  <c r="BI112" i="2"/>
  <c r="BI194" i="2"/>
  <c r="BI101" i="2"/>
  <c r="BI154" i="2"/>
  <c r="BI109" i="2"/>
  <c r="BI97" i="2"/>
  <c r="BI22" i="2"/>
  <c r="BI175" i="2"/>
  <c r="BI140" i="2"/>
  <c r="BI149" i="2"/>
  <c r="BI12" i="2"/>
  <c r="BI123" i="2"/>
  <c r="BI110" i="2"/>
  <c r="BI173" i="2"/>
  <c r="BI17" i="2"/>
  <c r="BI89" i="2"/>
  <c r="BI115" i="2"/>
  <c r="BI86" i="2"/>
  <c r="BI6" i="2"/>
  <c r="BI105" i="2"/>
  <c r="BI46" i="2"/>
  <c r="BI53" i="2"/>
  <c r="BI42" i="2"/>
  <c r="BI200" i="2"/>
  <c r="BI121" i="2"/>
  <c r="BI85" i="2"/>
  <c r="BI158" i="2"/>
  <c r="BI107" i="2"/>
  <c r="BI71" i="2"/>
  <c r="BI136" i="2"/>
  <c r="BI159" i="2"/>
  <c r="BI176" i="2"/>
  <c r="BI54" i="2"/>
  <c r="BI79" i="2"/>
  <c r="BI133" i="2"/>
  <c r="BI74" i="2"/>
  <c r="BI160" i="2"/>
  <c r="BI70" i="2"/>
  <c r="BI130" i="2"/>
  <c r="BI77" i="2"/>
  <c r="BI38" i="2"/>
  <c r="BI203" i="2"/>
  <c r="BI132" i="2"/>
  <c r="BI127" i="2"/>
  <c r="BI116" i="2"/>
  <c r="BI15" i="2"/>
  <c r="BI13" i="2"/>
  <c r="BI8" i="2"/>
  <c r="BI108" i="2"/>
  <c r="BI23" i="2"/>
  <c r="BI25" i="2"/>
  <c r="BI78" i="2"/>
  <c r="BI66" i="2"/>
  <c r="BI153" i="2"/>
  <c r="BI168" i="2"/>
  <c r="BI57" i="2"/>
  <c r="BI143" i="2"/>
  <c r="BI16" i="2"/>
  <c r="BI88" i="2"/>
  <c r="BI36" i="2"/>
  <c r="BI98" i="2"/>
  <c r="BI103" i="2"/>
  <c r="BI106" i="2"/>
  <c r="BI180" i="2"/>
  <c r="BI52" i="2"/>
  <c r="BI155" i="2"/>
  <c r="BI172" i="2"/>
  <c r="BI43" i="2"/>
  <c r="BI157" i="2"/>
  <c r="BI28" i="2"/>
  <c r="BI170" i="2"/>
  <c r="BI63" i="2"/>
  <c r="BI47" i="2"/>
  <c r="BI99" i="2"/>
  <c r="BI76" i="2"/>
  <c r="BF124" i="2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<sst xmlns="http://schemas.openxmlformats.org/spreadsheetml/2006/main" count="1173" uniqueCount="324">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</sst>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6" fillId="14" borderId="0" xfId="0" applyFont="1" applyFill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1.9372195932743184</c:v>
                </c:pt>
                <c:pt idx="2">
                  <c:v>2.4198485086289616</c:v>
                </c:pt>
                <c:pt idx="3">
                  <c:v>3.0231903145261385</c:v>
                </c:pt>
                <c:pt idx="4">
                  <c:v>3.7775489714866755</c:v>
                </c:pt>
                <c:pt idx="5">
                  <c:v>4.720862313478416</c:v>
                </c:pt>
                <c:pt idx="6">
                  <c:v>5.900631269188306</c:v>
                </c:pt>
                <c:pt idx="7">
                  <c:v>7.3763380754840293</c:v>
                </c:pt>
                <c:pt idx="8">
                  <c:v>9.2224777619646083</c:v>
                </c:pt>
                <c:pt idx="9">
                  <c:v>11.532358849399607</c:v>
                </c:pt>
                <c:pt idx="10">
                  <c:v>14.422868954190093</c:v>
                </c:pt>
                <c:pt idx="11">
                  <c:v>18.040450894556724</c:v>
                </c:pt>
                <c:pt idx="12">
                  <c:v>22.568597551081712</c:v>
                </c:pt>
                <c:pt idx="13">
                  <c:v>30.736395877407301</c:v>
                </c:pt>
                <c:pt idx="14">
                  <c:v>38.843441867053087</c:v>
                </c:pt>
                <c:pt idx="15">
                  <c:v>46.904345313953264</c:v>
                </c:pt>
                <c:pt idx="16">
                  <c:v>54.928208921069135</c:v>
                </c:pt>
                <c:pt idx="17">
                  <c:v>57.928936520700894</c:v>
                </c:pt>
                <c:pt idx="18">
                  <c:v>66.243665135009351</c:v>
                </c:pt>
                <c:pt idx="19">
                  <c:v>74.531438411818826</c:v>
                </c:pt>
                <c:pt idx="20">
                  <c:v>82.795684713351179</c:v>
                </c:pt>
                <c:pt idx="21">
                  <c:v>87.08470923291496</c:v>
                </c:pt>
                <c:pt idx="22">
                  <c:v>97.94903248410327</c:v>
                </c:pt>
                <c:pt idx="23">
                  <c:v>108.78339465120125</c:v>
                </c:pt>
                <c:pt idx="24">
                  <c:v>119.59120534711991</c:v>
                </c:pt>
                <c:pt idx="25">
                  <c:v>114.02667849427588</c:v>
                </c:pt>
                <c:pt idx="26">
                  <c:v>124.16900365793684</c:v>
                </c:pt>
                <c:pt idx="27">
                  <c:v>134.29120903422282</c:v>
                </c:pt>
                <c:pt idx="28">
                  <c:v>144.39502686294233</c:v>
                </c:pt>
                <c:pt idx="29">
                  <c:v>137.8784585019167</c:v>
                </c:pt>
                <c:pt idx="30">
                  <c:v>148.30156685454077</c:v>
                </c:pt>
                <c:pt idx="31">
                  <c:v>158.70719102606964</c:v>
                </c:pt>
                <c:pt idx="32">
                  <c:v>169.09664015835338</c:v>
                </c:pt>
                <c:pt idx="33">
                  <c:v>179.47104913917386</c:v>
                </c:pt>
                <c:pt idx="34">
                  <c:v>189.83141075244791</c:v>
                </c:pt>
                <c:pt idx="35">
                  <c:v>166.71709174013915</c:v>
                </c:pt>
                <c:pt idx="36">
                  <c:v>176.0145200312711</c:v>
                </c:pt>
                <c:pt idx="37">
                  <c:v>185.30042247535172</c:v>
                </c:pt>
                <c:pt idx="38">
                  <c:v>194.57545874663569</c:v>
                </c:pt>
                <c:pt idx="39">
                  <c:v>203.84022040899663</c:v>
                </c:pt>
                <c:pt idx="40">
                  <c:v>213.0952407926645</c:v>
                </c:pt>
                <c:pt idx="41">
                  <c:v>190.90984349651194</c:v>
                </c:pt>
                <c:pt idx="42">
                  <c:v>198.45494944345185</c:v>
                </c:pt>
                <c:pt idx="43">
                  <c:v>205.99340154257493</c:v>
                </c:pt>
                <c:pt idx="44">
                  <c:v>213.52547798202738</c:v>
                </c:pt>
                <c:pt idx="45">
                  <c:v>221.05143569284758</c:v>
                </c:pt>
                <c:pt idx="46">
                  <c:v>228.57151265786101</c:v>
                </c:pt>
                <c:pt idx="47">
                  <c:v>208.89937184368952</c:v>
                </c:pt>
                <c:pt idx="48">
                  <c:v>213.74058908343292</c:v>
                </c:pt>
                <c:pt idx="49">
                  <c:v>218.57928096026777</c:v>
                </c:pt>
                <c:pt idx="50">
                  <c:v>223.41551137926174</c:v>
                </c:pt>
                <c:pt idx="51">
                  <c:v>228.24934124753477</c:v>
                </c:pt>
                <c:pt idx="52">
                  <c:v>233.08082867687767</c:v>
                </c:pt>
                <c:pt idx="53">
                  <c:v>237.91002916866509</c:v>
                </c:pt>
                <c:pt idx="54">
                  <c:v>242.73699578294506</c:v>
                </c:pt>
                <c:pt idx="55">
                  <c:v>224.22131479260892</c:v>
                </c:pt>
                <c:pt idx="56">
                  <c:v>226.31609358677363</c:v>
                </c:pt>
                <c:pt idx="57">
                  <c:v>228.41042825288187</c:v>
                </c:pt>
                <c:pt idx="58">
                  <c:v>230.50432344920179</c:v>
                </c:pt>
                <c:pt idx="59">
                  <c:v>232.59778374223927</c:v>
                </c:pt>
                <c:pt idx="60">
                  <c:v>234.6908136093756</c:v>
                </c:pt>
                <c:pt idx="61">
                  <c:v>236.78341744140491</c:v>
                </c:pt>
                <c:pt idx="62">
                  <c:v>238.87559954497763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2.5269872033657084</c:v>
                </c:pt>
                <c:pt idx="2">
                  <c:v>3.0704150117724631</c:v>
                </c:pt>
                <c:pt idx="3">
                  <c:v>3.7311491175114622</c:v>
                </c:pt>
                <c:pt idx="4">
                  <c:v>4.5346018008977769</c:v>
                </c:pt>
                <c:pt idx="5">
                  <c:v>5.5117087428808444</c:v>
                </c:pt>
                <c:pt idx="6">
                  <c:v>6.700133244646068</c:v>
                </c:pt>
                <c:pt idx="7">
                  <c:v>8.1457337386166611</c:v>
                </c:pt>
                <c:pt idx="8">
                  <c:v>9.9043523069348272</c:v>
                </c:pt>
                <c:pt idx="9">
                  <c:v>12.043994605469051</c:v>
                </c:pt>
                <c:pt idx="10">
                  <c:v>14.647487065976454</c:v>
                </c:pt>
                <c:pt idx="11">
                  <c:v>17.815716132386203</c:v>
                </c:pt>
                <c:pt idx="12">
                  <c:v>21.671577331581219</c:v>
                </c:pt>
                <c:pt idx="13">
                  <c:v>26.364790103183779</c:v>
                </c:pt>
                <c:pt idx="14">
                  <c:v>32.077768638490888</c:v>
                </c:pt>
                <c:pt idx="15">
                  <c:v>39.03278087579735</c:v>
                </c:pt>
                <c:pt idx="16">
                  <c:v>47.500678940945996</c:v>
                </c:pt>
                <c:pt idx="17">
                  <c:v>57.811546751396016</c:v>
                </c:pt>
                <c:pt idx="18">
                  <c:v>70.367686715095942</c:v>
                </c:pt>
                <c:pt idx="19">
                  <c:v>85.659460500313287</c:v>
                </c:pt>
                <c:pt idx="20">
                  <c:v>104.28461245280988</c:v>
                </c:pt>
                <c:pt idx="21">
                  <c:v>84.464894871217268</c:v>
                </c:pt>
                <c:pt idx="22">
                  <c:v>102.14680795061109</c:v>
                </c:pt>
                <c:pt idx="23">
                  <c:v>119.7527795193747</c:v>
                </c:pt>
                <c:pt idx="24">
                  <c:v>137.29557860666611</c:v>
                </c:pt>
                <c:pt idx="25">
                  <c:v>154.78442729853825</c:v>
                </c:pt>
                <c:pt idx="26">
                  <c:v>172.22628590712233</c:v>
                </c:pt>
                <c:pt idx="27">
                  <c:v>189.62658619699673</c:v>
                </c:pt>
                <c:pt idx="28">
                  <c:v>206.98967982954628</c:v>
                </c:pt>
                <c:pt idx="29">
                  <c:v>224.31912779503833</c:v>
                </c:pt>
                <c:pt idx="30">
                  <c:v>241.61789541835174</c:v>
                </c:pt>
                <c:pt idx="31">
                  <c:v>182.24941629080749</c:v>
                </c:pt>
                <c:pt idx="32">
                  <c:v>196.47082163446908</c:v>
                </c:pt>
                <c:pt idx="33">
                  <c:v>210.66832681499406</c:v>
                </c:pt>
                <c:pt idx="34">
                  <c:v>224.84376997057768</c:v>
                </c:pt>
                <c:pt idx="35">
                  <c:v>238.99873834931921</c:v>
                </c:pt>
                <c:pt idx="36">
                  <c:v>253.13461570632361</c:v>
                </c:pt>
                <c:pt idx="37">
                  <c:v>267.25261854381961</c:v>
                </c:pt>
                <c:pt idx="38">
                  <c:v>281.35382428342695</c:v>
                </c:pt>
                <c:pt idx="39">
                  <c:v>295.43919348931161</c:v>
                </c:pt>
                <c:pt idx="40">
                  <c:v>309.50958762804532</c:v>
                </c:pt>
                <c:pt idx="41">
                  <c:v>246.85427908940071</c:v>
                </c:pt>
                <c:pt idx="42">
                  <c:v>257.31954013248077</c:v>
                </c:pt>
                <c:pt idx="43">
                  <c:v>267.77517870928619</c:v>
                </c:pt>
                <c:pt idx="44">
                  <c:v>278.22162375497288</c:v>
                </c:pt>
                <c:pt idx="45">
                  <c:v>288.6592693411352</c:v>
                </c:pt>
                <c:pt idx="46">
                  <c:v>299.08847869495401</c:v>
                </c:pt>
                <c:pt idx="47">
                  <c:v>309.50958762804532</c:v>
                </c:pt>
                <c:pt idx="48">
                  <c:v>319.92290747907697</c:v>
                </c:pt>
                <c:pt idx="49">
                  <c:v>330.32872765301573</c:v>
                </c:pt>
                <c:pt idx="50">
                  <c:v>340.72731782352457</c:v>
                </c:pt>
                <c:pt idx="51">
                  <c:v>294.57016829909111</c:v>
                </c:pt>
                <c:pt idx="52">
                  <c:v>302.21564730396659</c:v>
                </c:pt>
                <c:pt idx="53">
                  <c:v>309.85682211726339</c:v>
                </c:pt>
                <c:pt idx="54">
                  <c:v>317.493813958099</c:v>
                </c:pt>
                <c:pt idx="55">
                  <c:v>325.1267377323847</c:v>
                </c:pt>
                <c:pt idx="56">
                  <c:v>332.75570250539596</c:v>
                </c:pt>
                <c:pt idx="57">
                  <c:v>340.38081192870806</c:v>
                </c:pt>
                <c:pt idx="58">
                  <c:v>348.00216462685376</c:v>
                </c:pt>
                <c:pt idx="59">
                  <c:v>355.61985454831506</c:v>
                </c:pt>
                <c:pt idx="60">
                  <c:v>363.2339712848547</c:v>
                </c:pt>
                <c:pt idx="61">
                  <c:v>334.14236984380835</c:v>
                </c:pt>
                <c:pt idx="62">
                  <c:v>339.68777684695186</c:v>
                </c:pt>
                <c:pt idx="63">
                  <c:v>345.23119228214608</c:v>
                </c:pt>
                <c:pt idx="64">
                  <c:v>350.77265267907933</c:v>
                </c:pt>
                <c:pt idx="65">
                  <c:v>356.31219331771285</c:v>
                </c:pt>
                <c:pt idx="66">
                  <c:v>361.84984829023819</c:v>
                </c:pt>
                <c:pt idx="67">
                  <c:v>367.38565055904047</c:v>
                </c:pt>
                <c:pt idx="68">
                  <c:v>372.91963201098366</c:v>
                </c:pt>
                <c:pt idx="69">
                  <c:v>378.45182350830129</c:v>
                </c:pt>
                <c:pt idx="70">
                  <c:v>383.98225493635567</c:v>
                </c:pt>
                <c:pt idx="71">
                  <c:v>360.6386457043447</c:v>
                </c:pt>
                <c:pt idx="72">
                  <c:v>364.96396296815789</c:v>
                </c:pt>
                <c:pt idx="73">
                  <c:v>369.28816047831486</c:v>
                </c:pt>
                <c:pt idx="74">
                  <c:v>373.61125321420656</c:v>
                </c:pt>
                <c:pt idx="75">
                  <c:v>377.93325577983632</c:v>
                </c:pt>
                <c:pt idx="76">
                  <c:v>382.25418241750964</c:v>
                </c:pt>
                <c:pt idx="77">
                  <c:v>386.57404702087359</c:v>
                </c:pt>
                <c:pt idx="78">
                  <c:v>390.89286314734119</c:v>
                </c:pt>
                <c:pt idx="79">
                  <c:v>395.21064402993801</c:v>
                </c:pt>
                <c:pt idx="80">
                  <c:v>399.52740258860331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2.6341005567461218</c:v>
                </c:pt>
                <c:pt idx="2">
                  <c:v>3.0030706326443997</c:v>
                </c:pt>
                <c:pt idx="3">
                  <c:v>3.4239080063344987</c:v>
                </c:pt>
                <c:pt idx="4">
                  <c:v>3.9039282867893692</c:v>
                </c:pt>
                <c:pt idx="5">
                  <c:v>4.4514821499703841</c:v>
                </c:pt>
                <c:pt idx="6">
                  <c:v>5.0761022153212734</c:v>
                </c:pt>
                <c:pt idx="7">
                  <c:v>5.7886708203511725</c:v>
                </c:pt>
                <c:pt idx="8">
                  <c:v>6.6016116741370441</c:v>
                </c:pt>
                <c:pt idx="9">
                  <c:v>7.5291087967163621</c:v>
                </c:pt>
                <c:pt idx="10">
                  <c:v>8.587356638528723</c:v>
                </c:pt>
                <c:pt idx="11">
                  <c:v>9.7948458310618953</c:v>
                </c:pt>
                <c:pt idx="12">
                  <c:v>11.172689656685135</c:v>
                </c:pt>
                <c:pt idx="13">
                  <c:v>12.74499705377279</c:v>
                </c:pt>
                <c:pt idx="14">
                  <c:v>14.53929880574556</c:v>
                </c:pt>
                <c:pt idx="15">
                  <c:v>16.587034514582104</c:v>
                </c:pt>
                <c:pt idx="16">
                  <c:v>18.924109047835174</c:v>
                </c:pt>
                <c:pt idx="17">
                  <c:v>21.591528392847053</c:v>
                </c:pt>
                <c:pt idx="18">
                  <c:v>24.636126275147248</c:v>
                </c:pt>
                <c:pt idx="19">
                  <c:v>28.111394525609683</c:v>
                </c:pt>
                <c:pt idx="20">
                  <c:v>32.078432042224485</c:v>
                </c:pt>
                <c:pt idx="21">
                  <c:v>36.607029320906918</c:v>
                </c:pt>
                <c:pt idx="22">
                  <c:v>41.776907964071142</c:v>
                </c:pt>
                <c:pt idx="23">
                  <c:v>47.679137359724372</c:v>
                </c:pt>
                <c:pt idx="24">
                  <c:v>54.417753907911923</c:v>
                </c:pt>
                <c:pt idx="25">
                  <c:v>62.111611813038422</c:v>
                </c:pt>
                <c:pt idx="26">
                  <c:v>71.754709617860229</c:v>
                </c:pt>
                <c:pt idx="27">
                  <c:v>81.364584625387351</c:v>
                </c:pt>
                <c:pt idx="28">
                  <c:v>90.945724466949798</c:v>
                </c:pt>
                <c:pt idx="29">
                  <c:v>100.50158978060165</c:v>
                </c:pt>
                <c:pt idx="30">
                  <c:v>110.03492698401652</c:v>
                </c:pt>
                <c:pt idx="31">
                  <c:v>120.3398635014748</c:v>
                </c:pt>
                <c:pt idx="32">
                  <c:v>130.62330272297186</c:v>
                </c:pt>
                <c:pt idx="33">
                  <c:v>140.88717779906787</c:v>
                </c:pt>
                <c:pt idx="34">
                  <c:v>151.13311662743948</c:v>
                </c:pt>
                <c:pt idx="35">
                  <c:v>161.362507950626</c:v>
                </c:pt>
                <c:pt idx="36">
                  <c:v>171.57654976527132</c:v>
                </c:pt>
                <c:pt idx="37">
                  <c:v>181.77628557051801</c:v>
                </c:pt>
                <c:pt idx="38">
                  <c:v>191.96263203606017</c:v>
                </c:pt>
                <c:pt idx="39">
                  <c:v>202.13640047813922</c:v>
                </c:pt>
                <c:pt idx="40">
                  <c:v>212.29831377776441</c:v>
                </c:pt>
                <c:pt idx="41">
                  <c:v>170.39875516780384</c:v>
                </c:pt>
                <c:pt idx="42">
                  <c:v>181.38424113596443</c:v>
                </c:pt>
                <c:pt idx="43">
                  <c:v>192.35415851868379</c:v>
                </c:pt>
                <c:pt idx="44">
                  <c:v>203.30952104980258</c:v>
                </c:pt>
                <c:pt idx="45">
                  <c:v>214.25122416862823</c:v>
                </c:pt>
                <c:pt idx="46">
                  <c:v>225.18006429243292</c:v>
                </c:pt>
                <c:pt idx="47">
                  <c:v>236.09675414607656</c:v>
                </c:pt>
                <c:pt idx="48">
                  <c:v>247.00193510423426</c:v>
                </c:pt>
                <c:pt idx="49">
                  <c:v>257.89618723734606</c:v>
                </c:pt>
                <c:pt idx="50">
                  <c:v>268.78003756948306</c:v>
                </c:pt>
                <c:pt idx="51">
                  <c:v>224.98501498915437</c:v>
                </c:pt>
                <c:pt idx="52">
                  <c:v>235.707074164814</c:v>
                </c:pt>
                <c:pt idx="53">
                  <c:v>246.4180109567441</c:v>
                </c:pt>
                <c:pt idx="54">
                  <c:v>257.11837729187414</c:v>
                </c:pt>
                <c:pt idx="55">
                  <c:v>267.8086753716081</c:v>
                </c:pt>
                <c:pt idx="56">
                  <c:v>278.48936400091259</c:v>
                </c:pt>
                <c:pt idx="57">
                  <c:v>289.16086389484894</c:v>
                </c:pt>
                <c:pt idx="58">
                  <c:v>299.82356216018104</c:v>
                </c:pt>
                <c:pt idx="59">
                  <c:v>310.47781610568063</c:v>
                </c:pt>
                <c:pt idx="60">
                  <c:v>321.12395650175063</c:v>
                </c:pt>
                <c:pt idx="61">
                  <c:v>276.93638995381065</c:v>
                </c:pt>
                <c:pt idx="62">
                  <c:v>287.02727998230642</c:v>
                </c:pt>
                <c:pt idx="63">
                  <c:v>297.11023564036304</c:v>
                </c:pt>
                <c:pt idx="64">
                  <c:v>307.18556432776842</c:v>
                </c:pt>
                <c:pt idx="65">
                  <c:v>317.2535516203576</c:v>
                </c:pt>
                <c:pt idx="66">
                  <c:v>327.31446347781883</c:v>
                </c:pt>
                <c:pt idx="67">
                  <c:v>337.36854816571076</c:v>
                </c:pt>
                <c:pt idx="68">
                  <c:v>347.41603793627502</c:v>
                </c:pt>
                <c:pt idx="69">
                  <c:v>357.45715050456153</c:v>
                </c:pt>
                <c:pt idx="70">
                  <c:v>367.49209034995994</c:v>
                </c:pt>
                <c:pt idx="71">
                  <c:v>322.6718286822026</c:v>
                </c:pt>
                <c:pt idx="72">
                  <c:v>331.95564418847277</c:v>
                </c:pt>
                <c:pt idx="73">
                  <c:v>341.23373557401305</c:v>
                </c:pt>
                <c:pt idx="74">
                  <c:v>350.50628052053179</c:v>
                </c:pt>
                <c:pt idx="75">
                  <c:v>359.77344653568457</c:v>
                </c:pt>
                <c:pt idx="76">
                  <c:v>369.03539178839679</c:v>
                </c:pt>
                <c:pt idx="77">
                  <c:v>378.29226585591238</c:v>
                </c:pt>
                <c:pt idx="78">
                  <c:v>387.54421039387483</c:v>
                </c:pt>
                <c:pt idx="79">
                  <c:v>396.79135973905687</c:v>
                </c:pt>
                <c:pt idx="80">
                  <c:v>406.0338414529536</c:v>
                </c:pt>
                <c:pt idx="81">
                  <c:v>360.35246947227597</c:v>
                </c:pt>
                <c:pt idx="82">
                  <c:v>368.6495796596501</c:v>
                </c:pt>
                <c:pt idx="83">
                  <c:v>376.94261536659877</c:v>
                </c:pt>
                <c:pt idx="84">
                  <c:v>385.23167893646314</c:v>
                </c:pt>
                <c:pt idx="85">
                  <c:v>393.51686794613602</c:v>
                </c:pt>
                <c:pt idx="86">
                  <c:v>401.79827552592502</c:v>
                </c:pt>
                <c:pt idx="87">
                  <c:v>410.07599065165772</c:v>
                </c:pt>
                <c:pt idx="88">
                  <c:v>418.35009841196302</c:v>
                </c:pt>
                <c:pt idx="89">
                  <c:v>426.62068025329609</c:v>
                </c:pt>
                <c:pt idx="90">
                  <c:v>434.88781420496662</c:v>
                </c:pt>
                <c:pt idx="91">
                  <c:v>388.12229635555462</c:v>
                </c:pt>
                <c:pt idx="92">
                  <c:v>395.25049568724336</c:v>
                </c:pt>
                <c:pt idx="93">
                  <c:v>402.37590934902954</c:v>
                </c:pt>
                <c:pt idx="94">
                  <c:v>409.49859366550299</c:v>
                </c:pt>
                <c:pt idx="95">
                  <c:v>416.61860284059543</c:v>
                </c:pt>
                <c:pt idx="96">
                  <c:v>423.73598907310139</c:v>
                </c:pt>
                <c:pt idx="97">
                  <c:v>430.85080266402957</c:v>
                </c:pt>
                <c:pt idx="98">
                  <c:v>437.96309211649077</c:v>
                </c:pt>
                <c:pt idx="99">
                  <c:v>445.07290422875553</c:v>
                </c:pt>
                <c:pt idx="100">
                  <c:v>452.18028418105382</c:v>
                </c:pt>
                <c:pt idx="101">
                  <c:v>404.30122601025568</c:v>
                </c:pt>
                <c:pt idx="102">
                  <c:v>410.26845241067684</c:v>
                </c:pt>
                <c:pt idx="103">
                  <c:v>416.23380499861554</c:v>
                </c:pt>
                <c:pt idx="104">
                  <c:v>422.19731444089211</c:v>
                </c:pt>
                <c:pt idx="105">
                  <c:v>428.15901046658496</c:v>
                </c:pt>
                <c:pt idx="106">
                  <c:v>434.1189219086545</c:v>
                </c:pt>
                <c:pt idx="107">
                  <c:v>440.0770767431606</c:v>
                </c:pt>
                <c:pt idx="108">
                  <c:v>446.03350212624281</c:v>
                </c:pt>
                <c:pt idx="109">
                  <c:v>451.98822442902389</c:v>
                </c:pt>
                <c:pt idx="110">
                  <c:v>457.94126927057465</c:v>
                </c:pt>
                <c:pt idx="111">
                  <c:v>411.42318205611986</c:v>
                </c:pt>
                <c:pt idx="112">
                  <c:v>416.81099888731961</c:v>
                </c:pt>
                <c:pt idx="113">
                  <c:v>422.19731444089211</c:v>
                </c:pt>
                <c:pt idx="114">
                  <c:v>427.58215058986383</c:v>
                </c:pt>
                <c:pt idx="115">
                  <c:v>432.96552861089225</c:v>
                </c:pt>
                <c:pt idx="116">
                  <c:v>438.34746920790485</c:v>
                </c:pt>
                <c:pt idx="117">
                  <c:v>443.72799253451632</c:v>
                </c:pt>
                <c:pt idx="118">
                  <c:v>449.10711821530072</c:v>
                </c:pt>
                <c:pt idx="119">
                  <c:v>454.4848653659904</c:v>
                </c:pt>
                <c:pt idx="120">
                  <c:v>459.86125261266926</c:v>
                </c:pt>
                <c:pt idx="121">
                  <c:v>8.3287223069965432E-13</c:v>
                </c:pt>
                <c:pt idx="122">
                  <c:v>8.3287223069965432E-13</c:v>
                </c:pt>
                <c:pt idx="123">
                  <c:v>8.3287223069965432E-13</c:v>
                </c:pt>
                <c:pt idx="124">
                  <c:v>8.3287223069965432E-13</c:v>
                </c:pt>
                <c:pt idx="125">
                  <c:v>8.3287223069965432E-13</c:v>
                </c:pt>
                <c:pt idx="126">
                  <c:v>8.3287223069965432E-13</c:v>
                </c:pt>
                <c:pt idx="127">
                  <c:v>8.3287223069965432E-13</c:v>
                </c:pt>
                <c:pt idx="128">
                  <c:v>8.3287223069965432E-13</c:v>
                </c:pt>
                <c:pt idx="129">
                  <c:v>8.3287223069965432E-13</c:v>
                </c:pt>
                <c:pt idx="130">
                  <c:v>8.3287223069965432E-13</c:v>
                </c:pt>
                <c:pt idx="131">
                  <c:v>8.3287223069965432E-13</c:v>
                </c:pt>
                <c:pt idx="132">
                  <c:v>8.3287223069965432E-13</c:v>
                </c:pt>
                <c:pt idx="133">
                  <c:v>8.3287223069965432E-13</c:v>
                </c:pt>
                <c:pt idx="134">
                  <c:v>8.3287223069965432E-13</c:v>
                </c:pt>
                <c:pt idx="135">
                  <c:v>8.3287223069965432E-13</c:v>
                </c:pt>
                <c:pt idx="136">
                  <c:v>8.3287223069965432E-13</c:v>
                </c:pt>
                <c:pt idx="137">
                  <c:v>8.3287223069965432E-13</c:v>
                </c:pt>
                <c:pt idx="138">
                  <c:v>8.3287223069965432E-13</c:v>
                </c:pt>
                <c:pt idx="139">
                  <c:v>8.3287223069965432E-13</c:v>
                </c:pt>
                <c:pt idx="140">
                  <c:v>8.3287223069965432E-13</c:v>
                </c:pt>
                <c:pt idx="141">
                  <c:v>8.3287223069965432E-13</c:v>
                </c:pt>
                <c:pt idx="142">
                  <c:v>8.3287223069965432E-13</c:v>
                </c:pt>
                <c:pt idx="143">
                  <c:v>8.3287223069965432E-13</c:v>
                </c:pt>
                <c:pt idx="144">
                  <c:v>8.3287223069965432E-13</c:v>
                </c:pt>
                <c:pt idx="145">
                  <c:v>8.3287223069965432E-13</c:v>
                </c:pt>
                <c:pt idx="146">
                  <c:v>8.3287223069965432E-13</c:v>
                </c:pt>
                <c:pt idx="147">
                  <c:v>8.3287223069965432E-13</c:v>
                </c:pt>
                <c:pt idx="148">
                  <c:v>8.3287223069965432E-13</c:v>
                </c:pt>
                <c:pt idx="149">
                  <c:v>8.3287223069965432E-13</c:v>
                </c:pt>
                <c:pt idx="150">
                  <c:v>8.3287223069965432E-13</c:v>
                </c:pt>
                <c:pt idx="151">
                  <c:v>8.3287223069965432E-13</c:v>
                </c:pt>
                <c:pt idx="152">
                  <c:v>8.3287223069965432E-13</c:v>
                </c:pt>
                <c:pt idx="153">
                  <c:v>8.3287223069965432E-13</c:v>
                </c:pt>
                <c:pt idx="154">
                  <c:v>8.3287223069965432E-13</c:v>
                </c:pt>
                <c:pt idx="155">
                  <c:v>8.3287223069965432E-13</c:v>
                </c:pt>
                <c:pt idx="156">
                  <c:v>8.3287223069965432E-13</c:v>
                </c:pt>
                <c:pt idx="157">
                  <c:v>8.3287223069965432E-13</c:v>
                </c:pt>
                <c:pt idx="158">
                  <c:v>8.3287223069965432E-13</c:v>
                </c:pt>
                <c:pt idx="159">
                  <c:v>8.3287223069965432E-13</c:v>
                </c:pt>
                <c:pt idx="160">
                  <c:v>8.3287223069965432E-13</c:v>
                </c:pt>
                <c:pt idx="161">
                  <c:v>8.3287223069965432E-13</c:v>
                </c:pt>
                <c:pt idx="162">
                  <c:v>8.3287223069965432E-13</c:v>
                </c:pt>
                <c:pt idx="163">
                  <c:v>8.3287223069965432E-13</c:v>
                </c:pt>
                <c:pt idx="164">
                  <c:v>8.3287223069965432E-13</c:v>
                </c:pt>
                <c:pt idx="165">
                  <c:v>8.3287223069965432E-13</c:v>
                </c:pt>
                <c:pt idx="166">
                  <c:v>8.3287223069965432E-13</c:v>
                </c:pt>
                <c:pt idx="167">
                  <c:v>8.3287223069965432E-13</c:v>
                </c:pt>
                <c:pt idx="168">
                  <c:v>8.3287223069965432E-13</c:v>
                </c:pt>
                <c:pt idx="169">
                  <c:v>8.3287223069965432E-13</c:v>
                </c:pt>
                <c:pt idx="170">
                  <c:v>8.3287223069965432E-13</c:v>
                </c:pt>
                <c:pt idx="171">
                  <c:v>8.3287223069965432E-13</c:v>
                </c:pt>
                <c:pt idx="172">
                  <c:v>8.3287223069965432E-13</c:v>
                </c:pt>
                <c:pt idx="173">
                  <c:v>8.3287223069965432E-13</c:v>
                </c:pt>
                <c:pt idx="174">
                  <c:v>8.3287223069965432E-13</c:v>
                </c:pt>
                <c:pt idx="175">
                  <c:v>8.3287223069965432E-13</c:v>
                </c:pt>
                <c:pt idx="176">
                  <c:v>8.3287223069965432E-13</c:v>
                </c:pt>
                <c:pt idx="177">
                  <c:v>8.3287223069965432E-13</c:v>
                </c:pt>
                <c:pt idx="178">
                  <c:v>8.3287223069965432E-13</c:v>
                </c:pt>
                <c:pt idx="179">
                  <c:v>8.3287223069965432E-13</c:v>
                </c:pt>
                <c:pt idx="180">
                  <c:v>8.3287223069965432E-13</c:v>
                </c:pt>
                <c:pt idx="181">
                  <c:v>8.3287223069965432E-13</c:v>
                </c:pt>
                <c:pt idx="182">
                  <c:v>8.3287223069965432E-13</c:v>
                </c:pt>
                <c:pt idx="183">
                  <c:v>8.3287223069965432E-13</c:v>
                </c:pt>
                <c:pt idx="184">
                  <c:v>8.3287223069965432E-13</c:v>
                </c:pt>
                <c:pt idx="185">
                  <c:v>8.3287223069965432E-13</c:v>
                </c:pt>
                <c:pt idx="186">
                  <c:v>8.3287223069965432E-13</c:v>
                </c:pt>
                <c:pt idx="187">
                  <c:v>8.3287223069965432E-13</c:v>
                </c:pt>
                <c:pt idx="188">
                  <c:v>8.3287223069965432E-13</c:v>
                </c:pt>
                <c:pt idx="189">
                  <c:v>8.3287223069965432E-13</c:v>
                </c:pt>
                <c:pt idx="190">
                  <c:v>8.3287223069965432E-13</c:v>
                </c:pt>
                <c:pt idx="191">
                  <c:v>8.3287223069965432E-13</c:v>
                </c:pt>
                <c:pt idx="192">
                  <c:v>8.3287223069965432E-13</c:v>
                </c:pt>
                <c:pt idx="193">
                  <c:v>8.3287223069965432E-13</c:v>
                </c:pt>
                <c:pt idx="194">
                  <c:v>8.3287223069965432E-13</c:v>
                </c:pt>
                <c:pt idx="195">
                  <c:v>8.3287223069965432E-13</c:v>
                </c:pt>
                <c:pt idx="196">
                  <c:v>8.3287223069965432E-13</c:v>
                </c:pt>
                <c:pt idx="197">
                  <c:v>8.3287223069965432E-13</c:v>
                </c:pt>
                <c:pt idx="198">
                  <c:v>8.3287223069965432E-13</c:v>
                </c:pt>
                <c:pt idx="199">
                  <c:v>8.3287223069965432E-13</c:v>
                </c:pt>
                <c:pt idx="200">
                  <c:v>8.3287223069965432E-13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2.808913523269716</c:v>
                </c:pt>
                <c:pt idx="2">
                  <c:v>3.2024549307028356</c:v>
                </c:pt>
                <c:pt idx="3">
                  <c:v>3.6513289373607773</c:v>
                </c:pt>
                <c:pt idx="4">
                  <c:v>4.1633414020375676</c:v>
                </c:pt>
                <c:pt idx="5">
                  <c:v>4.7474028110253315</c:v>
                </c:pt>
                <c:pt idx="6">
                  <c:v>5.4136850511054888</c:v>
                </c:pt>
                <c:pt idx="7">
                  <c:v>6.1738004921248475</c:v>
                </c:pt>
                <c:pt idx="8">
                  <c:v>7.04100656176103</c:v>
                </c:pt>
                <c:pt idx="9">
                  <c:v>8.0304394501257814</c:v>
                </c:pt>
                <c:pt idx="10">
                  <c:v>9.1593811020942599</c:v>
                </c:pt>
                <c:pt idx="11">
                  <c:v>10.44756425004144</c:v>
                </c:pt>
                <c:pt idx="12">
                  <c:v>11.917520919716907</c:v>
                </c:pt>
                <c:pt idx="13">
                  <c:v>13.594980619539625</c:v>
                </c:pt>
                <c:pt idx="14">
                  <c:v>15.509325312648487</c:v>
                </c:pt>
                <c:pt idx="15">
                  <c:v>17.694109287621362</c:v>
                </c:pt>
                <c:pt idx="16">
                  <c:v>20.187653206198199</c:v>
                </c:pt>
                <c:pt idx="17">
                  <c:v>23.033722935573341</c:v>
                </c:pt>
                <c:pt idx="18">
                  <c:v>26.282305292835535</c:v>
                </c:pt>
                <c:pt idx="19">
                  <c:v>29.990494567361733</c:v>
                </c:pt>
                <c:pt idx="20">
                  <c:v>34.223505674790481</c:v>
                </c:pt>
                <c:pt idx="21">
                  <c:v>39.055832069512576</c:v>
                </c:pt>
                <c:pt idx="22">
                  <c:v>44.572569142487318</c:v>
                </c:pt>
                <c:pt idx="23">
                  <c:v>50.870926804611692</c:v>
                </c:pt>
                <c:pt idx="24">
                  <c:v>58.061958356588072</c:v>
                </c:pt>
                <c:pt idx="25">
                  <c:v>66.272536635761469</c:v>
                </c:pt>
                <c:pt idx="26">
                  <c:v>76.563490652949312</c:v>
                </c:pt>
                <c:pt idx="27">
                  <c:v>86.819205269098731</c:v>
                </c:pt>
                <c:pt idx="28">
                  <c:v>97.044440512052844</c:v>
                </c:pt>
                <c:pt idx="29">
                  <c:v>107.2428670785069</c:v>
                </c:pt>
                <c:pt idx="30">
                  <c:v>117.41739809202973</c:v>
                </c:pt>
                <c:pt idx="31">
                  <c:v>128.41557453190208</c:v>
                </c:pt>
                <c:pt idx="32">
                  <c:v>139.39094880292336</c:v>
                </c:pt>
                <c:pt idx="33">
                  <c:v>150.34557139672583</c:v>
                </c:pt>
                <c:pt idx="34">
                  <c:v>161.28116902339272</c:v>
                </c:pt>
                <c:pt idx="35">
                  <c:v>172.19921472129715</c:v>
                </c:pt>
                <c:pt idx="36">
                  <c:v>183.10097920475641</c:v>
                </c:pt>
                <c:pt idx="37">
                  <c:v>193.98756931268113</c:v>
                </c:pt>
                <c:pt idx="38">
                  <c:v>204.85995735606244</c:v>
                </c:pt>
                <c:pt idx="39">
                  <c:v>215.71900389754816</c:v>
                </c:pt>
                <c:pt idx="40">
                  <c:v>226.56547569658815</c:v>
                </c:pt>
                <c:pt idx="41">
                  <c:v>178.90984586312302</c:v>
                </c:pt>
                <c:pt idx="42">
                  <c:v>187.70863707245704</c:v>
                </c:pt>
                <c:pt idx="43">
                  <c:v>196.49780948344781</c:v>
                </c:pt>
                <c:pt idx="44">
                  <c:v>205.27785450969668</c:v>
                </c:pt>
                <c:pt idx="45">
                  <c:v>214.04921803989637</c:v>
                </c:pt>
                <c:pt idx="46">
                  <c:v>222.81230638924703</c:v>
                </c:pt>
                <c:pt idx="47">
                  <c:v>231.56749126432044</c:v>
                </c:pt>
                <c:pt idx="48">
                  <c:v>240.31511393681561</c:v>
                </c:pt>
                <c:pt idx="49">
                  <c:v>249.05548877708074</c:v>
                </c:pt>
                <c:pt idx="50">
                  <c:v>257.7889062651048</c:v>
                </c:pt>
                <c:pt idx="51">
                  <c:v>240.10692263363947</c:v>
                </c:pt>
                <c:pt idx="52">
                  <c:v>251.55144870004537</c:v>
                </c:pt>
                <c:pt idx="53">
                  <c:v>262.9841772607424</c:v>
                </c:pt>
                <c:pt idx="54">
                  <c:v>274.40569374429157</c:v>
                </c:pt>
                <c:pt idx="55">
                  <c:v>285.81653083541886</c:v>
                </c:pt>
                <c:pt idx="56">
                  <c:v>297.21717518827558</c:v>
                </c:pt>
                <c:pt idx="57">
                  <c:v>308.60807305507319</c:v>
                </c:pt>
                <c:pt idx="58">
                  <c:v>319.9896350397226</c:v>
                </c:pt>
                <c:pt idx="59">
                  <c:v>331.36224013942245</c:v>
                </c:pt>
                <c:pt idx="60">
                  <c:v>342.72623920213937</c:v>
                </c:pt>
                <c:pt idx="61">
                  <c:v>295.5595155545272</c:v>
                </c:pt>
                <c:pt idx="62">
                  <c:v>306.33065301274729</c:v>
                </c:pt>
                <c:pt idx="63">
                  <c:v>317.09337448903148</c:v>
                </c:pt>
                <c:pt idx="64">
                  <c:v>327.84800604214928</c:v>
                </c:pt>
                <c:pt idx="65">
                  <c:v>338.59485058221645</c:v>
                </c:pt>
                <c:pt idx="66">
                  <c:v>349.33419021251393</c:v>
                </c:pt>
                <c:pt idx="67">
                  <c:v>360.06628826816973</c:v>
                </c:pt>
                <c:pt idx="68">
                  <c:v>370.7913910989966</c:v>
                </c:pt>
                <c:pt idx="69">
                  <c:v>381.5097296352165</c:v>
                </c:pt>
                <c:pt idx="70">
                  <c:v>392.22152076799466</c:v>
                </c:pt>
                <c:pt idx="71">
                  <c:v>344.37848728901128</c:v>
                </c:pt>
                <c:pt idx="72">
                  <c:v>354.28835078897458</c:v>
                </c:pt>
                <c:pt idx="73">
                  <c:v>364.19214271753435</c:v>
                </c:pt>
                <c:pt idx="74">
                  <c:v>374.09005154157165</c:v>
                </c:pt>
                <c:pt idx="75">
                  <c:v>383.98225493635573</c:v>
                </c:pt>
                <c:pt idx="76">
                  <c:v>393.86892067157004</c:v>
                </c:pt>
                <c:pt idx="77">
                  <c:v>403.75020740370695</c:v>
                </c:pt>
                <c:pt idx="78">
                  <c:v>413.6262653868223</c:v>
                </c:pt>
                <c:pt idx="79">
                  <c:v>423.4972371118497</c:v>
                </c:pt>
                <c:pt idx="80">
                  <c:v>433.36325788318965</c:v>
                </c:pt>
                <c:pt idx="81">
                  <c:v>384.60033209046077</c:v>
                </c:pt>
                <c:pt idx="82">
                  <c:v>393.45708472964412</c:v>
                </c:pt>
                <c:pt idx="83">
                  <c:v>402.3095155698993</c:v>
                </c:pt>
                <c:pt idx="84">
                  <c:v>411.1577331667466</c:v>
                </c:pt>
                <c:pt idx="85">
                  <c:v>420.00184101993744</c:v>
                </c:pt>
                <c:pt idx="86">
                  <c:v>428.8419379127327</c:v>
                </c:pt>
                <c:pt idx="87">
                  <c:v>437.678118221739</c:v>
                </c:pt>
                <c:pt idx="88">
                  <c:v>446.51047220041386</c:v>
                </c:pt>
                <c:pt idx="89">
                  <c:v>455.33908623896303</c:v>
                </c:pt>
                <c:pt idx="90">
                  <c:v>464.16404310302801</c:v>
                </c:pt>
                <c:pt idx="91">
                  <c:v>414.24334869220411</c:v>
                </c:pt>
                <c:pt idx="92">
                  <c:v>421.8524225427945</c:v>
                </c:pt>
                <c:pt idx="93">
                  <c:v>429.45854163500059</c:v>
                </c:pt>
                <c:pt idx="94">
                  <c:v>437.06176571228087</c:v>
                </c:pt>
                <c:pt idx="95">
                  <c:v>444.66215226871287</c:v>
                </c:pt>
                <c:pt idx="96">
                  <c:v>452.25975667152653</c:v>
                </c:pt>
                <c:pt idx="97">
                  <c:v>459.85463227497138</c:v>
                </c:pt>
                <c:pt idx="98">
                  <c:v>467.44683052626783</c:v>
                </c:pt>
                <c:pt idx="99">
                  <c:v>475.03640106431294</c:v>
                </c:pt>
                <c:pt idx="100">
                  <c:v>482.62339181174957</c:v>
                </c:pt>
                <c:pt idx="101">
                  <c:v>431.51375010464443</c:v>
                </c:pt>
                <c:pt idx="102">
                  <c:v>437.88356491828108</c:v>
                </c:pt>
                <c:pt idx="103">
                  <c:v>444.25139218014851</c:v>
                </c:pt>
                <c:pt idx="104">
                  <c:v>450.61726441852414</c:v>
                </c:pt>
                <c:pt idx="105">
                  <c:v>456.98121316702435</c:v>
                </c:pt>
                <c:pt idx="106">
                  <c:v>463.34326900875232</c:v>
                </c:pt>
                <c:pt idx="107">
                  <c:v>469.7034616178978</c:v>
                </c:pt>
                <c:pt idx="108">
                  <c:v>476.06181979896195</c:v>
                </c:pt>
                <c:pt idx="109">
                  <c:v>482.41837152377849</c:v>
                </c:pt>
                <c:pt idx="110">
                  <c:v>488.7731439664808</c:v>
                </c:pt>
                <c:pt idx="111">
                  <c:v>439.11620170572928</c:v>
                </c:pt>
                <c:pt idx="112">
                  <c:v>444.86752926426311</c:v>
                </c:pt>
                <c:pt idx="113">
                  <c:v>450.61726441852414</c:v>
                </c:pt>
                <c:pt idx="114">
                  <c:v>456.36543036921802</c:v>
                </c:pt>
                <c:pt idx="115">
                  <c:v>462.11204968448243</c:v>
                </c:pt>
                <c:pt idx="116">
                  <c:v>467.8571443249611</c:v>
                </c:pt>
                <c:pt idx="117">
                  <c:v>473.60073566758052</c:v>
                </c:pt>
                <c:pt idx="118">
                  <c:v>479.34284452811477</c:v>
                </c:pt>
                <c:pt idx="119">
                  <c:v>485.08349118260952</c:v>
                </c:pt>
                <c:pt idx="120">
                  <c:v>490.82269538774079</c:v>
                </c:pt>
                <c:pt idx="121">
                  <c:v>3.036919790734272E-12</c:v>
                </c:pt>
                <c:pt idx="122">
                  <c:v>3.036919790734272E-12</c:v>
                </c:pt>
                <c:pt idx="123">
                  <c:v>3.036919790734272E-12</c:v>
                </c:pt>
                <c:pt idx="124">
                  <c:v>3.036919790734272E-12</c:v>
                </c:pt>
                <c:pt idx="125">
                  <c:v>3.036919790734272E-12</c:v>
                </c:pt>
                <c:pt idx="126">
                  <c:v>3.036919790734272E-12</c:v>
                </c:pt>
                <c:pt idx="127">
                  <c:v>3.036919790734272E-12</c:v>
                </c:pt>
                <c:pt idx="128">
                  <c:v>3.036919790734272E-12</c:v>
                </c:pt>
                <c:pt idx="129">
                  <c:v>3.036919790734272E-12</c:v>
                </c:pt>
                <c:pt idx="130">
                  <c:v>3.036919790734272E-12</c:v>
                </c:pt>
                <c:pt idx="131">
                  <c:v>3.036919790734272E-12</c:v>
                </c:pt>
                <c:pt idx="132">
                  <c:v>3.036919790734272E-12</c:v>
                </c:pt>
                <c:pt idx="133">
                  <c:v>3.036919790734272E-12</c:v>
                </c:pt>
                <c:pt idx="134">
                  <c:v>3.036919790734272E-12</c:v>
                </c:pt>
                <c:pt idx="135">
                  <c:v>3.036919790734272E-12</c:v>
                </c:pt>
                <c:pt idx="136">
                  <c:v>3.036919790734272E-12</c:v>
                </c:pt>
                <c:pt idx="137">
                  <c:v>3.036919790734272E-12</c:v>
                </c:pt>
                <c:pt idx="138">
                  <c:v>3.036919790734272E-12</c:v>
                </c:pt>
                <c:pt idx="139">
                  <c:v>3.036919790734272E-12</c:v>
                </c:pt>
                <c:pt idx="140">
                  <c:v>3.036919790734272E-12</c:v>
                </c:pt>
                <c:pt idx="141">
                  <c:v>3.036919790734272E-12</c:v>
                </c:pt>
                <c:pt idx="142">
                  <c:v>3.036919790734272E-12</c:v>
                </c:pt>
                <c:pt idx="143">
                  <c:v>3.036919790734272E-12</c:v>
                </c:pt>
                <c:pt idx="144">
                  <c:v>3.036919790734272E-12</c:v>
                </c:pt>
                <c:pt idx="145">
                  <c:v>3.036919790734272E-12</c:v>
                </c:pt>
                <c:pt idx="146">
                  <c:v>3.036919790734272E-12</c:v>
                </c:pt>
                <c:pt idx="147">
                  <c:v>3.036919790734272E-12</c:v>
                </c:pt>
                <c:pt idx="148">
                  <c:v>3.036919790734272E-12</c:v>
                </c:pt>
                <c:pt idx="149">
                  <c:v>3.036919790734272E-12</c:v>
                </c:pt>
                <c:pt idx="150">
                  <c:v>3.036919790734272E-12</c:v>
                </c:pt>
                <c:pt idx="151">
                  <c:v>3.036919790734272E-12</c:v>
                </c:pt>
                <c:pt idx="152">
                  <c:v>3.036919790734272E-12</c:v>
                </c:pt>
                <c:pt idx="153">
                  <c:v>3.036919790734272E-12</c:v>
                </c:pt>
                <c:pt idx="154">
                  <c:v>3.036919790734272E-12</c:v>
                </c:pt>
                <c:pt idx="155">
                  <c:v>3.036919790734272E-12</c:v>
                </c:pt>
                <c:pt idx="156">
                  <c:v>3.036919790734272E-12</c:v>
                </c:pt>
                <c:pt idx="157">
                  <c:v>3.036919790734272E-12</c:v>
                </c:pt>
                <c:pt idx="158">
                  <c:v>3.036919790734272E-12</c:v>
                </c:pt>
                <c:pt idx="159">
                  <c:v>3.036919790734272E-12</c:v>
                </c:pt>
                <c:pt idx="160">
                  <c:v>3.036919790734272E-12</c:v>
                </c:pt>
                <c:pt idx="161">
                  <c:v>3.036919790734272E-12</c:v>
                </c:pt>
                <c:pt idx="162">
                  <c:v>3.036919790734272E-12</c:v>
                </c:pt>
                <c:pt idx="163">
                  <c:v>3.036919790734272E-12</c:v>
                </c:pt>
                <c:pt idx="164">
                  <c:v>3.036919790734272E-12</c:v>
                </c:pt>
                <c:pt idx="165">
                  <c:v>3.036919790734272E-12</c:v>
                </c:pt>
                <c:pt idx="166">
                  <c:v>3.036919790734272E-12</c:v>
                </c:pt>
                <c:pt idx="167">
                  <c:v>3.036919790734272E-12</c:v>
                </c:pt>
                <c:pt idx="168">
                  <c:v>3.036919790734272E-12</c:v>
                </c:pt>
                <c:pt idx="169">
                  <c:v>3.036919790734272E-12</c:v>
                </c:pt>
                <c:pt idx="170">
                  <c:v>3.036919790734272E-12</c:v>
                </c:pt>
                <c:pt idx="171">
                  <c:v>3.036919790734272E-12</c:v>
                </c:pt>
                <c:pt idx="172">
                  <c:v>3.036919790734272E-12</c:v>
                </c:pt>
                <c:pt idx="173">
                  <c:v>3.036919790734272E-12</c:v>
                </c:pt>
                <c:pt idx="174">
                  <c:v>3.036919790734272E-12</c:v>
                </c:pt>
                <c:pt idx="175">
                  <c:v>3.036919790734272E-12</c:v>
                </c:pt>
                <c:pt idx="176">
                  <c:v>3.036919790734272E-12</c:v>
                </c:pt>
                <c:pt idx="177">
                  <c:v>3.036919790734272E-12</c:v>
                </c:pt>
                <c:pt idx="178">
                  <c:v>3.036919790734272E-12</c:v>
                </c:pt>
                <c:pt idx="179">
                  <c:v>3.036919790734272E-12</c:v>
                </c:pt>
                <c:pt idx="180">
                  <c:v>3.036919790734272E-12</c:v>
                </c:pt>
                <c:pt idx="181">
                  <c:v>3.036919790734272E-12</c:v>
                </c:pt>
                <c:pt idx="182">
                  <c:v>3.036919790734272E-12</c:v>
                </c:pt>
                <c:pt idx="183">
                  <c:v>3.036919790734272E-12</c:v>
                </c:pt>
                <c:pt idx="184">
                  <c:v>3.036919790734272E-12</c:v>
                </c:pt>
                <c:pt idx="185">
                  <c:v>3.036919790734272E-12</c:v>
                </c:pt>
                <c:pt idx="186">
                  <c:v>3.036919790734272E-12</c:v>
                </c:pt>
                <c:pt idx="187">
                  <c:v>3.036919790734272E-12</c:v>
                </c:pt>
                <c:pt idx="188">
                  <c:v>3.036919790734272E-12</c:v>
                </c:pt>
                <c:pt idx="189">
                  <c:v>3.036919790734272E-12</c:v>
                </c:pt>
                <c:pt idx="190">
                  <c:v>3.036919790734272E-12</c:v>
                </c:pt>
                <c:pt idx="191">
                  <c:v>3.036919790734272E-12</c:v>
                </c:pt>
                <c:pt idx="192">
                  <c:v>3.036919790734272E-12</c:v>
                </c:pt>
                <c:pt idx="193">
                  <c:v>3.036919790734272E-12</c:v>
                </c:pt>
                <c:pt idx="194">
                  <c:v>3.036919790734272E-12</c:v>
                </c:pt>
                <c:pt idx="195">
                  <c:v>3.036919790734272E-12</c:v>
                </c:pt>
                <c:pt idx="196">
                  <c:v>3.036919790734272E-12</c:v>
                </c:pt>
                <c:pt idx="197">
                  <c:v>3.036919790734272E-12</c:v>
                </c:pt>
                <c:pt idx="198">
                  <c:v>3.036919790734272E-12</c:v>
                </c:pt>
                <c:pt idx="199">
                  <c:v>3.036919790734272E-12</c:v>
                </c:pt>
                <c:pt idx="200">
                  <c:v>3.036919790734272E-12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4" x14ac:dyDescent="0.3"/>
  <cols>
    <col min="1" max="1" width="6.6640625" customWidth="1"/>
    <col min="2" max="13" width="15.88671875" customWidth="1"/>
  </cols>
  <sheetData>
    <row r="12" spans="2:13" ht="15" customHeight="1" x14ac:dyDescent="0.3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abSelected="1" topLeftCell="A12" zoomScale="80" zoomScaleNormal="80" workbookViewId="0">
      <selection activeCell="C29" sqref="C29"/>
    </sheetView>
  </sheetViews>
  <sheetFormatPr baseColWidth="10" defaultColWidth="11.44140625" defaultRowHeight="14.4" x14ac:dyDescent="0.3"/>
  <cols>
    <col min="1" max="1" width="13.6640625" style="23" customWidth="1"/>
    <col min="2" max="2" width="36.109375" style="23" customWidth="1"/>
    <col min="3" max="3" width="14.88671875" style="23" bestFit="1" customWidth="1"/>
    <col min="4" max="4" width="16.44140625" style="23" customWidth="1"/>
    <col min="5" max="5" width="23.33203125" style="23" customWidth="1"/>
    <col min="6" max="6" width="28.88671875" style="23" bestFit="1" customWidth="1"/>
    <col min="7" max="8" width="14.6640625" style="23" customWidth="1"/>
    <col min="9" max="9" width="17" style="23" customWidth="1"/>
    <col min="10" max="10" width="13.88671875" style="23" customWidth="1"/>
    <col min="11" max="16384" width="11.44140625" style="23"/>
  </cols>
  <sheetData>
    <row r="1" spans="1:38" x14ac:dyDescent="0.3">
      <c r="A1" s="4"/>
      <c r="B1" s="4"/>
      <c r="C1" s="258" t="s">
        <v>190</v>
      </c>
      <c r="D1" s="258"/>
      <c r="E1" s="258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35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4" thickBot="1" x14ac:dyDescent="0.35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5.8" x14ac:dyDescent="0.3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5.8" x14ac:dyDescent="0.3">
      <c r="A5" s="268" t="s">
        <v>231</v>
      </c>
      <c r="B5" s="268"/>
      <c r="C5" s="24">
        <v>5.25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5.8" x14ac:dyDescent="0.3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">
      <c r="A9" s="30" t="s">
        <v>165</v>
      </c>
      <c r="B9" s="31" t="s">
        <v>36</v>
      </c>
      <c r="C9" s="32">
        <v>0.7</v>
      </c>
      <c r="D9" s="33">
        <f t="shared" ref="D9:D18" si="0">C9*$C$5</f>
        <v>3.6749999999999998</v>
      </c>
      <c r="E9" s="34">
        <v>62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">
      <c r="A10" s="30" t="s">
        <v>166</v>
      </c>
      <c r="B10" s="31" t="s">
        <v>5</v>
      </c>
      <c r="C10" s="32">
        <v>0.1</v>
      </c>
      <c r="D10" s="33">
        <f t="shared" si="0"/>
        <v>0.52500000000000002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">
      <c r="A11" s="30" t="s">
        <v>167</v>
      </c>
      <c r="B11" s="31" t="s">
        <v>14</v>
      </c>
      <c r="C11" s="32">
        <v>0.1</v>
      </c>
      <c r="D11" s="33">
        <f t="shared" si="0"/>
        <v>0.52500000000000002</v>
      </c>
      <c r="E11" s="34">
        <v>120</v>
      </c>
      <c r="F11" s="35" t="str">
        <f t="array" ref="F11">IF(E11="","",IF(INDEX(A:A,MAX(IF(ISNUMBER($A$88:$A$107),ROW($A$88:$A$107),"")))&lt;&gt;E11,"Corrigez : révolution incorrecte","OK"))</f>
        <v>OK</v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">
      <c r="A12" s="30" t="s">
        <v>168</v>
      </c>
      <c r="B12" s="31" t="s">
        <v>1</v>
      </c>
      <c r="C12" s="32">
        <v>0.1</v>
      </c>
      <c r="D12" s="33">
        <f t="shared" si="0"/>
        <v>0.52500000000000002</v>
      </c>
      <c r="E12" s="34">
        <v>120</v>
      </c>
      <c r="F12" s="35" t="str">
        <f t="array" ref="F12">IF(E12="","",IF(INDEX(A:A,MAX(IF(ISNUMBER($A$114:$A$133),ROW($A$114:$A$133),"")))&lt;&gt;E12,"Corrigez : révolution incorrecte","OK"))</f>
        <v>OK</v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">
      <c r="A19" s="78"/>
      <c r="B19" s="36" t="s">
        <v>175</v>
      </c>
      <c r="C19" s="37">
        <f>SUM(C9:C18)</f>
        <v>0.99999999999999989</v>
      </c>
      <c r="D19" s="38">
        <f>SUM(D9:D18)</f>
        <v>5.2500000000000009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4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">
      <c r="A32" s="46" t="s">
        <v>165</v>
      </c>
      <c r="B32" s="47" t="str">
        <f>IF(B9="","",B9)</f>
        <v>Pin maritime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">
      <c r="A34" s="4"/>
      <c r="B34" s="85" t="s">
        <v>185</v>
      </c>
      <c r="C34" s="259" t="s">
        <v>186</v>
      </c>
      <c r="D34" s="259"/>
      <c r="E34" s="260" t="s">
        <v>187</v>
      </c>
      <c r="F34" s="261"/>
      <c r="G34" s="261"/>
      <c r="H34" s="262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2" x14ac:dyDescent="0.3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">
      <c r="A36" s="50">
        <v>12</v>
      </c>
      <c r="B36" s="60">
        <v>16</v>
      </c>
      <c r="C36" s="60"/>
      <c r="D36" s="60">
        <v>0</v>
      </c>
      <c r="E36" s="51"/>
      <c r="F36" s="51"/>
      <c r="G36" s="51"/>
      <c r="H36" s="51"/>
      <c r="I36" s="49">
        <f>IFERROR(B36/A36,"")</f>
        <v>1.3333333333333333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">
      <c r="A37" s="50">
        <v>16</v>
      </c>
      <c r="B37" s="60">
        <v>40</v>
      </c>
      <c r="C37" s="60">
        <v>1</v>
      </c>
      <c r="D37" s="60">
        <v>4</v>
      </c>
      <c r="E37" s="51"/>
      <c r="F37" s="51">
        <v>0.5</v>
      </c>
      <c r="G37" s="51">
        <v>0.5</v>
      </c>
      <c r="H37" s="51"/>
      <c r="I37" s="53">
        <f t="shared" ref="I37:I55" si="1">IF(A37&lt;&gt;0,(B37-(B36-D36))/(A37-A36),"")</f>
        <v>6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">
      <c r="A38" s="50">
        <v>20</v>
      </c>
      <c r="B38" s="60">
        <v>61</v>
      </c>
      <c r="C38" s="60">
        <v>2</v>
      </c>
      <c r="D38" s="60">
        <v>5</v>
      </c>
      <c r="E38" s="51"/>
      <c r="F38" s="51">
        <v>0.5</v>
      </c>
      <c r="G38" s="51">
        <v>0.5</v>
      </c>
      <c r="H38" s="51"/>
      <c r="I38" s="53">
        <f t="shared" si="1"/>
        <v>6.25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">
      <c r="A39" s="50">
        <v>24</v>
      </c>
      <c r="B39" s="60">
        <v>89</v>
      </c>
      <c r="C39" s="60">
        <v>3</v>
      </c>
      <c r="D39" s="60">
        <v>12</v>
      </c>
      <c r="E39" s="51">
        <v>0.1</v>
      </c>
      <c r="F39" s="51">
        <v>0.45</v>
      </c>
      <c r="G39" s="51">
        <v>0.45</v>
      </c>
      <c r="H39" s="51"/>
      <c r="I39" s="49">
        <f t="shared" si="1"/>
        <v>8.25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">
      <c r="A40" s="50">
        <v>28</v>
      </c>
      <c r="B40" s="60">
        <v>108</v>
      </c>
      <c r="C40" s="60">
        <v>4</v>
      </c>
      <c r="D40" s="60">
        <v>13</v>
      </c>
      <c r="E40" s="51">
        <v>0.2</v>
      </c>
      <c r="F40" s="51">
        <v>0.4</v>
      </c>
      <c r="G40" s="51">
        <v>0.4</v>
      </c>
      <c r="H40" s="51"/>
      <c r="I40" s="49">
        <f t="shared" si="1"/>
        <v>7.75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">
      <c r="A41" s="50">
        <v>34</v>
      </c>
      <c r="B41" s="60">
        <v>143</v>
      </c>
      <c r="C41" s="60">
        <v>5</v>
      </c>
      <c r="D41" s="60">
        <v>25</v>
      </c>
      <c r="E41" s="51"/>
      <c r="F41" s="51"/>
      <c r="G41" s="51"/>
      <c r="H41" s="51"/>
      <c r="I41" s="53">
        <f t="shared" si="1"/>
        <v>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">
      <c r="A42" s="50">
        <v>40</v>
      </c>
      <c r="B42" s="60">
        <v>161</v>
      </c>
      <c r="C42" s="60">
        <v>6</v>
      </c>
      <c r="D42" s="60">
        <v>23</v>
      </c>
      <c r="E42" s="51"/>
      <c r="F42" s="51"/>
      <c r="G42" s="51"/>
      <c r="H42" s="51"/>
      <c r="I42" s="53">
        <f t="shared" si="1"/>
        <v>7.166666666666667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">
      <c r="A43" s="50">
        <v>46</v>
      </c>
      <c r="B43" s="60">
        <v>173</v>
      </c>
      <c r="C43" s="60">
        <v>7</v>
      </c>
      <c r="D43" s="60">
        <v>19</v>
      </c>
      <c r="E43" s="51"/>
      <c r="F43" s="51"/>
      <c r="G43" s="51"/>
      <c r="H43" s="51"/>
      <c r="I43" s="49">
        <f t="shared" si="1"/>
        <v>5.833333333333333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">
      <c r="A44" s="50">
        <v>54</v>
      </c>
      <c r="B44" s="60">
        <v>184</v>
      </c>
      <c r="C44" s="60">
        <v>8</v>
      </c>
      <c r="D44" s="60">
        <v>16</v>
      </c>
      <c r="E44" s="51"/>
      <c r="F44" s="51"/>
      <c r="G44" s="51"/>
      <c r="H44" s="51"/>
      <c r="I44" s="49">
        <f t="shared" si="1"/>
        <v>3.75</v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">
      <c r="A45" s="50">
        <v>62</v>
      </c>
      <c r="B45" s="60">
        <f>174+7</f>
        <v>181</v>
      </c>
      <c r="C45" s="60">
        <v>9</v>
      </c>
      <c r="D45" s="60">
        <f>B45</f>
        <v>181</v>
      </c>
      <c r="E45" s="51"/>
      <c r="F45" s="51"/>
      <c r="G45" s="51"/>
      <c r="H45" s="51"/>
      <c r="I45" s="49">
        <f t="shared" si="1"/>
        <v>1.625</v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">
      <c r="A58" s="46" t="s">
        <v>166</v>
      </c>
      <c r="B58" s="52" t="str">
        <f>IF(B10="","",B10)</f>
        <v>Bouleau verruqueux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">
      <c r="A60" s="4"/>
      <c r="B60" s="85" t="s">
        <v>185</v>
      </c>
      <c r="C60" s="259" t="s">
        <v>186</v>
      </c>
      <c r="D60" s="259"/>
      <c r="E60" s="260" t="s">
        <v>187</v>
      </c>
      <c r="F60" s="261"/>
      <c r="G60" s="261"/>
      <c r="H60" s="262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2" x14ac:dyDescent="0.3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">
      <c r="A62" s="50">
        <v>20</v>
      </c>
      <c r="B62" s="60">
        <v>57</v>
      </c>
      <c r="C62" s="60">
        <v>1</v>
      </c>
      <c r="D62" s="60">
        <v>21</v>
      </c>
      <c r="E62" s="51"/>
      <c r="F62" s="51">
        <v>0.25</v>
      </c>
      <c r="G62" s="51">
        <v>0.25</v>
      </c>
      <c r="H62" s="51">
        <v>0.5</v>
      </c>
      <c r="I62" s="53">
        <f>IFERROR(B62/A62,"")</f>
        <v>2.85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">
      <c r="A63" s="50">
        <v>30</v>
      </c>
      <c r="B63" s="60">
        <v>135</v>
      </c>
      <c r="C63" s="60">
        <v>2</v>
      </c>
      <c r="D63" s="60">
        <v>42</v>
      </c>
      <c r="E63" s="51"/>
      <c r="F63" s="51">
        <v>0.25</v>
      </c>
      <c r="G63" s="51">
        <v>0.25</v>
      </c>
      <c r="H63" s="51">
        <v>0.5</v>
      </c>
      <c r="I63" s="49">
        <f>IF(A63&lt;&gt;0,(B63-(B62-D62))/(A63-A62),"")</f>
        <v>9.9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">
      <c r="A64" s="50">
        <v>40</v>
      </c>
      <c r="B64" s="60">
        <v>174</v>
      </c>
      <c r="C64" s="60">
        <v>3</v>
      </c>
      <c r="D64" s="60">
        <v>42</v>
      </c>
      <c r="E64" s="51"/>
      <c r="F64" s="51"/>
      <c r="G64" s="51"/>
      <c r="H64" s="51"/>
      <c r="I64" s="49">
        <f>IF(A64&lt;&gt;0,(B64-(B63-D63))/(A64-A63),"")</f>
        <v>8.1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">
      <c r="A65" s="50">
        <v>50</v>
      </c>
      <c r="B65" s="60">
        <v>192</v>
      </c>
      <c r="C65" s="60">
        <v>4</v>
      </c>
      <c r="D65" s="60">
        <v>31</v>
      </c>
      <c r="E65" s="51"/>
      <c r="F65" s="51"/>
      <c r="G65" s="51"/>
      <c r="H65" s="51"/>
      <c r="I65" s="49">
        <f>IF(A65&lt;&gt;0,(B65-(B64-D64))/(A65-A64),"")</f>
        <v>6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">
      <c r="A66" s="50">
        <v>60</v>
      </c>
      <c r="B66" s="60">
        <v>205</v>
      </c>
      <c r="C66" s="60">
        <v>5</v>
      </c>
      <c r="D66" s="60">
        <v>20</v>
      </c>
      <c r="E66" s="51"/>
      <c r="F66" s="51"/>
      <c r="G66" s="51"/>
      <c r="H66" s="51"/>
      <c r="I66" s="49">
        <f t="shared" ref="I66:I81" si="2">IF(A66&lt;&gt;0,(B66-(B65-D65))/(A66-A65),"")</f>
        <v>4.4000000000000004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">
      <c r="A67" s="50">
        <v>70</v>
      </c>
      <c r="B67" s="60">
        <v>217</v>
      </c>
      <c r="C67" s="60">
        <v>6</v>
      </c>
      <c r="D67" s="60">
        <v>16</v>
      </c>
      <c r="E67" s="51"/>
      <c r="F67" s="51"/>
      <c r="G67" s="51"/>
      <c r="H67" s="51"/>
      <c r="I67" s="49">
        <f t="shared" si="2"/>
        <v>3.2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">
      <c r="A68" s="50">
        <v>80</v>
      </c>
      <c r="B68" s="60">
        <f>213+13</f>
        <v>226</v>
      </c>
      <c r="C68" s="60">
        <v>7</v>
      </c>
      <c r="D68" s="60">
        <f>B68</f>
        <v>226</v>
      </c>
      <c r="E68" s="51"/>
      <c r="F68" s="51"/>
      <c r="G68" s="51"/>
      <c r="H68" s="51"/>
      <c r="I68" s="49">
        <f t="shared" si="2"/>
        <v>2.5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">
      <c r="A69" s="50"/>
      <c r="B69" s="50"/>
      <c r="C69" s="50"/>
      <c r="D69" s="50"/>
      <c r="E69" s="51"/>
      <c r="F69" s="51"/>
      <c r="G69" s="51"/>
      <c r="H69" s="51"/>
      <c r="I69" s="49" t="str">
        <f t="shared" si="2"/>
        <v/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">
      <c r="A70" s="50"/>
      <c r="B70" s="50"/>
      <c r="C70" s="50"/>
      <c r="D70" s="50"/>
      <c r="E70" s="51"/>
      <c r="F70" s="51"/>
      <c r="G70" s="51"/>
      <c r="H70" s="51"/>
      <c r="I70" s="49" t="str">
        <f t="shared" si="2"/>
        <v/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">
      <c r="A71" s="50"/>
      <c r="B71" s="50"/>
      <c r="C71" s="50"/>
      <c r="D71" s="50"/>
      <c r="E71" s="51"/>
      <c r="F71" s="51"/>
      <c r="G71" s="51"/>
      <c r="H71" s="51"/>
      <c r="I71" s="49" t="str">
        <f t="shared" si="2"/>
        <v/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">
      <c r="A72" s="50"/>
      <c r="B72" s="50"/>
      <c r="C72" s="50"/>
      <c r="D72" s="50"/>
      <c r="E72" s="51"/>
      <c r="F72" s="51"/>
      <c r="G72" s="51"/>
      <c r="H72" s="51"/>
      <c r="I72" s="49" t="str">
        <f t="shared" si="2"/>
        <v/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">
      <c r="A73" s="50"/>
      <c r="B73" s="50"/>
      <c r="C73" s="50"/>
      <c r="D73" s="50"/>
      <c r="E73" s="51"/>
      <c r="F73" s="51"/>
      <c r="G73" s="51"/>
      <c r="H73" s="51"/>
      <c r="I73" s="49" t="str">
        <f t="shared" si="2"/>
        <v/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">
      <c r="A74" s="50"/>
      <c r="B74" s="50"/>
      <c r="C74" s="50"/>
      <c r="D74" s="50"/>
      <c r="E74" s="51"/>
      <c r="F74" s="51"/>
      <c r="G74" s="51"/>
      <c r="H74" s="51"/>
      <c r="I74" s="49" t="str">
        <f t="shared" si="2"/>
        <v/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">
      <c r="A76" s="50"/>
      <c r="B76" s="50"/>
      <c r="C76" s="50"/>
      <c r="D76" s="50"/>
      <c r="E76" s="51"/>
      <c r="F76" s="51"/>
      <c r="G76" s="51"/>
      <c r="H76" s="51"/>
      <c r="I76" s="49" t="str">
        <f t="shared" si="2"/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">
      <c r="A77" s="50"/>
      <c r="B77" s="50"/>
      <c r="C77" s="50"/>
      <c r="D77" s="50"/>
      <c r="E77" s="51"/>
      <c r="F77" s="51"/>
      <c r="G77" s="51"/>
      <c r="H77" s="51"/>
      <c r="I77" s="49" t="str">
        <f t="shared" si="2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">
      <c r="A78" s="50"/>
      <c r="B78" s="50"/>
      <c r="C78" s="50"/>
      <c r="D78" s="50"/>
      <c r="E78" s="51"/>
      <c r="F78" s="51"/>
      <c r="G78" s="51"/>
      <c r="H78" s="51"/>
      <c r="I78" s="49" t="str">
        <f t="shared" si="2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">
      <c r="A79" s="50"/>
      <c r="B79" s="50"/>
      <c r="C79" s="50"/>
      <c r="D79" s="50"/>
      <c r="E79" s="51"/>
      <c r="F79" s="51"/>
      <c r="G79" s="51"/>
      <c r="H79" s="51"/>
      <c r="I79" s="49" t="str">
        <f t="shared" si="2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">
      <c r="A80" s="50"/>
      <c r="B80" s="50"/>
      <c r="C80" s="50"/>
      <c r="D80" s="50"/>
      <c r="E80" s="51"/>
      <c r="F80" s="51"/>
      <c r="G80" s="51"/>
      <c r="H80" s="51"/>
      <c r="I80" s="49" t="str">
        <f t="shared" si="2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">
      <c r="A81" s="50"/>
      <c r="B81" s="50"/>
      <c r="C81" s="50"/>
      <c r="D81" s="50"/>
      <c r="E81" s="51"/>
      <c r="F81" s="51"/>
      <c r="G81" s="51"/>
      <c r="H81" s="51"/>
      <c r="I81" s="49" t="str">
        <f t="shared" si="2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">
      <c r="A84" s="46" t="s">
        <v>167</v>
      </c>
      <c r="B84" s="52" t="str">
        <f>IF(B11="","",B11)</f>
        <v>Chêne sessile</v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">
      <c r="A86" s="4"/>
      <c r="B86" s="85" t="s">
        <v>185</v>
      </c>
      <c r="C86" s="259" t="s">
        <v>186</v>
      </c>
      <c r="D86" s="259"/>
      <c r="E86" s="260" t="s">
        <v>187</v>
      </c>
      <c r="F86" s="261"/>
      <c r="G86" s="261"/>
      <c r="H86" s="262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2" x14ac:dyDescent="0.3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">
      <c r="A88" s="50">
        <v>25</v>
      </c>
      <c r="B88" s="60">
        <v>30</v>
      </c>
      <c r="C88" s="60">
        <v>0</v>
      </c>
      <c r="D88" s="60">
        <v>0</v>
      </c>
      <c r="E88" s="51"/>
      <c r="F88" s="51"/>
      <c r="G88" s="51"/>
      <c r="H88" s="87"/>
      <c r="I88" s="53">
        <f>IFERROR(B88/A88,"")</f>
        <v>1.2</v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">
      <c r="A89" s="50">
        <v>30</v>
      </c>
      <c r="B89" s="60">
        <v>54</v>
      </c>
      <c r="C89" s="60">
        <v>0</v>
      </c>
      <c r="D89" s="60">
        <v>0</v>
      </c>
      <c r="E89" s="51"/>
      <c r="F89" s="51"/>
      <c r="G89" s="51"/>
      <c r="H89" s="87"/>
      <c r="I89" s="53">
        <f t="shared" ref="I89:I107" si="3">IF(A89&lt;&gt;0,(B89-(B88-D88))/(A89-A88),"")</f>
        <v>4.8</v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">
      <c r="A90" s="50">
        <v>40</v>
      </c>
      <c r="B90" s="60">
        <v>106</v>
      </c>
      <c r="C90" s="60">
        <v>1</v>
      </c>
      <c r="D90" s="60">
        <v>27</v>
      </c>
      <c r="E90" s="87"/>
      <c r="F90" s="87"/>
      <c r="G90" s="87"/>
      <c r="H90" s="87"/>
      <c r="I90" s="53">
        <f t="shared" si="3"/>
        <v>5.2</v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">
      <c r="A91" s="50">
        <v>50</v>
      </c>
      <c r="B91" s="60">
        <v>135</v>
      </c>
      <c r="C91" s="60">
        <v>2</v>
      </c>
      <c r="D91" s="60">
        <v>28</v>
      </c>
      <c r="E91" s="87"/>
      <c r="F91" s="87"/>
      <c r="G91" s="87"/>
      <c r="H91" s="87"/>
      <c r="I91" s="53">
        <f t="shared" si="3"/>
        <v>5.6</v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">
      <c r="A92" s="50">
        <v>60</v>
      </c>
      <c r="B92" s="60">
        <v>162</v>
      </c>
      <c r="C92" s="60">
        <v>3</v>
      </c>
      <c r="D92" s="60">
        <v>28</v>
      </c>
      <c r="E92" s="87"/>
      <c r="F92" s="87"/>
      <c r="G92" s="87"/>
      <c r="H92" s="87"/>
      <c r="I92" s="53">
        <f t="shared" si="3"/>
        <v>5.5</v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">
      <c r="A93" s="50">
        <v>70</v>
      </c>
      <c r="B93" s="60">
        <v>186</v>
      </c>
      <c r="C93" s="60">
        <v>4</v>
      </c>
      <c r="D93" s="60">
        <v>28</v>
      </c>
      <c r="E93" s="87"/>
      <c r="F93" s="87"/>
      <c r="G93" s="87"/>
      <c r="H93" s="87"/>
      <c r="I93" s="53">
        <f t="shared" si="3"/>
        <v>5.2</v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">
      <c r="A94" s="50">
        <v>80</v>
      </c>
      <c r="B94" s="60">
        <v>206</v>
      </c>
      <c r="C94" s="60">
        <v>5</v>
      </c>
      <c r="D94" s="60">
        <v>28</v>
      </c>
      <c r="E94" s="87"/>
      <c r="F94" s="87"/>
      <c r="G94" s="87"/>
      <c r="H94" s="87"/>
      <c r="I94" s="53">
        <f t="shared" si="3"/>
        <v>4.8</v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">
      <c r="A95" s="60">
        <v>90</v>
      </c>
      <c r="B95" s="60">
        <v>221</v>
      </c>
      <c r="C95" s="60">
        <v>6</v>
      </c>
      <c r="D95" s="60">
        <v>28</v>
      </c>
      <c r="E95" s="87"/>
      <c r="F95" s="87"/>
      <c r="G95" s="87"/>
      <c r="H95" s="87"/>
      <c r="I95" s="53">
        <f t="shared" si="3"/>
        <v>4.3</v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">
      <c r="A96" s="60">
        <v>100</v>
      </c>
      <c r="B96" s="60">
        <v>230</v>
      </c>
      <c r="C96" s="60">
        <v>7</v>
      </c>
      <c r="D96" s="60">
        <v>28</v>
      </c>
      <c r="E96" s="87"/>
      <c r="F96" s="87"/>
      <c r="G96" s="87"/>
      <c r="H96" s="87"/>
      <c r="I96" s="53">
        <f t="shared" si="3"/>
        <v>3.7</v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">
      <c r="A97" s="60">
        <v>110</v>
      </c>
      <c r="B97" s="60">
        <v>233</v>
      </c>
      <c r="C97" s="60">
        <v>8</v>
      </c>
      <c r="D97" s="60">
        <v>27</v>
      </c>
      <c r="E97" s="87"/>
      <c r="F97" s="87"/>
      <c r="G97" s="87"/>
      <c r="H97" s="87"/>
      <c r="I97" s="53">
        <f t="shared" si="3"/>
        <v>3.1</v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">
      <c r="A98" s="60">
        <v>120</v>
      </c>
      <c r="B98" s="60">
        <v>234</v>
      </c>
      <c r="C98" s="60">
        <v>9</v>
      </c>
      <c r="D98" s="60">
        <v>234</v>
      </c>
      <c r="E98" s="87"/>
      <c r="F98" s="87"/>
      <c r="G98" s="87"/>
      <c r="H98" s="87"/>
      <c r="I98" s="53">
        <f t="shared" si="3"/>
        <v>2.8</v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">
      <c r="A99" s="60"/>
      <c r="B99" s="60"/>
      <c r="C99" s="60"/>
      <c r="D99" s="60"/>
      <c r="E99" s="87"/>
      <c r="F99" s="87"/>
      <c r="G99" s="87"/>
      <c r="H99" s="87"/>
      <c r="I99" s="53" t="str">
        <f t="shared" si="3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">
      <c r="A100" s="60"/>
      <c r="B100" s="60"/>
      <c r="C100" s="60"/>
      <c r="D100" s="60"/>
      <c r="E100" s="65"/>
      <c r="F100" s="65"/>
      <c r="G100" s="65"/>
      <c r="H100" s="65"/>
      <c r="I100" s="53" t="str">
        <f t="shared" si="3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">
      <c r="A101" s="60"/>
      <c r="B101" s="60"/>
      <c r="C101" s="60"/>
      <c r="D101" s="60"/>
      <c r="E101" s="65"/>
      <c r="F101" s="65"/>
      <c r="G101" s="65"/>
      <c r="H101" s="65"/>
      <c r="I101" s="53" t="str">
        <f t="shared" si="3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">
      <c r="A102" s="60"/>
      <c r="B102" s="50"/>
      <c r="C102" s="60"/>
      <c r="D102" s="50"/>
      <c r="E102" s="54"/>
      <c r="F102" s="54"/>
      <c r="G102" s="54"/>
      <c r="H102" s="54"/>
      <c r="I102" s="53" t="str">
        <f t="shared" si="3"/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">
      <c r="A103" s="60"/>
      <c r="B103" s="50"/>
      <c r="C103" s="60"/>
      <c r="D103" s="50"/>
      <c r="E103" s="54"/>
      <c r="F103" s="54"/>
      <c r="G103" s="54"/>
      <c r="H103" s="54"/>
      <c r="I103" s="53" t="str">
        <f t="shared" si="3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">
      <c r="A104" s="60"/>
      <c r="B104" s="50"/>
      <c r="C104" s="60"/>
      <c r="D104" s="50"/>
      <c r="E104" s="54"/>
      <c r="F104" s="54"/>
      <c r="G104" s="54"/>
      <c r="H104" s="54"/>
      <c r="I104" s="53" t="str">
        <f t="shared" si="3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">
      <c r="A105" s="50"/>
      <c r="B105" s="50"/>
      <c r="C105" s="50"/>
      <c r="D105" s="50"/>
      <c r="E105" s="54"/>
      <c r="F105" s="54"/>
      <c r="G105" s="54"/>
      <c r="H105" s="54"/>
      <c r="I105" s="53" t="str">
        <f t="shared" si="3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">
      <c r="A106" s="50"/>
      <c r="B106" s="50"/>
      <c r="C106" s="50"/>
      <c r="D106" s="50"/>
      <c r="E106" s="54"/>
      <c r="F106" s="54"/>
      <c r="G106" s="54"/>
      <c r="H106" s="54"/>
      <c r="I106" s="53" t="str">
        <f t="shared" si="3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">
      <c r="A107" s="50"/>
      <c r="B107" s="50"/>
      <c r="C107" s="50"/>
      <c r="D107" s="50"/>
      <c r="E107" s="54"/>
      <c r="F107" s="54"/>
      <c r="G107" s="54"/>
      <c r="H107" s="54"/>
      <c r="I107" s="53" t="str">
        <f t="shared" si="3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">
      <c r="A110" s="46" t="s">
        <v>168</v>
      </c>
      <c r="B110" s="52" t="str">
        <f>IF(B12="","",B12)</f>
        <v>Alisier torminal</v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">
      <c r="A112" s="4"/>
      <c r="B112" s="85" t="s">
        <v>185</v>
      </c>
      <c r="C112" s="259" t="s">
        <v>186</v>
      </c>
      <c r="D112" s="259"/>
      <c r="E112" s="260" t="s">
        <v>187</v>
      </c>
      <c r="F112" s="261"/>
      <c r="G112" s="261"/>
      <c r="H112" s="262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2" x14ac:dyDescent="0.3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">
      <c r="A114" s="50">
        <v>25</v>
      </c>
      <c r="B114" s="60">
        <v>30</v>
      </c>
      <c r="C114" s="50">
        <v>0</v>
      </c>
      <c r="D114" s="60">
        <v>0</v>
      </c>
      <c r="E114" s="51"/>
      <c r="F114" s="51"/>
      <c r="G114" s="51"/>
      <c r="H114" s="51"/>
      <c r="I114" s="53">
        <f>IFERROR(B114/A114,"")</f>
        <v>1.2</v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">
      <c r="A115" s="50">
        <v>30</v>
      </c>
      <c r="B115" s="60">
        <v>54</v>
      </c>
      <c r="C115" s="50">
        <v>0</v>
      </c>
      <c r="D115" s="60">
        <v>0</v>
      </c>
      <c r="E115" s="51"/>
      <c r="F115" s="51"/>
      <c r="G115" s="51"/>
      <c r="H115" s="51"/>
      <c r="I115" s="53">
        <f t="shared" ref="I115:I133" si="4">IF(A115&lt;&gt;0,(B115-(B114-D114))/(A115-A114),"")</f>
        <v>4.8</v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">
      <c r="A116" s="50">
        <v>40</v>
      </c>
      <c r="B116" s="60">
        <v>106</v>
      </c>
      <c r="C116" s="50">
        <v>1</v>
      </c>
      <c r="D116" s="60">
        <v>27</v>
      </c>
      <c r="E116" s="51"/>
      <c r="F116" s="51"/>
      <c r="G116" s="51"/>
      <c r="H116" s="51"/>
      <c r="I116" s="53">
        <f t="shared" si="4"/>
        <v>5.2</v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">
      <c r="A117" s="50">
        <v>50</v>
      </c>
      <c r="B117" s="60">
        <v>121</v>
      </c>
      <c r="C117" s="50">
        <v>2</v>
      </c>
      <c r="D117" s="60">
        <v>14</v>
      </c>
      <c r="E117" s="51"/>
      <c r="F117" s="51"/>
      <c r="G117" s="51"/>
      <c r="H117" s="51"/>
      <c r="I117" s="53">
        <f t="shared" si="4"/>
        <v>4.2</v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">
      <c r="A118" s="50">
        <v>60</v>
      </c>
      <c r="B118" s="60">
        <v>162</v>
      </c>
      <c r="C118" s="50">
        <v>3</v>
      </c>
      <c r="D118" s="60">
        <v>28</v>
      </c>
      <c r="E118" s="51"/>
      <c r="F118" s="51"/>
      <c r="G118" s="51"/>
      <c r="H118" s="51"/>
      <c r="I118" s="53">
        <f t="shared" si="4"/>
        <v>5.5</v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">
      <c r="A119" s="50">
        <v>70</v>
      </c>
      <c r="B119" s="60">
        <v>186</v>
      </c>
      <c r="C119" s="50">
        <v>4</v>
      </c>
      <c r="D119" s="60">
        <v>28</v>
      </c>
      <c r="E119" s="51"/>
      <c r="F119" s="51"/>
      <c r="G119" s="51"/>
      <c r="H119" s="51"/>
      <c r="I119" s="53">
        <f t="shared" si="4"/>
        <v>5.2</v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">
      <c r="A120" s="60">
        <v>80</v>
      </c>
      <c r="B120" s="60">
        <v>206</v>
      </c>
      <c r="C120" s="60">
        <v>5</v>
      </c>
      <c r="D120" s="60">
        <v>28</v>
      </c>
      <c r="E120" s="87"/>
      <c r="F120" s="87"/>
      <c r="G120" s="87"/>
      <c r="H120" s="87"/>
      <c r="I120" s="53">
        <f t="shared" si="4"/>
        <v>4.8</v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">
      <c r="A121" s="60">
        <v>90</v>
      </c>
      <c r="B121" s="60">
        <v>221</v>
      </c>
      <c r="C121" s="60">
        <v>6</v>
      </c>
      <c r="D121" s="60">
        <v>28</v>
      </c>
      <c r="E121" s="87"/>
      <c r="F121" s="87"/>
      <c r="G121" s="87"/>
      <c r="H121" s="87"/>
      <c r="I121" s="53">
        <f t="shared" si="4"/>
        <v>4.3</v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">
      <c r="A122" s="60">
        <v>100</v>
      </c>
      <c r="B122" s="60">
        <v>230</v>
      </c>
      <c r="C122" s="60">
        <v>7</v>
      </c>
      <c r="D122" s="60">
        <v>28</v>
      </c>
      <c r="E122" s="87"/>
      <c r="F122" s="87"/>
      <c r="G122" s="87"/>
      <c r="H122" s="87"/>
      <c r="I122" s="53">
        <f t="shared" si="4"/>
        <v>3.7</v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">
      <c r="A123" s="60">
        <v>110</v>
      </c>
      <c r="B123" s="60">
        <v>233</v>
      </c>
      <c r="C123" s="60">
        <v>8</v>
      </c>
      <c r="D123" s="60">
        <v>27</v>
      </c>
      <c r="E123" s="87"/>
      <c r="F123" s="87"/>
      <c r="G123" s="87"/>
      <c r="H123" s="87"/>
      <c r="I123" s="53">
        <f t="shared" si="4"/>
        <v>3.1</v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">
      <c r="A124" s="60">
        <v>120</v>
      </c>
      <c r="B124" s="60">
        <v>234</v>
      </c>
      <c r="C124" s="60">
        <v>9</v>
      </c>
      <c r="D124" s="60">
        <v>234</v>
      </c>
      <c r="E124" s="87"/>
      <c r="F124" s="87"/>
      <c r="G124" s="87"/>
      <c r="H124" s="87"/>
      <c r="I124" s="53">
        <f t="shared" si="4"/>
        <v>2.8</v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">
      <c r="A125" s="60"/>
      <c r="B125" s="60"/>
      <c r="C125" s="60"/>
      <c r="D125" s="60"/>
      <c r="E125" s="87"/>
      <c r="F125" s="87"/>
      <c r="G125" s="87"/>
      <c r="H125" s="87"/>
      <c r="I125" s="53" t="str">
        <f t="shared" si="4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">
      <c r="A126" s="60"/>
      <c r="B126" s="60"/>
      <c r="C126" s="60"/>
      <c r="D126" s="60"/>
      <c r="E126" s="65"/>
      <c r="F126" s="65"/>
      <c r="G126" s="65"/>
      <c r="H126" s="65"/>
      <c r="I126" s="53" t="str">
        <f t="shared" si="4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">
      <c r="A127" s="60"/>
      <c r="B127" s="60"/>
      <c r="C127" s="60"/>
      <c r="D127" s="60"/>
      <c r="E127" s="65"/>
      <c r="F127" s="65"/>
      <c r="G127" s="65"/>
      <c r="H127" s="65"/>
      <c r="I127" s="53" t="str">
        <f t="shared" si="4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">
      <c r="A128" s="50"/>
      <c r="B128" s="50"/>
      <c r="C128" s="50"/>
      <c r="D128" s="50"/>
      <c r="E128" s="54"/>
      <c r="F128" s="54"/>
      <c r="G128" s="54"/>
      <c r="H128" s="54"/>
      <c r="I128" s="53" t="str">
        <f t="shared" si="4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">
      <c r="A129" s="50"/>
      <c r="B129" s="50"/>
      <c r="C129" s="50"/>
      <c r="D129" s="50"/>
      <c r="E129" s="54"/>
      <c r="F129" s="54"/>
      <c r="G129" s="54"/>
      <c r="H129" s="54"/>
      <c r="I129" s="53" t="str">
        <f t="shared" si="4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">
      <c r="A130" s="50"/>
      <c r="B130" s="50"/>
      <c r="C130" s="50"/>
      <c r="D130" s="50"/>
      <c r="E130" s="54"/>
      <c r="F130" s="54"/>
      <c r="G130" s="54"/>
      <c r="H130" s="54"/>
      <c r="I130" s="53" t="str">
        <f t="shared" si="4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">
      <c r="A131" s="50"/>
      <c r="B131" s="50"/>
      <c r="C131" s="50"/>
      <c r="D131" s="50"/>
      <c r="E131" s="54"/>
      <c r="F131" s="54"/>
      <c r="G131" s="54"/>
      <c r="H131" s="54"/>
      <c r="I131" s="53" t="str">
        <f t="shared" si="4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">
      <c r="A132" s="50"/>
      <c r="B132" s="50"/>
      <c r="C132" s="50"/>
      <c r="D132" s="50"/>
      <c r="E132" s="54"/>
      <c r="F132" s="54"/>
      <c r="G132" s="54"/>
      <c r="H132" s="54"/>
      <c r="I132" s="53" t="str">
        <f t="shared" si="4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">
      <c r="A133" s="50"/>
      <c r="B133" s="50"/>
      <c r="C133" s="50"/>
      <c r="D133" s="50"/>
      <c r="E133" s="54"/>
      <c r="F133" s="54"/>
      <c r="G133" s="54"/>
      <c r="H133" s="54"/>
      <c r="I133" s="53" t="str">
        <f t="shared" si="4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">
      <c r="A138" s="4"/>
      <c r="B138" s="85" t="s">
        <v>185</v>
      </c>
      <c r="C138" s="259" t="s">
        <v>186</v>
      </c>
      <c r="D138" s="259"/>
      <c r="E138" s="260" t="s">
        <v>187</v>
      </c>
      <c r="F138" s="261"/>
      <c r="G138" s="261"/>
      <c r="H138" s="262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2" x14ac:dyDescent="0.3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5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">
      <c r="A142" s="50"/>
      <c r="B142" s="60"/>
      <c r="C142" s="50"/>
      <c r="D142" s="60"/>
      <c r="E142" s="51"/>
      <c r="F142" s="51"/>
      <c r="G142" s="51"/>
      <c r="H142" s="51"/>
      <c r="I142" s="57" t="str">
        <f t="shared" si="5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">
      <c r="A143" s="50"/>
      <c r="B143" s="60"/>
      <c r="C143" s="50"/>
      <c r="D143" s="60"/>
      <c r="E143" s="51"/>
      <c r="F143" s="51"/>
      <c r="G143" s="51"/>
      <c r="H143" s="51"/>
      <c r="I143" s="57" t="str">
        <f t="shared" si="5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">
      <c r="A144" s="50"/>
      <c r="B144" s="60"/>
      <c r="C144" s="50"/>
      <c r="D144" s="60"/>
      <c r="E144" s="51"/>
      <c r="F144" s="51"/>
      <c r="G144" s="51"/>
      <c r="H144" s="51"/>
      <c r="I144" s="57" t="str">
        <f t="shared" si="5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">
      <c r="A145" s="50"/>
      <c r="B145" s="60"/>
      <c r="C145" s="50"/>
      <c r="D145" s="60"/>
      <c r="E145" s="51"/>
      <c r="F145" s="51"/>
      <c r="G145" s="51"/>
      <c r="H145" s="51"/>
      <c r="I145" s="57" t="str">
        <f t="shared" si="5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">
      <c r="A146" s="50"/>
      <c r="B146" s="60"/>
      <c r="C146" s="50"/>
      <c r="D146" s="60"/>
      <c r="E146" s="51"/>
      <c r="F146" s="51"/>
      <c r="G146" s="51"/>
      <c r="H146" s="51"/>
      <c r="I146" s="57" t="str">
        <f t="shared" si="5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">
      <c r="A148" s="50"/>
      <c r="B148" s="60"/>
      <c r="C148" s="50"/>
      <c r="D148" s="60"/>
      <c r="E148" s="51"/>
      <c r="F148" s="51"/>
      <c r="G148" s="51"/>
      <c r="H148" s="51"/>
      <c r="I148" s="57" t="str">
        <f t="shared" si="5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">
      <c r="A149" s="50"/>
      <c r="B149" s="60"/>
      <c r="C149" s="50"/>
      <c r="D149" s="60"/>
      <c r="E149" s="51"/>
      <c r="F149" s="51"/>
      <c r="G149" s="51"/>
      <c r="H149" s="51"/>
      <c r="I149" s="57" t="str">
        <f t="shared" si="5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">
      <c r="A150" s="50"/>
      <c r="B150" s="60"/>
      <c r="C150" s="50"/>
      <c r="D150" s="60"/>
      <c r="E150" s="51"/>
      <c r="F150" s="51"/>
      <c r="G150" s="51"/>
      <c r="H150" s="51"/>
      <c r="I150" s="57" t="str">
        <f t="shared" si="5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">
      <c r="A151" s="50"/>
      <c r="B151" s="60"/>
      <c r="C151" s="50"/>
      <c r="D151" s="60"/>
      <c r="E151" s="51"/>
      <c r="F151" s="51"/>
      <c r="G151" s="51"/>
      <c r="H151" s="51"/>
      <c r="I151" s="57" t="str">
        <f t="shared" si="5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">
      <c r="A152" s="50"/>
      <c r="B152" s="60"/>
      <c r="C152" s="50"/>
      <c r="D152" s="60"/>
      <c r="E152" s="54"/>
      <c r="F152" s="54"/>
      <c r="G152" s="54"/>
      <c r="H152" s="54"/>
      <c r="I152" s="57" t="str">
        <f t="shared" si="5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">
      <c r="A153" s="50"/>
      <c r="B153" s="60"/>
      <c r="C153" s="50"/>
      <c r="D153" s="60"/>
      <c r="E153" s="54"/>
      <c r="F153" s="54"/>
      <c r="G153" s="54"/>
      <c r="H153" s="54"/>
      <c r="I153" s="57" t="str">
        <f t="shared" si="5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">
      <c r="A154" s="55"/>
      <c r="B154" s="56"/>
      <c r="C154" s="50"/>
      <c r="D154" s="50"/>
      <c r="E154" s="54"/>
      <c r="F154" s="54"/>
      <c r="G154" s="54"/>
      <c r="H154" s="54"/>
      <c r="I154" s="57" t="str">
        <f t="shared" si="5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">
      <c r="A155" s="55"/>
      <c r="B155" s="56"/>
      <c r="C155" s="50"/>
      <c r="D155" s="50"/>
      <c r="E155" s="54"/>
      <c r="F155" s="54"/>
      <c r="G155" s="54"/>
      <c r="H155" s="54"/>
      <c r="I155" s="57" t="str">
        <f t="shared" si="5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">
      <c r="A156" s="55"/>
      <c r="B156" s="56"/>
      <c r="C156" s="50"/>
      <c r="D156" s="50"/>
      <c r="E156" s="54"/>
      <c r="F156" s="54"/>
      <c r="G156" s="54"/>
      <c r="H156" s="54"/>
      <c r="I156" s="57" t="str">
        <f t="shared" si="5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">
      <c r="A157" s="55"/>
      <c r="B157" s="56"/>
      <c r="C157" s="50"/>
      <c r="D157" s="50"/>
      <c r="E157" s="54"/>
      <c r="F157" s="54"/>
      <c r="G157" s="54"/>
      <c r="H157" s="54"/>
      <c r="I157" s="57" t="str">
        <f t="shared" si="5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">
      <c r="A158" s="55"/>
      <c r="B158" s="56"/>
      <c r="C158" s="50"/>
      <c r="D158" s="50"/>
      <c r="E158" s="54"/>
      <c r="F158" s="54"/>
      <c r="G158" s="54"/>
      <c r="H158" s="54"/>
      <c r="I158" s="57" t="str">
        <f t="shared" si="5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">
      <c r="A159" s="55"/>
      <c r="B159" s="56"/>
      <c r="C159" s="50"/>
      <c r="D159" s="58"/>
      <c r="E159" s="54"/>
      <c r="F159" s="54"/>
      <c r="G159" s="54"/>
      <c r="H159" s="54"/>
      <c r="I159" s="57" t="str">
        <f t="shared" si="5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">
      <c r="A164" s="4"/>
      <c r="B164" s="85" t="s">
        <v>185</v>
      </c>
      <c r="C164" s="259" t="s">
        <v>186</v>
      </c>
      <c r="D164" s="259"/>
      <c r="E164" s="260" t="s">
        <v>187</v>
      </c>
      <c r="F164" s="261"/>
      <c r="G164" s="261"/>
      <c r="H164" s="262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2" x14ac:dyDescent="0.3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6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">
      <c r="A168" s="50"/>
      <c r="B168" s="60"/>
      <c r="C168" s="60"/>
      <c r="D168" s="60"/>
      <c r="E168" s="51"/>
      <c r="F168" s="51"/>
      <c r="G168" s="51"/>
      <c r="H168" s="51"/>
      <c r="I168" s="49" t="str">
        <f t="shared" si="6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">
      <c r="A169" s="50"/>
      <c r="B169" s="60"/>
      <c r="C169" s="60"/>
      <c r="D169" s="60"/>
      <c r="E169" s="51"/>
      <c r="F169" s="51"/>
      <c r="G169" s="51"/>
      <c r="H169" s="51"/>
      <c r="I169" s="49" t="str">
        <f t="shared" si="6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">
      <c r="A170" s="50"/>
      <c r="B170" s="60"/>
      <c r="C170" s="60"/>
      <c r="D170" s="60"/>
      <c r="E170" s="51"/>
      <c r="F170" s="51"/>
      <c r="G170" s="51"/>
      <c r="H170" s="51"/>
      <c r="I170" s="49" t="str">
        <f t="shared" si="6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">
      <c r="A171" s="50"/>
      <c r="B171" s="60"/>
      <c r="C171" s="60"/>
      <c r="D171" s="60"/>
      <c r="E171" s="51"/>
      <c r="F171" s="51"/>
      <c r="G171" s="51"/>
      <c r="H171" s="51"/>
      <c r="I171" s="49" t="str">
        <f t="shared" si="6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">
      <c r="A172" s="50"/>
      <c r="B172" s="60"/>
      <c r="C172" s="60"/>
      <c r="D172" s="60"/>
      <c r="E172" s="51"/>
      <c r="F172" s="51"/>
      <c r="G172" s="51"/>
      <c r="H172" s="51"/>
      <c r="I172" s="49" t="str">
        <f t="shared" si="6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">
      <c r="A173" s="50"/>
      <c r="B173" s="50"/>
      <c r="C173" s="50"/>
      <c r="D173" s="50"/>
      <c r="E173" s="51"/>
      <c r="F173" s="51"/>
      <c r="G173" s="51"/>
      <c r="H173" s="51"/>
      <c r="I173" s="49" t="str">
        <f t="shared" si="6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">
      <c r="A174" s="50"/>
      <c r="B174" s="50"/>
      <c r="C174" s="50"/>
      <c r="D174" s="50"/>
      <c r="E174" s="51"/>
      <c r="F174" s="51"/>
      <c r="G174" s="51"/>
      <c r="H174" s="51"/>
      <c r="I174" s="49" t="str">
        <f t="shared" si="6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">
      <c r="A175" s="50"/>
      <c r="B175" s="50"/>
      <c r="C175" s="50"/>
      <c r="D175" s="50"/>
      <c r="E175" s="51"/>
      <c r="F175" s="51"/>
      <c r="G175" s="51"/>
      <c r="H175" s="51"/>
      <c r="I175" s="49" t="str">
        <f t="shared" si="6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">
      <c r="A176" s="50"/>
      <c r="B176" s="50"/>
      <c r="C176" s="50"/>
      <c r="D176" s="50"/>
      <c r="E176" s="51"/>
      <c r="F176" s="51"/>
      <c r="G176" s="51"/>
      <c r="H176" s="51"/>
      <c r="I176" s="49" t="str">
        <f t="shared" si="6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">
      <c r="A177" s="50"/>
      <c r="B177" s="50"/>
      <c r="C177" s="50"/>
      <c r="D177" s="50"/>
      <c r="E177" s="51"/>
      <c r="F177" s="51"/>
      <c r="G177" s="51"/>
      <c r="H177" s="51"/>
      <c r="I177" s="49" t="str">
        <f t="shared" si="6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">
      <c r="A178" s="50"/>
      <c r="B178" s="50"/>
      <c r="C178" s="50"/>
      <c r="D178" s="50"/>
      <c r="E178" s="51"/>
      <c r="F178" s="51"/>
      <c r="G178" s="51"/>
      <c r="H178" s="51"/>
      <c r="I178" s="49" t="str">
        <f t="shared" si="6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">
      <c r="A179" s="50"/>
      <c r="B179" s="50"/>
      <c r="C179" s="50"/>
      <c r="D179" s="50"/>
      <c r="E179" s="51"/>
      <c r="F179" s="51"/>
      <c r="G179" s="51"/>
      <c r="H179" s="51"/>
      <c r="I179" s="49" t="str">
        <f t="shared" si="6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">
      <c r="A180" s="50"/>
      <c r="B180" s="50"/>
      <c r="C180" s="50"/>
      <c r="D180" s="50"/>
      <c r="E180" s="51"/>
      <c r="F180" s="51"/>
      <c r="G180" s="51"/>
      <c r="H180" s="51"/>
      <c r="I180" s="49" t="str">
        <f t="shared" si="6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">
      <c r="A181" s="50"/>
      <c r="B181" s="50"/>
      <c r="C181" s="50"/>
      <c r="D181" s="50"/>
      <c r="E181" s="51"/>
      <c r="F181" s="51"/>
      <c r="G181" s="51"/>
      <c r="H181" s="51"/>
      <c r="I181" s="49" t="str">
        <f t="shared" si="6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">
      <c r="A182" s="50"/>
      <c r="B182" s="50"/>
      <c r="C182" s="50"/>
      <c r="D182" s="50"/>
      <c r="E182" s="51"/>
      <c r="F182" s="51"/>
      <c r="G182" s="51"/>
      <c r="H182" s="51"/>
      <c r="I182" s="49" t="str">
        <f t="shared" si="6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">
      <c r="A183" s="50"/>
      <c r="B183" s="50"/>
      <c r="C183" s="50"/>
      <c r="D183" s="50"/>
      <c r="E183" s="51"/>
      <c r="F183" s="51"/>
      <c r="G183" s="51"/>
      <c r="H183" s="51"/>
      <c r="I183" s="49" t="str">
        <f t="shared" si="6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">
      <c r="A184" s="50"/>
      <c r="B184" s="50"/>
      <c r="C184" s="50"/>
      <c r="D184" s="50"/>
      <c r="E184" s="51"/>
      <c r="F184" s="51"/>
      <c r="G184" s="51"/>
      <c r="H184" s="51"/>
      <c r="I184" s="49" t="str">
        <f t="shared" si="6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">
      <c r="A185" s="50"/>
      <c r="B185" s="50"/>
      <c r="C185" s="50"/>
      <c r="D185" s="50"/>
      <c r="E185" s="51"/>
      <c r="F185" s="51"/>
      <c r="G185" s="51"/>
      <c r="H185" s="51"/>
      <c r="I185" s="49" t="str">
        <f t="shared" si="6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">
      <c r="A190" s="4"/>
      <c r="B190" s="85" t="s">
        <v>185</v>
      </c>
      <c r="C190" s="259" t="s">
        <v>186</v>
      </c>
      <c r="D190" s="259"/>
      <c r="E190" s="260" t="s">
        <v>187</v>
      </c>
      <c r="F190" s="261"/>
      <c r="G190" s="261"/>
      <c r="H190" s="262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2" x14ac:dyDescent="0.3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7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">
      <c r="A194" s="50"/>
      <c r="B194" s="60"/>
      <c r="C194" s="60"/>
      <c r="D194" s="60"/>
      <c r="E194" s="51"/>
      <c r="F194" s="51"/>
      <c r="G194" s="51"/>
      <c r="H194" s="51"/>
      <c r="I194" s="49" t="str">
        <f t="shared" si="7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">
      <c r="A195" s="50"/>
      <c r="B195" s="60"/>
      <c r="C195" s="60"/>
      <c r="D195" s="60"/>
      <c r="E195" s="51"/>
      <c r="F195" s="51"/>
      <c r="G195" s="51"/>
      <c r="H195" s="51"/>
      <c r="I195" s="49" t="str">
        <f t="shared" si="7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">
      <c r="A196" s="50"/>
      <c r="B196" s="60"/>
      <c r="C196" s="60"/>
      <c r="D196" s="60"/>
      <c r="E196" s="51"/>
      <c r="F196" s="51"/>
      <c r="G196" s="51"/>
      <c r="H196" s="51"/>
      <c r="I196" s="49" t="str">
        <f t="shared" si="7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">
      <c r="A197" s="50"/>
      <c r="B197" s="60"/>
      <c r="C197" s="60"/>
      <c r="D197" s="60"/>
      <c r="E197" s="51"/>
      <c r="F197" s="51"/>
      <c r="G197" s="51"/>
      <c r="H197" s="51"/>
      <c r="I197" s="49" t="str">
        <f t="shared" si="7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">
      <c r="A198" s="50"/>
      <c r="B198" s="60"/>
      <c r="C198" s="60"/>
      <c r="D198" s="60"/>
      <c r="E198" s="51"/>
      <c r="F198" s="51"/>
      <c r="G198" s="51"/>
      <c r="H198" s="51"/>
      <c r="I198" s="49" t="str">
        <f t="shared" si="7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">
      <c r="A199" s="50"/>
      <c r="B199" s="50"/>
      <c r="C199" s="50"/>
      <c r="D199" s="50"/>
      <c r="E199" s="51"/>
      <c r="F199" s="51"/>
      <c r="G199" s="51"/>
      <c r="H199" s="51"/>
      <c r="I199" s="49" t="str">
        <f t="shared" si="7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">
      <c r="A200" s="50"/>
      <c r="B200" s="50"/>
      <c r="C200" s="50"/>
      <c r="D200" s="50"/>
      <c r="E200" s="51"/>
      <c r="F200" s="51"/>
      <c r="G200" s="51"/>
      <c r="H200" s="51"/>
      <c r="I200" s="49" t="str">
        <f t="shared" si="7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">
      <c r="A201" s="50"/>
      <c r="B201" s="50"/>
      <c r="C201" s="50"/>
      <c r="D201" s="50"/>
      <c r="E201" s="51"/>
      <c r="F201" s="51"/>
      <c r="G201" s="51"/>
      <c r="H201" s="51"/>
      <c r="I201" s="49" t="str">
        <f t="shared" si="7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">
      <c r="A202" s="50"/>
      <c r="B202" s="50"/>
      <c r="C202" s="50"/>
      <c r="D202" s="50"/>
      <c r="E202" s="51"/>
      <c r="F202" s="51"/>
      <c r="G202" s="51"/>
      <c r="H202" s="51"/>
      <c r="I202" s="49" t="str">
        <f t="shared" si="7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">
      <c r="A203" s="50"/>
      <c r="B203" s="50"/>
      <c r="C203" s="50"/>
      <c r="D203" s="50"/>
      <c r="E203" s="51"/>
      <c r="F203" s="51"/>
      <c r="G203" s="51"/>
      <c r="H203" s="51"/>
      <c r="I203" s="49" t="str">
        <f t="shared" si="7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">
      <c r="A204" s="50"/>
      <c r="B204" s="50"/>
      <c r="C204" s="50"/>
      <c r="D204" s="50"/>
      <c r="E204" s="51"/>
      <c r="F204" s="51"/>
      <c r="G204" s="51"/>
      <c r="H204" s="51"/>
      <c r="I204" s="49" t="str">
        <f t="shared" si="7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">
      <c r="A205" s="50"/>
      <c r="B205" s="50"/>
      <c r="C205" s="50"/>
      <c r="D205" s="50"/>
      <c r="E205" s="51"/>
      <c r="F205" s="51"/>
      <c r="G205" s="51"/>
      <c r="H205" s="51"/>
      <c r="I205" s="49" t="str">
        <f t="shared" si="7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">
      <c r="A206" s="50"/>
      <c r="B206" s="50"/>
      <c r="C206" s="50"/>
      <c r="D206" s="50"/>
      <c r="E206" s="51"/>
      <c r="F206" s="51"/>
      <c r="G206" s="51"/>
      <c r="H206" s="51"/>
      <c r="I206" s="49" t="str">
        <f t="shared" si="7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">
      <c r="A207" s="50"/>
      <c r="B207" s="50"/>
      <c r="C207" s="50"/>
      <c r="D207" s="50"/>
      <c r="E207" s="51"/>
      <c r="F207" s="51"/>
      <c r="G207" s="51"/>
      <c r="H207" s="51"/>
      <c r="I207" s="49" t="str">
        <f t="shared" si="7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">
      <c r="A208" s="50"/>
      <c r="B208" s="50"/>
      <c r="C208" s="50"/>
      <c r="D208" s="50"/>
      <c r="E208" s="51"/>
      <c r="F208" s="51"/>
      <c r="G208" s="51"/>
      <c r="H208" s="51"/>
      <c r="I208" s="49" t="str">
        <f t="shared" si="7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">
      <c r="A209" s="50"/>
      <c r="B209" s="50"/>
      <c r="C209" s="50"/>
      <c r="D209" s="50"/>
      <c r="E209" s="51"/>
      <c r="F209" s="51"/>
      <c r="G209" s="51"/>
      <c r="H209" s="51"/>
      <c r="I209" s="49" t="str">
        <f t="shared" si="7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">
      <c r="A210" s="50"/>
      <c r="B210" s="50"/>
      <c r="C210" s="50"/>
      <c r="D210" s="50"/>
      <c r="E210" s="51"/>
      <c r="F210" s="51"/>
      <c r="G210" s="51"/>
      <c r="H210" s="51"/>
      <c r="I210" s="49" t="str">
        <f t="shared" si="7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">
      <c r="A211" s="50"/>
      <c r="B211" s="50"/>
      <c r="C211" s="50"/>
      <c r="D211" s="50"/>
      <c r="E211" s="51"/>
      <c r="F211" s="51"/>
      <c r="G211" s="51"/>
      <c r="H211" s="51"/>
      <c r="I211" s="49" t="str">
        <f t="shared" si="7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">
      <c r="A216" s="4"/>
      <c r="B216" s="85" t="s">
        <v>185</v>
      </c>
      <c r="C216" s="259" t="s">
        <v>186</v>
      </c>
      <c r="D216" s="259"/>
      <c r="E216" s="260" t="s">
        <v>187</v>
      </c>
      <c r="F216" s="261"/>
      <c r="G216" s="261"/>
      <c r="H216" s="262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2" x14ac:dyDescent="0.3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8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">
      <c r="A220" s="50"/>
      <c r="B220" s="60"/>
      <c r="C220" s="50"/>
      <c r="D220" s="60"/>
      <c r="E220" s="63"/>
      <c r="F220" s="63"/>
      <c r="G220" s="63"/>
      <c r="H220" s="63"/>
      <c r="I220" s="53" t="str">
        <f t="shared" si="8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">
      <c r="A221" s="55"/>
      <c r="B221" s="55"/>
      <c r="C221" s="55"/>
      <c r="D221" s="55"/>
      <c r="E221" s="63"/>
      <c r="F221" s="63"/>
      <c r="G221" s="63"/>
      <c r="H221" s="63"/>
      <c r="I221" s="53" t="str">
        <f t="shared" si="8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">
      <c r="A222" s="55"/>
      <c r="B222" s="55"/>
      <c r="C222" s="55"/>
      <c r="D222" s="55"/>
      <c r="E222" s="63"/>
      <c r="F222" s="63"/>
      <c r="G222" s="63"/>
      <c r="H222" s="63"/>
      <c r="I222" s="53" t="str">
        <f t="shared" si="8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">
      <c r="A223" s="55"/>
      <c r="B223" s="55"/>
      <c r="C223" s="55"/>
      <c r="D223" s="55"/>
      <c r="E223" s="63"/>
      <c r="F223" s="63"/>
      <c r="G223" s="63"/>
      <c r="H223" s="63"/>
      <c r="I223" s="53" t="str">
        <f t="shared" si="8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">
      <c r="A224" s="55"/>
      <c r="B224" s="55"/>
      <c r="C224" s="55"/>
      <c r="D224" s="55"/>
      <c r="E224" s="63"/>
      <c r="F224" s="63"/>
      <c r="G224" s="63"/>
      <c r="H224" s="63"/>
      <c r="I224" s="53" t="str">
        <f t="shared" si="8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">
      <c r="A225" s="55"/>
      <c r="B225" s="55"/>
      <c r="C225" s="55"/>
      <c r="D225" s="55"/>
      <c r="E225" s="63"/>
      <c r="F225" s="63"/>
      <c r="G225" s="63"/>
      <c r="H225" s="63"/>
      <c r="I225" s="53" t="str">
        <f t="shared" si="8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">
      <c r="A226" s="55"/>
      <c r="B226" s="55"/>
      <c r="C226" s="55"/>
      <c r="D226" s="55"/>
      <c r="E226" s="63"/>
      <c r="F226" s="63"/>
      <c r="G226" s="63"/>
      <c r="H226" s="63"/>
      <c r="I226" s="53" t="str">
        <f t="shared" si="8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">
      <c r="A227" s="55"/>
      <c r="B227" s="55"/>
      <c r="C227" s="55"/>
      <c r="D227" s="55"/>
      <c r="E227" s="63"/>
      <c r="F227" s="63"/>
      <c r="G227" s="63"/>
      <c r="H227" s="63"/>
      <c r="I227" s="53" t="str">
        <f t="shared" si="8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">
      <c r="A228" s="55"/>
      <c r="B228" s="55"/>
      <c r="C228" s="55"/>
      <c r="D228" s="55"/>
      <c r="E228" s="63"/>
      <c r="F228" s="63"/>
      <c r="G228" s="63"/>
      <c r="H228" s="63"/>
      <c r="I228" s="53" t="str">
        <f t="shared" si="8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">
      <c r="A229" s="55"/>
      <c r="B229" s="55"/>
      <c r="C229" s="55"/>
      <c r="D229" s="55"/>
      <c r="E229" s="63"/>
      <c r="F229" s="63"/>
      <c r="G229" s="63"/>
      <c r="H229" s="63"/>
      <c r="I229" s="53" t="str">
        <f t="shared" si="8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">
      <c r="A230" s="55"/>
      <c r="B230" s="55"/>
      <c r="C230" s="55"/>
      <c r="D230" s="55"/>
      <c r="E230" s="64"/>
      <c r="F230" s="64"/>
      <c r="G230" s="64"/>
      <c r="H230" s="64"/>
      <c r="I230" s="53" t="str">
        <f t="shared" si="8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">
      <c r="A231" s="88"/>
      <c r="B231" s="60"/>
      <c r="C231" s="88"/>
      <c r="D231" s="60"/>
      <c r="E231" s="54"/>
      <c r="F231" s="54"/>
      <c r="G231" s="54"/>
      <c r="H231" s="54"/>
      <c r="I231" s="53" t="str">
        <f t="shared" si="8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">
      <c r="A232" s="50"/>
      <c r="B232" s="50"/>
      <c r="C232" s="50"/>
      <c r="D232" s="50"/>
      <c r="E232" s="54"/>
      <c r="F232" s="54"/>
      <c r="G232" s="54"/>
      <c r="H232" s="54"/>
      <c r="I232" s="53" t="str">
        <f t="shared" si="8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">
      <c r="A233" s="50"/>
      <c r="B233" s="50"/>
      <c r="C233" s="50"/>
      <c r="D233" s="50"/>
      <c r="E233" s="54"/>
      <c r="F233" s="54"/>
      <c r="G233" s="54"/>
      <c r="H233" s="54"/>
      <c r="I233" s="53" t="str">
        <f t="shared" si="8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">
      <c r="A234" s="50"/>
      <c r="B234" s="50"/>
      <c r="C234" s="50"/>
      <c r="D234" s="50"/>
      <c r="E234" s="54"/>
      <c r="F234" s="54"/>
      <c r="G234" s="54"/>
      <c r="H234" s="54"/>
      <c r="I234" s="53" t="str">
        <f t="shared" si="8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">
      <c r="A235" s="50"/>
      <c r="B235" s="50"/>
      <c r="C235" s="50"/>
      <c r="D235" s="50"/>
      <c r="E235" s="54"/>
      <c r="F235" s="54"/>
      <c r="G235" s="54"/>
      <c r="H235" s="54"/>
      <c r="I235" s="53" t="str">
        <f t="shared" si="8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">
      <c r="A236" s="50"/>
      <c r="B236" s="50"/>
      <c r="C236" s="50"/>
      <c r="D236" s="50"/>
      <c r="E236" s="54"/>
      <c r="F236" s="54"/>
      <c r="G236" s="54"/>
      <c r="H236" s="54"/>
      <c r="I236" s="53" t="str">
        <f t="shared" si="8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">
      <c r="A237" s="50"/>
      <c r="B237" s="50"/>
      <c r="C237" s="50"/>
      <c r="D237" s="50"/>
      <c r="E237" s="54"/>
      <c r="F237" s="54"/>
      <c r="G237" s="54"/>
      <c r="H237" s="54"/>
      <c r="I237" s="53" t="str">
        <f t="shared" si="8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">
      <c r="A242" s="4"/>
      <c r="B242" s="85" t="s">
        <v>185</v>
      </c>
      <c r="C242" s="259" t="s">
        <v>186</v>
      </c>
      <c r="D242" s="259"/>
      <c r="E242" s="260" t="s">
        <v>187</v>
      </c>
      <c r="F242" s="261"/>
      <c r="G242" s="261"/>
      <c r="H242" s="262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2" x14ac:dyDescent="0.3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9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">
      <c r="A248" s="50"/>
      <c r="B248" s="60"/>
      <c r="C248" s="60"/>
      <c r="D248" s="60"/>
      <c r="E248" s="63"/>
      <c r="F248" s="63"/>
      <c r="G248" s="63"/>
      <c r="H248" s="63"/>
      <c r="I248" s="53" t="str">
        <f t="shared" si="9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">
      <c r="A249" s="50"/>
      <c r="B249" s="60"/>
      <c r="C249" s="60"/>
      <c r="D249" s="60"/>
      <c r="E249" s="63"/>
      <c r="F249" s="63"/>
      <c r="G249" s="63"/>
      <c r="H249" s="63"/>
      <c r="I249" s="53" t="str">
        <f t="shared" si="9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">
      <c r="A250" s="50"/>
      <c r="B250" s="60"/>
      <c r="C250" s="60"/>
      <c r="D250" s="60"/>
      <c r="E250" s="63"/>
      <c r="F250" s="63"/>
      <c r="G250" s="63"/>
      <c r="H250" s="63"/>
      <c r="I250" s="53" t="str">
        <f t="shared" si="9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">
      <c r="A251" s="55"/>
      <c r="B251" s="55"/>
      <c r="C251" s="55"/>
      <c r="D251" s="55"/>
      <c r="E251" s="63"/>
      <c r="F251" s="63"/>
      <c r="G251" s="63"/>
      <c r="H251" s="63"/>
      <c r="I251" s="53" t="str">
        <f t="shared" si="9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">
      <c r="A252" s="55"/>
      <c r="B252" s="55"/>
      <c r="C252" s="55"/>
      <c r="D252" s="55"/>
      <c r="E252" s="63"/>
      <c r="F252" s="63"/>
      <c r="G252" s="63"/>
      <c r="H252" s="63"/>
      <c r="I252" s="53" t="str">
        <f t="shared" si="9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">
      <c r="A253" s="55"/>
      <c r="B253" s="55"/>
      <c r="C253" s="55"/>
      <c r="D253" s="55"/>
      <c r="E253" s="63"/>
      <c r="F253" s="63"/>
      <c r="G253" s="63"/>
      <c r="H253" s="63"/>
      <c r="I253" s="53" t="str">
        <f t="shared" si="9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">
      <c r="A254" s="55"/>
      <c r="B254" s="55"/>
      <c r="C254" s="55"/>
      <c r="D254" s="55"/>
      <c r="E254" s="63"/>
      <c r="F254" s="63"/>
      <c r="G254" s="63"/>
      <c r="H254" s="63"/>
      <c r="I254" s="53" t="str">
        <f t="shared" si="9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">
      <c r="A255" s="55"/>
      <c r="B255" s="55"/>
      <c r="C255" s="55"/>
      <c r="D255" s="55"/>
      <c r="E255" s="63"/>
      <c r="F255" s="63"/>
      <c r="G255" s="63"/>
      <c r="H255" s="63"/>
      <c r="I255" s="53" t="str">
        <f t="shared" si="9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">
      <c r="A256" s="55"/>
      <c r="B256" s="55"/>
      <c r="C256" s="55"/>
      <c r="D256" s="55"/>
      <c r="E256" s="64"/>
      <c r="F256" s="64"/>
      <c r="G256" s="64"/>
      <c r="H256" s="64"/>
      <c r="I256" s="53" t="str">
        <f t="shared" si="9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">
      <c r="A257" s="88"/>
      <c r="B257" s="60"/>
      <c r="C257" s="88"/>
      <c r="D257" s="60"/>
      <c r="E257" s="54"/>
      <c r="F257" s="54"/>
      <c r="G257" s="54"/>
      <c r="H257" s="54"/>
      <c r="I257" s="53" t="str">
        <f t="shared" si="9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">
      <c r="A258" s="50"/>
      <c r="B258" s="50"/>
      <c r="C258" s="50"/>
      <c r="D258" s="50"/>
      <c r="E258" s="54"/>
      <c r="F258" s="54"/>
      <c r="G258" s="54"/>
      <c r="H258" s="54"/>
      <c r="I258" s="53" t="str">
        <f t="shared" si="9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">
      <c r="A259" s="50"/>
      <c r="B259" s="50"/>
      <c r="C259" s="50"/>
      <c r="D259" s="50"/>
      <c r="E259" s="54"/>
      <c r="F259" s="54"/>
      <c r="G259" s="54"/>
      <c r="H259" s="54"/>
      <c r="I259" s="53" t="str">
        <f t="shared" si="9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">
      <c r="A260" s="50"/>
      <c r="B260" s="50"/>
      <c r="C260" s="50"/>
      <c r="D260" s="50"/>
      <c r="E260" s="54"/>
      <c r="F260" s="54"/>
      <c r="G260" s="54"/>
      <c r="H260" s="54"/>
      <c r="I260" s="53" t="str">
        <f t="shared" si="9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">
      <c r="A261" s="50"/>
      <c r="B261" s="50"/>
      <c r="C261" s="50"/>
      <c r="D261" s="50"/>
      <c r="E261" s="54"/>
      <c r="F261" s="54"/>
      <c r="G261" s="54"/>
      <c r="H261" s="54"/>
      <c r="I261" s="53" t="str">
        <f t="shared" si="9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">
      <c r="A262" s="50"/>
      <c r="B262" s="50"/>
      <c r="C262" s="50"/>
      <c r="D262" s="50"/>
      <c r="E262" s="54"/>
      <c r="F262" s="54"/>
      <c r="G262" s="54"/>
      <c r="H262" s="54"/>
      <c r="I262" s="53" t="str">
        <f t="shared" si="9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">
      <c r="A263" s="50"/>
      <c r="B263" s="50"/>
      <c r="C263" s="50"/>
      <c r="D263" s="50"/>
      <c r="E263" s="54"/>
      <c r="F263" s="54"/>
      <c r="G263" s="54"/>
      <c r="H263" s="54"/>
      <c r="I263" s="53" t="str">
        <f t="shared" si="9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">
      <c r="A268" s="4"/>
      <c r="B268" s="85" t="s">
        <v>185</v>
      </c>
      <c r="C268" s="259" t="s">
        <v>186</v>
      </c>
      <c r="D268" s="259"/>
      <c r="E268" s="260" t="s">
        <v>187</v>
      </c>
      <c r="F268" s="261"/>
      <c r="G268" s="261"/>
      <c r="H268" s="262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2" x14ac:dyDescent="0.3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0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0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0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0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0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0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0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0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0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0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0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0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0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0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0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0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0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0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G15" sqref="G15"/>
    </sheetView>
  </sheetViews>
  <sheetFormatPr baseColWidth="10" defaultColWidth="11.44140625" defaultRowHeight="14.4" x14ac:dyDescent="0.3"/>
  <cols>
    <col min="1" max="1" width="5.88671875" style="1" customWidth="1"/>
    <col min="2" max="2" width="14.109375" style="1" customWidth="1"/>
    <col min="3" max="3" width="62.109375" style="1" customWidth="1"/>
    <col min="4" max="5" width="4.33203125" style="1" customWidth="1"/>
    <col min="6" max="6" width="14.33203125" style="1" customWidth="1"/>
    <col min="7" max="7" width="73.33203125" style="1" bestFit="1" customWidth="1"/>
    <col min="8" max="10" width="11.44140625" style="1"/>
    <col min="11" max="11" width="12.5546875" style="1" customWidth="1"/>
    <col min="12" max="16384" width="11.44140625" style="1"/>
  </cols>
  <sheetData>
    <row r="1" spans="1:38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4" thickBot="1" x14ac:dyDescent="0.55000000000000004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">
      <c r="A15" s="23"/>
      <c r="B15" s="26" t="s">
        <v>295</v>
      </c>
      <c r="C15" s="4"/>
      <c r="D15" s="23"/>
      <c r="E15" s="4"/>
      <c r="F15" s="4"/>
      <c r="G15" s="2" t="s">
        <v>149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">
      <c r="C104" s="4"/>
      <c r="F104" s="4"/>
    </row>
    <row r="105" spans="3:35" x14ac:dyDescent="0.3">
      <c r="C105" s="4"/>
      <c r="F105" s="4"/>
    </row>
    <row r="106" spans="3:35" x14ac:dyDescent="0.3">
      <c r="C106" s="4"/>
      <c r="F106" s="4"/>
    </row>
    <row r="107" spans="3:35" x14ac:dyDescent="0.3">
      <c r="C107" s="4"/>
      <c r="F107" s="4"/>
    </row>
    <row r="108" spans="3:35" x14ac:dyDescent="0.3">
      <c r="C108" s="4"/>
      <c r="F108" s="4"/>
    </row>
    <row r="109" spans="3:35" x14ac:dyDescent="0.3">
      <c r="C109" s="4"/>
      <c r="F109" s="4"/>
    </row>
    <row r="110" spans="3:35" x14ac:dyDescent="0.3">
      <c r="C110" s="4"/>
      <c r="F110" s="4"/>
    </row>
    <row r="111" spans="3:35" x14ac:dyDescent="0.3">
      <c r="C111" s="4"/>
      <c r="F111" s="4"/>
    </row>
    <row r="112" spans="3:35" x14ac:dyDescent="0.3">
      <c r="C112" s="4"/>
      <c r="F112" s="4"/>
    </row>
    <row r="113" spans="3:6" x14ac:dyDescent="0.3">
      <c r="C113" s="4"/>
      <c r="F113" s="4"/>
    </row>
    <row r="114" spans="3:6" x14ac:dyDescent="0.3">
      <c r="C114" s="4"/>
      <c r="F114" s="4"/>
    </row>
    <row r="115" spans="3:6" x14ac:dyDescent="0.3">
      <c r="C115" s="4"/>
      <c r="F115" s="4"/>
    </row>
    <row r="116" spans="3:6" x14ac:dyDescent="0.3">
      <c r="C116" s="4"/>
      <c r="F116" s="4"/>
    </row>
    <row r="117" spans="3:6" x14ac:dyDescent="0.3">
      <c r="C117" s="4"/>
      <c r="F117" s="4"/>
    </row>
    <row r="118" spans="3:6" x14ac:dyDescent="0.3">
      <c r="C118" s="4"/>
      <c r="F118" s="4"/>
    </row>
    <row r="119" spans="3:6" x14ac:dyDescent="0.3">
      <c r="C119" s="4"/>
      <c r="F119" s="4"/>
    </row>
    <row r="120" spans="3:6" x14ac:dyDescent="0.3">
      <c r="C120" s="4"/>
      <c r="F120" s="4"/>
    </row>
    <row r="121" spans="3:6" x14ac:dyDescent="0.3">
      <c r="C121" s="4"/>
      <c r="F121" s="4"/>
    </row>
    <row r="122" spans="3:6" x14ac:dyDescent="0.3">
      <c r="C122" s="4"/>
      <c r="F122" s="4"/>
    </row>
    <row r="123" spans="3:6" x14ac:dyDescent="0.3">
      <c r="C123" s="4"/>
      <c r="F123" s="4"/>
    </row>
    <row r="124" spans="3:6" x14ac:dyDescent="0.3">
      <c r="C124" s="4"/>
      <c r="F124" s="4"/>
    </row>
    <row r="125" spans="3:6" x14ac:dyDescent="0.3">
      <c r="C125" s="4"/>
      <c r="F125" s="4"/>
    </row>
    <row r="126" spans="3:6" x14ac:dyDescent="0.3">
      <c r="C126" s="4"/>
      <c r="F126" s="4"/>
    </row>
    <row r="127" spans="3:6" x14ac:dyDescent="0.3">
      <c r="C127" s="4"/>
      <c r="F127" s="4"/>
    </row>
    <row r="128" spans="3:6" x14ac:dyDescent="0.3">
      <c r="C128" s="4"/>
      <c r="F128" s="4"/>
    </row>
    <row r="129" spans="3:6" x14ac:dyDescent="0.3">
      <c r="C129" s="4"/>
      <c r="F129" s="4"/>
    </row>
    <row r="130" spans="3:6" x14ac:dyDescent="0.3">
      <c r="C130" s="4"/>
      <c r="F130" s="4"/>
    </row>
    <row r="131" spans="3:6" x14ac:dyDescent="0.3">
      <c r="C131" s="4"/>
      <c r="F131" s="4"/>
    </row>
    <row r="132" spans="3:6" x14ac:dyDescent="0.3">
      <c r="F132" s="4"/>
    </row>
    <row r="133" spans="3:6" x14ac:dyDescent="0.3">
      <c r="F133" s="4"/>
    </row>
    <row r="134" spans="3:6" x14ac:dyDescent="0.3">
      <c r="F134" s="4"/>
    </row>
    <row r="135" spans="3:6" x14ac:dyDescent="0.3">
      <c r="F135" s="4"/>
    </row>
    <row r="136" spans="3:6" x14ac:dyDescent="0.3">
      <c r="F136" s="4"/>
    </row>
    <row r="137" spans="3:6" x14ac:dyDescent="0.3">
      <c r="F137" s="4"/>
    </row>
    <row r="138" spans="3:6" x14ac:dyDescent="0.3">
      <c r="F138" s="4"/>
    </row>
    <row r="139" spans="3:6" x14ac:dyDescent="0.3">
      <c r="F139" s="4"/>
    </row>
    <row r="140" spans="3:6" x14ac:dyDescent="0.3">
      <c r="F140" s="4"/>
    </row>
    <row r="141" spans="3:6" x14ac:dyDescent="0.3">
      <c r="F141" s="4"/>
    </row>
    <row r="142" spans="3:6" x14ac:dyDescent="0.3">
      <c r="F142" s="4"/>
    </row>
    <row r="143" spans="3:6" x14ac:dyDescent="0.3">
      <c r="F143" s="4"/>
    </row>
    <row r="144" spans="3:6" x14ac:dyDescent="0.3">
      <c r="F144" s="4"/>
    </row>
    <row r="145" spans="6:6" x14ac:dyDescent="0.3">
      <c r="F145" s="4"/>
    </row>
    <row r="146" spans="6:6" x14ac:dyDescent="0.3">
      <c r="F146" s="4"/>
    </row>
    <row r="147" spans="6:6" x14ac:dyDescent="0.3">
      <c r="F147" s="4"/>
    </row>
    <row r="148" spans="6:6" x14ac:dyDescent="0.3">
      <c r="F148" s="4"/>
    </row>
    <row r="149" spans="6:6" x14ac:dyDescent="0.3">
      <c r="F149" s="4"/>
    </row>
    <row r="150" spans="6:6" x14ac:dyDescent="0.3">
      <c r="F150" s="4"/>
    </row>
    <row r="151" spans="6:6" x14ac:dyDescent="0.3">
      <c r="F151" s="4"/>
    </row>
    <row r="152" spans="6:6" x14ac:dyDescent="0.3">
      <c r="F152" s="4"/>
    </row>
    <row r="153" spans="6:6" x14ac:dyDescent="0.3">
      <c r="F153" s="4"/>
    </row>
    <row r="154" spans="6:6" x14ac:dyDescent="0.3">
      <c r="F154" s="4"/>
    </row>
    <row r="155" spans="6:6" x14ac:dyDescent="0.3">
      <c r="F155" s="4"/>
    </row>
    <row r="156" spans="6:6" x14ac:dyDescent="0.3">
      <c r="F156" s="4"/>
    </row>
    <row r="157" spans="6:6" x14ac:dyDescent="0.3">
      <c r="F157" s="4"/>
    </row>
    <row r="158" spans="6:6" x14ac:dyDescent="0.3">
      <c r="F158" s="4"/>
    </row>
    <row r="159" spans="6:6" x14ac:dyDescent="0.3">
      <c r="F159" s="4"/>
    </row>
    <row r="160" spans="6:6" x14ac:dyDescent="0.3">
      <c r="F160" s="4"/>
    </row>
    <row r="161" spans="6:6" x14ac:dyDescent="0.3">
      <c r="F161" s="4"/>
    </row>
    <row r="162" spans="6:6" x14ac:dyDescent="0.3">
      <c r="F162" s="4"/>
    </row>
    <row r="163" spans="6:6" x14ac:dyDescent="0.3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4140625" defaultRowHeight="14.4" x14ac:dyDescent="0.3"/>
  <cols>
    <col min="1" max="1" width="6.88671875" style="4" bestFit="1" customWidth="1"/>
    <col min="2" max="4" width="11.44140625" style="4"/>
    <col min="5" max="5" width="9.5546875" style="4" customWidth="1"/>
    <col min="6" max="7" width="11.44140625" style="4"/>
    <col min="8" max="8" width="10.6640625" style="4" customWidth="1"/>
    <col min="9" max="9" width="9.44140625" style="4" customWidth="1"/>
    <col min="10" max="11" width="10.5546875" style="4" bestFit="1" customWidth="1"/>
    <col min="12" max="12" width="14" style="4" bestFit="1" customWidth="1"/>
    <col min="13" max="13" width="14" style="4" customWidth="1"/>
    <col min="14" max="23" width="11.44140625" style="4"/>
    <col min="24" max="24" width="11.6640625" style="4" bestFit="1" customWidth="1"/>
    <col min="25" max="25" width="14.5546875" style="4" bestFit="1" customWidth="1"/>
    <col min="26" max="26" width="12.44140625" style="4" bestFit="1" customWidth="1"/>
    <col min="27" max="27" width="9.6640625" style="4" bestFit="1" customWidth="1"/>
    <col min="28" max="28" width="11" style="4" bestFit="1" customWidth="1"/>
    <col min="29" max="29" width="9.44140625" style="4" bestFit="1" customWidth="1"/>
    <col min="30" max="31" width="9.44140625" style="4" customWidth="1"/>
    <col min="32" max="32" width="11.44140625" style="4"/>
    <col min="33" max="34" width="14" style="4" bestFit="1" customWidth="1"/>
    <col min="35" max="35" width="10.5546875" style="4" bestFit="1" customWidth="1"/>
    <col min="36" max="36" width="9.44140625" style="4" bestFit="1" customWidth="1"/>
    <col min="37" max="38" width="10.5546875" style="4" bestFit="1" customWidth="1"/>
    <col min="39" max="41" width="10.5546875" style="4" customWidth="1"/>
    <col min="42" max="42" width="9" style="4" bestFit="1" customWidth="1"/>
    <col min="43" max="43" width="10.5546875" style="4" bestFit="1" customWidth="1"/>
    <col min="44" max="44" width="9.33203125" style="4" bestFit="1" customWidth="1"/>
    <col min="45" max="45" width="11.6640625" style="4" bestFit="1" customWidth="1"/>
    <col min="46" max="46" width="8.44140625" style="4" bestFit="1" customWidth="1"/>
    <col min="47" max="47" width="9.44140625" style="4" bestFit="1" customWidth="1"/>
    <col min="48" max="48" width="9.6640625" style="4" bestFit="1" customWidth="1"/>
    <col min="49" max="49" width="11" style="4" bestFit="1" customWidth="1"/>
    <col min="50" max="50" width="9.44140625" style="4" bestFit="1" customWidth="1"/>
    <col min="51" max="52" width="9.44140625" style="4" customWidth="1"/>
    <col min="53" max="53" width="10.5546875" style="4" bestFit="1" customWidth="1"/>
    <col min="54" max="54" width="14.33203125" style="4" customWidth="1"/>
    <col min="55" max="55" width="14" style="4" customWidth="1"/>
    <col min="56" max="56" width="10.5546875" style="4" bestFit="1" customWidth="1"/>
    <col min="57" max="57" width="9.44140625" style="4" bestFit="1" customWidth="1"/>
    <col min="58" max="59" width="10.5546875" style="4" bestFit="1" customWidth="1"/>
    <col min="60" max="62" width="10.5546875" style="4" customWidth="1"/>
    <col min="63" max="63" width="9" style="4" bestFit="1" customWidth="1"/>
    <col min="64" max="64" width="10.5546875" style="4" bestFit="1" customWidth="1"/>
    <col min="65" max="65" width="9.33203125" style="4" bestFit="1" customWidth="1"/>
    <col min="66" max="66" width="11.6640625" style="4" bestFit="1" customWidth="1"/>
    <col min="67" max="67" width="8.44140625" style="4" bestFit="1" customWidth="1"/>
    <col min="68" max="68" width="9.44140625" style="4" bestFit="1" customWidth="1"/>
    <col min="69" max="69" width="9.6640625" style="4" bestFit="1" customWidth="1"/>
    <col min="70" max="70" width="11" style="4" bestFit="1" customWidth="1"/>
    <col min="71" max="71" width="9.44140625" style="4" bestFit="1" customWidth="1"/>
    <col min="72" max="73" width="9.44140625" style="4" customWidth="1"/>
    <col min="74" max="74" width="10.5546875" style="4" bestFit="1" customWidth="1"/>
    <col min="75" max="75" width="14" style="4" bestFit="1" customWidth="1"/>
    <col min="76" max="76" width="13.88671875" style="4" customWidth="1"/>
    <col min="77" max="77" width="10.5546875" style="4" bestFit="1" customWidth="1"/>
    <col min="78" max="78" width="9.44140625" style="4" bestFit="1" customWidth="1"/>
    <col min="79" max="80" width="10.5546875" style="4" bestFit="1" customWidth="1"/>
    <col min="81" max="83" width="10.5546875" style="4" customWidth="1"/>
    <col min="84" max="84" width="11.44140625" style="4"/>
    <col min="85" max="85" width="10.5546875" style="4" bestFit="1" customWidth="1"/>
    <col min="86" max="86" width="9.33203125" style="4" bestFit="1" customWidth="1"/>
    <col min="87" max="87" width="11.6640625" style="4" bestFit="1" customWidth="1"/>
    <col min="88" max="88" width="8.44140625" style="4" bestFit="1" customWidth="1"/>
    <col min="89" max="89" width="9.44140625" style="4" bestFit="1" customWidth="1"/>
    <col min="90" max="90" width="9.6640625" style="4" bestFit="1" customWidth="1"/>
    <col min="91" max="91" width="11" style="4" bestFit="1" customWidth="1"/>
    <col min="92" max="92" width="9.44140625" style="4" bestFit="1" customWidth="1"/>
    <col min="93" max="94" width="9.44140625" style="4" customWidth="1"/>
    <col min="95" max="95" width="11.44140625" style="4"/>
    <col min="96" max="97" width="14" style="4" customWidth="1"/>
    <col min="98" max="98" width="10.5546875" style="4" bestFit="1" customWidth="1"/>
    <col min="99" max="99" width="9.44140625" style="4" bestFit="1" customWidth="1"/>
    <col min="100" max="101" width="10.5546875" style="4" bestFit="1" customWidth="1"/>
    <col min="102" max="104" width="10.5546875" style="4" customWidth="1"/>
    <col min="105" max="105" width="9" style="4" bestFit="1" customWidth="1"/>
    <col min="106" max="106" width="10.5546875" style="4" bestFit="1" customWidth="1"/>
    <col min="107" max="107" width="9.33203125" style="4" bestFit="1" customWidth="1"/>
    <col min="108" max="108" width="11.6640625" style="4" bestFit="1" customWidth="1"/>
    <col min="109" max="109" width="8.44140625" style="4" bestFit="1" customWidth="1"/>
    <col min="110" max="110" width="9.44140625" style="4" bestFit="1" customWidth="1"/>
    <col min="111" max="111" width="9.6640625" style="4" bestFit="1" customWidth="1"/>
    <col min="112" max="112" width="11" style="4" bestFit="1" customWidth="1"/>
    <col min="113" max="113" width="9.44140625" style="4" bestFit="1" customWidth="1"/>
    <col min="114" max="115" width="9.44140625" style="4" customWidth="1"/>
    <col min="116" max="116" width="10.5546875" style="4" bestFit="1" customWidth="1"/>
    <col min="117" max="117" width="14.33203125" style="4" customWidth="1"/>
    <col min="118" max="118" width="14" style="4" bestFit="1" customWidth="1"/>
    <col min="119" max="119" width="10.5546875" style="4" bestFit="1" customWidth="1"/>
    <col min="120" max="120" width="9.44140625" style="4" bestFit="1" customWidth="1"/>
    <col min="121" max="122" width="10.5546875" style="4" bestFit="1" customWidth="1"/>
    <col min="123" max="125" width="10.5546875" style="4" customWidth="1"/>
    <col min="126" max="126" width="9" style="4" bestFit="1" customWidth="1"/>
    <col min="127" max="127" width="10.5546875" style="4" bestFit="1" customWidth="1"/>
    <col min="128" max="128" width="9.33203125" style="4" bestFit="1" customWidth="1"/>
    <col min="129" max="129" width="11.6640625" style="4" bestFit="1" customWidth="1"/>
    <col min="130" max="130" width="8.44140625" style="4" bestFit="1" customWidth="1"/>
    <col min="131" max="131" width="9.44140625" style="4" bestFit="1" customWidth="1"/>
    <col min="132" max="132" width="9.6640625" style="4" bestFit="1" customWidth="1"/>
    <col min="133" max="133" width="11" style="4" bestFit="1" customWidth="1"/>
    <col min="134" max="134" width="9.44140625" style="4" bestFit="1" customWidth="1"/>
    <col min="135" max="136" width="9.44140625" style="4" customWidth="1"/>
    <col min="137" max="137" width="10.5546875" style="4" bestFit="1" customWidth="1"/>
    <col min="138" max="139" width="14" style="4" customWidth="1"/>
    <col min="140" max="140" width="10.5546875" style="4" bestFit="1" customWidth="1"/>
    <col min="141" max="141" width="9.44140625" style="4" bestFit="1" customWidth="1"/>
    <col min="142" max="143" width="10.5546875" style="4" bestFit="1" customWidth="1"/>
    <col min="144" max="146" width="10.5546875" style="4" customWidth="1"/>
    <col min="147" max="147" width="9" style="4" bestFit="1" customWidth="1"/>
    <col min="148" max="148" width="10.5546875" style="4" bestFit="1" customWidth="1"/>
    <col min="149" max="149" width="9.33203125" style="4" bestFit="1" customWidth="1"/>
    <col min="150" max="150" width="11.6640625" style="4" bestFit="1" customWidth="1"/>
    <col min="151" max="151" width="8.44140625" style="4" bestFit="1" customWidth="1"/>
    <col min="152" max="152" width="9.44140625" style="4" bestFit="1" customWidth="1"/>
    <col min="153" max="153" width="9.6640625" style="4" bestFit="1" customWidth="1"/>
    <col min="154" max="154" width="11" style="4" bestFit="1" customWidth="1"/>
    <col min="155" max="155" width="9.44140625" style="4" bestFit="1" customWidth="1"/>
    <col min="156" max="157" width="9.44140625" style="4" customWidth="1"/>
    <col min="158" max="158" width="11.44140625" style="4"/>
    <col min="159" max="160" width="14" style="4" bestFit="1" customWidth="1"/>
    <col min="161" max="161" width="10.5546875" style="4" bestFit="1" customWidth="1"/>
    <col min="162" max="162" width="9.44140625" style="4" bestFit="1" customWidth="1"/>
    <col min="163" max="164" width="10.5546875" style="4" bestFit="1" customWidth="1"/>
    <col min="165" max="167" width="10.5546875" style="4" customWidth="1"/>
    <col min="168" max="168" width="9" style="4" bestFit="1" customWidth="1"/>
    <col min="169" max="169" width="10.5546875" style="4" bestFit="1" customWidth="1"/>
    <col min="170" max="170" width="9.33203125" style="4" bestFit="1" customWidth="1"/>
    <col min="171" max="171" width="11.6640625" style="4" bestFit="1" customWidth="1"/>
    <col min="172" max="172" width="8.109375" style="4" bestFit="1" customWidth="1"/>
    <col min="173" max="173" width="9.44140625" style="4" bestFit="1" customWidth="1"/>
    <col min="174" max="174" width="9.6640625" style="4" bestFit="1" customWidth="1"/>
    <col min="175" max="175" width="11" style="4" bestFit="1" customWidth="1"/>
    <col min="176" max="176" width="9.44140625" style="4" bestFit="1" customWidth="1"/>
    <col min="177" max="178" width="9.44140625" style="4" customWidth="1"/>
    <col min="179" max="179" width="10.5546875" style="4" bestFit="1" customWidth="1"/>
    <col min="180" max="181" width="14" style="4" bestFit="1" customWidth="1"/>
    <col min="182" max="182" width="10.5546875" style="4" bestFit="1" customWidth="1"/>
    <col min="183" max="183" width="9.44140625" style="4" bestFit="1" customWidth="1"/>
    <col min="184" max="185" width="10.5546875" style="4" bestFit="1" customWidth="1"/>
    <col min="186" max="188" width="10.5546875" style="4" customWidth="1"/>
    <col min="189" max="189" width="9" style="4" bestFit="1" customWidth="1"/>
    <col min="190" max="190" width="10.5546875" style="4" bestFit="1" customWidth="1"/>
    <col min="191" max="191" width="9.33203125" style="4" bestFit="1" customWidth="1"/>
    <col min="192" max="192" width="11.44140625" style="4"/>
    <col min="193" max="193" width="8.44140625" style="4" bestFit="1" customWidth="1"/>
    <col min="194" max="194" width="9.44140625" style="4" bestFit="1" customWidth="1"/>
    <col min="195" max="195" width="9.6640625" style="4" bestFit="1" customWidth="1"/>
    <col min="196" max="196" width="11" style="4" bestFit="1" customWidth="1"/>
    <col min="197" max="197" width="9.44140625" style="4" bestFit="1" customWidth="1"/>
    <col min="198" max="199" width="9.44140625" style="4" customWidth="1"/>
    <col min="200" max="200" width="10.5546875" style="4" bestFit="1" customWidth="1"/>
    <col min="201" max="201" width="14" style="4" customWidth="1"/>
    <col min="202" max="202" width="14.33203125" style="4" customWidth="1"/>
    <col min="203" max="203" width="10.5546875" style="4" bestFit="1" customWidth="1"/>
    <col min="204" max="204" width="9.44140625" style="4" bestFit="1" customWidth="1"/>
    <col min="205" max="206" width="10.5546875" style="4" bestFit="1" customWidth="1"/>
    <col min="207" max="209" width="10.5546875" style="4" customWidth="1"/>
    <col min="210" max="210" width="9" style="4" bestFit="1" customWidth="1"/>
    <col min="211" max="211" width="10.5546875" style="4" bestFit="1" customWidth="1"/>
    <col min="212" max="212" width="9.33203125" style="4" bestFit="1" customWidth="1"/>
    <col min="213" max="213" width="11.6640625" style="4" bestFit="1" customWidth="1"/>
    <col min="214" max="214" width="8.44140625" style="4" bestFit="1" customWidth="1"/>
    <col min="215" max="215" width="9.44140625" style="4" bestFit="1" customWidth="1"/>
    <col min="216" max="216" width="9.6640625" style="4" bestFit="1" customWidth="1"/>
    <col min="217" max="217" width="11" style="4" bestFit="1" customWidth="1"/>
    <col min="218" max="218" width="9.44140625" style="4" bestFit="1" customWidth="1"/>
    <col min="219" max="16384" width="11.44140625" style="4"/>
  </cols>
  <sheetData>
    <row r="1" spans="1:218" ht="26.4" thickBot="1" x14ac:dyDescent="0.55000000000000004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Pin maritime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Bouleau verruqueux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>Chêne sessile</v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>Alisier torminal</v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2" thickBot="1" x14ac:dyDescent="0.35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72.647148358003676</v>
      </c>
      <c r="T3" s="59">
        <f>IF('Données projet'!E9&gt;30,$R$33-$H$33,LOOKUP('Données projet'!$E$9,$A$3:$A$203,R3:R203)-LOOKUP('Données projet'!$E$9,$A$3:$A$203,$H$3:$H$203))</f>
        <v>87.231299224620898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145.3656871223958</v>
      </c>
      <c r="AO3" s="59">
        <f>IF('Données projet'!E10&gt;30,$AM$33-$H$33,LOOKUP('Données projet'!$E$10,$A$3:$A$203,AM3:AM203)-LOOKUP('Données projet'!$E$10,$A$3:$A$203,$H$3:$H$203))</f>
        <v>180.54762778843178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>
        <f>BD3*VLOOKUP('Données projet'!$B$11,Paramètres!$A$1:$I$89,3,0)*VLOOKUP('Données projet'!$B$11,Paramètres!$A$1:$I$89,5,0)</f>
        <v>0</v>
      </c>
      <c r="BF3" s="12">
        <v>0</v>
      </c>
      <c r="BG3" s="14">
        <f>(BE3+BF3)*0.475*44/12</f>
        <v>0</v>
      </c>
      <c r="BH3" s="59">
        <f>BG3+(AY3+AZ3)*44/12</f>
        <v>293.33333333333331</v>
      </c>
      <c r="BI3" s="59">
        <f ca="1">AVERAGE(OFFSET($BH$3,0,0,'Données projet'!$E$11+1,1))-AVERAGE(OFFSET($H$3,0,0,'Données projet'!$E$11+1,1))</f>
        <v>138.8931001150624</v>
      </c>
      <c r="BJ3" s="59">
        <f>IF('Données projet'!E11&gt;30,$BH$33-$H$33,LOOKUP('Données projet'!$E$11,$A$3:$A$203,BH3:BH203)-LOOKUP('Données projet'!$E$11,$A$3:$A$203,$H$3:$H$203))</f>
        <v>48.964659354096625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>
        <f>BY3*VLOOKUP('Données projet'!$B$12,Paramètres!$A$1:$I$89,3,0)*VLOOKUP('Données projet'!$B$12,Paramètres!$A$1:$I$89,5,0)</f>
        <v>0</v>
      </c>
      <c r="CA3" s="12">
        <v>0</v>
      </c>
      <c r="CB3" s="14">
        <f>(BZ3+CA3)*0.475*44/12</f>
        <v>0</v>
      </c>
      <c r="CC3" s="59">
        <f>CB3+(BT3+BU3)*44/12</f>
        <v>293.33333333333331</v>
      </c>
      <c r="CD3" s="59">
        <f ca="1">AVERAGE(OFFSET($CC$3,0,0,'Données projet'!$E$12+1,1))-AVERAGE(OFFSET($H$3,0,0,'Données projet'!$E$12+1,1))</f>
        <v>154.93882427988234</v>
      </c>
      <c r="CE3" s="59">
        <f>IF('Données projet'!E12&gt;30,$CC$33-$H$33,LOOKUP('Données projet'!$E$12,$A$3:$A$203,CC3:CC203)-LOOKUP('Données projet'!$E$12,$A$3:$A$203,$H$3:$H$203))</f>
        <v>56.347130462109817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0.88919999999999999</v>
      </c>
      <c r="D4" s="11">
        <f>IFERROR(EXP(-1.0587+0.8836*LN(C4)+0.284),0)</f>
        <v>0.41542055579923082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10.07075516757301</v>
      </c>
      <c r="H4" s="67">
        <f t="shared" ref="H4:H67" si="1">(B4+E4+F4)*44/12+(C4+D4)*0.475*44/12</f>
        <v>295.60554746801699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1.3333333333333333</v>
      </c>
      <c r="N4" s="13">
        <f>IF('Données projet'!$A$36&gt;35,N3+M4-V3,IF(A4&lt;'Données projet'!$A$36,$K$205^A4,IF(A4='Données projet'!$A$36,'Données projet'!$B$36,N3+M4-V3)))</f>
        <v>1.2599210498948732</v>
      </c>
      <c r="O4" s="13">
        <f>N4*VLOOKUP('Données projet'!$B$9,Paramètres!$A$1:$I$89,3,0)*VLOOKUP('Données projet'!$B$9,Paramètres!$A$1:$I$89,5,0)</f>
        <v>0.7534327878371343</v>
      </c>
      <c r="P4" s="13">
        <f>EXP(-1.0587+0.8836*LN(O4)+0.284)</f>
        <v>0.35884640447347915</v>
      </c>
      <c r="Q4" s="20">
        <f t="shared" ref="Q4:Q34" si="2">(O4+P4)*0.475*44/12</f>
        <v>1.9372195932743184</v>
      </c>
      <c r="R4" s="59">
        <f t="shared" si="0"/>
        <v>295.27055292660765</v>
      </c>
      <c r="S4" s="59">
        <f ca="1">AVERAGE(OFFSET($R$3,0,0,'Données projet'!$E$9+1,1))-AVERAGE(OFFSET($H$3,0,0,'Données projet'!$E$9+1,1))</f>
        <v>72.647148358003676</v>
      </c>
      <c r="T4" s="59">
        <f>$T$3</f>
        <v>87.231299224620898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2.85</v>
      </c>
      <c r="AI4" s="13">
        <f>IF('Données projet'!$A$62&gt;35,AI3+AH4-AQ3,IF(A4&lt;'Données projet'!$A$62,$AF$205^A4,IF(A4='Données projet'!$A$62,'Données projet'!$B$62,AI3+AH4-AQ3)))</f>
        <v>1.2240347367580502</v>
      </c>
      <c r="AJ4" s="13">
        <f>AI4*VLOOKUP('Données projet'!$B$10,Paramètres!$A$1:$I$89,3,0)*VLOOKUP('Données projet'!$B$10,Paramètres!$A$1:$I$89,5,0)</f>
        <v>0.99293697845813034</v>
      </c>
      <c r="AK4" s="13">
        <f>EXP(-1.0587+0.8836*LN(AJ4)+0.284)</f>
        <v>0.45796476510112799</v>
      </c>
      <c r="AL4" s="20">
        <f t="shared" ref="AL4:AL67" si="4">(AJ4+AK4)*0.475*44/12</f>
        <v>2.5269872033657084</v>
      </c>
      <c r="AM4" s="59">
        <f t="shared" ref="AM4:AM67" si="5">AL4+(AD4+AE4)*44/12</f>
        <v>295.86032053669902</v>
      </c>
      <c r="AN4" s="59">
        <f ca="1">AVERAGE(OFFSET($AM$3,0,0,'Données projet'!$E$10+1,1))-AVERAGE(OFFSET($H$3,0,0,'Données projet'!$E$10+1,1))</f>
        <v>145.3656871223958</v>
      </c>
      <c r="AO4" s="59">
        <f>$AO$3</f>
        <v>180.54762778843178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1.2</v>
      </c>
      <c r="BD4" s="12">
        <f>IF('Données projet'!$A$88&gt;35,BD3+BC4-BL3,IF(A4&lt;'Données projet'!$A$88,$BA$205^A4,IF(A4='Données projet'!$A$88,'Données projet'!$B$88,BD3+BC4-BL3)))</f>
        <v>1.1457367676485573</v>
      </c>
      <c r="BE4" s="13">
        <f>BD4*VLOOKUP('Données projet'!$B$11,Paramètres!$A$1:$I$89,3,0)*VLOOKUP('Données projet'!$B$11,Paramètres!$A$1:$I$89,5,0)</f>
        <v>1.0366626273684145</v>
      </c>
      <c r="BF4" s="13">
        <f>EXP(-1.0587+0.8836*LN(BE4)+0.284)</f>
        <v>0.47573960617002853</v>
      </c>
      <c r="BG4" s="20">
        <f t="shared" ref="BG4:BG67" si="7">(BE4+BF4)*0.475*44/12</f>
        <v>2.6341005567461218</v>
      </c>
      <c r="BH4" s="59">
        <f t="shared" ref="BH4:BH67" si="8">BG4+(AY4+AZ4)*44/12</f>
        <v>295.96743389007946</v>
      </c>
      <c r="BI4" s="59">
        <f ca="1">AVERAGE(OFFSET($BH$3,0,0,'Données projet'!$E$11+1,1))-AVERAGE(OFFSET($H$3,0,0,'Données projet'!$E$11+1,1))</f>
        <v>138.8931001150624</v>
      </c>
      <c r="BJ4" s="59">
        <f>$BJ$3</f>
        <v>48.964659354096625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>
        <f>EXP(-LN(2)/35)*BP3+(1-EXP(-LN(2)/35))/(LN(2)/35)*BL4*BM4*VLOOKUP('Données projet'!$B$11,Paramètres!$A$1:$I$89,3,0)*0.475*44/12</f>
        <v>0</v>
      </c>
      <c r="BQ4" s="21">
        <f>EXP(-LN(2)/25)*BQ3+(1-EXP(-LN(2)/25))/(LN(2)/25)*Calculateur!BL4*Calculateur!BN4*VLOOKUP('Données projet'!$B$11,Paramètres!$A$1:$I$89,3,0)*0.475*44/12</f>
        <v>0</v>
      </c>
      <c r="BR4" s="21">
        <f>EXP(-LN(2)/2)*BR3+(1-EXP(-LN(2)/2))/(LN(2)/2)*BL4*BO4*VLOOKUP('Données projet'!$B$11,Paramètres!$A$1:$I$89,3,0)*0.475*44/12</f>
        <v>0</v>
      </c>
      <c r="BS4" s="22">
        <f t="shared" ref="BS4:BS67" si="9">SUM(BP4:BR4)</f>
        <v>0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1.2</v>
      </c>
      <c r="BY4" s="12">
        <f>IF('Données projet'!$A$114&gt;35,BY3+BX4-CG3,IF(A4&lt;'Données projet'!$A$114,$BV$205^A4,IF(A4='Données projet'!$A$114,'Données projet'!$B$114,BY3+BX4-CG3)))</f>
        <v>1.1457367676485573</v>
      </c>
      <c r="BZ4" s="13">
        <f>BY4*VLOOKUP('Données projet'!$B$12,Paramètres!$A$1:$I$89,3,0)*VLOOKUP('Données projet'!$B$12,Paramètres!$A$1:$I$89,5,0)</f>
        <v>1.1081566016696847</v>
      </c>
      <c r="CA4" s="13">
        <f>EXP(-1.0587+0.8836*LN(BZ4)+0.284)</f>
        <v>0.50461671312632472</v>
      </c>
      <c r="CB4" s="20">
        <f t="shared" ref="CB4:CB67" si="10">(BZ4+CA4)*0.475*44/12</f>
        <v>2.808913523269716</v>
      </c>
      <c r="CC4" s="59">
        <f t="shared" ref="CC4:CC67" si="11">CB4+(BT4+BU4)*44/12</f>
        <v>296.14224685660304</v>
      </c>
      <c r="CD4" s="59">
        <f ca="1">AVERAGE(OFFSET($CC$3,0,0,'Données projet'!$E$12+1,1))-AVERAGE(OFFSET($H$3,0,0,'Données projet'!$E$12+1,1))</f>
        <v>154.93882427988234</v>
      </c>
      <c r="CE4" s="59">
        <f>$CE$3</f>
        <v>56.347130462109817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>
        <f>EXP(-LN(2)/35)*CK3+(1-EXP(-LN(2)/35))/(LN(2)/35)*CG4*CH4*VLOOKUP('Données projet'!$B$12,Paramètres!$A$1:$I$89,3,0)*0.475*44/12</f>
        <v>0</v>
      </c>
      <c r="CL4" s="21">
        <f>EXP(-LN(2)/25)*CL3+(1-EXP(-LN(2)/25))/(LN(2)/25)*Calculateur!CG4*Calculateur!CI4*VLOOKUP('Données projet'!$B$12,Paramètres!$A$1:$I$89,3,0)*0.475*44/12</f>
        <v>0</v>
      </c>
      <c r="CM4" s="21">
        <f>EXP(-LN(2)/2)*CM3+(1-EXP(-LN(2)/2))/(LN(2)/2)*CG4*CJ4*VLOOKUP('Données projet'!$B$12,Paramètres!$A$1:$I$89,3,0)*0.475*44/12</f>
        <v>0</v>
      </c>
      <c r="CN4" s="22">
        <f t="shared" ref="CN4:CN67" si="12">SUM(CK4:CM4)</f>
        <v>0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1.7784</v>
      </c>
      <c r="D5" s="11">
        <f t="shared" ref="D5:D68" si="32">IFERROR(EXP(-1.0587+0.8836*LN(C5)+0.284),0)</f>
        <v>0.76643986660078545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19.644377917620098</v>
      </c>
      <c r="H5" s="67">
        <f t="shared" si="1"/>
        <v>297.76559610099633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1.3333333333333333</v>
      </c>
      <c r="N5" s="13">
        <f>IF('Données projet'!$A$36&gt;35,N4+M5-V4,IF(A5&lt;'Données projet'!$A$36,$K$205^A5,IF(A5='Données projet'!$A$36,'Données projet'!$B$36,N4+M5-V4)))</f>
        <v>1.5874010519681996</v>
      </c>
      <c r="O5" s="13">
        <f>N5*VLOOKUP('Données projet'!$B$9,Paramètres!$A$1:$I$89,3,0)*VLOOKUP('Données projet'!$B$9,Paramètres!$A$1:$I$89,5,0)</f>
        <v>0.94926582907698343</v>
      </c>
      <c r="P5" s="13">
        <f t="shared" ref="P5:P68" si="33">EXP(-1.0587+0.8836*LN(O5)+0.284)</f>
        <v>0.44012087444203785</v>
      </c>
      <c r="Q5" s="20">
        <f t="shared" si="2"/>
        <v>2.4198485086289616</v>
      </c>
      <c r="R5" s="59">
        <f t="shared" si="0"/>
        <v>295.75318184196226</v>
      </c>
      <c r="S5" s="59">
        <f ca="1">AVERAGE(OFFSET($R$3,0,0,'Données projet'!$E$9+1,1))-AVERAGE(OFFSET($H$3,0,0,'Données projet'!$E$9+1,1))</f>
        <v>72.647148358003676</v>
      </c>
      <c r="T5" s="59">
        <f t="shared" ref="T5:T68" si="34">$T$3</f>
        <v>87.231299224620898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2.85</v>
      </c>
      <c r="AI5" s="13">
        <f>IF('Données projet'!$A$62&gt;35,AI4+AH5-AQ4,IF(A5&lt;'Données projet'!$A$62,$AF$205^A5,IF(A5='Données projet'!$A$62,'Données projet'!$B$62,AI4+AH5-AQ4)))</f>
        <v>1.4982610367903493</v>
      </c>
      <c r="AJ5" s="13">
        <f>AI5*VLOOKUP('Données projet'!$B$10,Paramètres!$A$1:$I$89,3,0)*VLOOKUP('Données projet'!$B$10,Paramètres!$A$1:$I$89,5,0)</f>
        <v>1.2153893530443314</v>
      </c>
      <c r="AK5" s="13">
        <f t="shared" ref="AK5:AK68" si="35">EXP(-1.0587+0.8836*LN(AJ5)+0.284)</f>
        <v>0.54752835706426006</v>
      </c>
      <c r="AL5" s="20">
        <f t="shared" si="4"/>
        <v>3.0704150117724631</v>
      </c>
      <c r="AM5" s="59">
        <f t="shared" si="5"/>
        <v>296.40374834510578</v>
      </c>
      <c r="AN5" s="59">
        <f ca="1">AVERAGE(OFFSET($AM$3,0,0,'Données projet'!$E$10+1,1))-AVERAGE(OFFSET($H$3,0,0,'Données projet'!$E$10+1,1))</f>
        <v>145.3656871223958</v>
      </c>
      <c r="AO5" s="59">
        <f t="shared" ref="AO5:AO68" si="36">$AO$3</f>
        <v>180.54762778843178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1.2</v>
      </c>
      <c r="BD5" s="12">
        <f>IF('Données projet'!$A$88&gt;35,BD4+BC5-BL4,IF(A5&lt;'Données projet'!$A$88,$BA$205^A5,IF(A5='Données projet'!$A$88,'Données projet'!$B$88,BD4+BC5-BL4)))</f>
        <v>1.312712740741764</v>
      </c>
      <c r="BE5" s="13">
        <f>BD5*VLOOKUP('Données projet'!$B$11,Paramètres!$A$1:$I$89,3,0)*VLOOKUP('Données projet'!$B$11,Paramètres!$A$1:$I$89,5,0)</f>
        <v>1.187742487823148</v>
      </c>
      <c r="BF5" s="13">
        <f t="shared" ref="BF5:BF68" si="37">EXP(-1.0587+0.8836*LN(BE5)+0.284)</f>
        <v>0.53650859312100496</v>
      </c>
      <c r="BG5" s="20">
        <f t="shared" si="7"/>
        <v>3.0030706326443997</v>
      </c>
      <c r="BH5" s="59">
        <f t="shared" si="8"/>
        <v>296.33640396597769</v>
      </c>
      <c r="BI5" s="59">
        <f ca="1">AVERAGE(OFFSET($BH$3,0,0,'Données projet'!$E$11+1,1))-AVERAGE(OFFSET($H$3,0,0,'Données projet'!$E$11+1,1))</f>
        <v>138.8931001150624</v>
      </c>
      <c r="BJ5" s="59">
        <f t="shared" ref="BJ5:BJ68" si="38">$BJ$3</f>
        <v>48.964659354096625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>
        <f>EXP(-LN(2)/35)*BP4+(1-EXP(-LN(2)/35))/(LN(2)/35)*BL5*BM5*VLOOKUP('Données projet'!$B$11,Paramètres!$A$1:$I$89,3,0)*0.475*44/12</f>
        <v>0</v>
      </c>
      <c r="BQ5" s="21">
        <f>EXP(-LN(2)/25)*BQ4+(1-EXP(-LN(2)/25))/(LN(2)/25)*Calculateur!BL5*Calculateur!BN5*VLOOKUP('Données projet'!$B$11,Paramètres!$A$1:$I$89,3,0)*0.475*44/12</f>
        <v>0</v>
      </c>
      <c r="BR5" s="21">
        <f>EXP(-LN(2)/2)*BR4+(1-EXP(-LN(2)/2))/(LN(2)/2)*BL5*BO5*VLOOKUP('Données projet'!$B$11,Paramètres!$A$1:$I$89,3,0)*0.475*44/12</f>
        <v>0</v>
      </c>
      <c r="BS5" s="22">
        <f t="shared" si="9"/>
        <v>0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1.2</v>
      </c>
      <c r="BY5" s="12">
        <f>IF('Données projet'!$A$114&gt;35,BY4+BX5-CG4,IF(A5&lt;'Données projet'!$A$114,$BV$205^A5,IF(A5='Données projet'!$A$114,'Données projet'!$B$114,BY4+BX5-CG4)))</f>
        <v>1.312712740741764</v>
      </c>
      <c r="BZ5" s="13">
        <f>BY5*VLOOKUP('Données projet'!$B$12,Paramètres!$A$1:$I$89,3,0)*VLOOKUP('Données projet'!$B$12,Paramètres!$A$1:$I$89,5,0)</f>
        <v>1.2696557628454344</v>
      </c>
      <c r="CA5" s="13">
        <f t="shared" ref="CA5:CA68" si="39">EXP(-1.0587+0.8836*LN(BZ5)+0.284)</f>
        <v>0.56907434090738995</v>
      </c>
      <c r="CB5" s="20">
        <f t="shared" si="10"/>
        <v>3.2024549307028356</v>
      </c>
      <c r="CC5" s="59">
        <f t="shared" si="11"/>
        <v>296.53578826403617</v>
      </c>
      <c r="CD5" s="59">
        <f ca="1">AVERAGE(OFFSET($CC$3,0,0,'Données projet'!$E$12+1,1))-AVERAGE(OFFSET($H$3,0,0,'Données projet'!$E$12+1,1))</f>
        <v>154.93882427988234</v>
      </c>
      <c r="CE5" s="59">
        <f t="shared" ref="CE5:CE68" si="40">$CE$3</f>
        <v>56.347130462109817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>
        <f>EXP(-LN(2)/35)*CK4+(1-EXP(-LN(2)/35))/(LN(2)/35)*CG5*CH5*VLOOKUP('Données projet'!$B$12,Paramètres!$A$1:$I$89,3,0)*0.475*44/12</f>
        <v>0</v>
      </c>
      <c r="CL5" s="21">
        <f>EXP(-LN(2)/25)*CL4+(1-EXP(-LN(2)/25))/(LN(2)/25)*Calculateur!CG5*Calculateur!CI5*VLOOKUP('Données projet'!$B$12,Paramètres!$A$1:$I$89,3,0)*0.475*44/12</f>
        <v>0</v>
      </c>
      <c r="CM5" s="21">
        <f>EXP(-LN(2)/2)*CM4+(1-EXP(-LN(2)/2))/(LN(2)/2)*CG5*CJ5*VLOOKUP('Données projet'!$B$12,Paramètres!$A$1:$I$89,3,0)*0.475*44/12</f>
        <v>0</v>
      </c>
      <c r="CN5" s="22">
        <f t="shared" si="12"/>
        <v>0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2.6676000000000002</v>
      </c>
      <c r="D6" s="11">
        <f t="shared" si="32"/>
        <v>1.0966608080083624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29.057451851292623</v>
      </c>
      <c r="H6" s="67">
        <f t="shared" si="1"/>
        <v>299.88942090728119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1.3333333333333333</v>
      </c>
      <c r="N6" s="13">
        <f>IF('Données projet'!$A$36&gt;35,N5+M6-V5,IF(A6&lt;'Données projet'!$A$36,$K$205^A6,IF(A6='Données projet'!$A$36,'Données projet'!$B$36,N5+M6-V5)))</f>
        <v>2</v>
      </c>
      <c r="O6" s="13">
        <f>N6*VLOOKUP('Données projet'!$B$9,Paramètres!$A$1:$I$89,3,0)*VLOOKUP('Données projet'!$B$9,Paramètres!$A$1:$I$89,5,0)</f>
        <v>1.1960000000000002</v>
      </c>
      <c r="P6" s="13">
        <f t="shared" si="33"/>
        <v>0.53980305140256757</v>
      </c>
      <c r="Q6" s="20">
        <f t="shared" si="2"/>
        <v>3.0231903145261385</v>
      </c>
      <c r="R6" s="59">
        <f t="shared" si="0"/>
        <v>296.35652364785943</v>
      </c>
      <c r="S6" s="59">
        <f ca="1">AVERAGE(OFFSET($R$3,0,0,'Données projet'!$E$9+1,1))-AVERAGE(OFFSET($H$3,0,0,'Données projet'!$E$9+1,1))</f>
        <v>72.647148358003676</v>
      </c>
      <c r="T6" s="59">
        <f t="shared" si="34"/>
        <v>87.231299224620898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2.85</v>
      </c>
      <c r="AI6" s="13">
        <f>IF('Données projet'!$A$62&gt;35,AI5+AH6-AQ5,IF(A6&lt;'Données projet'!$A$62,$AF$205^A6,IF(A6='Données projet'!$A$62,'Données projet'!$B$62,AI5+AH6-AQ5)))</f>
        <v>1.8339235537625185</v>
      </c>
      <c r="AJ6" s="13">
        <f>AI6*VLOOKUP('Données projet'!$B$10,Paramètres!$A$1:$I$89,3,0)*VLOOKUP('Données projet'!$B$10,Paramètres!$A$1:$I$89,5,0)</f>
        <v>1.487678786812155</v>
      </c>
      <c r="AK6" s="13">
        <f t="shared" si="35"/>
        <v>0.65460778783557427</v>
      </c>
      <c r="AL6" s="20">
        <f t="shared" si="4"/>
        <v>3.7311491175114622</v>
      </c>
      <c r="AM6" s="59">
        <f t="shared" si="5"/>
        <v>297.06448245084476</v>
      </c>
      <c r="AN6" s="59">
        <f ca="1">AVERAGE(OFFSET($AM$3,0,0,'Données projet'!$E$10+1,1))-AVERAGE(OFFSET($H$3,0,0,'Données projet'!$E$10+1,1))</f>
        <v>145.3656871223958</v>
      </c>
      <c r="AO6" s="59">
        <f t="shared" si="36"/>
        <v>180.54762778843178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1.2</v>
      </c>
      <c r="BD6" s="12">
        <f>IF('Données projet'!$A$88&gt;35,BD5+BC6-BL5,IF(A6&lt;'Données projet'!$A$88,$BA$205^A6,IF(A6='Données projet'!$A$88,'Données projet'!$B$88,BD5+BC6-BL5)))</f>
        <v>1.5040232524285473</v>
      </c>
      <c r="BE6" s="13">
        <f>BD6*VLOOKUP('Données projet'!$B$11,Paramètres!$A$1:$I$89,3,0)*VLOOKUP('Données projet'!$B$11,Paramètres!$A$1:$I$89,5,0)</f>
        <v>1.3608402387973495</v>
      </c>
      <c r="BF6" s="13">
        <f t="shared" si="37"/>
        <v>0.60503995622724338</v>
      </c>
      <c r="BG6" s="20">
        <f t="shared" si="7"/>
        <v>3.4239080063344987</v>
      </c>
      <c r="BH6" s="59">
        <f t="shared" si="8"/>
        <v>296.75724133966781</v>
      </c>
      <c r="BI6" s="59">
        <f ca="1">AVERAGE(OFFSET($BH$3,0,0,'Données projet'!$E$11+1,1))-AVERAGE(OFFSET($H$3,0,0,'Données projet'!$E$11+1,1))</f>
        <v>138.8931001150624</v>
      </c>
      <c r="BJ6" s="59">
        <f t="shared" si="38"/>
        <v>48.964659354096625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>
        <f>EXP(-LN(2)/35)*BP5+(1-EXP(-LN(2)/35))/(LN(2)/35)*BL6*BM6*VLOOKUP('Données projet'!$B$11,Paramètres!$A$1:$I$89,3,0)*0.475*44/12</f>
        <v>0</v>
      </c>
      <c r="BQ6" s="21">
        <f>EXP(-LN(2)/25)*BQ5+(1-EXP(-LN(2)/25))/(LN(2)/25)*Calculateur!BL6*Calculateur!BN6*VLOOKUP('Données projet'!$B$11,Paramètres!$A$1:$I$89,3,0)*0.475*44/12</f>
        <v>0</v>
      </c>
      <c r="BR6" s="21">
        <f>EXP(-LN(2)/2)*BR5+(1-EXP(-LN(2)/2))/(LN(2)/2)*BL6*BO6*VLOOKUP('Données projet'!$B$11,Paramètres!$A$1:$I$89,3,0)*0.475*44/12</f>
        <v>0</v>
      </c>
      <c r="BS6" s="22">
        <f t="shared" si="9"/>
        <v>0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1.2</v>
      </c>
      <c r="BY6" s="12">
        <f>IF('Données projet'!$A$114&gt;35,BY5+BX6-CG5,IF(A6&lt;'Données projet'!$A$114,$BV$205^A6,IF(A6='Données projet'!$A$114,'Données projet'!$B$114,BY5+BX6-CG5)))</f>
        <v>1.5040232524285473</v>
      </c>
      <c r="BZ6" s="13">
        <f>BY6*VLOOKUP('Données projet'!$B$12,Paramètres!$A$1:$I$89,3,0)*VLOOKUP('Données projet'!$B$12,Paramètres!$A$1:$I$89,5,0)</f>
        <v>1.4546912897488911</v>
      </c>
      <c r="CA6" s="13">
        <f t="shared" si="39"/>
        <v>0.64176551639126822</v>
      </c>
      <c r="CB6" s="20">
        <f t="shared" si="10"/>
        <v>3.6513289373607773</v>
      </c>
      <c r="CC6" s="59">
        <f t="shared" si="11"/>
        <v>296.98466227069412</v>
      </c>
      <c r="CD6" s="59">
        <f ca="1">AVERAGE(OFFSET($CC$3,0,0,'Données projet'!$E$12+1,1))-AVERAGE(OFFSET($H$3,0,0,'Données projet'!$E$12+1,1))</f>
        <v>154.93882427988234</v>
      </c>
      <c r="CE6" s="59">
        <f t="shared" si="40"/>
        <v>56.347130462109817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>
        <f>EXP(-LN(2)/35)*CK5+(1-EXP(-LN(2)/35))/(LN(2)/35)*CG6*CH6*VLOOKUP('Données projet'!$B$12,Paramètres!$A$1:$I$89,3,0)*0.475*44/12</f>
        <v>0</v>
      </c>
      <c r="CL6" s="21">
        <f>EXP(-LN(2)/25)*CL5+(1-EXP(-LN(2)/25))/(LN(2)/25)*Calculateur!CG6*Calculateur!CI6*VLOOKUP('Données projet'!$B$12,Paramètres!$A$1:$I$89,3,0)*0.475*44/12</f>
        <v>0</v>
      </c>
      <c r="CM6" s="21">
        <f>EXP(-LN(2)/2)*CM5+(1-EXP(-LN(2)/2))/(LN(2)/2)*CG6*CJ6*VLOOKUP('Données projet'!$B$12,Paramètres!$A$1:$I$89,3,0)*0.475*44/12</f>
        <v>0</v>
      </c>
      <c r="CN6" s="22">
        <f t="shared" si="12"/>
        <v>0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3.5568</v>
      </c>
      <c r="D7" s="11">
        <f t="shared" si="32"/>
        <v>1.4140611505968179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38.37155975899298</v>
      </c>
      <c r="H7" s="67">
        <f t="shared" si="1"/>
        <v>301.9909165039561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1.3333333333333333</v>
      </c>
      <c r="N7" s="13">
        <f>IF('Données projet'!$A$36&gt;35,N6+M7-V6,IF(A7&lt;'Données projet'!$A$36,$K$205^A7,IF(A7='Données projet'!$A$36,'Données projet'!$B$36,N6+M7-V6)))</f>
        <v>2.5198420997897468</v>
      </c>
      <c r="O7" s="13">
        <f>N7*VLOOKUP('Données projet'!$B$9,Paramètres!$A$1:$I$89,3,0)*VLOOKUP('Données projet'!$B$9,Paramètres!$A$1:$I$89,5,0)</f>
        <v>1.5068655756742688</v>
      </c>
      <c r="P7" s="13">
        <f t="shared" si="33"/>
        <v>0.66206206345683716</v>
      </c>
      <c r="Q7" s="20">
        <f t="shared" si="2"/>
        <v>3.7775489714866755</v>
      </c>
      <c r="R7" s="59">
        <f t="shared" si="0"/>
        <v>297.11088230482</v>
      </c>
      <c r="S7" s="59">
        <f ca="1">AVERAGE(OFFSET($R$3,0,0,'Données projet'!$E$9+1,1))-AVERAGE(OFFSET($H$3,0,0,'Données projet'!$E$9+1,1))</f>
        <v>72.647148358003676</v>
      </c>
      <c r="T7" s="59">
        <f t="shared" si="34"/>
        <v>87.231299224620898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2.85</v>
      </c>
      <c r="AI7" s="13">
        <f>IF('Données projet'!$A$62&gt;35,AI6+AH7-AQ6,IF(A7&lt;'Données projet'!$A$62,$AF$205^A7,IF(A7='Données projet'!$A$62,'Données projet'!$B$62,AI6+AH7-AQ6)))</f>
        <v>2.2447861343640922</v>
      </c>
      <c r="AJ7" s="13">
        <f>AI7*VLOOKUP('Données projet'!$B$10,Paramètres!$A$1:$I$89,3,0)*VLOOKUP('Données projet'!$B$10,Paramètres!$A$1:$I$89,5,0)</f>
        <v>1.8209705121961519</v>
      </c>
      <c r="AK7" s="13">
        <f t="shared" si="35"/>
        <v>0.7826286079365431</v>
      </c>
      <c r="AL7" s="20">
        <f t="shared" si="4"/>
        <v>4.5346018008977769</v>
      </c>
      <c r="AM7" s="59">
        <f t="shared" si="5"/>
        <v>297.86793513423112</v>
      </c>
      <c r="AN7" s="59">
        <f ca="1">AVERAGE(OFFSET($AM$3,0,0,'Données projet'!$E$10+1,1))-AVERAGE(OFFSET($H$3,0,0,'Données projet'!$E$10+1,1))</f>
        <v>145.3656871223958</v>
      </c>
      <c r="AO7" s="59">
        <f t="shared" si="36"/>
        <v>180.54762778843178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1.2</v>
      </c>
      <c r="BD7" s="12">
        <f>IF('Données projet'!$A$88&gt;35,BD6+BC7-BL6,IF(A7&lt;'Données projet'!$A$88,$BA$205^A7,IF(A7='Données projet'!$A$88,'Données projet'!$B$88,BD6+BC7-BL6)))</f>
        <v>1.7232147397057538</v>
      </c>
      <c r="BE7" s="13">
        <f>BD7*VLOOKUP('Données projet'!$B$11,Paramètres!$A$1:$I$89,3,0)*VLOOKUP('Données projet'!$B$11,Paramètres!$A$1:$I$89,5,0)</f>
        <v>1.5591646964857659</v>
      </c>
      <c r="BF7" s="13">
        <f t="shared" si="37"/>
        <v>0.68232522894353675</v>
      </c>
      <c r="BG7" s="20">
        <f t="shared" si="7"/>
        <v>3.9039282867893692</v>
      </c>
      <c r="BH7" s="59">
        <f t="shared" si="8"/>
        <v>297.23726162012269</v>
      </c>
      <c r="BI7" s="59">
        <f ca="1">AVERAGE(OFFSET($BH$3,0,0,'Données projet'!$E$11+1,1))-AVERAGE(OFFSET($H$3,0,0,'Données projet'!$E$11+1,1))</f>
        <v>138.8931001150624</v>
      </c>
      <c r="BJ7" s="59">
        <f t="shared" si="38"/>
        <v>48.964659354096625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>
        <f>EXP(-LN(2)/35)*BP6+(1-EXP(-LN(2)/35))/(LN(2)/35)*BL7*BM7*VLOOKUP('Données projet'!$B$11,Paramètres!$A$1:$I$89,3,0)*0.475*44/12</f>
        <v>0</v>
      </c>
      <c r="BQ7" s="21">
        <f>EXP(-LN(2)/25)*BQ6+(1-EXP(-LN(2)/25))/(LN(2)/25)*Calculateur!BL7*Calculateur!BN7*VLOOKUP('Données projet'!$B$11,Paramètres!$A$1:$I$89,3,0)*0.475*44/12</f>
        <v>0</v>
      </c>
      <c r="BR7" s="21">
        <f>EXP(-LN(2)/2)*BR6+(1-EXP(-LN(2)/2))/(LN(2)/2)*BL7*BO7*VLOOKUP('Données projet'!$B$11,Paramètres!$A$1:$I$89,3,0)*0.475*44/12</f>
        <v>0</v>
      </c>
      <c r="BS7" s="22">
        <f t="shared" si="9"/>
        <v>0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1.2</v>
      </c>
      <c r="BY7" s="12">
        <f>IF('Données projet'!$A$114&gt;35,BY6+BX7-CG6,IF(A7&lt;'Données projet'!$A$114,$BV$205^A7,IF(A7='Données projet'!$A$114,'Données projet'!$B$114,BY6+BX7-CG6)))</f>
        <v>1.7232147397057538</v>
      </c>
      <c r="BZ7" s="13">
        <f>BY7*VLOOKUP('Données projet'!$B$12,Paramètres!$A$1:$I$89,3,0)*VLOOKUP('Données projet'!$B$12,Paramètres!$A$1:$I$89,5,0)</f>
        <v>1.6666932962434051</v>
      </c>
      <c r="CA7" s="13">
        <f t="shared" si="39"/>
        <v>0.72374195851500689</v>
      </c>
      <c r="CB7" s="20">
        <f t="shared" si="10"/>
        <v>4.1633414020375676</v>
      </c>
      <c r="CC7" s="59">
        <f t="shared" si="11"/>
        <v>297.4966747353709</v>
      </c>
      <c r="CD7" s="59">
        <f ca="1">AVERAGE(OFFSET($CC$3,0,0,'Données projet'!$E$12+1,1))-AVERAGE(OFFSET($H$3,0,0,'Données projet'!$E$12+1,1))</f>
        <v>154.93882427988234</v>
      </c>
      <c r="CE7" s="59">
        <f t="shared" si="40"/>
        <v>56.347130462109817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>
        <f>EXP(-LN(2)/35)*CK6+(1-EXP(-LN(2)/35))/(LN(2)/35)*CG7*CH7*VLOOKUP('Données projet'!$B$12,Paramètres!$A$1:$I$89,3,0)*0.475*44/12</f>
        <v>0</v>
      </c>
      <c r="CL7" s="21">
        <f>EXP(-LN(2)/25)*CL6+(1-EXP(-LN(2)/25))/(LN(2)/25)*Calculateur!CG7*Calculateur!CI7*VLOOKUP('Données projet'!$B$12,Paramètres!$A$1:$I$89,3,0)*0.475*44/12</f>
        <v>0</v>
      </c>
      <c r="CM7" s="21">
        <f>EXP(-LN(2)/2)*CM6+(1-EXP(-LN(2)/2))/(LN(2)/2)*CG7*CJ7*VLOOKUP('Données projet'!$B$12,Paramètres!$A$1:$I$89,3,0)*0.475*44/12</f>
        <v>0</v>
      </c>
      <c r="CN7" s="22">
        <f t="shared" si="12"/>
        <v>0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4.4459999999999997</v>
      </c>
      <c r="D8" s="11">
        <f t="shared" si="32"/>
        <v>1.7222566815192897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47.614612980148905</v>
      </c>
      <c r="H8" s="67">
        <f t="shared" si="1"/>
        <v>304.07638038697939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1.3333333333333333</v>
      </c>
      <c r="N8" s="13">
        <f>IF('Données projet'!$A$36&gt;35,N7+M8-V7,IF(A8&lt;'Données projet'!$A$36,$K$205^A8,IF(A8='Données projet'!$A$36,'Données projet'!$B$36,N7+M8-V7)))</f>
        <v>3.1748021039363996</v>
      </c>
      <c r="O8" s="13">
        <f>N8*VLOOKUP('Données projet'!$B$9,Paramètres!$A$1:$I$89,3,0)*VLOOKUP('Données projet'!$B$9,Paramètres!$A$1:$I$89,5,0)</f>
        <v>1.8985316581539671</v>
      </c>
      <c r="P8" s="13">
        <f t="shared" si="33"/>
        <v>0.8120112969532578</v>
      </c>
      <c r="Q8" s="20">
        <f t="shared" si="2"/>
        <v>4.720862313478416</v>
      </c>
      <c r="R8" s="59">
        <f t="shared" si="0"/>
        <v>298.05419564681171</v>
      </c>
      <c r="S8" s="59">
        <f ca="1">AVERAGE(OFFSET($R$3,0,0,'Données projet'!$E$9+1,1))-AVERAGE(OFFSET($H$3,0,0,'Données projet'!$E$9+1,1))</f>
        <v>72.647148358003676</v>
      </c>
      <c r="T8" s="59">
        <f t="shared" si="34"/>
        <v>87.231299224620898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2.85</v>
      </c>
      <c r="AI8" s="13">
        <f>IF('Données projet'!$A$62&gt;35,AI7+AH8-AQ7,IF(A8&lt;'Données projet'!$A$62,$AF$205^A8,IF(A8='Données projet'!$A$62,'Données projet'!$B$62,AI7+AH8-AQ7)))</f>
        <v>2.7476962050544729</v>
      </c>
      <c r="AJ8" s="13">
        <f>AI8*VLOOKUP('Données projet'!$B$10,Paramètres!$A$1:$I$89,3,0)*VLOOKUP('Données projet'!$B$10,Paramètres!$A$1:$I$89,5,0)</f>
        <v>2.2289311615401886</v>
      </c>
      <c r="AK8" s="13">
        <f t="shared" si="35"/>
        <v>0.9356862984870904</v>
      </c>
      <c r="AL8" s="20">
        <f t="shared" si="4"/>
        <v>5.5117087428808444</v>
      </c>
      <c r="AM8" s="59">
        <f t="shared" si="5"/>
        <v>298.84504207621416</v>
      </c>
      <c r="AN8" s="59">
        <f ca="1">AVERAGE(OFFSET($AM$3,0,0,'Données projet'!$E$10+1,1))-AVERAGE(OFFSET($H$3,0,0,'Données projet'!$E$10+1,1))</f>
        <v>145.3656871223958</v>
      </c>
      <c r="AO8" s="59">
        <f t="shared" si="36"/>
        <v>180.54762778843178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1.2</v>
      </c>
      <c r="BD8" s="12">
        <f>IF('Données projet'!$A$88&gt;35,BD7+BC8-BL7,IF(A8&lt;'Données projet'!$A$88,$BA$205^A8,IF(A8='Données projet'!$A$88,'Données projet'!$B$88,BD7+BC8-BL7)))</f>
        <v>1.9743504858348202</v>
      </c>
      <c r="BE8" s="13">
        <f>BD8*VLOOKUP('Données projet'!$B$11,Paramètres!$A$1:$I$89,3,0)*VLOOKUP('Données projet'!$B$11,Paramètres!$A$1:$I$89,5,0)</f>
        <v>1.7863923195833453</v>
      </c>
      <c r="BF8" s="13">
        <f t="shared" si="37"/>
        <v>0.76948259905993732</v>
      </c>
      <c r="BG8" s="20">
        <f t="shared" si="7"/>
        <v>4.4514821499703841</v>
      </c>
      <c r="BH8" s="59">
        <f t="shared" si="8"/>
        <v>297.7848154833037</v>
      </c>
      <c r="BI8" s="59">
        <f ca="1">AVERAGE(OFFSET($BH$3,0,0,'Données projet'!$E$11+1,1))-AVERAGE(OFFSET($H$3,0,0,'Données projet'!$E$11+1,1))</f>
        <v>138.8931001150624</v>
      </c>
      <c r="BJ8" s="59">
        <f t="shared" si="38"/>
        <v>48.964659354096625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>
        <f>EXP(-LN(2)/35)*BP7+(1-EXP(-LN(2)/35))/(LN(2)/35)*BL8*BM8*VLOOKUP('Données projet'!$B$11,Paramètres!$A$1:$I$89,3,0)*0.475*44/12</f>
        <v>0</v>
      </c>
      <c r="BQ8" s="21">
        <f>EXP(-LN(2)/25)*BQ7+(1-EXP(-LN(2)/25))/(LN(2)/25)*Calculateur!BL8*Calculateur!BN8*VLOOKUP('Données projet'!$B$11,Paramètres!$A$1:$I$89,3,0)*0.475*44/12</f>
        <v>0</v>
      </c>
      <c r="BR8" s="21">
        <f>EXP(-LN(2)/2)*BR7+(1-EXP(-LN(2)/2))/(LN(2)/2)*BL8*BO8*VLOOKUP('Données projet'!$B$11,Paramètres!$A$1:$I$89,3,0)*0.475*44/12</f>
        <v>0</v>
      </c>
      <c r="BS8" s="22">
        <f t="shared" si="9"/>
        <v>0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1.2</v>
      </c>
      <c r="BY8" s="12">
        <f>IF('Données projet'!$A$114&gt;35,BY7+BX8-CG7,IF(A8&lt;'Données projet'!$A$114,$BV$205^A8,IF(A8='Données projet'!$A$114,'Données projet'!$B$114,BY7+BX8-CG7)))</f>
        <v>1.9743504858348202</v>
      </c>
      <c r="BZ8" s="13">
        <f>BY8*VLOOKUP('Données projet'!$B$12,Paramètres!$A$1:$I$89,3,0)*VLOOKUP('Données projet'!$B$12,Paramètres!$A$1:$I$89,5,0)</f>
        <v>1.9095917898994379</v>
      </c>
      <c r="CA8" s="13">
        <f t="shared" si="39"/>
        <v>0.81618972839261894</v>
      </c>
      <c r="CB8" s="20">
        <f t="shared" si="10"/>
        <v>4.7474028110253315</v>
      </c>
      <c r="CC8" s="59">
        <f t="shared" si="11"/>
        <v>298.08073614435864</v>
      </c>
      <c r="CD8" s="59">
        <f ca="1">AVERAGE(OFFSET($CC$3,0,0,'Données projet'!$E$12+1,1))-AVERAGE(OFFSET($H$3,0,0,'Données projet'!$E$12+1,1))</f>
        <v>154.93882427988234</v>
      </c>
      <c r="CE8" s="59">
        <f t="shared" si="40"/>
        <v>56.347130462109817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>
        <f>EXP(-LN(2)/35)*CK7+(1-EXP(-LN(2)/35))/(LN(2)/35)*CG8*CH8*VLOOKUP('Données projet'!$B$12,Paramètres!$A$1:$I$89,3,0)*0.475*44/12</f>
        <v>0</v>
      </c>
      <c r="CL8" s="21">
        <f>EXP(-LN(2)/25)*CL7+(1-EXP(-LN(2)/25))/(LN(2)/25)*Calculateur!CG8*Calculateur!CI8*VLOOKUP('Données projet'!$B$12,Paramètres!$A$1:$I$89,3,0)*0.475*44/12</f>
        <v>0</v>
      </c>
      <c r="CM8" s="21">
        <f>EXP(-LN(2)/2)*CM7+(1-EXP(-LN(2)/2))/(LN(2)/2)*CG8*CJ8*VLOOKUP('Données projet'!$B$12,Paramètres!$A$1:$I$89,3,0)*0.475*44/12</f>
        <v>0</v>
      </c>
      <c r="CN8" s="22">
        <f t="shared" si="12"/>
        <v>0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5.3351999999999995</v>
      </c>
      <c r="D9" s="11">
        <f t="shared" si="32"/>
        <v>2.0233099967312578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56.802533308100926</v>
      </c>
      <c r="H9" s="67">
        <f t="shared" si="1"/>
        <v>306.1494049109736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1.3333333333333333</v>
      </c>
      <c r="N9" s="13">
        <f>IF('Données projet'!$A$36&gt;35,N8+M9-V8,IF(A9&lt;'Données projet'!$A$36,$K$205^A9,IF(A9='Données projet'!$A$36,'Données projet'!$B$36,N8+M9-V8)))</f>
        <v>4.0000000000000009</v>
      </c>
      <c r="O9" s="13">
        <f>N9*VLOOKUP('Données projet'!$B$9,Paramètres!$A$1:$I$89,3,0)*VLOOKUP('Données projet'!$B$9,Paramètres!$A$1:$I$89,5,0)</f>
        <v>2.3920000000000008</v>
      </c>
      <c r="P9" s="13">
        <f t="shared" si="33"/>
        <v>0.99592225982103666</v>
      </c>
      <c r="Q9" s="20">
        <f t="shared" si="2"/>
        <v>5.900631269188306</v>
      </c>
      <c r="R9" s="59">
        <f t="shared" si="0"/>
        <v>299.23396460252161</v>
      </c>
      <c r="S9" s="59">
        <f ca="1">AVERAGE(OFFSET($R$3,0,0,'Données projet'!$E$9+1,1))-AVERAGE(OFFSET($H$3,0,0,'Données projet'!$E$9+1,1))</f>
        <v>72.647148358003676</v>
      </c>
      <c r="T9" s="59">
        <f t="shared" si="34"/>
        <v>87.231299224620898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2.85</v>
      </c>
      <c r="AI9" s="13">
        <f>IF('Données projet'!$A$62&gt;35,AI8+AH9-AQ8,IF(A9&lt;'Données projet'!$A$62,$AF$205^A9,IF(A9='Données projet'!$A$62,'Données projet'!$B$62,AI8+AH9-AQ8)))</f>
        <v>3.3632756010449452</v>
      </c>
      <c r="AJ9" s="13">
        <f>AI9*VLOOKUP('Données projet'!$B$10,Paramètres!$A$1:$I$89,3,0)*VLOOKUP('Données projet'!$B$10,Paramètres!$A$1:$I$89,5,0)</f>
        <v>2.7282891675676595</v>
      </c>
      <c r="AK9" s="13">
        <f t="shared" si="35"/>
        <v>1.118677288688456</v>
      </c>
      <c r="AL9" s="20">
        <f t="shared" si="4"/>
        <v>6.700133244646068</v>
      </c>
      <c r="AM9" s="59">
        <f t="shared" si="5"/>
        <v>300.03346657797937</v>
      </c>
      <c r="AN9" s="59">
        <f ca="1">AVERAGE(OFFSET($AM$3,0,0,'Données projet'!$E$10+1,1))-AVERAGE(OFFSET($H$3,0,0,'Données projet'!$E$10+1,1))</f>
        <v>145.3656871223958</v>
      </c>
      <c r="AO9" s="59">
        <f t="shared" si="36"/>
        <v>180.54762778843178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1.2</v>
      </c>
      <c r="BD9" s="12">
        <f>IF('Données projet'!$A$88&gt;35,BD8+BC9-BL8,IF(A9&lt;'Données projet'!$A$88,$BA$205^A9,IF(A9='Données projet'!$A$88,'Données projet'!$B$88,BD8+BC9-BL8)))</f>
        <v>2.2620859438457455</v>
      </c>
      <c r="BE9" s="13">
        <f>BD9*VLOOKUP('Données projet'!$B$11,Paramètres!$A$1:$I$89,3,0)*VLOOKUP('Données projet'!$B$11,Paramètres!$A$1:$I$89,5,0)</f>
        <v>2.0467353619916304</v>
      </c>
      <c r="BF9" s="13">
        <f t="shared" si="37"/>
        <v>0.86777308699666067</v>
      </c>
      <c r="BG9" s="20">
        <f t="shared" si="7"/>
        <v>5.0761022153212734</v>
      </c>
      <c r="BH9" s="59">
        <f t="shared" si="8"/>
        <v>298.40943554865459</v>
      </c>
      <c r="BI9" s="59">
        <f ca="1">AVERAGE(OFFSET($BH$3,0,0,'Données projet'!$E$11+1,1))-AVERAGE(OFFSET($H$3,0,0,'Données projet'!$E$11+1,1))</f>
        <v>138.8931001150624</v>
      </c>
      <c r="BJ9" s="59">
        <f t="shared" si="38"/>
        <v>48.964659354096625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>
        <f>EXP(-LN(2)/35)*BP8+(1-EXP(-LN(2)/35))/(LN(2)/35)*BL9*BM9*VLOOKUP('Données projet'!$B$11,Paramètres!$A$1:$I$89,3,0)*0.475*44/12</f>
        <v>0</v>
      </c>
      <c r="BQ9" s="21">
        <f>EXP(-LN(2)/25)*BQ8+(1-EXP(-LN(2)/25))/(LN(2)/25)*Calculateur!BL9*Calculateur!BN9*VLOOKUP('Données projet'!$B$11,Paramètres!$A$1:$I$89,3,0)*0.475*44/12</f>
        <v>0</v>
      </c>
      <c r="BR9" s="21">
        <f>EXP(-LN(2)/2)*BR8+(1-EXP(-LN(2)/2))/(LN(2)/2)*BL9*BO9*VLOOKUP('Données projet'!$B$11,Paramètres!$A$1:$I$89,3,0)*0.475*44/12</f>
        <v>0</v>
      </c>
      <c r="BS9" s="22">
        <f t="shared" si="9"/>
        <v>0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1.2</v>
      </c>
      <c r="BY9" s="12">
        <f>IF('Données projet'!$A$114&gt;35,BY8+BX9-CG8,IF(A9&lt;'Données projet'!$A$114,$BV$205^A9,IF(A9='Données projet'!$A$114,'Données projet'!$B$114,BY8+BX9-CG8)))</f>
        <v>2.2620859438457455</v>
      </c>
      <c r="BZ9" s="13">
        <f>BY9*VLOOKUP('Données projet'!$B$12,Paramètres!$A$1:$I$89,3,0)*VLOOKUP('Données projet'!$B$12,Paramètres!$A$1:$I$89,5,0)</f>
        <v>2.1878895248876051</v>
      </c>
      <c r="CA9" s="13">
        <f t="shared" si="39"/>
        <v>0.92044638962272363</v>
      </c>
      <c r="CB9" s="20">
        <f t="shared" si="10"/>
        <v>5.4136850511054888</v>
      </c>
      <c r="CC9" s="59">
        <f t="shared" si="11"/>
        <v>298.74701838443877</v>
      </c>
      <c r="CD9" s="59">
        <f ca="1">AVERAGE(OFFSET($CC$3,0,0,'Données projet'!$E$12+1,1))-AVERAGE(OFFSET($H$3,0,0,'Données projet'!$E$12+1,1))</f>
        <v>154.93882427988234</v>
      </c>
      <c r="CE9" s="59">
        <f t="shared" si="40"/>
        <v>56.347130462109817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>
        <f>EXP(-LN(2)/35)*CK8+(1-EXP(-LN(2)/35))/(LN(2)/35)*CG9*CH9*VLOOKUP('Données projet'!$B$12,Paramètres!$A$1:$I$89,3,0)*0.475*44/12</f>
        <v>0</v>
      </c>
      <c r="CL9" s="21">
        <f>EXP(-LN(2)/25)*CL8+(1-EXP(-LN(2)/25))/(LN(2)/25)*Calculateur!CG9*Calculateur!CI9*VLOOKUP('Données projet'!$B$12,Paramètres!$A$1:$I$89,3,0)*0.475*44/12</f>
        <v>0</v>
      </c>
      <c r="CM9" s="21">
        <f>EXP(-LN(2)/2)*CM8+(1-EXP(-LN(2)/2))/(LN(2)/2)*CG9*CJ9*VLOOKUP('Données projet'!$B$12,Paramètres!$A$1:$I$89,3,0)*0.475*44/12</f>
        <v>0</v>
      </c>
      <c r="CN9" s="22">
        <f t="shared" si="12"/>
        <v>0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6.2243999999999993</v>
      </c>
      <c r="D10" s="11">
        <f t="shared" si="32"/>
        <v>2.3185507720937846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65.945584907390625</v>
      </c>
      <c r="H10" s="67">
        <f t="shared" si="1"/>
        <v>308.2123059280633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1.3333333333333333</v>
      </c>
      <c r="N10" s="13">
        <f>IF('Données projet'!$A$36&gt;35,N9+M10-V9,IF(A10&lt;'Données projet'!$A$36,$K$205^A10,IF(A10='Données projet'!$A$36,'Données projet'!$B$36,N9+M10-V9)))</f>
        <v>5.0396841995794937</v>
      </c>
      <c r="O10" s="13">
        <f>N10*VLOOKUP('Données projet'!$B$9,Paramètres!$A$1:$I$89,3,0)*VLOOKUP('Données projet'!$B$9,Paramètres!$A$1:$I$89,5,0)</f>
        <v>3.0137311513485376</v>
      </c>
      <c r="P10" s="13">
        <f t="shared" si="33"/>
        <v>1.2214868824221981</v>
      </c>
      <c r="Q10" s="20">
        <f t="shared" si="2"/>
        <v>7.3763380754840293</v>
      </c>
      <c r="R10" s="59">
        <f t="shared" si="0"/>
        <v>300.70967140881737</v>
      </c>
      <c r="S10" s="59">
        <f ca="1">AVERAGE(OFFSET($R$3,0,0,'Données projet'!$E$9+1,1))-AVERAGE(OFFSET($H$3,0,0,'Données projet'!$E$9+1,1))</f>
        <v>72.647148358003676</v>
      </c>
      <c r="T10" s="59">
        <f t="shared" si="34"/>
        <v>87.231299224620898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2.85</v>
      </c>
      <c r="AI10" s="13">
        <f>IF('Données projet'!$A$62&gt;35,AI9+AH10-AQ9,IF(A10&lt;'Données projet'!$A$62,$AF$205^A10,IF(A10='Données projet'!$A$62,'Données projet'!$B$62,AI9+AH10-AQ9)))</f>
        <v>4.116766164969822</v>
      </c>
      <c r="AJ10" s="13">
        <f>AI10*VLOOKUP('Données projet'!$B$10,Paramètres!$A$1:$I$89,3,0)*VLOOKUP('Données projet'!$B$10,Paramètres!$A$1:$I$89,5,0)</f>
        <v>3.33952071302352</v>
      </c>
      <c r="AK10" s="13">
        <f t="shared" si="35"/>
        <v>1.3374555962300658</v>
      </c>
      <c r="AL10" s="20">
        <f t="shared" si="4"/>
        <v>8.1457337386166611</v>
      </c>
      <c r="AM10" s="59">
        <f t="shared" si="5"/>
        <v>301.47906707195</v>
      </c>
      <c r="AN10" s="59">
        <f ca="1">AVERAGE(OFFSET($AM$3,0,0,'Données projet'!$E$10+1,1))-AVERAGE(OFFSET($H$3,0,0,'Données projet'!$E$10+1,1))</f>
        <v>145.3656871223958</v>
      </c>
      <c r="AO10" s="59">
        <f t="shared" si="36"/>
        <v>180.54762778843178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1.2</v>
      </c>
      <c r="BD10" s="12">
        <f>IF('Données projet'!$A$88&gt;35,BD9+BC10-BL9,IF(A10&lt;'Données projet'!$A$88,$BA$205^A10,IF(A10='Données projet'!$A$88,'Données projet'!$B$88,BD9+BC10-BL9)))</f>
        <v>2.5917550374450604</v>
      </c>
      <c r="BE10" s="13">
        <f>BD10*VLOOKUP('Données projet'!$B$11,Paramètres!$A$1:$I$89,3,0)*VLOOKUP('Données projet'!$B$11,Paramètres!$A$1:$I$89,5,0)</f>
        <v>2.3450199578802908</v>
      </c>
      <c r="BF10" s="13">
        <f t="shared" si="37"/>
        <v>0.97861879064669866</v>
      </c>
      <c r="BG10" s="20">
        <f t="shared" si="7"/>
        <v>5.7886708203511725</v>
      </c>
      <c r="BH10" s="59">
        <f t="shared" si="8"/>
        <v>299.12200415368449</v>
      </c>
      <c r="BI10" s="59">
        <f ca="1">AVERAGE(OFFSET($BH$3,0,0,'Données projet'!$E$11+1,1))-AVERAGE(OFFSET($H$3,0,0,'Données projet'!$E$11+1,1))</f>
        <v>138.8931001150624</v>
      </c>
      <c r="BJ10" s="59">
        <f t="shared" si="38"/>
        <v>48.964659354096625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>
        <f>EXP(-LN(2)/35)*BP9+(1-EXP(-LN(2)/35))/(LN(2)/35)*BL10*BM10*VLOOKUP('Données projet'!$B$11,Paramètres!$A$1:$I$89,3,0)*0.475*44/12</f>
        <v>0</v>
      </c>
      <c r="BQ10" s="21">
        <f>EXP(-LN(2)/25)*BQ9+(1-EXP(-LN(2)/25))/(LN(2)/25)*Calculateur!BL10*Calculateur!BN10*VLOOKUP('Données projet'!$B$11,Paramètres!$A$1:$I$89,3,0)*0.475*44/12</f>
        <v>0</v>
      </c>
      <c r="BR10" s="21">
        <f>EXP(-LN(2)/2)*BR9+(1-EXP(-LN(2)/2))/(LN(2)/2)*BL10*BO10*VLOOKUP('Données projet'!$B$11,Paramètres!$A$1:$I$89,3,0)*0.475*44/12</f>
        <v>0</v>
      </c>
      <c r="BS10" s="22">
        <f t="shared" si="9"/>
        <v>0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1.2</v>
      </c>
      <c r="BY10" s="12">
        <f>IF('Données projet'!$A$114&gt;35,BY9+BX10-CG9,IF(A10&lt;'Données projet'!$A$114,$BV$205^A10,IF(A10='Données projet'!$A$114,'Données projet'!$B$114,BY9+BX10-CG9)))</f>
        <v>2.5917550374450604</v>
      </c>
      <c r="BZ10" s="13">
        <f>BY10*VLOOKUP('Données projet'!$B$12,Paramètres!$A$1:$I$89,3,0)*VLOOKUP('Données projet'!$B$12,Paramètres!$A$1:$I$89,5,0)</f>
        <v>2.5067454722168625</v>
      </c>
      <c r="CA10" s="13">
        <f t="shared" si="39"/>
        <v>1.038020360582093</v>
      </c>
      <c r="CB10" s="20">
        <f t="shared" si="10"/>
        <v>6.1738004921248475</v>
      </c>
      <c r="CC10" s="59">
        <f t="shared" si="11"/>
        <v>299.50713382545814</v>
      </c>
      <c r="CD10" s="59">
        <f ca="1">AVERAGE(OFFSET($CC$3,0,0,'Données projet'!$E$12+1,1))-AVERAGE(OFFSET($H$3,0,0,'Données projet'!$E$12+1,1))</f>
        <v>154.93882427988234</v>
      </c>
      <c r="CE10" s="59">
        <f t="shared" si="40"/>
        <v>56.347130462109817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>
        <f>EXP(-LN(2)/35)*CK9+(1-EXP(-LN(2)/35))/(LN(2)/35)*CG10*CH10*VLOOKUP('Données projet'!$B$12,Paramètres!$A$1:$I$89,3,0)*0.475*44/12</f>
        <v>0</v>
      </c>
      <c r="CL10" s="21">
        <f>EXP(-LN(2)/25)*CL9+(1-EXP(-LN(2)/25))/(LN(2)/25)*Calculateur!CG10*Calculateur!CI10*VLOOKUP('Données projet'!$B$12,Paramètres!$A$1:$I$89,3,0)*0.475*44/12</f>
        <v>0</v>
      </c>
      <c r="CM10" s="21">
        <f>EXP(-LN(2)/2)*CM9+(1-EXP(-LN(2)/2))/(LN(2)/2)*CG10*CJ10*VLOOKUP('Données projet'!$B$12,Paramètres!$A$1:$I$89,3,0)*0.475*44/12</f>
        <v>0</v>
      </c>
      <c r="CN10" s="22">
        <f t="shared" si="12"/>
        <v>0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7.113599999999999</v>
      </c>
      <c r="D11" s="11">
        <f t="shared" si="32"/>
        <v>2.6089051793396716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75.050917173850095</v>
      </c>
      <c r="H11" s="67">
        <f t="shared" si="1"/>
        <v>310.26669652068324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1.3333333333333333</v>
      </c>
      <c r="N11" s="13">
        <f>IF('Données projet'!$A$36&gt;35,N10+M11-V10,IF(A11&lt;'Données projet'!$A$36,$K$205^A11,IF(A11='Données projet'!$A$36,'Données projet'!$B$36,N10+M11-V10)))</f>
        <v>6.3496042078728001</v>
      </c>
      <c r="O11" s="13">
        <f>N11*VLOOKUP('Données projet'!$B$9,Paramètres!$A$1:$I$89,3,0)*VLOOKUP('Données projet'!$B$9,Paramètres!$A$1:$I$89,5,0)</f>
        <v>3.797063316307935</v>
      </c>
      <c r="P11" s="13">
        <f t="shared" si="33"/>
        <v>1.4981392264468638</v>
      </c>
      <c r="Q11" s="20">
        <f t="shared" si="2"/>
        <v>9.2224777619646083</v>
      </c>
      <c r="R11" s="59">
        <f t="shared" si="0"/>
        <v>302.55581109529794</v>
      </c>
      <c r="S11" s="59">
        <f ca="1">AVERAGE(OFFSET($R$3,0,0,'Données projet'!$E$9+1,1))-AVERAGE(OFFSET($H$3,0,0,'Données projet'!$E$9+1,1))</f>
        <v>72.647148358003676</v>
      </c>
      <c r="T11" s="59">
        <f t="shared" si="34"/>
        <v>87.231299224620898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2.85</v>
      </c>
      <c r="AI11" s="13">
        <f>IF('Données projet'!$A$62&gt;35,AI10+AH11-AQ10,IF(A11&lt;'Données projet'!$A$62,$AF$205^A11,IF(A11='Données projet'!$A$62,'Données projet'!$B$62,AI10+AH11-AQ10)))</f>
        <v>5.0390647890332847</v>
      </c>
      <c r="AJ11" s="13">
        <f>AI11*VLOOKUP('Données projet'!$B$10,Paramètres!$A$1:$I$89,3,0)*VLOOKUP('Données projet'!$B$10,Paramètres!$A$1:$I$89,5,0)</f>
        <v>4.0876893568638009</v>
      </c>
      <c r="AK11" s="13">
        <f t="shared" si="35"/>
        <v>1.5990201016633729</v>
      </c>
      <c r="AL11" s="20">
        <f t="shared" si="4"/>
        <v>9.9043523069348272</v>
      </c>
      <c r="AM11" s="59">
        <f t="shared" si="5"/>
        <v>303.23768564026813</v>
      </c>
      <c r="AN11" s="59">
        <f ca="1">AVERAGE(OFFSET($AM$3,0,0,'Données projet'!$E$10+1,1))-AVERAGE(OFFSET($H$3,0,0,'Données projet'!$E$10+1,1))</f>
        <v>145.3656871223958</v>
      </c>
      <c r="AO11" s="59">
        <f t="shared" si="36"/>
        <v>180.54762778843178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1.2</v>
      </c>
      <c r="BD11" s="12">
        <f>IF('Données projet'!$A$88&gt;35,BD10+BC11-BL10,IF(A11&lt;'Données projet'!$A$88,$BA$205^A11,IF(A11='Données projet'!$A$88,'Données projet'!$B$88,BD10+BC11-BL10)))</f>
        <v>2.9694690391391689</v>
      </c>
      <c r="BE11" s="13">
        <f>BD11*VLOOKUP('Données projet'!$B$11,Paramètres!$A$1:$I$89,3,0)*VLOOKUP('Données projet'!$B$11,Paramètres!$A$1:$I$89,5,0)</f>
        <v>2.6867755866131198</v>
      </c>
      <c r="BF11" s="13">
        <f t="shared" si="37"/>
        <v>1.1036234607382931</v>
      </c>
      <c r="BG11" s="20">
        <f t="shared" si="7"/>
        <v>6.6016116741370441</v>
      </c>
      <c r="BH11" s="59">
        <f t="shared" si="8"/>
        <v>299.93494500747033</v>
      </c>
      <c r="BI11" s="59">
        <f ca="1">AVERAGE(OFFSET($BH$3,0,0,'Données projet'!$E$11+1,1))-AVERAGE(OFFSET($H$3,0,0,'Données projet'!$E$11+1,1))</f>
        <v>138.8931001150624</v>
      </c>
      <c r="BJ11" s="59">
        <f t="shared" si="38"/>
        <v>48.964659354096625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>
        <f>EXP(-LN(2)/35)*BP10+(1-EXP(-LN(2)/35))/(LN(2)/35)*BL11*BM11*VLOOKUP('Données projet'!$B$11,Paramètres!$A$1:$I$89,3,0)*0.475*44/12</f>
        <v>0</v>
      </c>
      <c r="BQ11" s="21">
        <f>EXP(-LN(2)/25)*BQ10+(1-EXP(-LN(2)/25))/(LN(2)/25)*Calculateur!BL11*Calculateur!BN11*VLOOKUP('Données projet'!$B$11,Paramètres!$A$1:$I$89,3,0)*0.475*44/12</f>
        <v>0</v>
      </c>
      <c r="BR11" s="21">
        <f>EXP(-LN(2)/2)*BR10+(1-EXP(-LN(2)/2))/(LN(2)/2)*BL11*BO11*VLOOKUP('Données projet'!$B$11,Paramètres!$A$1:$I$89,3,0)*0.475*44/12</f>
        <v>0</v>
      </c>
      <c r="BS11" s="22">
        <f t="shared" si="9"/>
        <v>0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1.2</v>
      </c>
      <c r="BY11" s="12">
        <f>IF('Données projet'!$A$114&gt;35,BY10+BX11-CG10,IF(A11&lt;'Données projet'!$A$114,$BV$205^A11,IF(A11='Données projet'!$A$114,'Données projet'!$B$114,BY10+BX11-CG10)))</f>
        <v>2.9694690391391689</v>
      </c>
      <c r="BZ11" s="13">
        <f>BY11*VLOOKUP('Données projet'!$B$12,Paramètres!$A$1:$I$89,3,0)*VLOOKUP('Données projet'!$B$12,Paramètres!$A$1:$I$89,5,0)</f>
        <v>2.8720704546554043</v>
      </c>
      <c r="CA11" s="13">
        <f t="shared" si="39"/>
        <v>1.1706127387002112</v>
      </c>
      <c r="CB11" s="20">
        <f t="shared" si="10"/>
        <v>7.04100656176103</v>
      </c>
      <c r="CC11" s="59">
        <f t="shared" si="11"/>
        <v>300.37433989509435</v>
      </c>
      <c r="CD11" s="59">
        <f ca="1">AVERAGE(OFFSET($CC$3,0,0,'Données projet'!$E$12+1,1))-AVERAGE(OFFSET($H$3,0,0,'Données projet'!$E$12+1,1))</f>
        <v>154.93882427988234</v>
      </c>
      <c r="CE11" s="59">
        <f t="shared" si="40"/>
        <v>56.347130462109817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>
        <f>EXP(-LN(2)/35)*CK10+(1-EXP(-LN(2)/35))/(LN(2)/35)*CG11*CH11*VLOOKUP('Données projet'!$B$12,Paramètres!$A$1:$I$89,3,0)*0.475*44/12</f>
        <v>0</v>
      </c>
      <c r="CL11" s="21">
        <f>EXP(-LN(2)/25)*CL10+(1-EXP(-LN(2)/25))/(LN(2)/25)*Calculateur!CG11*Calculateur!CI11*VLOOKUP('Données projet'!$B$12,Paramètres!$A$1:$I$89,3,0)*0.475*44/12</f>
        <v>0</v>
      </c>
      <c r="CM11" s="21">
        <f>EXP(-LN(2)/2)*CM10+(1-EXP(-LN(2)/2))/(LN(2)/2)*CG11*CJ11*VLOOKUP('Données projet'!$B$12,Paramètres!$A$1:$I$89,3,0)*0.475*44/12</f>
        <v>0</v>
      </c>
      <c r="CN11" s="22">
        <f t="shared" si="12"/>
        <v>0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8.0027999999999988</v>
      </c>
      <c r="D12" s="11">
        <f t="shared" si="32"/>
        <v>2.8950539664743791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84.123785004363612</v>
      </c>
      <c r="H12" s="67">
        <f t="shared" si="1"/>
        <v>312.31376232494284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1.3333333333333333</v>
      </c>
      <c r="N12" s="13">
        <f>IF('Données projet'!$A$36&gt;35,N11+M12-V11,IF(A12&lt;'Données projet'!$A$36,$K$205^A12,IF(A12='Données projet'!$A$36,'Données projet'!$B$36,N11+M12-V11)))</f>
        <v>8.0000000000000036</v>
      </c>
      <c r="O12" s="13">
        <f>N12*VLOOKUP('Données projet'!$B$9,Paramètres!$A$1:$I$89,3,0)*VLOOKUP('Données projet'!$B$9,Paramètres!$A$1:$I$89,5,0)</f>
        <v>4.7840000000000025</v>
      </c>
      <c r="P12" s="13">
        <f t="shared" si="33"/>
        <v>1.8374500570715424</v>
      </c>
      <c r="Q12" s="20">
        <f t="shared" si="2"/>
        <v>11.532358849399607</v>
      </c>
      <c r="R12" s="59">
        <f t="shared" si="0"/>
        <v>304.86569218273291</v>
      </c>
      <c r="S12" s="59">
        <f ca="1">AVERAGE(OFFSET($R$3,0,0,'Données projet'!$E$9+1,1))-AVERAGE(OFFSET($H$3,0,0,'Données projet'!$E$9+1,1))</f>
        <v>72.647148358003676</v>
      </c>
      <c r="T12" s="59">
        <f t="shared" si="34"/>
        <v>87.231299224620898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2.85</v>
      </c>
      <c r="AI12" s="13">
        <f>IF('Données projet'!$A$62&gt;35,AI11+AH12-AQ11,IF(A12&lt;'Données projet'!$A$62,$AF$205^A12,IF(A12='Données projet'!$A$62,'Données projet'!$B$62,AI11+AH12-AQ11)))</f>
        <v>6.167990342551116</v>
      </c>
      <c r="AJ12" s="13">
        <f>AI12*VLOOKUP('Données projet'!$B$10,Paramètres!$A$1:$I$89,3,0)*VLOOKUP('Données projet'!$B$10,Paramètres!$A$1:$I$89,5,0)</f>
        <v>5.0034737658774651</v>
      </c>
      <c r="AK12" s="13">
        <f t="shared" si="35"/>
        <v>1.9117384477889741</v>
      </c>
      <c r="AL12" s="20">
        <f t="shared" si="4"/>
        <v>12.043994605469051</v>
      </c>
      <c r="AM12" s="59">
        <f t="shared" si="5"/>
        <v>305.37732793880235</v>
      </c>
      <c r="AN12" s="59">
        <f ca="1">AVERAGE(OFFSET($AM$3,0,0,'Données projet'!$E$10+1,1))-AVERAGE(OFFSET($H$3,0,0,'Données projet'!$E$10+1,1))</f>
        <v>145.3656871223958</v>
      </c>
      <c r="AO12" s="59">
        <f t="shared" si="36"/>
        <v>180.54762778843178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1.2</v>
      </c>
      <c r="BD12" s="12">
        <f>IF('Données projet'!$A$88&gt;35,BD11+BC12-BL11,IF(A12&lt;'Données projet'!$A$88,$BA$205^A12,IF(A12='Données projet'!$A$88,'Données projet'!$B$88,BD11+BC12-BL11)))</f>
        <v>3.4022298585357786</v>
      </c>
      <c r="BE12" s="13">
        <f>BD12*VLOOKUP('Données projet'!$B$11,Paramètres!$A$1:$I$89,3,0)*VLOOKUP('Données projet'!$B$11,Paramètres!$A$1:$I$89,5,0)</f>
        <v>3.0783375760031726</v>
      </c>
      <c r="BF12" s="13">
        <f t="shared" si="37"/>
        <v>1.2445957044081368</v>
      </c>
      <c r="BG12" s="20">
        <f t="shared" si="7"/>
        <v>7.5291087967163621</v>
      </c>
      <c r="BH12" s="59">
        <f t="shared" si="8"/>
        <v>300.86244213004966</v>
      </c>
      <c r="BI12" s="59">
        <f ca="1">AVERAGE(OFFSET($BH$3,0,0,'Données projet'!$E$11+1,1))-AVERAGE(OFFSET($H$3,0,0,'Données projet'!$E$11+1,1))</f>
        <v>138.8931001150624</v>
      </c>
      <c r="BJ12" s="59">
        <f t="shared" si="38"/>
        <v>48.964659354096625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>
        <f>EXP(-LN(2)/35)*BP11+(1-EXP(-LN(2)/35))/(LN(2)/35)*BL12*BM12*VLOOKUP('Données projet'!$B$11,Paramètres!$A$1:$I$89,3,0)*0.475*44/12</f>
        <v>0</v>
      </c>
      <c r="BQ12" s="21">
        <f>EXP(-LN(2)/25)*BQ11+(1-EXP(-LN(2)/25))/(LN(2)/25)*Calculateur!BL12*Calculateur!BN12*VLOOKUP('Données projet'!$B$11,Paramètres!$A$1:$I$89,3,0)*0.475*44/12</f>
        <v>0</v>
      </c>
      <c r="BR12" s="21">
        <f>EXP(-LN(2)/2)*BR11+(1-EXP(-LN(2)/2))/(LN(2)/2)*BL12*BO12*VLOOKUP('Données projet'!$B$11,Paramètres!$A$1:$I$89,3,0)*0.475*44/12</f>
        <v>0</v>
      </c>
      <c r="BS12" s="22">
        <f t="shared" si="9"/>
        <v>0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1.2</v>
      </c>
      <c r="BY12" s="12">
        <f>IF('Données projet'!$A$114&gt;35,BY11+BX12-CG11,IF(A12&lt;'Données projet'!$A$114,$BV$205^A12,IF(A12='Données projet'!$A$114,'Données projet'!$B$114,BY11+BX12-CG11)))</f>
        <v>3.4022298585357786</v>
      </c>
      <c r="BZ12" s="13">
        <f>BY12*VLOOKUP('Données projet'!$B$12,Paramètres!$A$1:$I$89,3,0)*VLOOKUP('Données projet'!$B$12,Paramètres!$A$1:$I$89,5,0)</f>
        <v>3.2906367191758048</v>
      </c>
      <c r="CA12" s="13">
        <f t="shared" si="39"/>
        <v>1.3201419124753617</v>
      </c>
      <c r="CB12" s="20">
        <f t="shared" si="10"/>
        <v>8.0304394501257814</v>
      </c>
      <c r="CC12" s="59">
        <f t="shared" si="11"/>
        <v>301.36377278345907</v>
      </c>
      <c r="CD12" s="59">
        <f ca="1">AVERAGE(OFFSET($CC$3,0,0,'Données projet'!$E$12+1,1))-AVERAGE(OFFSET($H$3,0,0,'Données projet'!$E$12+1,1))</f>
        <v>154.93882427988234</v>
      </c>
      <c r="CE12" s="59">
        <f t="shared" si="40"/>
        <v>56.347130462109817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>
        <f>EXP(-LN(2)/35)*CK11+(1-EXP(-LN(2)/35))/(LN(2)/35)*CG12*CH12*VLOOKUP('Données projet'!$B$12,Paramètres!$A$1:$I$89,3,0)*0.475*44/12</f>
        <v>0</v>
      </c>
      <c r="CL12" s="21">
        <f>EXP(-LN(2)/25)*CL11+(1-EXP(-LN(2)/25))/(LN(2)/25)*Calculateur!CG12*Calculateur!CI12*VLOOKUP('Données projet'!$B$12,Paramètres!$A$1:$I$89,3,0)*0.475*44/12</f>
        <v>0</v>
      </c>
      <c r="CM12" s="21">
        <f>EXP(-LN(2)/2)*CM11+(1-EXP(-LN(2)/2))/(LN(2)/2)*CG12*CJ12*VLOOKUP('Données projet'!$B$12,Paramètres!$A$1:$I$89,3,0)*0.475*44/12</f>
        <v>0</v>
      </c>
      <c r="CN12" s="22">
        <f t="shared" si="12"/>
        <v>0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8.8919999999999995</v>
      </c>
      <c r="D13" s="11">
        <f t="shared" si="32"/>
        <v>3.177517729464268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93.16820703446102</v>
      </c>
      <c r="H13" s="67">
        <f t="shared" si="1"/>
        <v>314.35441004548358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1.3333333333333333</v>
      </c>
      <c r="N13" s="13">
        <f>IF('Données projet'!$A$36&gt;35,N12+M13-V12,IF(A13&lt;'Données projet'!$A$36,$K$205^A13,IF(A13='Données projet'!$A$36,'Données projet'!$B$36,N12+M13-V12)))</f>
        <v>10.079368399158989</v>
      </c>
      <c r="O13" s="13">
        <f>N13*VLOOKUP('Données projet'!$B$9,Paramètres!$A$1:$I$89,3,0)*VLOOKUP('Données projet'!$B$9,Paramètres!$A$1:$I$89,5,0)</f>
        <v>6.0274623026970753</v>
      </c>
      <c r="P13" s="13">
        <f t="shared" si="33"/>
        <v>2.2536107810484336</v>
      </c>
      <c r="Q13" s="20">
        <f t="shared" si="2"/>
        <v>14.422868954190093</v>
      </c>
      <c r="R13" s="59">
        <f t="shared" si="0"/>
        <v>307.75620228752342</v>
      </c>
      <c r="S13" s="59">
        <f ca="1">AVERAGE(OFFSET($R$3,0,0,'Données projet'!$E$9+1,1))-AVERAGE(OFFSET($H$3,0,0,'Données projet'!$E$9+1,1))</f>
        <v>72.647148358003676</v>
      </c>
      <c r="T13" s="59">
        <f t="shared" si="34"/>
        <v>87.231299224620898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2.85</v>
      </c>
      <c r="AI13" s="13">
        <f>IF('Données projet'!$A$62&gt;35,AI12+AH13-AQ12,IF(A13&lt;'Données projet'!$A$62,$AF$205^A13,IF(A13='Données projet'!$A$62,'Données projet'!$B$62,AI12+AH13-AQ12)))</f>
        <v>7.5498344352707516</v>
      </c>
      <c r="AJ13" s="13">
        <f>AI13*VLOOKUP('Données projet'!$B$10,Paramètres!$A$1:$I$89,3,0)*VLOOKUP('Données projet'!$B$10,Paramètres!$A$1:$I$89,5,0)</f>
        <v>6.1244256938916335</v>
      </c>
      <c r="AK13" s="13">
        <f t="shared" si="35"/>
        <v>2.2856147267647025</v>
      </c>
      <c r="AL13" s="20">
        <f t="shared" si="4"/>
        <v>14.647487065976454</v>
      </c>
      <c r="AM13" s="59">
        <f t="shared" si="5"/>
        <v>307.98082039930978</v>
      </c>
      <c r="AN13" s="59">
        <f ca="1">AVERAGE(OFFSET($AM$3,0,0,'Données projet'!$E$10+1,1))-AVERAGE(OFFSET($H$3,0,0,'Données projet'!$E$10+1,1))</f>
        <v>145.3656871223958</v>
      </c>
      <c r="AO13" s="59">
        <f t="shared" si="36"/>
        <v>180.54762778843178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1.2</v>
      </c>
      <c r="BD13" s="12">
        <f>IF('Données projet'!$A$88&gt;35,BD12+BC13-BL12,IF(A13&lt;'Données projet'!$A$88,$BA$205^A13,IF(A13='Données projet'!$A$88,'Données projet'!$B$88,BD12+BC13-BL12)))</f>
        <v>3.8980598409161908</v>
      </c>
      <c r="BE13" s="13">
        <f>BD13*VLOOKUP('Données projet'!$B$11,Paramètres!$A$1:$I$89,3,0)*VLOOKUP('Données projet'!$B$11,Paramètres!$A$1:$I$89,5,0)</f>
        <v>3.5269645440609696</v>
      </c>
      <c r="BF13" s="13">
        <f t="shared" si="37"/>
        <v>1.403575152701934</v>
      </c>
      <c r="BG13" s="20">
        <f t="shared" si="7"/>
        <v>8.587356638528723</v>
      </c>
      <c r="BH13" s="59">
        <f t="shared" si="8"/>
        <v>301.92068997186203</v>
      </c>
      <c r="BI13" s="59">
        <f ca="1">AVERAGE(OFFSET($BH$3,0,0,'Données projet'!$E$11+1,1))-AVERAGE(OFFSET($H$3,0,0,'Données projet'!$E$11+1,1))</f>
        <v>138.8931001150624</v>
      </c>
      <c r="BJ13" s="59">
        <f t="shared" si="38"/>
        <v>48.964659354096625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>
        <f>EXP(-LN(2)/35)*BP12+(1-EXP(-LN(2)/35))/(LN(2)/35)*BL13*BM13*VLOOKUP('Données projet'!$B$11,Paramètres!$A$1:$I$89,3,0)*0.475*44/12</f>
        <v>0</v>
      </c>
      <c r="BQ13" s="21">
        <f>EXP(-LN(2)/25)*BQ12+(1-EXP(-LN(2)/25))/(LN(2)/25)*Calculateur!BL13*Calculateur!BN13*VLOOKUP('Données projet'!$B$11,Paramètres!$A$1:$I$89,3,0)*0.475*44/12</f>
        <v>0</v>
      </c>
      <c r="BR13" s="21">
        <f>EXP(-LN(2)/2)*BR12+(1-EXP(-LN(2)/2))/(LN(2)/2)*BL13*BO13*VLOOKUP('Données projet'!$B$11,Paramètres!$A$1:$I$89,3,0)*0.475*44/12</f>
        <v>0</v>
      </c>
      <c r="BS13" s="22">
        <f t="shared" si="9"/>
        <v>0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1.2</v>
      </c>
      <c r="BY13" s="12">
        <f>IF('Données projet'!$A$114&gt;35,BY12+BX13-CG12,IF(A13&lt;'Données projet'!$A$114,$BV$205^A13,IF(A13='Données projet'!$A$114,'Données projet'!$B$114,BY12+BX13-CG12)))</f>
        <v>3.8980598409161908</v>
      </c>
      <c r="BZ13" s="13">
        <f>BY13*VLOOKUP('Données projet'!$B$12,Paramètres!$A$1:$I$89,3,0)*VLOOKUP('Données projet'!$B$12,Paramètres!$A$1:$I$89,5,0)</f>
        <v>3.7702034781341398</v>
      </c>
      <c r="CA13" s="13">
        <f t="shared" si="39"/>
        <v>1.4887713173266797</v>
      </c>
      <c r="CB13" s="20">
        <f t="shared" si="10"/>
        <v>9.1593811020942599</v>
      </c>
      <c r="CC13" s="59">
        <f t="shared" si="11"/>
        <v>302.49271443542756</v>
      </c>
      <c r="CD13" s="59">
        <f ca="1">AVERAGE(OFFSET($CC$3,0,0,'Données projet'!$E$12+1,1))-AVERAGE(OFFSET($H$3,0,0,'Données projet'!$E$12+1,1))</f>
        <v>154.93882427988234</v>
      </c>
      <c r="CE13" s="59">
        <f t="shared" si="40"/>
        <v>56.347130462109817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>
        <f>EXP(-LN(2)/35)*CK12+(1-EXP(-LN(2)/35))/(LN(2)/35)*CG13*CH13*VLOOKUP('Données projet'!$B$12,Paramètres!$A$1:$I$89,3,0)*0.475*44/12</f>
        <v>0</v>
      </c>
      <c r="CL13" s="21">
        <f>EXP(-LN(2)/25)*CL12+(1-EXP(-LN(2)/25))/(LN(2)/25)*Calculateur!CG13*Calculateur!CI13*VLOOKUP('Données projet'!$B$12,Paramètres!$A$1:$I$89,3,0)*0.475*44/12</f>
        <v>0</v>
      </c>
      <c r="CM13" s="21">
        <f>EXP(-LN(2)/2)*CM12+(1-EXP(-LN(2)/2))/(LN(2)/2)*CG13*CJ13*VLOOKUP('Données projet'!$B$12,Paramètres!$A$1:$I$89,3,0)*0.475*44/12</f>
        <v>0</v>
      </c>
      <c r="CN13" s="22">
        <f t="shared" si="12"/>
        <v>0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9.7812000000000001</v>
      </c>
      <c r="D14" s="11">
        <f t="shared" si="32"/>
        <v>3.4567069199829903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102.18735166302658</v>
      </c>
      <c r="H14" s="67">
        <f t="shared" si="1"/>
        <v>316.3893545523037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1.3333333333333333</v>
      </c>
      <c r="N14" s="13">
        <f>IF('Données projet'!$A$36&gt;35,N13+M14-V13,IF(A14&lt;'Données projet'!$A$36,$K$205^A14,IF(A14='Données projet'!$A$36,'Données projet'!$B$36,N13+M14-V13)))</f>
        <v>12.6992084157456</v>
      </c>
      <c r="O14" s="13">
        <f>N14*VLOOKUP('Données projet'!$B$9,Paramètres!$A$1:$I$89,3,0)*VLOOKUP('Données projet'!$B$9,Paramètres!$A$1:$I$89,5,0)</f>
        <v>7.5941266326158701</v>
      </c>
      <c r="P14" s="13">
        <f t="shared" si="33"/>
        <v>2.7640269910530622</v>
      </c>
      <c r="Q14" s="20">
        <f t="shared" si="2"/>
        <v>18.040450894556724</v>
      </c>
      <c r="R14" s="59">
        <f t="shared" si="0"/>
        <v>311.37378422789004</v>
      </c>
      <c r="S14" s="59">
        <f ca="1">AVERAGE(OFFSET($R$3,0,0,'Données projet'!$E$9+1,1))-AVERAGE(OFFSET($H$3,0,0,'Données projet'!$E$9+1,1))</f>
        <v>72.647148358003676</v>
      </c>
      <c r="T14" s="59">
        <f t="shared" si="34"/>
        <v>87.231299224620898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2.85</v>
      </c>
      <c r="AI14" s="13">
        <f>IF('Données projet'!$A$62&gt;35,AI13+AH14-AQ13,IF(A14&lt;'Données projet'!$A$62,$AF$205^A14,IF(A14='Données projet'!$A$62,'Données projet'!$B$62,AI13+AH14-AQ13)))</f>
        <v>9.2412596055434975</v>
      </c>
      <c r="AJ14" s="13">
        <f>AI14*VLOOKUP('Données projet'!$B$10,Paramètres!$A$1:$I$89,3,0)*VLOOKUP('Données projet'!$B$10,Paramètres!$A$1:$I$89,5,0)</f>
        <v>7.4965097920168864</v>
      </c>
      <c r="AK14" s="13">
        <f t="shared" si="35"/>
        <v>2.7326095184440926</v>
      </c>
      <c r="AL14" s="20">
        <f t="shared" si="4"/>
        <v>17.815716132386203</v>
      </c>
      <c r="AM14" s="59">
        <f t="shared" si="5"/>
        <v>311.14904946571954</v>
      </c>
      <c r="AN14" s="59">
        <f ca="1">AVERAGE(OFFSET($AM$3,0,0,'Données projet'!$E$10+1,1))-AVERAGE(OFFSET($H$3,0,0,'Données projet'!$E$10+1,1))</f>
        <v>145.3656871223958</v>
      </c>
      <c r="AO14" s="59">
        <f t="shared" si="36"/>
        <v>180.54762778843178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1.2</v>
      </c>
      <c r="BD14" s="12">
        <f>IF('Données projet'!$A$88&gt;35,BD13+BC14-BL13,IF(A14&lt;'Données projet'!$A$88,$BA$205^A14,IF(A14='Données projet'!$A$88,'Données projet'!$B$88,BD13+BC14-BL13)))</f>
        <v>4.4661504822319662</v>
      </c>
      <c r="BE14" s="13">
        <f>BD14*VLOOKUP('Données projet'!$B$11,Paramètres!$A$1:$I$89,3,0)*VLOOKUP('Données projet'!$B$11,Paramètres!$A$1:$I$89,5,0)</f>
        <v>4.0409729563234826</v>
      </c>
      <c r="BF14" s="13">
        <f t="shared" si="37"/>
        <v>1.5828619706020071</v>
      </c>
      <c r="BG14" s="20">
        <f t="shared" si="7"/>
        <v>9.7948458310618953</v>
      </c>
      <c r="BH14" s="59">
        <f t="shared" si="8"/>
        <v>303.12817916439519</v>
      </c>
      <c r="BI14" s="59">
        <f ca="1">AVERAGE(OFFSET($BH$3,0,0,'Données projet'!$E$11+1,1))-AVERAGE(OFFSET($H$3,0,0,'Données projet'!$E$11+1,1))</f>
        <v>138.8931001150624</v>
      </c>
      <c r="BJ14" s="59">
        <f t="shared" si="38"/>
        <v>48.964659354096625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>
        <f>EXP(-LN(2)/35)*BP13+(1-EXP(-LN(2)/35))/(LN(2)/35)*BL14*BM14*VLOOKUP('Données projet'!$B$11,Paramètres!$A$1:$I$89,3,0)*0.475*44/12</f>
        <v>0</v>
      </c>
      <c r="BQ14" s="21">
        <f>EXP(-LN(2)/25)*BQ13+(1-EXP(-LN(2)/25))/(LN(2)/25)*Calculateur!BL14*Calculateur!BN14*VLOOKUP('Données projet'!$B$11,Paramètres!$A$1:$I$89,3,0)*0.475*44/12</f>
        <v>0</v>
      </c>
      <c r="BR14" s="21">
        <f>EXP(-LN(2)/2)*BR13+(1-EXP(-LN(2)/2))/(LN(2)/2)*BL14*BO14*VLOOKUP('Données projet'!$B$11,Paramètres!$A$1:$I$89,3,0)*0.475*44/12</f>
        <v>0</v>
      </c>
      <c r="BS14" s="22">
        <f t="shared" si="9"/>
        <v>0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1.2</v>
      </c>
      <c r="BY14" s="12">
        <f>IF('Données projet'!$A$114&gt;35,BY13+BX14-CG13,IF(A14&lt;'Données projet'!$A$114,$BV$205^A14,IF(A14='Données projet'!$A$114,'Données projet'!$B$114,BY13+BX14-CG13)))</f>
        <v>4.4661504822319662</v>
      </c>
      <c r="BZ14" s="13">
        <f>BY14*VLOOKUP('Données projet'!$B$12,Paramètres!$A$1:$I$89,3,0)*VLOOKUP('Données projet'!$B$12,Paramètres!$A$1:$I$89,5,0)</f>
        <v>4.3196607464147583</v>
      </c>
      <c r="CA14" s="13">
        <f t="shared" si="39"/>
        <v>1.6789407368626241</v>
      </c>
      <c r="CB14" s="20">
        <f t="shared" si="10"/>
        <v>10.44756425004144</v>
      </c>
      <c r="CC14" s="59">
        <f t="shared" si="11"/>
        <v>303.78089758337478</v>
      </c>
      <c r="CD14" s="59">
        <f ca="1">AVERAGE(OFFSET($CC$3,0,0,'Données projet'!$E$12+1,1))-AVERAGE(OFFSET($H$3,0,0,'Données projet'!$E$12+1,1))</f>
        <v>154.93882427988234</v>
      </c>
      <c r="CE14" s="59">
        <f t="shared" si="40"/>
        <v>56.347130462109817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>
        <f>EXP(-LN(2)/35)*CK13+(1-EXP(-LN(2)/35))/(LN(2)/35)*CG14*CH14*VLOOKUP('Données projet'!$B$12,Paramètres!$A$1:$I$89,3,0)*0.475*44/12</f>
        <v>0</v>
      </c>
      <c r="CL14" s="21">
        <f>EXP(-LN(2)/25)*CL13+(1-EXP(-LN(2)/25))/(LN(2)/25)*Calculateur!CG14*Calculateur!CI14*VLOOKUP('Données projet'!$B$12,Paramètres!$A$1:$I$89,3,0)*0.475*44/12</f>
        <v>0</v>
      </c>
      <c r="CM14" s="21">
        <f>EXP(-LN(2)/2)*CM13+(1-EXP(-LN(2)/2))/(LN(2)/2)*CG14*CJ14*VLOOKUP('Données projet'!$B$12,Paramètres!$A$1:$I$89,3,0)*0.475*44/12</f>
        <v>0</v>
      </c>
      <c r="CN14" s="22">
        <f t="shared" si="12"/>
        <v>0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10.670400000000001</v>
      </c>
      <c r="D15" s="11">
        <f t="shared" si="32"/>
        <v>3.7329530817348471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111.18377817479534</v>
      </c>
      <c r="H15" s="67">
        <f t="shared" si="1"/>
        <v>318.4191732840215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>
        <f>VLOOKUP(A15,'Données projet'!$A$35:$I$55,2,0)</f>
        <v>16</v>
      </c>
      <c r="L15" s="12">
        <f>VLOOKUP(A15,'Données projet'!$A$35:$I$55,9,0)</f>
        <v>1.3333333333333333</v>
      </c>
      <c r="M15" s="12">
        <f t="array" ref="M15">INDEX(L:L,MIN(IF(ISNUMBER(L15:L211),ROW(L15:L211),"")))</f>
        <v>1.3333333333333333</v>
      </c>
      <c r="N15" s="13">
        <f>IF('Données projet'!$A$36&gt;35,N14+M15-V14,IF(A15&lt;'Données projet'!$A$36,$K$205^A15,IF(A15='Données projet'!$A$36,'Données projet'!$B$36,N14+M15-V14)))</f>
        <v>16</v>
      </c>
      <c r="O15" s="13">
        <f>N15*VLOOKUP('Données projet'!$B$9,Paramètres!$A$1:$I$89,3,0)*VLOOKUP('Données projet'!$B$9,Paramètres!$A$1:$I$89,5,0)</f>
        <v>9.5680000000000014</v>
      </c>
      <c r="P15" s="13">
        <f t="shared" si="33"/>
        <v>3.3900464408124646</v>
      </c>
      <c r="Q15" s="20">
        <f t="shared" si="2"/>
        <v>22.568597551081712</v>
      </c>
      <c r="R15" s="59">
        <f t="shared" si="0"/>
        <v>315.90193088441504</v>
      </c>
      <c r="S15" s="59">
        <f ca="1">AVERAGE(OFFSET($R$3,0,0,'Données projet'!$E$9+1,1))-AVERAGE(OFFSET($H$3,0,0,'Données projet'!$E$9+1,1))</f>
        <v>72.647148358003676</v>
      </c>
      <c r="T15" s="59">
        <f t="shared" si="34"/>
        <v>87.231299224620898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2.85</v>
      </c>
      <c r="AI15" s="13">
        <f>IF('Données projet'!$A$62&gt;35,AI14+AH15-AQ14,IF(A15&lt;'Données projet'!$A$62,$AF$205^A15,IF(A15='Données projet'!$A$62,'Données projet'!$B$62,AI14+AH15-AQ14)))</f>
        <v>11.311622768584238</v>
      </c>
      <c r="AJ15" s="13">
        <f>AI15*VLOOKUP('Données projet'!$B$10,Paramètres!$A$1:$I$89,3,0)*VLOOKUP('Données projet'!$B$10,Paramètres!$A$1:$I$89,5,0)</f>
        <v>9.1759883898755348</v>
      </c>
      <c r="AK15" s="13">
        <f t="shared" si="35"/>
        <v>3.2670225182093762</v>
      </c>
      <c r="AL15" s="20">
        <f t="shared" si="4"/>
        <v>21.671577331581219</v>
      </c>
      <c r="AM15" s="59">
        <f t="shared" si="5"/>
        <v>315.00491066491452</v>
      </c>
      <c r="AN15" s="59">
        <f ca="1">AVERAGE(OFFSET($AM$3,0,0,'Données projet'!$E$10+1,1))-AVERAGE(OFFSET($H$3,0,0,'Données projet'!$E$10+1,1))</f>
        <v>145.3656871223958</v>
      </c>
      <c r="AO15" s="59">
        <f t="shared" si="36"/>
        <v>180.54762778843178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1.2</v>
      </c>
      <c r="BD15" s="12">
        <f>IF('Données projet'!$A$88&gt;35,BD14+BC15-BL14,IF(A15&lt;'Données projet'!$A$88,$BA$205^A15,IF(A15='Données projet'!$A$88,'Données projet'!$B$88,BD14+BC15-BL14)))</f>
        <v>5.1170328173444979</v>
      </c>
      <c r="BE15" s="13">
        <f>BD15*VLOOKUP('Données projet'!$B$11,Paramètres!$A$1:$I$89,3,0)*VLOOKUP('Données projet'!$B$11,Paramètres!$A$1:$I$89,5,0)</f>
        <v>4.6298912931333014</v>
      </c>
      <c r="BF15" s="13">
        <f t="shared" si="37"/>
        <v>1.7850501365423737</v>
      </c>
      <c r="BG15" s="20">
        <f t="shared" si="7"/>
        <v>11.172689656685135</v>
      </c>
      <c r="BH15" s="59">
        <f t="shared" si="8"/>
        <v>304.50602299001844</v>
      </c>
      <c r="BI15" s="59">
        <f ca="1">AVERAGE(OFFSET($BH$3,0,0,'Données projet'!$E$11+1,1))-AVERAGE(OFFSET($H$3,0,0,'Données projet'!$E$11+1,1))</f>
        <v>138.8931001150624</v>
      </c>
      <c r="BJ15" s="59">
        <f t="shared" si="38"/>
        <v>48.964659354096625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>
        <f>EXP(-LN(2)/35)*BP14+(1-EXP(-LN(2)/35))/(LN(2)/35)*BL15*BM15*VLOOKUP('Données projet'!$B$11,Paramètres!$A$1:$I$89,3,0)*0.475*44/12</f>
        <v>0</v>
      </c>
      <c r="BQ15" s="21">
        <f>EXP(-LN(2)/25)*BQ14+(1-EXP(-LN(2)/25))/(LN(2)/25)*Calculateur!BL15*Calculateur!BN15*VLOOKUP('Données projet'!$B$11,Paramètres!$A$1:$I$89,3,0)*0.475*44/12</f>
        <v>0</v>
      </c>
      <c r="BR15" s="21">
        <f>EXP(-LN(2)/2)*BR14+(1-EXP(-LN(2)/2))/(LN(2)/2)*BL15*BO15*VLOOKUP('Données projet'!$B$11,Paramètres!$A$1:$I$89,3,0)*0.475*44/12</f>
        <v>0</v>
      </c>
      <c r="BS15" s="22">
        <f t="shared" si="9"/>
        <v>0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1.2</v>
      </c>
      <c r="BY15" s="12">
        <f>IF('Données projet'!$A$114&gt;35,BY14+BX15-CG14,IF(A15&lt;'Données projet'!$A$114,$BV$205^A15,IF(A15='Données projet'!$A$114,'Données projet'!$B$114,BY14+BX15-CG14)))</f>
        <v>5.1170328173444979</v>
      </c>
      <c r="BZ15" s="13">
        <f>BY15*VLOOKUP('Données projet'!$B$12,Paramètres!$A$1:$I$89,3,0)*VLOOKUP('Données projet'!$B$12,Paramètres!$A$1:$I$89,5,0)</f>
        <v>4.9491941409355986</v>
      </c>
      <c r="CA15" s="13">
        <f t="shared" si="39"/>
        <v>1.8934016024425293</v>
      </c>
      <c r="CB15" s="20">
        <f t="shared" si="10"/>
        <v>11.917520919716907</v>
      </c>
      <c r="CC15" s="59">
        <f t="shared" si="11"/>
        <v>305.25085425305019</v>
      </c>
      <c r="CD15" s="59">
        <f ca="1">AVERAGE(OFFSET($CC$3,0,0,'Données projet'!$E$12+1,1))-AVERAGE(OFFSET($H$3,0,0,'Données projet'!$E$12+1,1))</f>
        <v>154.93882427988234</v>
      </c>
      <c r="CE15" s="59">
        <f t="shared" si="40"/>
        <v>56.347130462109817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>
        <f>EXP(-LN(2)/35)*CK14+(1-EXP(-LN(2)/35))/(LN(2)/35)*CG15*CH15*VLOOKUP('Données projet'!$B$12,Paramètres!$A$1:$I$89,3,0)*0.475*44/12</f>
        <v>0</v>
      </c>
      <c r="CL15" s="21">
        <f>EXP(-LN(2)/25)*CL14+(1-EXP(-LN(2)/25))/(LN(2)/25)*Calculateur!CG15*Calculateur!CI15*VLOOKUP('Données projet'!$B$12,Paramètres!$A$1:$I$89,3,0)*0.475*44/12</f>
        <v>0</v>
      </c>
      <c r="CM15" s="21">
        <f>EXP(-LN(2)/2)*CM14+(1-EXP(-LN(2)/2))/(LN(2)/2)*CG15*CJ15*VLOOKUP('Données projet'!$B$12,Paramètres!$A$1:$I$89,3,0)*0.475*44/12</f>
        <v>0</v>
      </c>
      <c r="CN15" s="22">
        <f t="shared" si="12"/>
        <v>0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11.559600000000001</v>
      </c>
      <c r="D16" s="11">
        <f t="shared" si="32"/>
        <v>4.0065293501366055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120.15959498351064</v>
      </c>
      <c r="H16" s="67">
        <f t="shared" si="1"/>
        <v>320.4443419514879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6</v>
      </c>
      <c r="N16" s="13">
        <f>IF('Données projet'!$A$36&gt;35,N15+M16-V15,IF(A16&lt;'Données projet'!$A$36,$K$205^A16,IF(A16='Données projet'!$A$36,'Données projet'!$B$36,N15+M16-V15)))</f>
        <v>22</v>
      </c>
      <c r="O16" s="13">
        <f>N16*VLOOKUP('Données projet'!$B$9,Paramètres!$A$1:$I$89,3,0)*VLOOKUP('Données projet'!$B$9,Paramètres!$A$1:$I$89,5,0)</f>
        <v>13.156000000000002</v>
      </c>
      <c r="P16" s="13">
        <f t="shared" si="33"/>
        <v>4.4916914128654311</v>
      </c>
      <c r="Q16" s="20">
        <f t="shared" si="2"/>
        <v>30.736395877407301</v>
      </c>
      <c r="R16" s="59">
        <f t="shared" si="0"/>
        <v>324.0697292107406</v>
      </c>
      <c r="S16" s="59">
        <f ca="1">AVERAGE(OFFSET($R$3,0,0,'Données projet'!$E$9+1,1))-AVERAGE(OFFSET($H$3,0,0,'Données projet'!$E$9+1,1))</f>
        <v>72.647148358003676</v>
      </c>
      <c r="T16" s="59">
        <f t="shared" si="34"/>
        <v>87.231299224620898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2.85</v>
      </c>
      <c r="AI16" s="13">
        <f>IF('Données projet'!$A$62&gt;35,AI15+AH16-AQ15,IF(A16&lt;'Données projet'!$A$62,$AF$205^A16,IF(A16='Données projet'!$A$62,'Données projet'!$B$62,AI15+AH16-AQ15)))</f>
        <v>13.845819197850375</v>
      </c>
      <c r="AJ16" s="13">
        <f>AI16*VLOOKUP('Données projet'!$B$10,Paramètres!$A$1:$I$89,3,0)*VLOOKUP('Données projet'!$B$10,Paramètres!$A$1:$I$89,5,0)</f>
        <v>11.231728533296224</v>
      </c>
      <c r="AK16" s="13">
        <f t="shared" si="35"/>
        <v>3.9059499948475738</v>
      </c>
      <c r="AL16" s="20">
        <f t="shared" si="4"/>
        <v>26.364790103183779</v>
      </c>
      <c r="AM16" s="59">
        <f t="shared" si="5"/>
        <v>319.69812343651711</v>
      </c>
      <c r="AN16" s="59">
        <f ca="1">AVERAGE(OFFSET($AM$3,0,0,'Données projet'!$E$10+1,1))-AVERAGE(OFFSET($H$3,0,0,'Données projet'!$E$10+1,1))</f>
        <v>145.3656871223958</v>
      </c>
      <c r="AO16" s="59">
        <f t="shared" si="36"/>
        <v>180.54762778843178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1.2</v>
      </c>
      <c r="BD16" s="12">
        <f>IF('Données projet'!$A$88&gt;35,BD15+BC16-BL15,IF(A16&lt;'Données projet'!$A$88,$BA$205^A16,IF(A16='Données projet'!$A$88,'Données projet'!$B$88,BD15+BC16-BL15)))</f>
        <v>5.8627726400958746</v>
      </c>
      <c r="BE16" s="13">
        <f>BD16*VLOOKUP('Données projet'!$B$11,Paramètres!$A$1:$I$89,3,0)*VLOOKUP('Données projet'!$B$11,Paramètres!$A$1:$I$89,5,0)</f>
        <v>5.3046366847587469</v>
      </c>
      <c r="BF16" s="13">
        <f t="shared" si="37"/>
        <v>2.0130649729098407</v>
      </c>
      <c r="BG16" s="20">
        <f t="shared" si="7"/>
        <v>12.74499705377279</v>
      </c>
      <c r="BH16" s="59">
        <f t="shared" si="8"/>
        <v>306.07833038710612</v>
      </c>
      <c r="BI16" s="59">
        <f ca="1">AVERAGE(OFFSET($BH$3,0,0,'Données projet'!$E$11+1,1))-AVERAGE(OFFSET($H$3,0,0,'Données projet'!$E$11+1,1))</f>
        <v>138.8931001150624</v>
      </c>
      <c r="BJ16" s="59">
        <f t="shared" si="38"/>
        <v>48.964659354096625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>
        <f>EXP(-LN(2)/35)*BP15+(1-EXP(-LN(2)/35))/(LN(2)/35)*BL16*BM16*VLOOKUP('Données projet'!$B$11,Paramètres!$A$1:$I$89,3,0)*0.475*44/12</f>
        <v>0</v>
      </c>
      <c r="BQ16" s="21">
        <f>EXP(-LN(2)/25)*BQ15+(1-EXP(-LN(2)/25))/(LN(2)/25)*Calculateur!BL16*Calculateur!BN16*VLOOKUP('Données projet'!$B$11,Paramètres!$A$1:$I$89,3,0)*0.475*44/12</f>
        <v>0</v>
      </c>
      <c r="BR16" s="21">
        <f>EXP(-LN(2)/2)*BR15+(1-EXP(-LN(2)/2))/(LN(2)/2)*BL16*BO16*VLOOKUP('Données projet'!$B$11,Paramètres!$A$1:$I$89,3,0)*0.475*44/12</f>
        <v>0</v>
      </c>
      <c r="BS16" s="22">
        <f t="shared" si="9"/>
        <v>0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1.2</v>
      </c>
      <c r="BY16" s="12">
        <f>IF('Données projet'!$A$114&gt;35,BY15+BX16-CG15,IF(A16&lt;'Données projet'!$A$114,$BV$205^A16,IF(A16='Données projet'!$A$114,'Données projet'!$B$114,BY15+BX16-CG15)))</f>
        <v>5.8627726400958746</v>
      </c>
      <c r="BZ16" s="13">
        <f>BY16*VLOOKUP('Données projet'!$B$12,Paramètres!$A$1:$I$89,3,0)*VLOOKUP('Données projet'!$B$12,Paramètres!$A$1:$I$89,5,0)</f>
        <v>5.6704736975007304</v>
      </c>
      <c r="CA16" s="13">
        <f t="shared" si="39"/>
        <v>2.1352568017564701</v>
      </c>
      <c r="CB16" s="20">
        <f t="shared" si="10"/>
        <v>13.594980619539625</v>
      </c>
      <c r="CC16" s="59">
        <f t="shared" si="11"/>
        <v>306.92831395287294</v>
      </c>
      <c r="CD16" s="59">
        <f ca="1">AVERAGE(OFFSET($CC$3,0,0,'Données projet'!$E$12+1,1))-AVERAGE(OFFSET($H$3,0,0,'Données projet'!$E$12+1,1))</f>
        <v>154.93882427988234</v>
      </c>
      <c r="CE16" s="59">
        <f t="shared" si="40"/>
        <v>56.347130462109817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>
        <f>EXP(-LN(2)/35)*CK15+(1-EXP(-LN(2)/35))/(LN(2)/35)*CG16*CH16*VLOOKUP('Données projet'!$B$12,Paramètres!$A$1:$I$89,3,0)*0.475*44/12</f>
        <v>0</v>
      </c>
      <c r="CL16" s="21">
        <f>EXP(-LN(2)/25)*CL15+(1-EXP(-LN(2)/25))/(LN(2)/25)*Calculateur!CG16*Calculateur!CI16*VLOOKUP('Données projet'!$B$12,Paramètres!$A$1:$I$89,3,0)*0.475*44/12</f>
        <v>0</v>
      </c>
      <c r="CM16" s="21">
        <f>EXP(-LN(2)/2)*CM15+(1-EXP(-LN(2)/2))/(LN(2)/2)*CG16*CJ16*VLOOKUP('Données projet'!$B$12,Paramètres!$A$1:$I$89,3,0)*0.475*44/12</f>
        <v>0</v>
      </c>
      <c r="CN16" s="22">
        <f t="shared" si="12"/>
        <v>0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12.448800000000002</v>
      </c>
      <c r="D17" s="11">
        <f t="shared" si="32"/>
        <v>4.2776644527179633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129.11656770519133</v>
      </c>
      <c r="H17" s="67">
        <f t="shared" si="1"/>
        <v>322.46525892181711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6</v>
      </c>
      <c r="N17" s="13">
        <f>IF('Données projet'!$A$36&gt;35,N16+M17-V16,IF(A17&lt;'Données projet'!$A$36,$K$205^A17,IF(A17='Données projet'!$A$36,'Données projet'!$B$36,N16+M17-V16)))</f>
        <v>28</v>
      </c>
      <c r="O17" s="13">
        <f>N17*VLOOKUP('Données projet'!$B$9,Paramètres!$A$1:$I$89,3,0)*VLOOKUP('Données projet'!$B$9,Paramètres!$A$1:$I$89,5,0)</f>
        <v>16.744000000000003</v>
      </c>
      <c r="P17" s="13">
        <f t="shared" si="33"/>
        <v>5.5584546605089464</v>
      </c>
      <c r="Q17" s="20">
        <f t="shared" si="2"/>
        <v>38.843441867053087</v>
      </c>
      <c r="R17" s="59">
        <f t="shared" si="0"/>
        <v>332.17677520038637</v>
      </c>
      <c r="S17" s="59">
        <f ca="1">AVERAGE(OFFSET($R$3,0,0,'Données projet'!$E$9+1,1))-AVERAGE(OFFSET($H$3,0,0,'Données projet'!$E$9+1,1))</f>
        <v>72.647148358003676</v>
      </c>
      <c r="T17" s="59">
        <f t="shared" si="34"/>
        <v>87.231299224620898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2.85</v>
      </c>
      <c r="AI17" s="13">
        <f>IF('Données projet'!$A$62&gt;35,AI16+AH17-AQ16,IF(A17&lt;'Données projet'!$A$62,$AF$205^A17,IF(A17='Données projet'!$A$62,'Données projet'!$B$62,AI16+AH17-AQ16)))</f>
        <v>16.94776365704034</v>
      </c>
      <c r="AJ17" s="13">
        <f>AI17*VLOOKUP('Données projet'!$B$10,Paramètres!$A$1:$I$89,3,0)*VLOOKUP('Données projet'!$B$10,Paramètres!$A$1:$I$89,5,0)</f>
        <v>13.748025878591124</v>
      </c>
      <c r="AK17" s="13">
        <f t="shared" si="35"/>
        <v>4.6698317128868991</v>
      </c>
      <c r="AL17" s="20">
        <f t="shared" si="4"/>
        <v>32.077768638490888</v>
      </c>
      <c r="AM17" s="59">
        <f t="shared" si="5"/>
        <v>325.41110197182422</v>
      </c>
      <c r="AN17" s="59">
        <f ca="1">AVERAGE(OFFSET($AM$3,0,0,'Données projet'!$E$10+1,1))-AVERAGE(OFFSET($H$3,0,0,'Données projet'!$E$10+1,1))</f>
        <v>145.3656871223958</v>
      </c>
      <c r="AO17" s="59">
        <f t="shared" si="36"/>
        <v>180.54762778843178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1.2</v>
      </c>
      <c r="BD17" s="12">
        <f>IF('Données projet'!$A$88&gt;35,BD16+BC17-BL16,IF(A17&lt;'Données projet'!$A$88,$BA$205^A17,IF(A17='Données projet'!$A$88,'Données projet'!$B$88,BD16+BC17-BL16)))</f>
        <v>6.7171941741218459</v>
      </c>
      <c r="BE17" s="13">
        <f>BD17*VLOOKUP('Données projet'!$B$11,Paramètres!$A$1:$I$89,3,0)*VLOOKUP('Données projet'!$B$11,Paramètres!$A$1:$I$89,5,0)</f>
        <v>6.077717288745446</v>
      </c>
      <c r="BF17" s="13">
        <f t="shared" si="37"/>
        <v>2.2702054705343011</v>
      </c>
      <c r="BG17" s="20">
        <f t="shared" si="7"/>
        <v>14.53929880574556</v>
      </c>
      <c r="BH17" s="59">
        <f t="shared" si="8"/>
        <v>307.87263213907886</v>
      </c>
      <c r="BI17" s="59">
        <f ca="1">AVERAGE(OFFSET($BH$3,0,0,'Données projet'!$E$11+1,1))-AVERAGE(OFFSET($H$3,0,0,'Données projet'!$E$11+1,1))</f>
        <v>138.8931001150624</v>
      </c>
      <c r="BJ17" s="59">
        <f t="shared" si="38"/>
        <v>48.964659354096625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>
        <f>EXP(-LN(2)/35)*BP16+(1-EXP(-LN(2)/35))/(LN(2)/35)*BL17*BM17*VLOOKUP('Données projet'!$B$11,Paramètres!$A$1:$I$89,3,0)*0.475*44/12</f>
        <v>0</v>
      </c>
      <c r="BQ17" s="21">
        <f>EXP(-LN(2)/25)*BQ16+(1-EXP(-LN(2)/25))/(LN(2)/25)*Calculateur!BL17*Calculateur!BN17*VLOOKUP('Données projet'!$B$11,Paramètres!$A$1:$I$89,3,0)*0.475*44/12</f>
        <v>0</v>
      </c>
      <c r="BR17" s="21">
        <f>EXP(-LN(2)/2)*BR16+(1-EXP(-LN(2)/2))/(LN(2)/2)*BL17*BO17*VLOOKUP('Données projet'!$B$11,Paramètres!$A$1:$I$89,3,0)*0.475*44/12</f>
        <v>0</v>
      </c>
      <c r="BS17" s="22">
        <f t="shared" si="9"/>
        <v>0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1.2</v>
      </c>
      <c r="BY17" s="12">
        <f>IF('Données projet'!$A$114&gt;35,BY16+BX17-CG16,IF(A17&lt;'Données projet'!$A$114,$BV$205^A17,IF(A17='Données projet'!$A$114,'Données projet'!$B$114,BY16+BX17-CG16)))</f>
        <v>6.7171941741218459</v>
      </c>
      <c r="BZ17" s="13">
        <f>BY17*VLOOKUP('Données projet'!$B$12,Paramètres!$A$1:$I$89,3,0)*VLOOKUP('Données projet'!$B$12,Paramètres!$A$1:$I$89,5,0)</f>
        <v>6.4968702052106497</v>
      </c>
      <c r="CA17" s="13">
        <f t="shared" si="39"/>
        <v>2.4080055723865681</v>
      </c>
      <c r="CB17" s="20">
        <f t="shared" si="10"/>
        <v>15.509325312648487</v>
      </c>
      <c r="CC17" s="59">
        <f t="shared" si="11"/>
        <v>308.84265864598183</v>
      </c>
      <c r="CD17" s="59">
        <f ca="1">AVERAGE(OFFSET($CC$3,0,0,'Données projet'!$E$12+1,1))-AVERAGE(OFFSET($H$3,0,0,'Données projet'!$E$12+1,1))</f>
        <v>154.93882427988234</v>
      </c>
      <c r="CE17" s="59">
        <f t="shared" si="40"/>
        <v>56.347130462109817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>
        <f>EXP(-LN(2)/35)*CK16+(1-EXP(-LN(2)/35))/(LN(2)/35)*CG17*CH17*VLOOKUP('Données projet'!$B$12,Paramètres!$A$1:$I$89,3,0)*0.475*44/12</f>
        <v>0</v>
      </c>
      <c r="CL17" s="21">
        <f>EXP(-LN(2)/25)*CL16+(1-EXP(-LN(2)/25))/(LN(2)/25)*Calculateur!CG17*Calculateur!CI17*VLOOKUP('Données projet'!$B$12,Paramètres!$A$1:$I$89,3,0)*0.475*44/12</f>
        <v>0</v>
      </c>
      <c r="CM17" s="21">
        <f>EXP(-LN(2)/2)*CM16+(1-EXP(-LN(2)/2))/(LN(2)/2)*CG17*CJ17*VLOOKUP('Données projet'!$B$12,Paramètres!$A$1:$I$89,3,0)*0.475*44/12</f>
        <v>0</v>
      </c>
      <c r="CN17" s="22">
        <f t="shared" si="12"/>
        <v>0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13.338000000000003</v>
      </c>
      <c r="D18" s="11">
        <f t="shared" si="32"/>
        <v>4.5465525901071517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138.0561954324061</v>
      </c>
      <c r="H18" s="67">
        <f t="shared" si="1"/>
        <v>324.48226242776991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6</v>
      </c>
      <c r="N18" s="13">
        <f>IF('Données projet'!$A$36&gt;35,N17+M18-V17,IF(A18&lt;'Données projet'!$A$36,$K$205^A18,IF(A18='Données projet'!$A$36,'Données projet'!$B$36,N17+M18-V17)))</f>
        <v>34</v>
      </c>
      <c r="O18" s="13">
        <f>N18*VLOOKUP('Données projet'!$B$9,Paramètres!$A$1:$I$89,3,0)*VLOOKUP('Données projet'!$B$9,Paramètres!$A$1:$I$89,5,0)</f>
        <v>20.332000000000001</v>
      </c>
      <c r="P18" s="13">
        <f t="shared" si="33"/>
        <v>6.5987245821741247</v>
      </c>
      <c r="Q18" s="20">
        <f t="shared" si="2"/>
        <v>46.904345313953264</v>
      </c>
      <c r="R18" s="59">
        <f t="shared" si="0"/>
        <v>340.2376786472866</v>
      </c>
      <c r="S18" s="59">
        <f ca="1">AVERAGE(OFFSET($R$3,0,0,'Données projet'!$E$9+1,1))-AVERAGE(OFFSET($H$3,0,0,'Données projet'!$E$9+1,1))</f>
        <v>72.647148358003676</v>
      </c>
      <c r="T18" s="59">
        <f t="shared" si="34"/>
        <v>87.231299224620898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2.85</v>
      </c>
      <c r="AI18" s="13">
        <f>IF('Données projet'!$A$62&gt;35,AI17+AH18-AQ17,IF(A18&lt;'Données projet'!$A$62,$AF$205^A18,IF(A18='Données projet'!$A$62,'Données projet'!$B$62,AI17+AH18-AQ17)))</f>
        <v>20.744651426583019</v>
      </c>
      <c r="AJ18" s="13">
        <f>AI18*VLOOKUP('Données projet'!$B$10,Paramètres!$A$1:$I$89,3,0)*VLOOKUP('Données projet'!$B$10,Paramètres!$A$1:$I$89,5,0)</f>
        <v>16.828061237244146</v>
      </c>
      <c r="AK18" s="13">
        <f t="shared" si="35"/>
        <v>5.5831048158452417</v>
      </c>
      <c r="AL18" s="20">
        <f t="shared" si="4"/>
        <v>39.03278087579735</v>
      </c>
      <c r="AM18" s="59">
        <f t="shared" si="5"/>
        <v>332.36611420913067</v>
      </c>
      <c r="AN18" s="59">
        <f ca="1">AVERAGE(OFFSET($AM$3,0,0,'Données projet'!$E$10+1,1))-AVERAGE(OFFSET($H$3,0,0,'Données projet'!$E$10+1,1))</f>
        <v>145.3656871223958</v>
      </c>
      <c r="AO18" s="59">
        <f t="shared" si="36"/>
        <v>180.54762778843178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1.2</v>
      </c>
      <c r="BD18" s="12">
        <f>IF('Données projet'!$A$88&gt;35,BD17+BC18-BL17,IF(A18&lt;'Données projet'!$A$88,$BA$205^A18,IF(A18='Données projet'!$A$88,'Données projet'!$B$88,BD17+BC18-BL17)))</f>
        <v>7.6961363407260848</v>
      </c>
      <c r="BE18" s="13">
        <f>BD18*VLOOKUP('Données projet'!$B$11,Paramètres!$A$1:$I$89,3,0)*VLOOKUP('Données projet'!$B$11,Paramètres!$A$1:$I$89,5,0)</f>
        <v>6.9634641610889609</v>
      </c>
      <c r="BF18" s="13">
        <f t="shared" si="37"/>
        <v>2.5601920195323435</v>
      </c>
      <c r="BG18" s="20">
        <f t="shared" si="7"/>
        <v>16.587034514582104</v>
      </c>
      <c r="BH18" s="59">
        <f t="shared" si="8"/>
        <v>309.92036784791543</v>
      </c>
      <c r="BI18" s="59">
        <f ca="1">AVERAGE(OFFSET($BH$3,0,0,'Données projet'!$E$11+1,1))-AVERAGE(OFFSET($H$3,0,0,'Données projet'!$E$11+1,1))</f>
        <v>138.8931001150624</v>
      </c>
      <c r="BJ18" s="59">
        <f t="shared" si="38"/>
        <v>48.964659354096625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>
        <f>EXP(-LN(2)/35)*BP17+(1-EXP(-LN(2)/35))/(LN(2)/35)*BL18*BM18*VLOOKUP('Données projet'!$B$11,Paramètres!$A$1:$I$89,3,0)*0.475*44/12</f>
        <v>0</v>
      </c>
      <c r="BQ18" s="21">
        <f>EXP(-LN(2)/25)*BQ17+(1-EXP(-LN(2)/25))/(LN(2)/25)*Calculateur!BL18*Calculateur!BN18*VLOOKUP('Données projet'!$B$11,Paramètres!$A$1:$I$89,3,0)*0.475*44/12</f>
        <v>0</v>
      </c>
      <c r="BR18" s="21">
        <f>EXP(-LN(2)/2)*BR17+(1-EXP(-LN(2)/2))/(LN(2)/2)*BL18*BO18*VLOOKUP('Données projet'!$B$11,Paramètres!$A$1:$I$89,3,0)*0.475*44/12</f>
        <v>0</v>
      </c>
      <c r="BS18" s="22">
        <f t="shared" si="9"/>
        <v>0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1.2</v>
      </c>
      <c r="BY18" s="12">
        <f>IF('Données projet'!$A$114&gt;35,BY17+BX18-CG17,IF(A18&lt;'Données projet'!$A$114,$BV$205^A18,IF(A18='Données projet'!$A$114,'Données projet'!$B$114,BY17+BX18-CG17)))</f>
        <v>7.6961363407260848</v>
      </c>
      <c r="BZ18" s="13">
        <f>BY18*VLOOKUP('Données projet'!$B$12,Paramètres!$A$1:$I$89,3,0)*VLOOKUP('Données projet'!$B$12,Paramètres!$A$1:$I$89,5,0)</f>
        <v>7.4437030687502697</v>
      </c>
      <c r="CA18" s="13">
        <f t="shared" si="39"/>
        <v>2.7155941298840056</v>
      </c>
      <c r="CB18" s="20">
        <f t="shared" si="10"/>
        <v>17.694109287621362</v>
      </c>
      <c r="CC18" s="59">
        <f t="shared" si="11"/>
        <v>311.02744262095467</v>
      </c>
      <c r="CD18" s="59">
        <f ca="1">AVERAGE(OFFSET($CC$3,0,0,'Données projet'!$E$12+1,1))-AVERAGE(OFFSET($H$3,0,0,'Données projet'!$E$12+1,1))</f>
        <v>154.93882427988234</v>
      </c>
      <c r="CE18" s="59">
        <f t="shared" si="40"/>
        <v>56.347130462109817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>
        <f>EXP(-LN(2)/35)*CK17+(1-EXP(-LN(2)/35))/(LN(2)/35)*CG18*CH18*VLOOKUP('Données projet'!$B$12,Paramètres!$A$1:$I$89,3,0)*0.475*44/12</f>
        <v>0</v>
      </c>
      <c r="CL18" s="21">
        <f>EXP(-LN(2)/25)*CL17+(1-EXP(-LN(2)/25))/(LN(2)/25)*Calculateur!CG18*Calculateur!CI18*VLOOKUP('Données projet'!$B$12,Paramètres!$A$1:$I$89,3,0)*0.475*44/12</f>
        <v>0</v>
      </c>
      <c r="CM18" s="21">
        <f>EXP(-LN(2)/2)*CM17+(1-EXP(-LN(2)/2))/(LN(2)/2)*CG18*CJ18*VLOOKUP('Données projet'!$B$12,Paramètres!$A$1:$I$89,3,0)*0.475*44/12</f>
        <v>0</v>
      </c>
      <c r="CN18" s="22">
        <f t="shared" si="12"/>
        <v>0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14.227200000000003</v>
      </c>
      <c r="D19" s="11">
        <f t="shared" si="32"/>
        <v>4.81336060460516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146.97976607063634</v>
      </c>
      <c r="H19" s="67">
        <f t="shared" si="1"/>
        <v>326.49564305302061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>
        <f>VLOOKUP(A19,'Données projet'!$A$35:$I$55,2,0)</f>
        <v>40</v>
      </c>
      <c r="L19" s="12">
        <f>VLOOKUP(A19,'Données projet'!$A$35:$I$55,9,0)</f>
        <v>6</v>
      </c>
      <c r="M19" s="12">
        <f t="array" ref="M19">INDEX(L:L,MIN(IF(ISNUMBER(L19:L215),ROW(L19:L215),"")))</f>
        <v>6</v>
      </c>
      <c r="N19" s="13">
        <f>IF('Données projet'!$A$36&gt;35,N18+M19-V18,IF(A19&lt;'Données projet'!$A$36,$K$205^A19,IF(A19='Données projet'!$A$36,'Données projet'!$B$36,N18+M19-V18)))</f>
        <v>40</v>
      </c>
      <c r="O19" s="13">
        <f>N19*VLOOKUP('Données projet'!$B$9,Paramètres!$A$1:$I$89,3,0)*VLOOKUP('Données projet'!$B$9,Paramètres!$A$1:$I$89,5,0)</f>
        <v>23.920000000000005</v>
      </c>
      <c r="P19" s="13">
        <f t="shared" si="33"/>
        <v>7.6177276101832296</v>
      </c>
      <c r="Q19" s="20">
        <f t="shared" si="2"/>
        <v>54.928208921069135</v>
      </c>
      <c r="R19" s="59">
        <f t="shared" si="0"/>
        <v>348.26154225440246</v>
      </c>
      <c r="S19" s="59">
        <f ca="1">AVERAGE(OFFSET($R$3,0,0,'Données projet'!$E$9+1,1))-AVERAGE(OFFSET($H$3,0,0,'Données projet'!$E$9+1,1))</f>
        <v>72.647148358003676</v>
      </c>
      <c r="T19" s="59">
        <f t="shared" si="34"/>
        <v>87.231299224620898</v>
      </c>
      <c r="U19" s="15">
        <f>IF(ISNA(VLOOKUP(A19,'Données projet'!$A$35:$I$55,3,0)),0,VLOOKUP(A19,'Données projet'!$A$35:$I$55,3,0))</f>
        <v>1</v>
      </c>
      <c r="V19" s="15">
        <f>IF(ISNA(VLOOKUP(A19,'Données projet'!$A$35:$I$55,4,0)),0,VLOOKUP(A19,'Données projet'!$A$35:$I$55,4,0))</f>
        <v>4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0.22500000000000001</v>
      </c>
      <c r="Y19" s="16">
        <f>IF(ISNA(VLOOKUP(A19,'Données projet'!$A$35:$I$55,7,0)),0%,VLOOKUP(A19,'Données projet'!$A$35:$I$55,7,0))</f>
        <v>0.5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0.71114586920931444</v>
      </c>
      <c r="AB19" s="21">
        <f>EXP(-LN(2)/2)*AB18+(1-EXP(-LN(2)/2))/(LN(2)/2)*V19*Y19*VLOOKUP('Données projet'!$B$9,Paramètres!$A$1:$I$89,3,0)*0.475*44/12</f>
        <v>1.3541498278416533</v>
      </c>
      <c r="AC19" s="22">
        <f t="shared" si="3"/>
        <v>2.0652956970509679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2.85</v>
      </c>
      <c r="AI19" s="13">
        <f>IF('Données projet'!$A$62&gt;35,AI18+AH19-AQ18,IF(A19&lt;'Données projet'!$A$62,$AF$205^A19,IF(A19='Données projet'!$A$62,'Données projet'!$B$62,AI18+AH19-AQ18)))</f>
        <v>25.392173948075062</v>
      </c>
      <c r="AJ19" s="13">
        <f>AI19*VLOOKUP('Données projet'!$B$10,Paramètres!$A$1:$I$89,3,0)*VLOOKUP('Données projet'!$B$10,Paramètres!$A$1:$I$89,5,0)</f>
        <v>20.598131506678492</v>
      </c>
      <c r="AK19" s="13">
        <f t="shared" si="35"/>
        <v>6.6749855886015084</v>
      </c>
      <c r="AL19" s="20">
        <f t="shared" si="4"/>
        <v>47.500678940945996</v>
      </c>
      <c r="AM19" s="59">
        <f t="shared" si="5"/>
        <v>340.8340122742793</v>
      </c>
      <c r="AN19" s="59">
        <f ca="1">AVERAGE(OFFSET($AM$3,0,0,'Données projet'!$E$10+1,1))-AVERAGE(OFFSET($H$3,0,0,'Données projet'!$E$10+1,1))</f>
        <v>145.3656871223958</v>
      </c>
      <c r="AO19" s="59">
        <f t="shared" si="36"/>
        <v>180.54762778843178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1.2</v>
      </c>
      <c r="BD19" s="12">
        <f>IF('Données projet'!$A$88&gt;35,BD18+BC19-BL18,IF(A19&lt;'Données projet'!$A$88,$BA$205^A19,IF(A19='Données projet'!$A$88,'Données projet'!$B$88,BD18+BC19-BL18)))</f>
        <v>8.8177463744060987</v>
      </c>
      <c r="BE19" s="13">
        <f>BD19*VLOOKUP('Données projet'!$B$11,Paramètres!$A$1:$I$89,3,0)*VLOOKUP('Données projet'!$B$11,Paramètres!$A$1:$I$89,5,0)</f>
        <v>7.9782969195626388</v>
      </c>
      <c r="BF19" s="13">
        <f t="shared" si="37"/>
        <v>2.887220237089136</v>
      </c>
      <c r="BG19" s="20">
        <f t="shared" si="7"/>
        <v>18.924109047835174</v>
      </c>
      <c r="BH19" s="59">
        <f t="shared" si="8"/>
        <v>312.25744238116852</v>
      </c>
      <c r="BI19" s="59">
        <f ca="1">AVERAGE(OFFSET($BH$3,0,0,'Données projet'!$E$11+1,1))-AVERAGE(OFFSET($H$3,0,0,'Données projet'!$E$11+1,1))</f>
        <v>138.8931001150624</v>
      </c>
      <c r="BJ19" s="59">
        <f t="shared" si="38"/>
        <v>48.964659354096625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>
        <f>EXP(-LN(2)/35)*BP18+(1-EXP(-LN(2)/35))/(LN(2)/35)*BL19*BM19*VLOOKUP('Données projet'!$B$11,Paramètres!$A$1:$I$89,3,0)*0.475*44/12</f>
        <v>0</v>
      </c>
      <c r="BQ19" s="21">
        <f>EXP(-LN(2)/25)*BQ18+(1-EXP(-LN(2)/25))/(LN(2)/25)*Calculateur!BL19*Calculateur!BN19*VLOOKUP('Données projet'!$B$11,Paramètres!$A$1:$I$89,3,0)*0.475*44/12</f>
        <v>0</v>
      </c>
      <c r="BR19" s="21">
        <f>EXP(-LN(2)/2)*BR18+(1-EXP(-LN(2)/2))/(LN(2)/2)*BL19*BO19*VLOOKUP('Données projet'!$B$11,Paramètres!$A$1:$I$89,3,0)*0.475*44/12</f>
        <v>0</v>
      </c>
      <c r="BS19" s="22">
        <f t="shared" si="9"/>
        <v>0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1.2</v>
      </c>
      <c r="BY19" s="12">
        <f>IF('Données projet'!$A$114&gt;35,BY18+BX19-CG18,IF(A19&lt;'Données projet'!$A$114,$BV$205^A19,IF(A19='Données projet'!$A$114,'Données projet'!$B$114,BY18+BX19-CG18)))</f>
        <v>8.8177463744060987</v>
      </c>
      <c r="BZ19" s="13">
        <f>BY19*VLOOKUP('Données projet'!$B$12,Paramètres!$A$1:$I$89,3,0)*VLOOKUP('Données projet'!$B$12,Paramètres!$A$1:$I$89,5,0)</f>
        <v>8.528524293325578</v>
      </c>
      <c r="CA19" s="13">
        <f t="shared" si="39"/>
        <v>3.0624727628647754</v>
      </c>
      <c r="CB19" s="20">
        <f t="shared" si="10"/>
        <v>20.187653206198199</v>
      </c>
      <c r="CC19" s="59">
        <f t="shared" si="11"/>
        <v>313.52098653953152</v>
      </c>
      <c r="CD19" s="59">
        <f ca="1">AVERAGE(OFFSET($CC$3,0,0,'Données projet'!$E$12+1,1))-AVERAGE(OFFSET($H$3,0,0,'Données projet'!$E$12+1,1))</f>
        <v>154.93882427988234</v>
      </c>
      <c r="CE19" s="59">
        <f t="shared" si="40"/>
        <v>56.347130462109817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>
        <f>EXP(-LN(2)/35)*CK18+(1-EXP(-LN(2)/35))/(LN(2)/35)*CG19*CH19*VLOOKUP('Données projet'!$B$12,Paramètres!$A$1:$I$89,3,0)*0.475*44/12</f>
        <v>0</v>
      </c>
      <c r="CL19" s="21">
        <f>EXP(-LN(2)/25)*CL18+(1-EXP(-LN(2)/25))/(LN(2)/25)*Calculateur!CG19*Calculateur!CI19*VLOOKUP('Données projet'!$B$12,Paramètres!$A$1:$I$89,3,0)*0.475*44/12</f>
        <v>0</v>
      </c>
      <c r="CM19" s="21">
        <f>EXP(-LN(2)/2)*CM18+(1-EXP(-LN(2)/2))/(LN(2)/2)*CG19*CJ19*VLOOKUP('Données projet'!$B$12,Paramètres!$A$1:$I$89,3,0)*0.475*44/12</f>
        <v>0</v>
      </c>
      <c r="CN19" s="22">
        <f t="shared" si="12"/>
        <v>0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15.116400000000004</v>
      </c>
      <c r="D20" s="11">
        <f t="shared" si="32"/>
        <v>5.0782333044806931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155.8883974380966</v>
      </c>
      <c r="H20" s="67">
        <f t="shared" si="1"/>
        <v>328.50565300530388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6.25</v>
      </c>
      <c r="N20" s="13">
        <f>IF('Données projet'!$A$36&gt;35,N19+M20-V19,IF(A20&lt;'Données projet'!$A$36,$K$205^A20,IF(A20='Données projet'!$A$36,'Données projet'!$B$36,N19+M20-V19)))</f>
        <v>42.25</v>
      </c>
      <c r="O20" s="13">
        <f>N20*VLOOKUP('Données projet'!$B$9,Paramètres!$A$1:$I$89,3,0)*VLOOKUP('Données projet'!$B$9,Paramètres!$A$1:$I$89,5,0)</f>
        <v>25.265500000000003</v>
      </c>
      <c r="P20" s="13">
        <f t="shared" si="33"/>
        <v>7.9951334090148665</v>
      </c>
      <c r="Q20" s="20">
        <f t="shared" si="2"/>
        <v>57.928936520700894</v>
      </c>
      <c r="R20" s="59">
        <f t="shared" si="0"/>
        <v>351.26226985403423</v>
      </c>
      <c r="S20" s="59">
        <f ca="1">AVERAGE(OFFSET($R$3,0,0,'Données projet'!$E$9+1,1))-AVERAGE(OFFSET($H$3,0,0,'Données projet'!$E$9+1,1))</f>
        <v>72.647148358003676</v>
      </c>
      <c r="T20" s="59">
        <f t="shared" si="34"/>
        <v>87.231299224620898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0.69169954801824984</v>
      </c>
      <c r="AB20" s="21">
        <f>EXP(-LN(2)/2)*AB19+(1-EXP(-LN(2)/2))/(LN(2)/2)*V20*Y20*VLOOKUP('Données projet'!$B$9,Paramètres!$A$1:$I$89,3,0)*0.475*44/12</f>
        <v>0.95752852600942895</v>
      </c>
      <c r="AC20" s="22">
        <f t="shared" si="3"/>
        <v>1.6492280740276788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2.85</v>
      </c>
      <c r="AI20" s="13">
        <f>IF('Données projet'!$A$62&gt;35,AI19+AH20-AQ19,IF(A20&lt;'Données projet'!$A$62,$AF$205^A20,IF(A20='Données projet'!$A$62,'Données projet'!$B$62,AI19+AH20-AQ19)))</f>
        <v>31.080902954246678</v>
      </c>
      <c r="AJ20" s="13">
        <f>AI20*VLOOKUP('Données projet'!$B$10,Paramètres!$A$1:$I$89,3,0)*VLOOKUP('Données projet'!$B$10,Paramètres!$A$1:$I$89,5,0)</f>
        <v>25.212828476484908</v>
      </c>
      <c r="AK20" s="13">
        <f t="shared" si="35"/>
        <v>7.9804041080486945</v>
      </c>
      <c r="AL20" s="20">
        <f t="shared" si="4"/>
        <v>57.811546751396016</v>
      </c>
      <c r="AM20" s="59">
        <f t="shared" si="5"/>
        <v>351.14488008472932</v>
      </c>
      <c r="AN20" s="59">
        <f ca="1">AVERAGE(OFFSET($AM$3,0,0,'Données projet'!$E$10+1,1))-AVERAGE(OFFSET($H$3,0,0,'Données projet'!$E$10+1,1))</f>
        <v>145.3656871223958</v>
      </c>
      <c r="AO20" s="59">
        <f t="shared" si="36"/>
        <v>180.54762778843178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1.2</v>
      </c>
      <c r="BD20" s="12">
        <f>IF('Données projet'!$A$88&gt;35,BD19+BC20-BL19,IF(A20&lt;'Données projet'!$A$88,$BA$205^A20,IF(A20='Données projet'!$A$88,'Données projet'!$B$88,BD19+BC20-BL19)))</f>
        <v>10.102816228956828</v>
      </c>
      <c r="BE20" s="13">
        <f>BD20*VLOOKUP('Données projet'!$B$11,Paramètres!$A$1:$I$89,3,0)*VLOOKUP('Données projet'!$B$11,Paramètres!$A$1:$I$89,5,0)</f>
        <v>9.1410281239601368</v>
      </c>
      <c r="BF20" s="13">
        <f t="shared" si="37"/>
        <v>3.2560216709759704</v>
      </c>
      <c r="BG20" s="20">
        <f t="shared" si="7"/>
        <v>21.591528392847053</v>
      </c>
      <c r="BH20" s="59">
        <f t="shared" si="8"/>
        <v>314.92486172618038</v>
      </c>
      <c r="BI20" s="59">
        <f ca="1">AVERAGE(OFFSET($BH$3,0,0,'Données projet'!$E$11+1,1))-AVERAGE(OFFSET($H$3,0,0,'Données projet'!$E$11+1,1))</f>
        <v>138.8931001150624</v>
      </c>
      <c r="BJ20" s="59">
        <f t="shared" si="38"/>
        <v>48.964659354096625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>
        <f>EXP(-LN(2)/35)*BP19+(1-EXP(-LN(2)/35))/(LN(2)/35)*BL20*BM20*VLOOKUP('Données projet'!$B$11,Paramètres!$A$1:$I$89,3,0)*0.475*44/12</f>
        <v>0</v>
      </c>
      <c r="BQ20" s="21">
        <f>EXP(-LN(2)/25)*BQ19+(1-EXP(-LN(2)/25))/(LN(2)/25)*Calculateur!BL20*Calculateur!BN20*VLOOKUP('Données projet'!$B$11,Paramètres!$A$1:$I$89,3,0)*0.475*44/12</f>
        <v>0</v>
      </c>
      <c r="BR20" s="21">
        <f>EXP(-LN(2)/2)*BR19+(1-EXP(-LN(2)/2))/(LN(2)/2)*BL20*BO20*VLOOKUP('Données projet'!$B$11,Paramètres!$A$1:$I$89,3,0)*0.475*44/12</f>
        <v>0</v>
      </c>
      <c r="BS20" s="22">
        <f t="shared" si="9"/>
        <v>0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1.2</v>
      </c>
      <c r="BY20" s="12">
        <f>IF('Données projet'!$A$114&gt;35,BY19+BX20-CG19,IF(A20&lt;'Données projet'!$A$114,$BV$205^A20,IF(A20='Données projet'!$A$114,'Données projet'!$B$114,BY19+BX20-CG19)))</f>
        <v>10.102816228956828</v>
      </c>
      <c r="BZ20" s="13">
        <f>BY20*VLOOKUP('Données projet'!$B$12,Paramètres!$A$1:$I$89,3,0)*VLOOKUP('Données projet'!$B$12,Paramètres!$A$1:$I$89,5,0)</f>
        <v>9.7714438566470445</v>
      </c>
      <c r="CA20" s="13">
        <f t="shared" si="39"/>
        <v>3.4536602211941068</v>
      </c>
      <c r="CB20" s="20">
        <f t="shared" si="10"/>
        <v>23.033722935573341</v>
      </c>
      <c r="CC20" s="59">
        <f t="shared" si="11"/>
        <v>316.36705626890665</v>
      </c>
      <c r="CD20" s="59">
        <f ca="1">AVERAGE(OFFSET($CC$3,0,0,'Données projet'!$E$12+1,1))-AVERAGE(OFFSET($H$3,0,0,'Données projet'!$E$12+1,1))</f>
        <v>154.93882427988234</v>
      </c>
      <c r="CE20" s="59">
        <f t="shared" si="40"/>
        <v>56.347130462109817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>
        <f>EXP(-LN(2)/35)*CK19+(1-EXP(-LN(2)/35))/(LN(2)/35)*CG20*CH20*VLOOKUP('Données projet'!$B$12,Paramètres!$A$1:$I$89,3,0)*0.475*44/12</f>
        <v>0</v>
      </c>
      <c r="CL20" s="21">
        <f>EXP(-LN(2)/25)*CL19+(1-EXP(-LN(2)/25))/(LN(2)/25)*Calculateur!CG20*Calculateur!CI20*VLOOKUP('Données projet'!$B$12,Paramètres!$A$1:$I$89,3,0)*0.475*44/12</f>
        <v>0</v>
      </c>
      <c r="CM20" s="21">
        <f>EXP(-LN(2)/2)*CM19+(1-EXP(-LN(2)/2))/(LN(2)/2)*CG20*CJ20*VLOOKUP('Données projet'!$B$12,Paramètres!$A$1:$I$89,3,0)*0.475*44/12</f>
        <v>0</v>
      </c>
      <c r="CN20" s="22">
        <f t="shared" si="12"/>
        <v>0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16.005600000000005</v>
      </c>
      <c r="D21" s="11">
        <f t="shared" si="32"/>
        <v>5.3412974993444182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164.78306841599206</v>
      </c>
      <c r="H21" s="67">
        <f t="shared" si="1"/>
        <v>330.51251314469152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6.25</v>
      </c>
      <c r="N21" s="13">
        <f>IF('Données projet'!$A$36&gt;35,N20+M21-V20,IF(A21&lt;'Données projet'!$A$36,$K$205^A21,IF(A21='Données projet'!$A$36,'Données projet'!$B$36,N20+M21-V20)))</f>
        <v>48.5</v>
      </c>
      <c r="O21" s="13">
        <f>N21*VLOOKUP('Données projet'!$B$9,Paramètres!$A$1:$I$89,3,0)*VLOOKUP('Données projet'!$B$9,Paramètres!$A$1:$I$89,5,0)</f>
        <v>29.003000000000004</v>
      </c>
      <c r="P21" s="13">
        <f t="shared" si="33"/>
        <v>9.0316402689048942</v>
      </c>
      <c r="Q21" s="20">
        <f t="shared" si="2"/>
        <v>66.243665135009351</v>
      </c>
      <c r="R21" s="59">
        <f t="shared" si="0"/>
        <v>359.57699846834265</v>
      </c>
      <c r="S21" s="59">
        <f ca="1">AVERAGE(OFFSET($R$3,0,0,'Données projet'!$E$9+1,1))-AVERAGE(OFFSET($H$3,0,0,'Données projet'!$E$9+1,1))</f>
        <v>72.647148358003676</v>
      </c>
      <c r="T21" s="59">
        <f t="shared" si="34"/>
        <v>87.231299224620898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0.67278498750279248</v>
      </c>
      <c r="AB21" s="21">
        <f>EXP(-LN(2)/2)*AB20+(1-EXP(-LN(2)/2))/(LN(2)/2)*V21*Y21*VLOOKUP('Données projet'!$B$9,Paramètres!$A$1:$I$89,3,0)*0.475*44/12</f>
        <v>0.67707491392082675</v>
      </c>
      <c r="AC21" s="22">
        <f t="shared" si="3"/>
        <v>1.3498599014236192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2.85</v>
      </c>
      <c r="AI21" s="13">
        <f>IF('Données projet'!$A$62&gt;35,AI20+AH21-AQ20,IF(A21&lt;'Données projet'!$A$62,$AF$205^A21,IF(A21='Données projet'!$A$62,'Données projet'!$B$62,AI20+AH21-AQ20)))</f>
        <v>38.044104865803838</v>
      </c>
      <c r="AJ21" s="13">
        <f>AI21*VLOOKUP('Données projet'!$B$10,Paramètres!$A$1:$I$89,3,0)*VLOOKUP('Données projet'!$B$10,Paramètres!$A$1:$I$89,5,0)</f>
        <v>30.861377867140074</v>
      </c>
      <c r="AK21" s="13">
        <f t="shared" si="35"/>
        <v>9.5411216821973106</v>
      </c>
      <c r="AL21" s="20">
        <f t="shared" si="4"/>
        <v>70.367686715095942</v>
      </c>
      <c r="AM21" s="59">
        <f t="shared" si="5"/>
        <v>363.70102004842926</v>
      </c>
      <c r="AN21" s="59">
        <f ca="1">AVERAGE(OFFSET($AM$3,0,0,'Données projet'!$E$10+1,1))-AVERAGE(OFFSET($H$3,0,0,'Données projet'!$E$10+1,1))</f>
        <v>145.3656871223958</v>
      </c>
      <c r="AO21" s="59">
        <f t="shared" si="36"/>
        <v>180.54762778843178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1.2</v>
      </c>
      <c r="BD21" s="12">
        <f>IF('Données projet'!$A$88&gt;35,BD20+BC21-BL20,IF(A21&lt;'Données projet'!$A$88,$BA$205^A21,IF(A21='Données projet'!$A$88,'Données projet'!$B$88,BD20+BC21-BL20)))</f>
        <v>11.575168010312384</v>
      </c>
      <c r="BE21" s="13">
        <f>BD21*VLOOKUP('Données projet'!$B$11,Paramètres!$A$1:$I$89,3,0)*VLOOKUP('Données projet'!$B$11,Paramètres!$A$1:$I$89,5,0)</f>
        <v>10.473212015730644</v>
      </c>
      <c r="BF21" s="13">
        <f t="shared" si="37"/>
        <v>3.6719322570811741</v>
      </c>
      <c r="BG21" s="20">
        <f t="shared" si="7"/>
        <v>24.636126275147248</v>
      </c>
      <c r="BH21" s="59">
        <f t="shared" si="8"/>
        <v>317.96945960848058</v>
      </c>
      <c r="BI21" s="59">
        <f ca="1">AVERAGE(OFFSET($BH$3,0,0,'Données projet'!$E$11+1,1))-AVERAGE(OFFSET($H$3,0,0,'Données projet'!$E$11+1,1))</f>
        <v>138.8931001150624</v>
      </c>
      <c r="BJ21" s="59">
        <f t="shared" si="38"/>
        <v>48.964659354096625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>
        <f>EXP(-LN(2)/35)*BP20+(1-EXP(-LN(2)/35))/(LN(2)/35)*BL21*BM21*VLOOKUP('Données projet'!$B$11,Paramètres!$A$1:$I$89,3,0)*0.475*44/12</f>
        <v>0</v>
      </c>
      <c r="BQ21" s="21">
        <f>EXP(-LN(2)/25)*BQ20+(1-EXP(-LN(2)/25))/(LN(2)/25)*Calculateur!BL21*Calculateur!BN21*VLOOKUP('Données projet'!$B$11,Paramètres!$A$1:$I$89,3,0)*0.475*44/12</f>
        <v>0</v>
      </c>
      <c r="BR21" s="21">
        <f>EXP(-LN(2)/2)*BR20+(1-EXP(-LN(2)/2))/(LN(2)/2)*BL21*BO21*VLOOKUP('Données projet'!$B$11,Paramètres!$A$1:$I$89,3,0)*0.475*44/12</f>
        <v>0</v>
      </c>
      <c r="BS21" s="22">
        <f t="shared" si="9"/>
        <v>0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1.2</v>
      </c>
      <c r="BY21" s="12">
        <f>IF('Données projet'!$A$114&gt;35,BY20+BX21-CG20,IF(A21&lt;'Données projet'!$A$114,$BV$205^A21,IF(A21='Données projet'!$A$114,'Données projet'!$B$114,BY20+BX21-CG20)))</f>
        <v>11.575168010312384</v>
      </c>
      <c r="BZ21" s="13">
        <f>BY21*VLOOKUP('Données projet'!$B$12,Paramètres!$A$1:$I$89,3,0)*VLOOKUP('Données projet'!$B$12,Paramètres!$A$1:$I$89,5,0)</f>
        <v>11.195502499574138</v>
      </c>
      <c r="CA21" s="13">
        <f t="shared" si="39"/>
        <v>3.8948163288481799</v>
      </c>
      <c r="CB21" s="20">
        <f t="shared" si="10"/>
        <v>26.282305292835535</v>
      </c>
      <c r="CC21" s="59">
        <f t="shared" si="11"/>
        <v>319.61563862616885</v>
      </c>
      <c r="CD21" s="59">
        <f ca="1">AVERAGE(OFFSET($CC$3,0,0,'Données projet'!$E$12+1,1))-AVERAGE(OFFSET($H$3,0,0,'Données projet'!$E$12+1,1))</f>
        <v>154.93882427988234</v>
      </c>
      <c r="CE21" s="59">
        <f t="shared" si="40"/>
        <v>56.347130462109817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>
        <f>EXP(-LN(2)/35)*CK20+(1-EXP(-LN(2)/35))/(LN(2)/35)*CG21*CH21*VLOOKUP('Données projet'!$B$12,Paramètres!$A$1:$I$89,3,0)*0.475*44/12</f>
        <v>0</v>
      </c>
      <c r="CL21" s="21">
        <f>EXP(-LN(2)/25)*CL20+(1-EXP(-LN(2)/25))/(LN(2)/25)*Calculateur!CG21*Calculateur!CI21*VLOOKUP('Données projet'!$B$12,Paramètres!$A$1:$I$89,3,0)*0.475*44/12</f>
        <v>0</v>
      </c>
      <c r="CM21" s="21">
        <f>EXP(-LN(2)/2)*CM20+(1-EXP(-LN(2)/2))/(LN(2)/2)*CG21*CJ21*VLOOKUP('Données projet'!$B$12,Paramètres!$A$1:$I$89,3,0)*0.475*44/12</f>
        <v>0</v>
      </c>
      <c r="CN21" s="22">
        <f t="shared" si="12"/>
        <v>0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16.894800000000004</v>
      </c>
      <c r="D22" s="11">
        <f t="shared" si="32"/>
        <v>5.6026651130643481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173.66464297804058</v>
      </c>
      <c r="H22" s="67">
        <f t="shared" si="1"/>
        <v>332.51641840525372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6.25</v>
      </c>
      <c r="N22" s="13">
        <f>IF('Données projet'!$A$36&gt;35,N21+M22-V21,IF(A22&lt;'Données projet'!$A$36,$K$205^A22,IF(A22='Données projet'!$A$36,'Données projet'!$B$36,N21+M22-V21)))</f>
        <v>54.75</v>
      </c>
      <c r="O22" s="13">
        <f>N22*VLOOKUP('Données projet'!$B$9,Paramètres!$A$1:$I$89,3,0)*VLOOKUP('Données projet'!$B$9,Paramètres!$A$1:$I$89,5,0)</f>
        <v>32.740500000000004</v>
      </c>
      <c r="P22" s="13">
        <f t="shared" si="33"/>
        <v>10.052670379991662</v>
      </c>
      <c r="Q22" s="20">
        <f t="shared" si="2"/>
        <v>74.531438411818826</v>
      </c>
      <c r="R22" s="59">
        <f t="shared" si="0"/>
        <v>367.86477174515215</v>
      </c>
      <c r="S22" s="59">
        <f ca="1">AVERAGE(OFFSET($R$3,0,0,'Données projet'!$E$9+1,1))-AVERAGE(OFFSET($H$3,0,0,'Données projet'!$E$9+1,1))</f>
        <v>72.647148358003676</v>
      </c>
      <c r="T22" s="59">
        <f t="shared" si="34"/>
        <v>87.231299224620898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0.65438764663930382</v>
      </c>
      <c r="AB22" s="21">
        <f>EXP(-LN(2)/2)*AB21+(1-EXP(-LN(2)/2))/(LN(2)/2)*V22*Y22*VLOOKUP('Données projet'!$B$9,Paramètres!$A$1:$I$89,3,0)*0.475*44/12</f>
        <v>0.47876426300471459</v>
      </c>
      <c r="AC22" s="22">
        <f t="shared" si="3"/>
        <v>1.1331519096440184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2.85</v>
      </c>
      <c r="AI22" s="13">
        <f>IF('Données projet'!$A$62&gt;35,AI21+AH22-AQ21,IF(A22&lt;'Données projet'!$A$62,$AF$205^A22,IF(A22='Données projet'!$A$62,'Données projet'!$B$62,AI21+AH22-AQ21)))</f>
        <v>46.567305884609858</v>
      </c>
      <c r="AJ22" s="13">
        <f>AI22*VLOOKUP('Données projet'!$B$10,Paramètres!$A$1:$I$89,3,0)*VLOOKUP('Données projet'!$B$10,Paramètres!$A$1:$I$89,5,0)</f>
        <v>37.775398533595521</v>
      </c>
      <c r="AK22" s="13">
        <f t="shared" si="35"/>
        <v>11.407066825436033</v>
      </c>
      <c r="AL22" s="20">
        <f t="shared" si="4"/>
        <v>85.659460500313287</v>
      </c>
      <c r="AM22" s="59">
        <f t="shared" si="5"/>
        <v>378.9927938336466</v>
      </c>
      <c r="AN22" s="59">
        <f ca="1">AVERAGE(OFFSET($AM$3,0,0,'Données projet'!$E$10+1,1))-AVERAGE(OFFSET($H$3,0,0,'Données projet'!$E$10+1,1))</f>
        <v>145.3656871223958</v>
      </c>
      <c r="AO22" s="59">
        <f t="shared" si="36"/>
        <v>180.54762778843178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1.2</v>
      </c>
      <c r="BD22" s="12">
        <f>IF('Données projet'!$A$88&gt;35,BD21+BC22-BL21,IF(A22&lt;'Données projet'!$A$88,$BA$205^A22,IF(A22='Données projet'!$A$88,'Données projet'!$B$88,BD21+BC22-BL21)))</f>
        <v>13.262095581124292</v>
      </c>
      <c r="BE22" s="13">
        <f>BD22*VLOOKUP('Données projet'!$B$11,Paramètres!$A$1:$I$89,3,0)*VLOOKUP('Données projet'!$B$11,Paramètres!$A$1:$I$89,5,0)</f>
        <v>11.999544081801259</v>
      </c>
      <c r="BF22" s="13">
        <f t="shared" si="37"/>
        <v>4.1409695214196116</v>
      </c>
      <c r="BG22" s="20">
        <f t="shared" si="7"/>
        <v>28.111394525609683</v>
      </c>
      <c r="BH22" s="59">
        <f t="shared" si="8"/>
        <v>321.444727858943</v>
      </c>
      <c r="BI22" s="59">
        <f ca="1">AVERAGE(OFFSET($BH$3,0,0,'Données projet'!$E$11+1,1))-AVERAGE(OFFSET($H$3,0,0,'Données projet'!$E$11+1,1))</f>
        <v>138.8931001150624</v>
      </c>
      <c r="BJ22" s="59">
        <f t="shared" si="38"/>
        <v>48.964659354096625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>
        <f>EXP(-LN(2)/35)*BP21+(1-EXP(-LN(2)/35))/(LN(2)/35)*BL22*BM22*VLOOKUP('Données projet'!$B$11,Paramètres!$A$1:$I$89,3,0)*0.475*44/12</f>
        <v>0</v>
      </c>
      <c r="BQ22" s="21">
        <f>EXP(-LN(2)/25)*BQ21+(1-EXP(-LN(2)/25))/(LN(2)/25)*Calculateur!BL22*Calculateur!BN22*VLOOKUP('Données projet'!$B$11,Paramètres!$A$1:$I$89,3,0)*0.475*44/12</f>
        <v>0</v>
      </c>
      <c r="BR22" s="21">
        <f>EXP(-LN(2)/2)*BR21+(1-EXP(-LN(2)/2))/(LN(2)/2)*BL22*BO22*VLOOKUP('Données projet'!$B$11,Paramètres!$A$1:$I$89,3,0)*0.475*44/12</f>
        <v>0</v>
      </c>
      <c r="BS22" s="22">
        <f t="shared" si="9"/>
        <v>0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1.2</v>
      </c>
      <c r="BY22" s="12">
        <f>IF('Données projet'!$A$114&gt;35,BY21+BX22-CG21,IF(A22&lt;'Données projet'!$A$114,$BV$205^A22,IF(A22='Données projet'!$A$114,'Données projet'!$B$114,BY21+BX22-CG21)))</f>
        <v>13.262095581124292</v>
      </c>
      <c r="BZ22" s="13">
        <f>BY22*VLOOKUP('Données projet'!$B$12,Paramètres!$A$1:$I$89,3,0)*VLOOKUP('Données projet'!$B$12,Paramètres!$A$1:$I$89,5,0)</f>
        <v>12.827098846063416</v>
      </c>
      <c r="CA22" s="13">
        <f t="shared" si="39"/>
        <v>4.3923238720390128</v>
      </c>
      <c r="CB22" s="20">
        <f t="shared" si="10"/>
        <v>29.990494567361733</v>
      </c>
      <c r="CC22" s="59">
        <f t="shared" si="11"/>
        <v>323.32382790069505</v>
      </c>
      <c r="CD22" s="59">
        <f ca="1">AVERAGE(OFFSET($CC$3,0,0,'Données projet'!$E$12+1,1))-AVERAGE(OFFSET($H$3,0,0,'Données projet'!$E$12+1,1))</f>
        <v>154.93882427988234</v>
      </c>
      <c r="CE22" s="59">
        <f t="shared" si="40"/>
        <v>56.347130462109817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>
        <f>EXP(-LN(2)/35)*CK21+(1-EXP(-LN(2)/35))/(LN(2)/35)*CG22*CH22*VLOOKUP('Données projet'!$B$12,Paramètres!$A$1:$I$89,3,0)*0.475*44/12</f>
        <v>0</v>
      </c>
      <c r="CL22" s="21">
        <f>EXP(-LN(2)/25)*CL21+(1-EXP(-LN(2)/25))/(LN(2)/25)*Calculateur!CG22*Calculateur!CI22*VLOOKUP('Données projet'!$B$12,Paramètres!$A$1:$I$89,3,0)*0.475*44/12</f>
        <v>0</v>
      </c>
      <c r="CM22" s="21">
        <f>EXP(-LN(2)/2)*CM21+(1-EXP(-LN(2)/2))/(LN(2)/2)*CG22*CJ22*VLOOKUP('Données projet'!$B$12,Paramètres!$A$1:$I$89,3,0)*0.475*44/12</f>
        <v>0</v>
      </c>
      <c r="CN22" s="22">
        <f t="shared" si="12"/>
        <v>0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17.784000000000002</v>
      </c>
      <c r="D23" s="11">
        <f t="shared" si="32"/>
        <v>5.862435622634961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182.5338890168313</v>
      </c>
      <c r="H23" s="67">
        <f t="shared" si="1"/>
        <v>334.51754204275585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>
        <f>VLOOKUP(A23,'Données projet'!$A$35:$I$55,2,0)</f>
        <v>61</v>
      </c>
      <c r="L23" s="12">
        <f>VLOOKUP(A23,'Données projet'!$A$35:$I$55,9,0)</f>
        <v>6.25</v>
      </c>
      <c r="M23" s="12">
        <f t="array" ref="M23">INDEX(L:L,MIN(IF(ISNUMBER(L23:L219),ROW(L23:L219),"")))</f>
        <v>6.25</v>
      </c>
      <c r="N23" s="13">
        <f>IF('Données projet'!$A$36&gt;35,N22+M23-V22,IF(A23&lt;'Données projet'!$A$36,$K$205^A23,IF(A23='Données projet'!$A$36,'Données projet'!$B$36,N22+M23-V22)))</f>
        <v>61</v>
      </c>
      <c r="O23" s="13">
        <f>N23*VLOOKUP('Données projet'!$B$9,Paramètres!$A$1:$I$89,3,0)*VLOOKUP('Données projet'!$B$9,Paramètres!$A$1:$I$89,5,0)</f>
        <v>36.478000000000002</v>
      </c>
      <c r="P23" s="13">
        <f t="shared" si="33"/>
        <v>11.06019217991456</v>
      </c>
      <c r="Q23" s="20">
        <f t="shared" si="2"/>
        <v>82.795684713351179</v>
      </c>
      <c r="R23" s="59">
        <f t="shared" si="0"/>
        <v>376.12901804668451</v>
      </c>
      <c r="S23" s="59">
        <f ca="1">AVERAGE(OFFSET($R$3,0,0,'Données projet'!$E$9+1,1))-AVERAGE(OFFSET($H$3,0,0,'Données projet'!$E$9+1,1))</f>
        <v>72.647148358003676</v>
      </c>
      <c r="T23" s="59">
        <f t="shared" si="34"/>
        <v>87.231299224620898</v>
      </c>
      <c r="U23" s="15">
        <f>IF(ISNA(VLOOKUP(A23,'Données projet'!$A$35:$I$55,3,0)),0,VLOOKUP(A23,'Données projet'!$A$35:$I$55,3,0))</f>
        <v>2</v>
      </c>
      <c r="V23" s="15">
        <f>IF(ISNA(VLOOKUP(A23,'Données projet'!$A$35:$I$55,4,0)),0,VLOOKUP(A23,'Données projet'!$A$35:$I$55,4,0))</f>
        <v>5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0.22500000000000001</v>
      </c>
      <c r="Y23" s="16">
        <f>IF(ISNA(VLOOKUP(A23,'Données projet'!$A$35:$I$55,7,0)),0%,VLOOKUP(A23,'Données projet'!$A$35:$I$55,7,0))</f>
        <v>0.5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1.5254257185408444</v>
      </c>
      <c r="AB23" s="21">
        <f>EXP(-LN(2)/2)*AB22+(1-EXP(-LN(2)/2))/(LN(2)/2)*V23*Y23*VLOOKUP('Données projet'!$B$9,Paramètres!$A$1:$I$89,3,0)*0.475*44/12</f>
        <v>2.0312247417624798</v>
      </c>
      <c r="AC23" s="22">
        <f t="shared" si="3"/>
        <v>3.5566504603033242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57</v>
      </c>
      <c r="AG23" s="12">
        <f>VLOOKUP(A23,'Données projet'!$A$61:$I$81,9,0)</f>
        <v>2.85</v>
      </c>
      <c r="AH23" s="12">
        <f t="array" ref="AH23">INDEX(AG:AG,MIN(IF(ISNUMBER(AG23:AG219),ROW(AG23:AG219),"")))</f>
        <v>2.85</v>
      </c>
      <c r="AI23" s="13">
        <f>IF('Données projet'!$A$62&gt;35,AI22+AH23-AQ22,IF(A23&lt;'Données projet'!$A$62,$AF$205^A23,IF(A23='Données projet'!$A$62,'Données projet'!$B$62,AI22+AH23-AQ22)))</f>
        <v>57</v>
      </c>
      <c r="AJ23" s="13">
        <f>AI23*VLOOKUP('Données projet'!$B$10,Paramètres!$A$1:$I$89,3,0)*VLOOKUP('Données projet'!$B$10,Paramètres!$A$1:$I$89,5,0)</f>
        <v>46.238400000000006</v>
      </c>
      <c r="AK23" s="13">
        <f t="shared" si="35"/>
        <v>13.637932508790355</v>
      </c>
      <c r="AL23" s="20">
        <f t="shared" si="4"/>
        <v>104.28461245280988</v>
      </c>
      <c r="AM23" s="59">
        <f t="shared" si="5"/>
        <v>397.6179457861432</v>
      </c>
      <c r="AN23" s="59">
        <f ca="1">AVERAGE(OFFSET($AM$3,0,0,'Données projet'!$E$10+1,1))-AVERAGE(OFFSET($H$3,0,0,'Données projet'!$E$10+1,1))</f>
        <v>145.3656871223958</v>
      </c>
      <c r="AO23" s="59">
        <f t="shared" si="36"/>
        <v>180.54762778843178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21</v>
      </c>
      <c r="AR23" s="16">
        <f>IF(ISNA(VLOOKUP(A23,'Données projet'!$A$61:$I$81,5,0)),0%,VLOOKUP(A23,'Données projet'!$A$61:$I$81,5,0)*VLOOKUP('Données projet'!$B$10,Paramètres!$A$1:$I$89,7,0))</f>
        <v>0</v>
      </c>
      <c r="AS23" s="16">
        <f>IF(ISNA(VLOOKUP(A23,'Données projet'!$A$61:$I$81,6,0)),0%,VLOOKUP(A23,'Données projet'!$A$61:$I$81,6,0)*VLOOKUP('Données projet'!$B$10,Paramètres!$A$1:$I$89,7,0))</f>
        <v>0.1075</v>
      </c>
      <c r="AT23" s="16">
        <f>IF(ISNA(VLOOKUP(A23,'Données projet'!$A$61:$I$81,7,0)),0%,VLOOKUP(A23,'Données projet'!$A$61:$I$81,7,0))</f>
        <v>0.25</v>
      </c>
      <c r="AU23" s="21">
        <f>EXP(-LN(2)/35)*AU22+(1-EXP(-LN(2)/35))/(LN(2)/35)*AQ23*AR23*VLOOKUP('Données projet'!$B$10,Paramètres!$A$1:$I$89,3,0)*0.475*44/12</f>
        <v>0</v>
      </c>
      <c r="AV23" s="21">
        <f>EXP(-LN(2)/25)*AV22+(1-EXP(-LN(2)/25))/(LN(2)/25)*Calculateur!AQ23*Calculateur!AS23*VLOOKUP('Données projet'!$B$10,Paramètres!$A$1:$I$89,3,0)*0.475*44/12</f>
        <v>2.0164592653739475</v>
      </c>
      <c r="AW23" s="21">
        <f>EXP(-LN(2)/2)*AW22+(1-EXP(-LN(2)/2))/(LN(2)/2)*AQ23*AT23*VLOOKUP('Données projet'!$B$10,Paramètres!$A$1:$I$89,3,0)*0.475*44/12</f>
        <v>4.0182924239214275</v>
      </c>
      <c r="AX23" s="21">
        <f t="shared" si="6"/>
        <v>6.0347516892953745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1.2</v>
      </c>
      <c r="BD23" s="12">
        <f>IF('Données projet'!$A$88&gt;35,BD22+BC23-BL22,IF(A23&lt;'Données projet'!$A$88,$BA$205^A23,IF(A23='Données projet'!$A$88,'Données projet'!$B$88,BD22+BC23-BL22)))</f>
        <v>15.194870523363559</v>
      </c>
      <c r="BE23" s="13">
        <f>BD23*VLOOKUP('Données projet'!$B$11,Paramètres!$A$1:$I$89,3,0)*VLOOKUP('Données projet'!$B$11,Paramètres!$A$1:$I$89,5,0)</f>
        <v>13.748318849539347</v>
      </c>
      <c r="BF23" s="13">
        <f t="shared" si="37"/>
        <v>4.6699196436038939</v>
      </c>
      <c r="BG23" s="20">
        <f t="shared" si="7"/>
        <v>32.078432042224485</v>
      </c>
      <c r="BH23" s="59">
        <f t="shared" si="8"/>
        <v>325.41176537555782</v>
      </c>
      <c r="BI23" s="59">
        <f ca="1">AVERAGE(OFFSET($BH$3,0,0,'Données projet'!$E$11+1,1))-AVERAGE(OFFSET($H$3,0,0,'Données projet'!$E$11+1,1))</f>
        <v>138.8931001150624</v>
      </c>
      <c r="BJ23" s="59">
        <f t="shared" si="38"/>
        <v>48.964659354096625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>
        <f>EXP(-LN(2)/35)*BP22+(1-EXP(-LN(2)/35))/(LN(2)/35)*BL23*BM23*VLOOKUP('Données projet'!$B$11,Paramètres!$A$1:$I$89,3,0)*0.475*44/12</f>
        <v>0</v>
      </c>
      <c r="BQ23" s="21">
        <f>EXP(-LN(2)/25)*BQ22+(1-EXP(-LN(2)/25))/(LN(2)/25)*Calculateur!BL23*Calculateur!BN23*VLOOKUP('Données projet'!$B$11,Paramètres!$A$1:$I$89,3,0)*0.475*44/12</f>
        <v>0</v>
      </c>
      <c r="BR23" s="21">
        <f>EXP(-LN(2)/2)*BR22+(1-EXP(-LN(2)/2))/(LN(2)/2)*BL23*BO23*VLOOKUP('Données projet'!$B$11,Paramètres!$A$1:$I$89,3,0)*0.475*44/12</f>
        <v>0</v>
      </c>
      <c r="BS23" s="22">
        <f t="shared" si="9"/>
        <v>0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1.2</v>
      </c>
      <c r="BY23" s="12">
        <f>IF('Données projet'!$A$114&gt;35,BY22+BX23-CG22,IF(A23&lt;'Données projet'!$A$114,$BV$205^A23,IF(A23='Données projet'!$A$114,'Données projet'!$B$114,BY22+BX23-CG22)))</f>
        <v>15.194870523363559</v>
      </c>
      <c r="BZ23" s="13">
        <f>BY23*VLOOKUP('Données projet'!$B$12,Paramètres!$A$1:$I$89,3,0)*VLOOKUP('Données projet'!$B$12,Paramètres!$A$1:$I$89,5,0)</f>
        <v>14.696478770197235</v>
      </c>
      <c r="CA23" s="13">
        <f t="shared" si="39"/>
        <v>4.9533809473858224</v>
      </c>
      <c r="CB23" s="20">
        <f t="shared" si="10"/>
        <v>34.223505674790481</v>
      </c>
      <c r="CC23" s="59">
        <f t="shared" si="11"/>
        <v>327.5568390081238</v>
      </c>
      <c r="CD23" s="59">
        <f ca="1">AVERAGE(OFFSET($CC$3,0,0,'Données projet'!$E$12+1,1))-AVERAGE(OFFSET($H$3,0,0,'Données projet'!$E$12+1,1))</f>
        <v>154.93882427988234</v>
      </c>
      <c r="CE23" s="59">
        <f t="shared" si="40"/>
        <v>56.347130462109817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>
        <f>EXP(-LN(2)/35)*CK22+(1-EXP(-LN(2)/35))/(LN(2)/35)*CG23*CH23*VLOOKUP('Données projet'!$B$12,Paramètres!$A$1:$I$89,3,0)*0.475*44/12</f>
        <v>0</v>
      </c>
      <c r="CL23" s="21">
        <f>EXP(-LN(2)/25)*CL22+(1-EXP(-LN(2)/25))/(LN(2)/25)*Calculateur!CG23*Calculateur!CI23*VLOOKUP('Données projet'!$B$12,Paramètres!$A$1:$I$89,3,0)*0.475*44/12</f>
        <v>0</v>
      </c>
      <c r="CM23" s="21">
        <f>EXP(-LN(2)/2)*CM22+(1-EXP(-LN(2)/2))/(LN(2)/2)*CG23*CJ23*VLOOKUP('Données projet'!$B$12,Paramètres!$A$1:$I$89,3,0)*0.475*44/12</f>
        <v>0</v>
      </c>
      <c r="CN23" s="22">
        <f t="shared" si="12"/>
        <v>0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18.673200000000001</v>
      </c>
      <c r="D24" s="11">
        <f t="shared" si="32"/>
        <v>6.1206979954107776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191.3914932979078</v>
      </c>
      <c r="H24" s="67">
        <f t="shared" si="1"/>
        <v>336.51603900867377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8.25</v>
      </c>
      <c r="N24" s="13">
        <f>IF('Données projet'!$A$36&gt;35,N23+M24-V23,IF(A24&lt;'Données projet'!$A$36,$K$205^A24,IF(A24='Données projet'!$A$36,'Données projet'!$B$36,N23+M24-V23)))</f>
        <v>64.25</v>
      </c>
      <c r="O24" s="13">
        <f>N24*VLOOKUP('Données projet'!$B$9,Paramètres!$A$1:$I$89,3,0)*VLOOKUP('Données projet'!$B$9,Paramètres!$A$1:$I$89,5,0)</f>
        <v>38.421500000000002</v>
      </c>
      <c r="P24" s="13">
        <f t="shared" si="33"/>
        <v>11.579289990190409</v>
      </c>
      <c r="Q24" s="20">
        <f t="shared" si="2"/>
        <v>87.08470923291496</v>
      </c>
      <c r="R24" s="59">
        <f t="shared" si="0"/>
        <v>380.41804256624829</v>
      </c>
      <c r="S24" s="59">
        <f ca="1">AVERAGE(OFFSET($R$3,0,0,'Données projet'!$E$9+1,1))-AVERAGE(OFFSET($H$3,0,0,'Données projet'!$E$9+1,1))</f>
        <v>72.647148358003676</v>
      </c>
      <c r="T24" s="59">
        <f t="shared" si="34"/>
        <v>87.231299224620898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1.483712872048693</v>
      </c>
      <c r="AB24" s="21">
        <f>EXP(-LN(2)/2)*AB23+(1-EXP(-LN(2)/2))/(LN(2)/2)*V24*Y24*VLOOKUP('Données projet'!$B$9,Paramètres!$A$1:$I$89,3,0)*0.475*44/12</f>
        <v>1.4362927890141435</v>
      </c>
      <c r="AC24" s="22">
        <f t="shared" si="3"/>
        <v>2.9200056610628362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9.9</v>
      </c>
      <c r="AI24" s="13">
        <f>IF('Données projet'!$A$62&gt;35,AI23+AH24-AQ23,IF(A24&lt;'Données projet'!$A$62,$AF$205^A24,IF(A24='Données projet'!$A$62,'Données projet'!$B$62,AI23+AH24-AQ23)))</f>
        <v>45.900000000000006</v>
      </c>
      <c r="AJ24" s="13">
        <f>AI24*VLOOKUP('Données projet'!$B$10,Paramètres!$A$1:$I$89,3,0)*VLOOKUP('Données projet'!$B$10,Paramètres!$A$1:$I$89,5,0)</f>
        <v>37.234080000000006</v>
      </c>
      <c r="AK24" s="13">
        <f t="shared" si="35"/>
        <v>11.262510356679771</v>
      </c>
      <c r="AL24" s="20">
        <f t="shared" si="4"/>
        <v>84.464894871217268</v>
      </c>
      <c r="AM24" s="59">
        <f t="shared" si="5"/>
        <v>377.79822820455058</v>
      </c>
      <c r="AN24" s="59">
        <f ca="1">AVERAGE(OFFSET($AM$3,0,0,'Données projet'!$E$10+1,1))-AVERAGE(OFFSET($H$3,0,0,'Données projet'!$E$10+1,1))</f>
        <v>145.3656871223958</v>
      </c>
      <c r="AO24" s="59">
        <f t="shared" si="36"/>
        <v>180.54762778843178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0</v>
      </c>
      <c r="AV24" s="21">
        <f>EXP(-LN(2)/25)*AV23+(1-EXP(-LN(2)/25))/(LN(2)/25)*Calculateur!AQ24*Calculateur!AS24*VLOOKUP('Données projet'!$B$10,Paramètres!$A$1:$I$89,3,0)*0.475*44/12</f>
        <v>1.9613190807213128</v>
      </c>
      <c r="AW24" s="21">
        <f>EXP(-LN(2)/2)*AW23+(1-EXP(-LN(2)/2))/(LN(2)/2)*AQ24*AT24*VLOOKUP('Données projet'!$B$10,Paramètres!$A$1:$I$89,3,0)*0.475*44/12</f>
        <v>2.8413618217453709</v>
      </c>
      <c r="AX24" s="21">
        <f t="shared" si="6"/>
        <v>4.8026809024666832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1.2</v>
      </c>
      <c r="BD24" s="12">
        <f>IF('Données projet'!$A$88&gt;35,BD23+BC24-BL23,IF(A24&lt;'Données projet'!$A$88,$BA$205^A24,IF(A24='Données projet'!$A$88,'Données projet'!$B$88,BD23+BC24-BL23)))</f>
        <v>17.409321838276906</v>
      </c>
      <c r="BE24" s="13">
        <f>BD24*VLOOKUP('Données projet'!$B$11,Paramètres!$A$1:$I$89,3,0)*VLOOKUP('Données projet'!$B$11,Paramètres!$A$1:$I$89,5,0)</f>
        <v>15.751954399272945</v>
      </c>
      <c r="BF24" s="13">
        <f t="shared" si="37"/>
        <v>5.2664356414391653</v>
      </c>
      <c r="BG24" s="20">
        <f t="shared" si="7"/>
        <v>36.607029320906918</v>
      </c>
      <c r="BH24" s="59">
        <f t="shared" si="8"/>
        <v>329.94036265424023</v>
      </c>
      <c r="BI24" s="59">
        <f ca="1">AVERAGE(OFFSET($BH$3,0,0,'Données projet'!$E$11+1,1))-AVERAGE(OFFSET($H$3,0,0,'Données projet'!$E$11+1,1))</f>
        <v>138.8931001150624</v>
      </c>
      <c r="BJ24" s="59">
        <f t="shared" si="38"/>
        <v>48.964659354096625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>
        <f>EXP(-LN(2)/35)*BP23+(1-EXP(-LN(2)/35))/(LN(2)/35)*BL24*BM24*VLOOKUP('Données projet'!$B$11,Paramètres!$A$1:$I$89,3,0)*0.475*44/12</f>
        <v>0</v>
      </c>
      <c r="BQ24" s="21">
        <f>EXP(-LN(2)/25)*BQ23+(1-EXP(-LN(2)/25))/(LN(2)/25)*Calculateur!BL24*Calculateur!BN24*VLOOKUP('Données projet'!$B$11,Paramètres!$A$1:$I$89,3,0)*0.475*44/12</f>
        <v>0</v>
      </c>
      <c r="BR24" s="21">
        <f>EXP(-LN(2)/2)*BR23+(1-EXP(-LN(2)/2))/(LN(2)/2)*BL24*BO24*VLOOKUP('Données projet'!$B$11,Paramètres!$A$1:$I$89,3,0)*0.475*44/12</f>
        <v>0</v>
      </c>
      <c r="BS24" s="22">
        <f t="shared" si="9"/>
        <v>0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1.2</v>
      </c>
      <c r="BY24" s="12">
        <f>IF('Données projet'!$A$114&gt;35,BY23+BX24-CG23,IF(A24&lt;'Données projet'!$A$114,$BV$205^A24,IF(A24='Données projet'!$A$114,'Données projet'!$B$114,BY23+BX24-CG23)))</f>
        <v>17.409321838276906</v>
      </c>
      <c r="BZ24" s="13">
        <f>BY24*VLOOKUP('Données projet'!$B$12,Paramètres!$A$1:$I$89,3,0)*VLOOKUP('Données projet'!$B$12,Paramètres!$A$1:$I$89,5,0)</f>
        <v>16.838296081981426</v>
      </c>
      <c r="CA24" s="13">
        <f t="shared" si="39"/>
        <v>5.5861051062554639</v>
      </c>
      <c r="CB24" s="20">
        <f t="shared" si="10"/>
        <v>39.055832069512576</v>
      </c>
      <c r="CC24" s="59">
        <f t="shared" si="11"/>
        <v>332.38916540284589</v>
      </c>
      <c r="CD24" s="59">
        <f ca="1">AVERAGE(OFFSET($CC$3,0,0,'Données projet'!$E$12+1,1))-AVERAGE(OFFSET($H$3,0,0,'Données projet'!$E$12+1,1))</f>
        <v>154.93882427988234</v>
      </c>
      <c r="CE24" s="59">
        <f t="shared" si="40"/>
        <v>56.347130462109817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>
        <f>EXP(-LN(2)/35)*CK23+(1-EXP(-LN(2)/35))/(LN(2)/35)*CG24*CH24*VLOOKUP('Données projet'!$B$12,Paramètres!$A$1:$I$89,3,0)*0.475*44/12</f>
        <v>0</v>
      </c>
      <c r="CL24" s="21">
        <f>EXP(-LN(2)/25)*CL23+(1-EXP(-LN(2)/25))/(LN(2)/25)*Calculateur!CG24*Calculateur!CI24*VLOOKUP('Données projet'!$B$12,Paramètres!$A$1:$I$89,3,0)*0.475*44/12</f>
        <v>0</v>
      </c>
      <c r="CM24" s="21">
        <f>EXP(-LN(2)/2)*CM23+(1-EXP(-LN(2)/2))/(LN(2)/2)*CG24*CJ24*VLOOKUP('Données projet'!$B$12,Paramètres!$A$1:$I$89,3,0)*0.475*44/12</f>
        <v>0</v>
      </c>
      <c r="CN24" s="22">
        <f t="shared" si="12"/>
        <v>0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19.5624</v>
      </c>
      <c r="D25" s="11">
        <f t="shared" si="32"/>
        <v>6.3775322468881095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200.23807348475032</v>
      </c>
      <c r="H25" s="67">
        <f t="shared" si="1"/>
        <v>338.51204866333012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8.25</v>
      </c>
      <c r="N25" s="13">
        <f>IF('Données projet'!$A$36&gt;35,N24+M25-V24,IF(A25&lt;'Données projet'!$A$36,$K$205^A25,IF(A25='Données projet'!$A$36,'Données projet'!$B$36,N24+M25-V24)))</f>
        <v>72.5</v>
      </c>
      <c r="O25" s="13">
        <f>N25*VLOOKUP('Données projet'!$B$9,Paramètres!$A$1:$I$89,3,0)*VLOOKUP('Données projet'!$B$9,Paramètres!$A$1:$I$89,5,0)</f>
        <v>43.355000000000004</v>
      </c>
      <c r="P25" s="13">
        <f t="shared" si="33"/>
        <v>12.883678938241102</v>
      </c>
      <c r="Q25" s="20">
        <f t="shared" si="2"/>
        <v>97.94903248410327</v>
      </c>
      <c r="R25" s="59">
        <f t="shared" si="0"/>
        <v>391.28236581743658</v>
      </c>
      <c r="S25" s="59">
        <f ca="1">AVERAGE(OFFSET($R$3,0,0,'Données projet'!$E$9+1,1))-AVERAGE(OFFSET($H$3,0,0,'Données projet'!$E$9+1,1))</f>
        <v>72.647148358003676</v>
      </c>
      <c r="T25" s="59">
        <f t="shared" si="34"/>
        <v>87.231299224620898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1.4431406655374526</v>
      </c>
      <c r="AB25" s="21">
        <f>EXP(-LN(2)/2)*AB24+(1-EXP(-LN(2)/2))/(LN(2)/2)*V25*Y25*VLOOKUP('Données projet'!$B$9,Paramètres!$A$1:$I$89,3,0)*0.475*44/12</f>
        <v>1.0156123708812401</v>
      </c>
      <c r="AC25" s="22">
        <f t="shared" si="3"/>
        <v>2.4587530364186927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9.9</v>
      </c>
      <c r="AI25" s="13">
        <f>IF('Données projet'!$A$62&gt;35,AI24+AH25-AQ24,IF(A25&lt;'Données projet'!$A$62,$AF$205^A25,IF(A25='Données projet'!$A$62,'Données projet'!$B$62,AI24+AH25-AQ24)))</f>
        <v>55.800000000000004</v>
      </c>
      <c r="AJ25" s="13">
        <f>AI25*VLOOKUP('Données projet'!$B$10,Paramètres!$A$1:$I$89,3,0)*VLOOKUP('Données projet'!$B$10,Paramètres!$A$1:$I$89,5,0)</f>
        <v>45.264960000000002</v>
      </c>
      <c r="AK25" s="13">
        <f t="shared" si="35"/>
        <v>13.383924947719283</v>
      </c>
      <c r="AL25" s="20">
        <f t="shared" si="4"/>
        <v>102.14680795061109</v>
      </c>
      <c r="AM25" s="59">
        <f t="shared" si="5"/>
        <v>395.48014128394442</v>
      </c>
      <c r="AN25" s="59">
        <f ca="1">AVERAGE(OFFSET($AM$3,0,0,'Données projet'!$E$10+1,1))-AVERAGE(OFFSET($H$3,0,0,'Données projet'!$E$10+1,1))</f>
        <v>145.3656871223958</v>
      </c>
      <c r="AO25" s="59">
        <f t="shared" si="36"/>
        <v>180.54762778843178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0</v>
      </c>
      <c r="AV25" s="21">
        <f>EXP(-LN(2)/25)*AV24+(1-EXP(-LN(2)/25))/(LN(2)/25)*Calculateur!AQ25*Calculateur!AS25*VLOOKUP('Données projet'!$B$10,Paramètres!$A$1:$I$89,3,0)*0.475*44/12</f>
        <v>1.9076867073177006</v>
      </c>
      <c r="AW25" s="21">
        <f>EXP(-LN(2)/2)*AW24+(1-EXP(-LN(2)/2))/(LN(2)/2)*AQ25*AT25*VLOOKUP('Données projet'!$B$10,Paramètres!$A$1:$I$89,3,0)*0.475*44/12</f>
        <v>2.0091462119607142</v>
      </c>
      <c r="AX25" s="21">
        <f t="shared" si="6"/>
        <v>3.9168329192784146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1.2</v>
      </c>
      <c r="BD25" s="12">
        <f>IF('Données projet'!$A$88&gt;35,BD24+BC25-BL24,IF(A25&lt;'Données projet'!$A$88,$BA$205^A25,IF(A25='Données projet'!$A$88,'Données projet'!$B$88,BD24+BC25-BL24)))</f>
        <v>19.946500129940819</v>
      </c>
      <c r="BE25" s="13">
        <f>BD25*VLOOKUP('Données projet'!$B$11,Paramètres!$A$1:$I$89,3,0)*VLOOKUP('Données projet'!$B$11,Paramètres!$A$1:$I$89,5,0)</f>
        <v>18.047593317570453</v>
      </c>
      <c r="BF25" s="13">
        <f t="shared" si="37"/>
        <v>5.9391480972072355</v>
      </c>
      <c r="BG25" s="20">
        <f t="shared" si="7"/>
        <v>41.776907964071142</v>
      </c>
      <c r="BH25" s="59">
        <f t="shared" si="8"/>
        <v>335.11024129740446</v>
      </c>
      <c r="BI25" s="59">
        <f ca="1">AVERAGE(OFFSET($BH$3,0,0,'Données projet'!$E$11+1,1))-AVERAGE(OFFSET($H$3,0,0,'Données projet'!$E$11+1,1))</f>
        <v>138.8931001150624</v>
      </c>
      <c r="BJ25" s="59">
        <f t="shared" si="38"/>
        <v>48.964659354096625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>
        <f>EXP(-LN(2)/35)*BP24+(1-EXP(-LN(2)/35))/(LN(2)/35)*BL25*BM25*VLOOKUP('Données projet'!$B$11,Paramètres!$A$1:$I$89,3,0)*0.475*44/12</f>
        <v>0</v>
      </c>
      <c r="BQ25" s="21">
        <f>EXP(-LN(2)/25)*BQ24+(1-EXP(-LN(2)/25))/(LN(2)/25)*Calculateur!BL25*Calculateur!BN25*VLOOKUP('Données projet'!$B$11,Paramètres!$A$1:$I$89,3,0)*0.475*44/12</f>
        <v>0</v>
      </c>
      <c r="BR25" s="21">
        <f>EXP(-LN(2)/2)*BR24+(1-EXP(-LN(2)/2))/(LN(2)/2)*BL25*BO25*VLOOKUP('Données projet'!$B$11,Paramètres!$A$1:$I$89,3,0)*0.475*44/12</f>
        <v>0</v>
      </c>
      <c r="BS25" s="22">
        <f t="shared" si="9"/>
        <v>0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1.2</v>
      </c>
      <c r="BY25" s="12">
        <f>IF('Données projet'!$A$114&gt;35,BY24+BX25-CG24,IF(A25&lt;'Données projet'!$A$114,$BV$205^A25,IF(A25='Données projet'!$A$114,'Données projet'!$B$114,BY24+BX25-CG24)))</f>
        <v>19.946500129940819</v>
      </c>
      <c r="BZ25" s="13">
        <f>BY25*VLOOKUP('Données projet'!$B$12,Paramètres!$A$1:$I$89,3,0)*VLOOKUP('Données projet'!$B$12,Paramètres!$A$1:$I$89,5,0)</f>
        <v>19.292254925678762</v>
      </c>
      <c r="CA25" s="13">
        <f t="shared" si="39"/>
        <v>6.2996508020651527</v>
      </c>
      <c r="CB25" s="20">
        <f t="shared" si="10"/>
        <v>44.572569142487318</v>
      </c>
      <c r="CC25" s="59">
        <f t="shared" si="11"/>
        <v>337.90590247582065</v>
      </c>
      <c r="CD25" s="59">
        <f ca="1">AVERAGE(OFFSET($CC$3,0,0,'Données projet'!$E$12+1,1))-AVERAGE(OFFSET($H$3,0,0,'Données projet'!$E$12+1,1))</f>
        <v>154.93882427988234</v>
      </c>
      <c r="CE25" s="59">
        <f t="shared" si="40"/>
        <v>56.347130462109817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>
        <f>EXP(-LN(2)/35)*CK24+(1-EXP(-LN(2)/35))/(LN(2)/35)*CG25*CH25*VLOOKUP('Données projet'!$B$12,Paramètres!$A$1:$I$89,3,0)*0.475*44/12</f>
        <v>0</v>
      </c>
      <c r="CL25" s="21">
        <f>EXP(-LN(2)/25)*CL24+(1-EXP(-LN(2)/25))/(LN(2)/25)*Calculateur!CG25*Calculateur!CI25*VLOOKUP('Données projet'!$B$12,Paramètres!$A$1:$I$89,3,0)*0.475*44/12</f>
        <v>0</v>
      </c>
      <c r="CM25" s="21">
        <f>EXP(-LN(2)/2)*CM24+(1-EXP(-LN(2)/2))/(LN(2)/2)*CG25*CJ25*VLOOKUP('Données projet'!$B$12,Paramètres!$A$1:$I$89,3,0)*0.475*44/12</f>
        <v>0</v>
      </c>
      <c r="CN25" s="22">
        <f t="shared" si="12"/>
        <v>0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20.451599999999999</v>
      </c>
      <c r="D26" s="11">
        <f t="shared" si="32"/>
        <v>6.6330107072474558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209.07418791559442</v>
      </c>
      <c r="H26" s="67">
        <f t="shared" si="1"/>
        <v>340.5056969817893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 t="e">
        <f>VLOOKUP(A26,'Données projet'!$A$35:$I$55,2,0)</f>
        <v>#N/A</v>
      </c>
      <c r="L26" s="12" t="e">
        <f>VLOOKUP(A26,'Données projet'!$A$35:$I$55,9,0)</f>
        <v>#N/A</v>
      </c>
      <c r="M26" s="12">
        <f t="array" ref="M26">INDEX(L:L,MIN(IF(ISNUMBER(L26:L222),ROW(L26:L222),"")))</f>
        <v>8.25</v>
      </c>
      <c r="N26" s="13">
        <f>IF('Données projet'!$A$36&gt;35,N25+M26-V25,IF(A26&lt;'Données projet'!$A$36,$K$205^A26,IF(A26='Données projet'!$A$36,'Données projet'!$B$36,N25+M26-V25)))</f>
        <v>80.75</v>
      </c>
      <c r="O26" s="13">
        <f>N26*VLOOKUP('Données projet'!$B$9,Paramètres!$A$1:$I$89,3,0)*VLOOKUP('Données projet'!$B$9,Paramètres!$A$1:$I$89,5,0)</f>
        <v>48.288500000000006</v>
      </c>
      <c r="P26" s="13">
        <f t="shared" si="33"/>
        <v>14.170865349972004</v>
      </c>
      <c r="Q26" s="20">
        <f t="shared" si="2"/>
        <v>108.78339465120125</v>
      </c>
      <c r="R26" s="59">
        <f t="shared" si="0"/>
        <v>402.11672798453458</v>
      </c>
      <c r="S26" s="59">
        <f ca="1">AVERAGE(OFFSET($R$3,0,0,'Données projet'!$E$9+1,1))-AVERAGE(OFFSET($H$3,0,0,'Données projet'!$E$9+1,1))</f>
        <v>72.647148358003676</v>
      </c>
      <c r="T26" s="59">
        <f t="shared" si="34"/>
        <v>87.231299224620898</v>
      </c>
      <c r="U26" s="15">
        <f>IF(ISNA(VLOOKUP(A26,'Données projet'!$A$35:$I$55,3,0)),0,VLOOKUP(A26,'Données projet'!$A$35:$I$55,3,0))</f>
        <v>0</v>
      </c>
      <c r="V26" s="15">
        <f>IF(ISNA(VLOOKUP(A26,'Données projet'!$A$35:$I$55,4,0)),0,VLOOKUP(A26,'Données projet'!$A$35:$I$55,4,0))</f>
        <v>0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</v>
      </c>
      <c r="Y26" s="16">
        <f>IF(ISNA(VLOOKUP(A26,'Données projet'!$A$35:$I$55,7,0)),0%,VLOOKUP(A26,'Données projet'!$A$35:$I$55,7,0))</f>
        <v>0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1.4036779081468618</v>
      </c>
      <c r="AB26" s="21">
        <f>EXP(-LN(2)/2)*AB25+(1-EXP(-LN(2)/2))/(LN(2)/2)*V26*Y26*VLOOKUP('Données projet'!$B$9,Paramètres!$A$1:$I$89,3,0)*0.475*44/12</f>
        <v>0.71814639450707185</v>
      </c>
      <c r="AC26" s="22">
        <f t="shared" si="3"/>
        <v>2.1218243026539336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9.9</v>
      </c>
      <c r="AI26" s="13">
        <f>IF('Données projet'!$A$62&gt;35,AI25+AH26-AQ25,IF(A26&lt;'Données projet'!$A$62,$AF$205^A26,IF(A26='Données projet'!$A$62,'Données projet'!$B$62,AI25+AH26-AQ25)))</f>
        <v>65.7</v>
      </c>
      <c r="AJ26" s="13">
        <f>AI26*VLOOKUP('Données projet'!$B$10,Paramètres!$A$1:$I$89,3,0)*VLOOKUP('Données projet'!$B$10,Paramètres!$A$1:$I$89,5,0)</f>
        <v>53.295840000000005</v>
      </c>
      <c r="AK26" s="13">
        <f t="shared" si="35"/>
        <v>15.461736757535716</v>
      </c>
      <c r="AL26" s="20">
        <f t="shared" si="4"/>
        <v>119.7527795193747</v>
      </c>
      <c r="AM26" s="59">
        <f t="shared" si="5"/>
        <v>413.08611285270803</v>
      </c>
      <c r="AN26" s="59">
        <f ca="1">AVERAGE(OFFSET($AM$3,0,0,'Données projet'!$E$10+1,1))-AVERAGE(OFFSET($H$3,0,0,'Données projet'!$E$10+1,1))</f>
        <v>145.3656871223958</v>
      </c>
      <c r="AO26" s="59">
        <f t="shared" si="36"/>
        <v>180.54762778843178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0</v>
      </c>
      <c r="AV26" s="21">
        <f>EXP(-LN(2)/25)*AV25+(1-EXP(-LN(2)/25))/(LN(2)/25)*Calculateur!AQ26*Calculateur!AS26*VLOOKUP('Données projet'!$B$10,Paramètres!$A$1:$I$89,3,0)*0.475*44/12</f>
        <v>1.8555209139852142</v>
      </c>
      <c r="AW26" s="21">
        <f>EXP(-LN(2)/2)*AW25+(1-EXP(-LN(2)/2))/(LN(2)/2)*AQ26*AT26*VLOOKUP('Données projet'!$B$10,Paramètres!$A$1:$I$89,3,0)*0.475*44/12</f>
        <v>1.4206809108726857</v>
      </c>
      <c r="AX26" s="21">
        <f t="shared" si="6"/>
        <v>3.2762018248578997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1.2</v>
      </c>
      <c r="BD26" s="12">
        <f>IF('Données projet'!$A$88&gt;35,BD25+BC26-BL25,IF(A26&lt;'Données projet'!$A$88,$BA$205^A26,IF(A26='Données projet'!$A$88,'Données projet'!$B$88,BD25+BC26-BL25)))</f>
        <v>22.853438584779923</v>
      </c>
      <c r="BE26" s="13">
        <f>BD26*VLOOKUP('Données projet'!$B$11,Paramètres!$A$1:$I$89,3,0)*VLOOKUP('Données projet'!$B$11,Paramètres!$A$1:$I$89,5,0)</f>
        <v>20.677791231508873</v>
      </c>
      <c r="BF26" s="13">
        <f t="shared" si="37"/>
        <v>6.6977900276630162</v>
      </c>
      <c r="BG26" s="20">
        <f t="shared" si="7"/>
        <v>47.679137359724372</v>
      </c>
      <c r="BH26" s="59">
        <f t="shared" si="8"/>
        <v>341.01247069305771</v>
      </c>
      <c r="BI26" s="59">
        <f ca="1">AVERAGE(OFFSET($BH$3,0,0,'Données projet'!$E$11+1,1))-AVERAGE(OFFSET($H$3,0,0,'Données projet'!$E$11+1,1))</f>
        <v>138.8931001150624</v>
      </c>
      <c r="BJ26" s="59">
        <f t="shared" si="38"/>
        <v>48.964659354096625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>
        <f>EXP(-LN(2)/35)*BP25+(1-EXP(-LN(2)/35))/(LN(2)/35)*BL26*BM26*VLOOKUP('Données projet'!$B$11,Paramètres!$A$1:$I$89,3,0)*0.475*44/12</f>
        <v>0</v>
      </c>
      <c r="BQ26" s="21">
        <f>EXP(-LN(2)/25)*BQ25+(1-EXP(-LN(2)/25))/(LN(2)/25)*Calculateur!BL26*Calculateur!BN26*VLOOKUP('Données projet'!$B$11,Paramètres!$A$1:$I$89,3,0)*0.475*44/12</f>
        <v>0</v>
      </c>
      <c r="BR26" s="21">
        <f>EXP(-LN(2)/2)*BR25+(1-EXP(-LN(2)/2))/(LN(2)/2)*BL26*BO26*VLOOKUP('Données projet'!$B$11,Paramètres!$A$1:$I$89,3,0)*0.475*44/12</f>
        <v>0</v>
      </c>
      <c r="BS26" s="22">
        <f t="shared" si="9"/>
        <v>0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1.2</v>
      </c>
      <c r="BY26" s="12">
        <f>IF('Données projet'!$A$114&gt;35,BY25+BX26-CG25,IF(A26&lt;'Données projet'!$A$114,$BV$205^A26,IF(A26='Données projet'!$A$114,'Données projet'!$B$114,BY25+BX26-CG25)))</f>
        <v>22.853438584779923</v>
      </c>
      <c r="BZ26" s="13">
        <f>BY26*VLOOKUP('Données projet'!$B$12,Paramètres!$A$1:$I$89,3,0)*VLOOKUP('Données projet'!$B$12,Paramètres!$A$1:$I$89,5,0)</f>
        <v>22.103845799199142</v>
      </c>
      <c r="CA26" s="13">
        <f t="shared" si="39"/>
        <v>7.1043418398123555</v>
      </c>
      <c r="CB26" s="20">
        <f t="shared" si="10"/>
        <v>50.870926804611692</v>
      </c>
      <c r="CC26" s="59">
        <f t="shared" si="11"/>
        <v>344.20426013794503</v>
      </c>
      <c r="CD26" s="59">
        <f ca="1">AVERAGE(OFFSET($CC$3,0,0,'Données projet'!$E$12+1,1))-AVERAGE(OFFSET($H$3,0,0,'Données projet'!$E$12+1,1))</f>
        <v>154.93882427988234</v>
      </c>
      <c r="CE26" s="59">
        <f t="shared" si="40"/>
        <v>56.347130462109817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>
        <f>EXP(-LN(2)/35)*CK25+(1-EXP(-LN(2)/35))/(LN(2)/35)*CG26*CH26*VLOOKUP('Données projet'!$B$12,Paramètres!$A$1:$I$89,3,0)*0.475*44/12</f>
        <v>0</v>
      </c>
      <c r="CL26" s="21">
        <f>EXP(-LN(2)/25)*CL25+(1-EXP(-LN(2)/25))/(LN(2)/25)*Calculateur!CG26*Calculateur!CI26*VLOOKUP('Données projet'!$B$12,Paramètres!$A$1:$I$89,3,0)*0.475*44/12</f>
        <v>0</v>
      </c>
      <c r="CM26" s="21">
        <f>EXP(-LN(2)/2)*CM25+(1-EXP(-LN(2)/2))/(LN(2)/2)*CG26*CJ26*VLOOKUP('Données projet'!$B$12,Paramètres!$A$1:$I$89,3,0)*0.475*44/12</f>
        <v>0</v>
      </c>
      <c r="CN26" s="22">
        <f t="shared" si="12"/>
        <v>0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21.340799999999998</v>
      </c>
      <c r="D27" s="11">
        <f t="shared" si="32"/>
        <v>6.8871990614123195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217.90034363195477</v>
      </c>
      <c r="H27" s="67">
        <f t="shared" si="1"/>
        <v>342.49709836529308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>
        <f>VLOOKUP(A27,'Données projet'!$A$35:$I$55,2,0)</f>
        <v>89</v>
      </c>
      <c r="L27" s="12">
        <f>VLOOKUP(A27,'Données projet'!$A$35:$I$55,9,0)</f>
        <v>8.25</v>
      </c>
      <c r="M27" s="12">
        <f t="array" ref="M27">INDEX(L:L,MIN(IF(ISNUMBER(L27:L223),ROW(L27:L223),"")))</f>
        <v>8.25</v>
      </c>
      <c r="N27" s="13">
        <f>IF('Données projet'!$A$36&gt;35,N26+M27-V26,IF(A27&lt;'Données projet'!$A$36,$K$205^A27,IF(A27='Données projet'!$A$36,'Données projet'!$B$36,N26+M27-V26)))</f>
        <v>89</v>
      </c>
      <c r="O27" s="13">
        <f>N27*VLOOKUP('Données projet'!$B$9,Paramètres!$A$1:$I$89,3,0)*VLOOKUP('Données projet'!$B$9,Paramètres!$A$1:$I$89,5,0)</f>
        <v>53.222000000000008</v>
      </c>
      <c r="P27" s="13">
        <f t="shared" si="33"/>
        <v>15.442806897867877</v>
      </c>
      <c r="Q27" s="20">
        <f t="shared" si="2"/>
        <v>119.59120534711991</v>
      </c>
      <c r="R27" s="59">
        <f t="shared" si="0"/>
        <v>412.92453868045322</v>
      </c>
      <c r="S27" s="59">
        <f ca="1">AVERAGE(OFFSET($R$3,0,0,'Données projet'!$E$9+1,1))-AVERAGE(OFFSET($H$3,0,0,'Données projet'!$E$9+1,1))</f>
        <v>72.647148358003676</v>
      </c>
      <c r="T27" s="59">
        <f t="shared" si="34"/>
        <v>87.231299224620898</v>
      </c>
      <c r="U27" s="15">
        <f>IF(ISNA(VLOOKUP(A27,'Données projet'!$A$35:$I$55,3,0)),0,VLOOKUP(A27,'Données projet'!$A$35:$I$55,3,0))</f>
        <v>3</v>
      </c>
      <c r="V27" s="15">
        <f>IF(ISNA(VLOOKUP(A27,'Données projet'!$A$35:$I$55,4,0)),0,VLOOKUP(A27,'Données projet'!$A$35:$I$55,4,0))</f>
        <v>12</v>
      </c>
      <c r="W27" s="16">
        <f>IF(ISNA(VLOOKUP(A27,'Données projet'!$A$35:$I$55,5,0)),0%,VLOOKUP(A27,'Données projet'!$A$35:$I$55,5,0)*VLOOKUP('Données projet'!$B$9,Paramètres!$A$1:$I$89,7,0))</f>
        <v>4.5000000000000005E-2</v>
      </c>
      <c r="X27" s="16">
        <f>IF(ISNA(VLOOKUP(A27,'Données projet'!$A$35:$I$55,6,0)),0%,VLOOKUP(A27,'Données projet'!$A$35:$I$55,6,0)*VLOOKUP('Données projet'!$B$9,Paramètres!$A$1:$I$89,7,0))</f>
        <v>0.20250000000000001</v>
      </c>
      <c r="Y27" s="16">
        <f>IF(ISNA(VLOOKUP(A27,'Données projet'!$A$35:$I$55,7,0)),0%,VLOOKUP(A27,'Données projet'!$A$35:$I$55,7,0))</f>
        <v>0.45</v>
      </c>
      <c r="Z27" s="21">
        <f>EXP(-LN(2)/35)*Z26+(1-EXP(-LN(2)/35))/(LN(2)/35)*V27*W27*VLOOKUP('Données projet'!$B$9,Paramètres!$A$1:$I$89,3,0)*0.475*44/12</f>
        <v>0.42837419395053639</v>
      </c>
      <c r="AA27" s="21">
        <f>EXP(-LN(2)/25)*AA26+(1-EXP(-LN(2)/25))/(LN(2)/25)*Calculateur!V27*Calculateur!X27*VLOOKUP('Données projet'!$B$9,Paramètres!$A$1:$I$89,3,0)*0.475*44/12</f>
        <v>3.2853881087975223</v>
      </c>
      <c r="AB27" s="21">
        <f>EXP(-LN(2)/2)*AB26+(1-EXP(-LN(2)/2))/(LN(2)/2)*V27*Y27*VLOOKUP('Données projet'!$B$9,Paramètres!$A$1:$I$89,3,0)*0.475*44/12</f>
        <v>4.1640107206130832</v>
      </c>
      <c r="AC27" s="22">
        <f t="shared" si="3"/>
        <v>7.8777730233611418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9.9</v>
      </c>
      <c r="AI27" s="13">
        <f>IF('Données projet'!$A$62&gt;35,AI26+AH27-AQ26,IF(A27&lt;'Données projet'!$A$62,$AF$205^A27,IF(A27='Données projet'!$A$62,'Données projet'!$B$62,AI26+AH27-AQ26)))</f>
        <v>75.600000000000009</v>
      </c>
      <c r="AJ27" s="13">
        <f>AI27*VLOOKUP('Données projet'!$B$10,Paramètres!$A$1:$I$89,3,0)*VLOOKUP('Données projet'!$B$10,Paramètres!$A$1:$I$89,5,0)</f>
        <v>61.326720000000009</v>
      </c>
      <c r="AK27" s="13">
        <f t="shared" si="35"/>
        <v>17.503277286124089</v>
      </c>
      <c r="AL27" s="20">
        <f t="shared" si="4"/>
        <v>137.29557860666611</v>
      </c>
      <c r="AM27" s="59">
        <f t="shared" si="5"/>
        <v>430.6289119399994</v>
      </c>
      <c r="AN27" s="59">
        <f ca="1">AVERAGE(OFFSET($AM$3,0,0,'Données projet'!$E$10+1,1))-AVERAGE(OFFSET($H$3,0,0,'Données projet'!$E$10+1,1))</f>
        <v>145.3656871223958</v>
      </c>
      <c r="AO27" s="59">
        <f t="shared" si="36"/>
        <v>180.54762778843178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0</v>
      </c>
      <c r="AV27" s="21">
        <f>EXP(-LN(2)/25)*AV26+(1-EXP(-LN(2)/25))/(LN(2)/25)*Calculateur!AQ27*Calculateur!AS27*VLOOKUP('Données projet'!$B$10,Paramètres!$A$1:$I$89,3,0)*0.475*44/12</f>
        <v>1.8047815970146845</v>
      </c>
      <c r="AW27" s="21">
        <f>EXP(-LN(2)/2)*AW26+(1-EXP(-LN(2)/2))/(LN(2)/2)*AQ27*AT27*VLOOKUP('Données projet'!$B$10,Paramètres!$A$1:$I$89,3,0)*0.475*44/12</f>
        <v>1.0045731059803573</v>
      </c>
      <c r="AX27" s="21">
        <f t="shared" si="6"/>
        <v>2.8093547029950416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1.2</v>
      </c>
      <c r="BD27" s="12">
        <f>IF('Données projet'!$A$88&gt;35,BD26+BC27-BL26,IF(A27&lt;'Données projet'!$A$88,$BA$205^A27,IF(A27='Données projet'!$A$88,'Données projet'!$B$88,BD26+BC27-BL26)))</f>
        <v>26.184024853780567</v>
      </c>
      <c r="BE27" s="13">
        <f>BD27*VLOOKUP('Données projet'!$B$11,Paramètres!$A$1:$I$89,3,0)*VLOOKUP('Données projet'!$B$11,Paramètres!$A$1:$I$89,5,0)</f>
        <v>23.691305687700655</v>
      </c>
      <c r="BF27" s="13">
        <f t="shared" si="37"/>
        <v>7.5533377044018843</v>
      </c>
      <c r="BG27" s="20">
        <f t="shared" si="7"/>
        <v>54.417753907911923</v>
      </c>
      <c r="BH27" s="59">
        <f t="shared" si="8"/>
        <v>347.75108724124522</v>
      </c>
      <c r="BI27" s="59">
        <f ca="1">AVERAGE(OFFSET($BH$3,0,0,'Données projet'!$E$11+1,1))-AVERAGE(OFFSET($H$3,0,0,'Données projet'!$E$11+1,1))</f>
        <v>138.8931001150624</v>
      </c>
      <c r="BJ27" s="59">
        <f t="shared" si="38"/>
        <v>48.964659354096625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>
        <f>EXP(-LN(2)/35)*BP26+(1-EXP(-LN(2)/35))/(LN(2)/35)*BL27*BM27*VLOOKUP('Données projet'!$B$11,Paramètres!$A$1:$I$89,3,0)*0.475*44/12</f>
        <v>0</v>
      </c>
      <c r="BQ27" s="21">
        <f>EXP(-LN(2)/25)*BQ26+(1-EXP(-LN(2)/25))/(LN(2)/25)*Calculateur!BL27*Calculateur!BN27*VLOOKUP('Données projet'!$B$11,Paramètres!$A$1:$I$89,3,0)*0.475*44/12</f>
        <v>0</v>
      </c>
      <c r="BR27" s="21">
        <f>EXP(-LN(2)/2)*BR26+(1-EXP(-LN(2)/2))/(LN(2)/2)*BL27*BO27*VLOOKUP('Données projet'!$B$11,Paramètres!$A$1:$I$89,3,0)*0.475*44/12</f>
        <v>0</v>
      </c>
      <c r="BS27" s="22">
        <f t="shared" si="9"/>
        <v>0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1.2</v>
      </c>
      <c r="BY27" s="12">
        <f>IF('Données projet'!$A$114&gt;35,BY26+BX27-CG26,IF(A27&lt;'Données projet'!$A$114,$BV$205^A27,IF(A27='Données projet'!$A$114,'Données projet'!$B$114,BY26+BX27-CG26)))</f>
        <v>26.184024853780567</v>
      </c>
      <c r="BZ27" s="13">
        <f>BY27*VLOOKUP('Données projet'!$B$12,Paramètres!$A$1:$I$89,3,0)*VLOOKUP('Données projet'!$B$12,Paramètres!$A$1:$I$89,5,0)</f>
        <v>25.325188838576565</v>
      </c>
      <c r="CA27" s="13">
        <f t="shared" si="39"/>
        <v>8.0118207441534324</v>
      </c>
      <c r="CB27" s="20">
        <f t="shared" si="10"/>
        <v>58.061958356588072</v>
      </c>
      <c r="CC27" s="59">
        <f t="shared" si="11"/>
        <v>351.39529168992141</v>
      </c>
      <c r="CD27" s="59">
        <f ca="1">AVERAGE(OFFSET($CC$3,0,0,'Données projet'!$E$12+1,1))-AVERAGE(OFFSET($H$3,0,0,'Données projet'!$E$12+1,1))</f>
        <v>154.93882427988234</v>
      </c>
      <c r="CE27" s="59">
        <f t="shared" si="40"/>
        <v>56.347130462109817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>
        <f>EXP(-LN(2)/35)*CK26+(1-EXP(-LN(2)/35))/(LN(2)/35)*CG27*CH27*VLOOKUP('Données projet'!$B$12,Paramètres!$A$1:$I$89,3,0)*0.475*44/12</f>
        <v>0</v>
      </c>
      <c r="CL27" s="21">
        <f>EXP(-LN(2)/25)*CL26+(1-EXP(-LN(2)/25))/(LN(2)/25)*Calculateur!CG27*Calculateur!CI27*VLOOKUP('Données projet'!$B$12,Paramètres!$A$1:$I$89,3,0)*0.475*44/12</f>
        <v>0</v>
      </c>
      <c r="CM27" s="21">
        <f>EXP(-LN(2)/2)*CM26+(1-EXP(-LN(2)/2))/(LN(2)/2)*CG27*CJ27*VLOOKUP('Données projet'!$B$12,Paramètres!$A$1:$I$89,3,0)*0.475*44/12</f>
        <v>0</v>
      </c>
      <c r="CN27" s="22">
        <f t="shared" si="12"/>
        <v>0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22.229999999999997</v>
      </c>
      <c r="D28" s="11">
        <f t="shared" si="32"/>
        <v>7.140157210880437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226.71700303135776</v>
      </c>
      <c r="H28" s="67">
        <f t="shared" si="1"/>
        <v>344.4863571422834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7.75</v>
      </c>
      <c r="N28" s="13">
        <f>IF('Données projet'!$A$36&gt;35,N27+M28-V27,IF(A28&lt;'Données projet'!$A$36,$K$205^A28,IF(A28='Données projet'!$A$36,'Données projet'!$B$36,N27+M28-V27)))</f>
        <v>84.75</v>
      </c>
      <c r="O28" s="13">
        <f>N28*VLOOKUP('Données projet'!$B$9,Paramètres!$A$1:$I$89,3,0)*VLOOKUP('Données projet'!$B$9,Paramètres!$A$1:$I$89,5,0)</f>
        <v>50.680500000000002</v>
      </c>
      <c r="P28" s="13">
        <f t="shared" si="33"/>
        <v>14.789363250301948</v>
      </c>
      <c r="Q28" s="20">
        <f t="shared" si="2"/>
        <v>114.02667849427588</v>
      </c>
      <c r="R28" s="59">
        <f t="shared" si="0"/>
        <v>407.36001182760918</v>
      </c>
      <c r="S28" s="59">
        <f ca="1">AVERAGE(OFFSET($R$3,0,0,'Données projet'!$E$9+1,1))-AVERAGE(OFFSET($H$3,0,0,'Données projet'!$E$9+1,1))</f>
        <v>72.647148358003676</v>
      </c>
      <c r="T28" s="59">
        <f t="shared" si="34"/>
        <v>87.231299224620898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0.41997403728962518</v>
      </c>
      <c r="AA28" s="21">
        <f>EXP(-LN(2)/25)*AA27+(1-EXP(-LN(2)/25))/(LN(2)/25)*Calculateur!V28*Calculateur!X28*VLOOKUP('Données projet'!$B$9,Paramètres!$A$1:$I$89,3,0)*0.475*44/12</f>
        <v>3.1955489981914025</v>
      </c>
      <c r="AB28" s="21">
        <f>EXP(-LN(2)/2)*AB27+(1-EXP(-LN(2)/2))/(LN(2)/2)*V28*Y28*VLOOKUP('Données projet'!$B$9,Paramètres!$A$1:$I$89,3,0)*0.475*44/12</f>
        <v>2.9444002174789938</v>
      </c>
      <c r="AC28" s="22">
        <f t="shared" si="3"/>
        <v>6.5599232529600213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 t="e">
        <f>VLOOKUP(A28,'Données projet'!$A$61:$I$81,2,0)</f>
        <v>#N/A</v>
      </c>
      <c r="AG28" s="12" t="e">
        <f>VLOOKUP(A28,'Données projet'!$A$61:$I$81,9,0)</f>
        <v>#N/A</v>
      </c>
      <c r="AH28" s="12">
        <f t="array" ref="AH28">INDEX(AG:AG,MIN(IF(ISNUMBER(AG28:AG224),ROW(AG28:AG224),"")))</f>
        <v>9.9</v>
      </c>
      <c r="AI28" s="13">
        <f>IF('Données projet'!$A$62&gt;35,AI27+AH28-AQ27,IF(A28&lt;'Données projet'!$A$62,$AF$205^A28,IF(A28='Données projet'!$A$62,'Données projet'!$B$62,AI27+AH28-AQ27)))</f>
        <v>85.500000000000014</v>
      </c>
      <c r="AJ28" s="13">
        <f>AI28*VLOOKUP('Données projet'!$B$10,Paramètres!$A$1:$I$89,3,0)*VLOOKUP('Données projet'!$B$10,Paramètres!$A$1:$I$89,5,0)</f>
        <v>69.357600000000019</v>
      </c>
      <c r="AK28" s="13">
        <f t="shared" si="35"/>
        <v>19.513841511122433</v>
      </c>
      <c r="AL28" s="20">
        <f t="shared" si="4"/>
        <v>154.78442729853825</v>
      </c>
      <c r="AM28" s="59">
        <f t="shared" si="5"/>
        <v>448.11776063187153</v>
      </c>
      <c r="AN28" s="59">
        <f ca="1">AVERAGE(OFFSET($AM$3,0,0,'Données projet'!$E$10+1,1))-AVERAGE(OFFSET($H$3,0,0,'Données projet'!$E$10+1,1))</f>
        <v>145.3656871223958</v>
      </c>
      <c r="AO28" s="59">
        <f t="shared" si="36"/>
        <v>180.54762778843178</v>
      </c>
      <c r="AP28" s="15">
        <f>IF(ISNA(VLOOKUP(A28,'Données projet'!$A$61:$I$81,3,0)),0,VLOOKUP(A28,'Données projet'!$A$61:$I$81,3,0))</f>
        <v>0</v>
      </c>
      <c r="AQ28" s="15">
        <f>IF(ISNA(VLOOKUP(A28,'Données projet'!$A$61:$I$81,4,0)),0,VLOOKUP(A28,'Données projet'!$A$61:$I$81,4,0))</f>
        <v>0</v>
      </c>
      <c r="AR28" s="16">
        <f>IF(ISNA(VLOOKUP(A28,'Données projet'!$A$61:$I$81,5,0)),0%,VLOOKUP(A28,'Données projet'!$A$61:$I$81,5,0)*VLOOKUP('Données projet'!$B$10,Paramètres!$A$1:$I$89,7,0))</f>
        <v>0</v>
      </c>
      <c r="AS28" s="16">
        <f>IF(ISNA(VLOOKUP(A28,'Données projet'!$A$61:$I$81,6,0)),0%,VLOOKUP(A28,'Données projet'!$A$61:$I$81,6,0)*VLOOKUP('Données projet'!$B$10,Paramètres!$A$1:$I$89,7,0))</f>
        <v>0</v>
      </c>
      <c r="AT28" s="16">
        <f>IF(ISNA(VLOOKUP(A28,'Données projet'!$A$61:$I$81,7,0)),0%,VLOOKUP(A28,'Données projet'!$A$61:$I$81,7,0))</f>
        <v>0</v>
      </c>
      <c r="AU28" s="21">
        <f>EXP(-LN(2)/35)*AU27+(1-EXP(-LN(2)/35))/(LN(2)/35)*AQ28*AR28*VLOOKUP('Données projet'!$B$10,Paramètres!$A$1:$I$89,3,0)*0.475*44/12</f>
        <v>0</v>
      </c>
      <c r="AV28" s="21">
        <f>EXP(-LN(2)/25)*AV27+(1-EXP(-LN(2)/25))/(LN(2)/25)*Calculateur!AQ28*Calculateur!AS28*VLOOKUP('Données projet'!$B$10,Paramètres!$A$1:$I$89,3,0)*0.475*44/12</f>
        <v>1.7554297493349786</v>
      </c>
      <c r="AW28" s="21">
        <f>EXP(-LN(2)/2)*AW27+(1-EXP(-LN(2)/2))/(LN(2)/2)*AQ28*AT28*VLOOKUP('Données projet'!$B$10,Paramètres!$A$1:$I$89,3,0)*0.475*44/12</f>
        <v>0.71034045543634294</v>
      </c>
      <c r="AX28" s="21">
        <f t="shared" si="6"/>
        <v>2.4657702047713217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>
        <f>VLOOKUP(A28,'Données projet'!$A$87:$I$107,2,0)</f>
        <v>30</v>
      </c>
      <c r="BB28" s="12">
        <f>VLOOKUP(A28,'Données projet'!$A$87:$I$107,9,0)</f>
        <v>1.2</v>
      </c>
      <c r="BC28" s="12">
        <f t="array" ref="BC28">INDEX(BB:BB,MIN(IF(ISNUMBER(BB28:BB224),ROW(BB28:BB224),"")))</f>
        <v>1.2</v>
      </c>
      <c r="BD28" s="12">
        <f>IF('Données projet'!$A$88&gt;35,BD27+BC28-BL27,IF(A28&lt;'Données projet'!$A$88,$BA$205^A28,IF(A28='Données projet'!$A$88,'Données projet'!$B$88,BD27+BC28-BL27)))</f>
        <v>30</v>
      </c>
      <c r="BE28" s="13">
        <f>BD28*VLOOKUP('Données projet'!$B$11,Paramètres!$A$1:$I$89,3,0)*VLOOKUP('Données projet'!$B$11,Paramètres!$A$1:$I$89,5,0)</f>
        <v>27.143999999999998</v>
      </c>
      <c r="BF28" s="13">
        <f t="shared" si="37"/>
        <v>8.5181694620316346</v>
      </c>
      <c r="BG28" s="20">
        <f t="shared" si="7"/>
        <v>62.111611813038422</v>
      </c>
      <c r="BH28" s="59">
        <f t="shared" si="8"/>
        <v>355.44494514637177</v>
      </c>
      <c r="BI28" s="59">
        <f ca="1">AVERAGE(OFFSET($BH$3,0,0,'Données projet'!$E$11+1,1))-AVERAGE(OFFSET($H$3,0,0,'Données projet'!$E$11+1,1))</f>
        <v>138.8931001150624</v>
      </c>
      <c r="BJ28" s="59">
        <f t="shared" si="38"/>
        <v>48.964659354096625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>
        <f>EXP(-LN(2)/35)*BP27+(1-EXP(-LN(2)/35))/(LN(2)/35)*BL28*BM28*VLOOKUP('Données projet'!$B$11,Paramètres!$A$1:$I$89,3,0)*0.475*44/12</f>
        <v>0</v>
      </c>
      <c r="BQ28" s="21">
        <f>EXP(-LN(2)/25)*BQ27+(1-EXP(-LN(2)/25))/(LN(2)/25)*Calculateur!BL28*Calculateur!BN28*VLOOKUP('Données projet'!$B$11,Paramètres!$A$1:$I$89,3,0)*0.475*44/12</f>
        <v>0</v>
      </c>
      <c r="BR28" s="21">
        <f>EXP(-LN(2)/2)*BR27+(1-EXP(-LN(2)/2))/(LN(2)/2)*BL28*BO28*VLOOKUP('Données projet'!$B$11,Paramètres!$A$1:$I$89,3,0)*0.475*44/12</f>
        <v>0</v>
      </c>
      <c r="BS28" s="22">
        <f t="shared" si="9"/>
        <v>0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>
        <f>VLOOKUP(A28,'Données projet'!$A$113:$I$133,2,0)</f>
        <v>30</v>
      </c>
      <c r="BW28" s="12">
        <f>VLOOKUP(A28,'Données projet'!$A$113:$I$133,9,0)</f>
        <v>1.2</v>
      </c>
      <c r="BX28" s="12">
        <f t="array" ref="BX28">INDEX(BW:BW,MIN(IF(ISNUMBER(BW28:BW224),ROW(BW28:BW224),"")))</f>
        <v>1.2</v>
      </c>
      <c r="BY28" s="12">
        <f>IF('Données projet'!$A$114&gt;35,BY27+BX28-CG27,IF(A28&lt;'Données projet'!$A$114,$BV$205^A28,IF(A28='Données projet'!$A$114,'Données projet'!$B$114,BY27+BX28-CG27)))</f>
        <v>30</v>
      </c>
      <c r="BZ28" s="13">
        <f>BY28*VLOOKUP('Données projet'!$B$12,Paramètres!$A$1:$I$89,3,0)*VLOOKUP('Données projet'!$B$12,Paramètres!$A$1:$I$89,5,0)</f>
        <v>29.016000000000002</v>
      </c>
      <c r="CA28" s="13">
        <f t="shared" si="39"/>
        <v>9.0352172071357728</v>
      </c>
      <c r="CB28" s="20">
        <f t="shared" si="10"/>
        <v>66.272536635761469</v>
      </c>
      <c r="CC28" s="59">
        <f t="shared" si="11"/>
        <v>359.60586996909478</v>
      </c>
      <c r="CD28" s="59">
        <f ca="1">AVERAGE(OFFSET($CC$3,0,0,'Données projet'!$E$12+1,1))-AVERAGE(OFFSET($H$3,0,0,'Données projet'!$E$12+1,1))</f>
        <v>154.93882427988234</v>
      </c>
      <c r="CE28" s="59">
        <f t="shared" si="40"/>
        <v>56.347130462109817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>
        <f>EXP(-LN(2)/35)*CK27+(1-EXP(-LN(2)/35))/(LN(2)/35)*CG28*CH28*VLOOKUP('Données projet'!$B$12,Paramètres!$A$1:$I$89,3,0)*0.475*44/12</f>
        <v>0</v>
      </c>
      <c r="CL28" s="21">
        <f>EXP(-LN(2)/25)*CL27+(1-EXP(-LN(2)/25))/(LN(2)/25)*Calculateur!CG28*Calculateur!CI28*VLOOKUP('Données projet'!$B$12,Paramètres!$A$1:$I$89,3,0)*0.475*44/12</f>
        <v>0</v>
      </c>
      <c r="CM28" s="21">
        <f>EXP(-LN(2)/2)*CM27+(1-EXP(-LN(2)/2))/(LN(2)/2)*CG28*CJ28*VLOOKUP('Données projet'!$B$12,Paramètres!$A$1:$I$89,3,0)*0.475*44/12</f>
        <v>0</v>
      </c>
      <c r="CN28" s="22">
        <f t="shared" si="12"/>
        <v>0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23.119199999999996</v>
      </c>
      <c r="D29" s="11">
        <f t="shared" si="32"/>
        <v>7.3919399937804329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235.5245894256735</v>
      </c>
      <c r="H29" s="67">
        <f t="shared" si="1"/>
        <v>346.47356882250091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7.75</v>
      </c>
      <c r="N29" s="13">
        <f>IF('Données projet'!$A$36&gt;35,N28+M29-V28,IF(A29&lt;'Données projet'!$A$36,$K$205^A29,IF(A29='Données projet'!$A$36,'Données projet'!$B$36,N28+M29-V28)))</f>
        <v>92.5</v>
      </c>
      <c r="O29" s="13">
        <f>N29*VLOOKUP('Données projet'!$B$9,Paramètres!$A$1:$I$89,3,0)*VLOOKUP('Données projet'!$B$9,Paramètres!$A$1:$I$89,5,0)</f>
        <v>55.315000000000005</v>
      </c>
      <c r="P29" s="13">
        <f t="shared" si="33"/>
        <v>15.978207841877614</v>
      </c>
      <c r="Q29" s="20">
        <f t="shared" si="2"/>
        <v>124.16900365793684</v>
      </c>
      <c r="R29" s="59">
        <f t="shared" si="0"/>
        <v>417.50233699127017</v>
      </c>
      <c r="S29" s="59">
        <f ca="1">AVERAGE(OFFSET($R$3,0,0,'Données projet'!$E$9+1,1))-AVERAGE(OFFSET($H$3,0,0,'Données projet'!$E$9+1,1))</f>
        <v>72.647148358003676</v>
      </c>
      <c r="T29" s="59">
        <f t="shared" si="34"/>
        <v>87.231299224620898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0.41173860257724482</v>
      </c>
      <c r="AA29" s="21">
        <f>EXP(-LN(2)/25)*AA28+(1-EXP(-LN(2)/25))/(LN(2)/25)*Calculateur!V29*Calculateur!X29*VLOOKUP('Données projet'!$B$9,Paramètres!$A$1:$I$89,3,0)*0.475*44/12</f>
        <v>3.1081665427892404</v>
      </c>
      <c r="AB29" s="21">
        <f>EXP(-LN(2)/2)*AB28+(1-EXP(-LN(2)/2))/(LN(2)/2)*V29*Y29*VLOOKUP('Données projet'!$B$9,Paramètres!$A$1:$I$89,3,0)*0.475*44/12</f>
        <v>2.082005360306542</v>
      </c>
      <c r="AC29" s="22">
        <f t="shared" si="3"/>
        <v>5.6019105056730272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9.9</v>
      </c>
      <c r="AI29" s="13">
        <f>IF('Données projet'!$A$62&gt;35,AI28+AH29-AQ28,IF(A29&lt;'Données projet'!$A$62,$AF$205^A29,IF(A29='Données projet'!$A$62,'Données projet'!$B$62,AI28+AH29-AQ28)))</f>
        <v>95.40000000000002</v>
      </c>
      <c r="AJ29" s="13">
        <f>AI29*VLOOKUP('Données projet'!$B$10,Paramètres!$A$1:$I$89,3,0)*VLOOKUP('Données projet'!$B$10,Paramètres!$A$1:$I$89,5,0)</f>
        <v>77.388480000000015</v>
      </c>
      <c r="AK29" s="13">
        <f t="shared" si="35"/>
        <v>21.497425783993659</v>
      </c>
      <c r="AL29" s="20">
        <f t="shared" si="4"/>
        <v>172.22628590712233</v>
      </c>
      <c r="AM29" s="59">
        <f t="shared" si="5"/>
        <v>465.55961924045562</v>
      </c>
      <c r="AN29" s="59">
        <f ca="1">AVERAGE(OFFSET($AM$3,0,0,'Données projet'!$E$10+1,1))-AVERAGE(OFFSET($H$3,0,0,'Données projet'!$E$10+1,1))</f>
        <v>145.3656871223958</v>
      </c>
      <c r="AO29" s="59">
        <f t="shared" si="36"/>
        <v>180.54762778843178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0</v>
      </c>
      <c r="AV29" s="21">
        <f>EXP(-LN(2)/25)*AV28+(1-EXP(-LN(2)/25))/(LN(2)/25)*Calculateur!AQ29*Calculateur!AS29*VLOOKUP('Données projet'!$B$10,Paramètres!$A$1:$I$89,3,0)*0.475*44/12</f>
        <v>1.7074274305253752</v>
      </c>
      <c r="AW29" s="21">
        <f>EXP(-LN(2)/2)*AW28+(1-EXP(-LN(2)/2))/(LN(2)/2)*AQ29*AT29*VLOOKUP('Données projet'!$B$10,Paramètres!$A$1:$I$89,3,0)*0.475*44/12</f>
        <v>0.50228655299017866</v>
      </c>
      <c r="AX29" s="21">
        <f t="shared" si="6"/>
        <v>2.2097139835155537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4.8</v>
      </c>
      <c r="BD29" s="12">
        <f>IF('Données projet'!$A$88&gt;35,BD28+BC29-BL28,IF(A29&lt;'Données projet'!$A$88,$BA$205^A29,IF(A29='Données projet'!$A$88,'Données projet'!$B$88,BD28+BC29-BL28)))</f>
        <v>34.799999999999997</v>
      </c>
      <c r="BE29" s="13">
        <f>BD29*VLOOKUP('Données projet'!$B$11,Paramètres!$A$1:$I$89,3,0)*VLOOKUP('Données projet'!$B$11,Paramètres!$A$1:$I$89,5,0)</f>
        <v>31.487039999999997</v>
      </c>
      <c r="BF29" s="13">
        <f t="shared" si="37"/>
        <v>9.7118363356135369</v>
      </c>
      <c r="BG29" s="20">
        <f t="shared" si="7"/>
        <v>71.754709617860229</v>
      </c>
      <c r="BH29" s="59">
        <f t="shared" si="8"/>
        <v>365.08804295119353</v>
      </c>
      <c r="BI29" s="59">
        <f ca="1">AVERAGE(OFFSET($BH$3,0,0,'Données projet'!$E$11+1,1))-AVERAGE(OFFSET($H$3,0,0,'Données projet'!$E$11+1,1))</f>
        <v>138.8931001150624</v>
      </c>
      <c r="BJ29" s="59">
        <f t="shared" si="38"/>
        <v>48.964659354096625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>
        <f>EXP(-LN(2)/35)*BP28+(1-EXP(-LN(2)/35))/(LN(2)/35)*BL29*BM29*VLOOKUP('Données projet'!$B$11,Paramètres!$A$1:$I$89,3,0)*0.475*44/12</f>
        <v>0</v>
      </c>
      <c r="BQ29" s="21">
        <f>EXP(-LN(2)/25)*BQ28+(1-EXP(-LN(2)/25))/(LN(2)/25)*Calculateur!BL29*Calculateur!BN29*VLOOKUP('Données projet'!$B$11,Paramètres!$A$1:$I$89,3,0)*0.475*44/12</f>
        <v>0</v>
      </c>
      <c r="BR29" s="21">
        <f>EXP(-LN(2)/2)*BR28+(1-EXP(-LN(2)/2))/(LN(2)/2)*BL29*BO29*VLOOKUP('Données projet'!$B$11,Paramètres!$A$1:$I$89,3,0)*0.475*44/12</f>
        <v>0</v>
      </c>
      <c r="BS29" s="22">
        <f t="shared" si="9"/>
        <v>0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4.8</v>
      </c>
      <c r="BY29" s="12">
        <f>IF('Données projet'!$A$114&gt;35,BY28+BX29-CG28,IF(A29&lt;'Données projet'!$A$114,$BV$205^A29,IF(A29='Données projet'!$A$114,'Données projet'!$B$114,BY28+BX29-CG28)))</f>
        <v>34.799999999999997</v>
      </c>
      <c r="BZ29" s="13">
        <f>BY29*VLOOKUP('Données projet'!$B$12,Paramètres!$A$1:$I$89,3,0)*VLOOKUP('Données projet'!$B$12,Paramètres!$A$1:$I$89,5,0)</f>
        <v>33.658559999999994</v>
      </c>
      <c r="CA29" s="13">
        <f t="shared" si="39"/>
        <v>10.301338939492439</v>
      </c>
      <c r="CB29" s="20">
        <f t="shared" si="10"/>
        <v>76.563490652949312</v>
      </c>
      <c r="CC29" s="59">
        <f t="shared" si="11"/>
        <v>369.89682398628264</v>
      </c>
      <c r="CD29" s="59">
        <f ca="1">AVERAGE(OFFSET($CC$3,0,0,'Données projet'!$E$12+1,1))-AVERAGE(OFFSET($H$3,0,0,'Données projet'!$E$12+1,1))</f>
        <v>154.93882427988234</v>
      </c>
      <c r="CE29" s="59">
        <f t="shared" si="40"/>
        <v>56.347130462109817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>
        <f>EXP(-LN(2)/35)*CK28+(1-EXP(-LN(2)/35))/(LN(2)/35)*CG29*CH29*VLOOKUP('Données projet'!$B$12,Paramètres!$A$1:$I$89,3,0)*0.475*44/12</f>
        <v>0</v>
      </c>
      <c r="CL29" s="21">
        <f>EXP(-LN(2)/25)*CL28+(1-EXP(-LN(2)/25))/(LN(2)/25)*Calculateur!CG29*Calculateur!CI29*VLOOKUP('Données projet'!$B$12,Paramètres!$A$1:$I$89,3,0)*0.475*44/12</f>
        <v>0</v>
      </c>
      <c r="CM29" s="21">
        <f>EXP(-LN(2)/2)*CM28+(1-EXP(-LN(2)/2))/(LN(2)/2)*CG29*CJ29*VLOOKUP('Données projet'!$B$12,Paramètres!$A$1:$I$89,3,0)*0.475*44/12</f>
        <v>0</v>
      </c>
      <c r="CN29" s="22">
        <f t="shared" si="12"/>
        <v>0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24.008399999999995</v>
      </c>
      <c r="D30" s="11">
        <f t="shared" si="32"/>
        <v>7.6425977910346958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244.32349172026781</v>
      </c>
      <c r="H30" s="67">
        <f t="shared" si="1"/>
        <v>348.45882115271871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 t="e">
        <f>VLOOKUP(A30,'Données projet'!$A$35:$I$55,2,0)</f>
        <v>#N/A</v>
      </c>
      <c r="L30" s="12" t="e">
        <f>VLOOKUP(A30,'Données projet'!$A$35:$I$55,9,0)</f>
        <v>#N/A</v>
      </c>
      <c r="M30" s="12">
        <f t="array" ref="M30">INDEX(L:L,MIN(IF(ISNUMBER(L30:L226),ROW(L30:L226),"")))</f>
        <v>7.75</v>
      </c>
      <c r="N30" s="13">
        <f>IF('Données projet'!$A$36&gt;35,N29+M30-V29,IF(A30&lt;'Données projet'!$A$36,$K$205^A30,IF(A30='Données projet'!$A$36,'Données projet'!$B$36,N29+M30-V29)))</f>
        <v>100.25</v>
      </c>
      <c r="O30" s="13">
        <f>N30*VLOOKUP('Données projet'!$B$9,Paramètres!$A$1:$I$89,3,0)*VLOOKUP('Données projet'!$B$9,Paramètres!$A$1:$I$89,5,0)</f>
        <v>59.949500000000008</v>
      </c>
      <c r="P30" s="13">
        <f t="shared" si="33"/>
        <v>17.155500402424575</v>
      </c>
      <c r="Q30" s="20">
        <f t="shared" si="2"/>
        <v>134.29120903422282</v>
      </c>
      <c r="R30" s="59">
        <f t="shared" si="0"/>
        <v>427.62454236755616</v>
      </c>
      <c r="S30" s="59">
        <f ca="1">AVERAGE(OFFSET($R$3,0,0,'Données projet'!$E$9+1,1))-AVERAGE(OFFSET($H$3,0,0,'Données projet'!$E$9+1,1))</f>
        <v>72.647148358003676</v>
      </c>
      <c r="T30" s="59">
        <f t="shared" si="34"/>
        <v>87.231299224620898</v>
      </c>
      <c r="U30" s="15">
        <f>IF(ISNA(VLOOKUP(A30,'Données projet'!$A$35:$I$55,3,0)),0,VLOOKUP(A30,'Données projet'!$A$35:$I$55,3,0))</f>
        <v>0</v>
      </c>
      <c r="V30" s="15">
        <f>IF(ISNA(VLOOKUP(A30,'Données projet'!$A$35:$I$55,4,0)),0,VLOOKUP(A30,'Données projet'!$A$35:$I$55,4,0))</f>
        <v>0</v>
      </c>
      <c r="W30" s="16">
        <f>IF(ISNA(VLOOKUP(A30,'Données projet'!$A$35:$I$55,5,0)),0%,VLOOKUP(A30,'Données projet'!$A$35:$I$55,5,0)*VLOOKUP('Données projet'!$B$9,Paramètres!$A$1:$I$89,7,0))</f>
        <v>0</v>
      </c>
      <c r="X30" s="16">
        <f>IF(ISNA(VLOOKUP(A30,'Données projet'!$A$35:$I$55,6,0)),0%,VLOOKUP(A30,'Données projet'!$A$35:$I$55,6,0)*VLOOKUP('Données projet'!$B$9,Paramètres!$A$1:$I$89,7,0))</f>
        <v>0</v>
      </c>
      <c r="Y30" s="16">
        <f>IF(ISNA(VLOOKUP(A30,'Données projet'!$A$35:$I$55,7,0)),0%,VLOOKUP(A30,'Données projet'!$A$35:$I$55,7,0))</f>
        <v>0</v>
      </c>
      <c r="Z30" s="21">
        <f>EXP(-LN(2)/35)*Z29+(1-EXP(-LN(2)/35))/(LN(2)/35)*V30*W30*VLOOKUP('Données projet'!$B$9,Paramètres!$A$1:$I$89,3,0)*0.475*44/12</f>
        <v>0.40366465971645504</v>
      </c>
      <c r="AA30" s="21">
        <f>EXP(-LN(2)/25)*AA29+(1-EXP(-LN(2)/25))/(LN(2)/25)*Calculateur!V30*Calculateur!X30*VLOOKUP('Données projet'!$B$9,Paramètres!$A$1:$I$89,3,0)*0.475*44/12</f>
        <v>3.023173565225294</v>
      </c>
      <c r="AB30" s="21">
        <f>EXP(-LN(2)/2)*AB29+(1-EXP(-LN(2)/2))/(LN(2)/2)*V30*Y30*VLOOKUP('Données projet'!$B$9,Paramètres!$A$1:$I$89,3,0)*0.475*44/12</f>
        <v>1.4722001087394971</v>
      </c>
      <c r="AC30" s="22">
        <f t="shared" si="3"/>
        <v>4.8990383336812462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9.9</v>
      </c>
      <c r="AI30" s="13">
        <f>IF('Données projet'!$A$62&gt;35,AI29+AH30-AQ29,IF(A30&lt;'Données projet'!$A$62,$AF$205^A30,IF(A30='Données projet'!$A$62,'Données projet'!$B$62,AI29+AH30-AQ29)))</f>
        <v>105.30000000000003</v>
      </c>
      <c r="AJ30" s="13">
        <f>AI30*VLOOKUP('Données projet'!$B$10,Paramètres!$A$1:$I$89,3,0)*VLOOKUP('Données projet'!$B$10,Paramètres!$A$1:$I$89,5,0)</f>
        <v>85.419360000000026</v>
      </c>
      <c r="AK30" s="13">
        <f t="shared" si="35"/>
        <v>23.457148821242125</v>
      </c>
      <c r="AL30" s="20">
        <f t="shared" si="4"/>
        <v>189.62658619699673</v>
      </c>
      <c r="AM30" s="59">
        <f t="shared" si="5"/>
        <v>482.95991953033001</v>
      </c>
      <c r="AN30" s="59">
        <f ca="1">AVERAGE(OFFSET($AM$3,0,0,'Données projet'!$E$10+1,1))-AVERAGE(OFFSET($H$3,0,0,'Données projet'!$E$10+1,1))</f>
        <v>145.3656871223958</v>
      </c>
      <c r="AO30" s="59">
        <f t="shared" si="36"/>
        <v>180.54762778843178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0</v>
      </c>
      <c r="AV30" s="21">
        <f>EXP(-LN(2)/25)*AV29+(1-EXP(-LN(2)/25))/(LN(2)/25)*Calculateur!AQ30*Calculateur!AS30*VLOOKUP('Données projet'!$B$10,Paramètres!$A$1:$I$89,3,0)*0.475*44/12</f>
        <v>1.6607377376479526</v>
      </c>
      <c r="AW30" s="21">
        <f>EXP(-LN(2)/2)*AW29+(1-EXP(-LN(2)/2))/(LN(2)/2)*AQ30*AT30*VLOOKUP('Données projet'!$B$10,Paramètres!$A$1:$I$89,3,0)*0.475*44/12</f>
        <v>0.35517022771817147</v>
      </c>
      <c r="AX30" s="21">
        <f t="shared" si="6"/>
        <v>2.0159079653661243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4.8</v>
      </c>
      <c r="BD30" s="12">
        <f>IF('Données projet'!$A$88&gt;35,BD29+BC30-BL29,IF(A30&lt;'Données projet'!$A$88,$BA$205^A30,IF(A30='Données projet'!$A$88,'Données projet'!$B$88,BD29+BC30-BL29)))</f>
        <v>39.599999999999994</v>
      </c>
      <c r="BE30" s="13">
        <f>BD30*VLOOKUP('Données projet'!$B$11,Paramètres!$A$1:$I$89,3,0)*VLOOKUP('Données projet'!$B$11,Paramètres!$A$1:$I$89,5,0)</f>
        <v>35.830079999999995</v>
      </c>
      <c r="BF30" s="13">
        <f t="shared" si="37"/>
        <v>10.886427918882697</v>
      </c>
      <c r="BG30" s="20">
        <f t="shared" si="7"/>
        <v>81.364584625387351</v>
      </c>
      <c r="BH30" s="59">
        <f t="shared" si="8"/>
        <v>374.69791795872067</v>
      </c>
      <c r="BI30" s="59">
        <f ca="1">AVERAGE(OFFSET($BH$3,0,0,'Données projet'!$E$11+1,1))-AVERAGE(OFFSET($H$3,0,0,'Données projet'!$E$11+1,1))</f>
        <v>138.8931001150624</v>
      </c>
      <c r="BJ30" s="59">
        <f t="shared" si="38"/>
        <v>48.964659354096625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>
        <f>EXP(-LN(2)/35)*BP29+(1-EXP(-LN(2)/35))/(LN(2)/35)*BL30*BM30*VLOOKUP('Données projet'!$B$11,Paramètres!$A$1:$I$89,3,0)*0.475*44/12</f>
        <v>0</v>
      </c>
      <c r="BQ30" s="21">
        <f>EXP(-LN(2)/25)*BQ29+(1-EXP(-LN(2)/25))/(LN(2)/25)*Calculateur!BL30*Calculateur!BN30*VLOOKUP('Données projet'!$B$11,Paramètres!$A$1:$I$89,3,0)*0.475*44/12</f>
        <v>0</v>
      </c>
      <c r="BR30" s="21">
        <f>EXP(-LN(2)/2)*BR29+(1-EXP(-LN(2)/2))/(LN(2)/2)*BL30*BO30*VLOOKUP('Données projet'!$B$11,Paramètres!$A$1:$I$89,3,0)*0.475*44/12</f>
        <v>0</v>
      </c>
      <c r="BS30" s="22">
        <f t="shared" si="9"/>
        <v>0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4.8</v>
      </c>
      <c r="BY30" s="12">
        <f>IF('Données projet'!$A$114&gt;35,BY29+BX30-CG29,IF(A30&lt;'Données projet'!$A$114,$BV$205^A30,IF(A30='Données projet'!$A$114,'Données projet'!$B$114,BY29+BX30-CG29)))</f>
        <v>39.599999999999994</v>
      </c>
      <c r="BZ30" s="13">
        <f>BY30*VLOOKUP('Données projet'!$B$12,Paramètres!$A$1:$I$89,3,0)*VLOOKUP('Données projet'!$B$12,Paramètres!$A$1:$I$89,5,0)</f>
        <v>38.301119999999997</v>
      </c>
      <c r="CA30" s="13">
        <f t="shared" si="39"/>
        <v>11.547227522927502</v>
      </c>
      <c r="CB30" s="20">
        <f t="shared" si="10"/>
        <v>86.819205269098731</v>
      </c>
      <c r="CC30" s="59">
        <f t="shared" si="11"/>
        <v>380.15253860243206</v>
      </c>
      <c r="CD30" s="59">
        <f ca="1">AVERAGE(OFFSET($CC$3,0,0,'Données projet'!$E$12+1,1))-AVERAGE(OFFSET($H$3,0,0,'Données projet'!$E$12+1,1))</f>
        <v>154.93882427988234</v>
      </c>
      <c r="CE30" s="59">
        <f t="shared" si="40"/>
        <v>56.347130462109817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>
        <f>EXP(-LN(2)/35)*CK29+(1-EXP(-LN(2)/35))/(LN(2)/35)*CG30*CH30*VLOOKUP('Données projet'!$B$12,Paramètres!$A$1:$I$89,3,0)*0.475*44/12</f>
        <v>0</v>
      </c>
      <c r="CL30" s="21">
        <f>EXP(-LN(2)/25)*CL29+(1-EXP(-LN(2)/25))/(LN(2)/25)*Calculateur!CG30*Calculateur!CI30*VLOOKUP('Données projet'!$B$12,Paramètres!$A$1:$I$89,3,0)*0.475*44/12</f>
        <v>0</v>
      </c>
      <c r="CM30" s="21">
        <f>EXP(-LN(2)/2)*CM29+(1-EXP(-LN(2)/2))/(LN(2)/2)*CG30*CJ30*VLOOKUP('Données projet'!$B$12,Paramètres!$A$1:$I$89,3,0)*0.475*44/12</f>
        <v>0</v>
      </c>
      <c r="CN30" s="22">
        <f t="shared" si="12"/>
        <v>0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24.897599999999994</v>
      </c>
      <c r="D31" s="11">
        <f t="shared" si="32"/>
        <v>7.8921770401958202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253.11406838045892</v>
      </c>
      <c r="H31" s="67">
        <f t="shared" si="1"/>
        <v>350.44219501167436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>
        <f>VLOOKUP(A31,'Données projet'!$A$35:$I$55,2,0)</f>
        <v>108</v>
      </c>
      <c r="L31" s="12">
        <f>VLOOKUP(A31,'Données projet'!$A$35:$I$55,9,0)</f>
        <v>7.75</v>
      </c>
      <c r="M31" s="12">
        <f t="array" ref="M31">INDEX(L:L,MIN(IF(ISNUMBER(L31:L227),ROW(L31:L227),"")))</f>
        <v>7.75</v>
      </c>
      <c r="N31" s="13">
        <f>IF('Données projet'!$A$36&gt;35,N30+M31-V30,IF(A31&lt;'Données projet'!$A$36,$K$205^A31,IF(A31='Données projet'!$A$36,'Données projet'!$B$36,N30+M31-V30)))</f>
        <v>108</v>
      </c>
      <c r="O31" s="13">
        <f>N31*VLOOKUP('Données projet'!$B$9,Paramètres!$A$1:$I$89,3,0)*VLOOKUP('Données projet'!$B$9,Paramètres!$A$1:$I$89,5,0)</f>
        <v>64.584000000000003</v>
      </c>
      <c r="P31" s="13">
        <f t="shared" si="33"/>
        <v>18.322235519392734</v>
      </c>
      <c r="Q31" s="20">
        <f t="shared" si="2"/>
        <v>144.39502686294233</v>
      </c>
      <c r="R31" s="59">
        <f t="shared" si="0"/>
        <v>437.72836019627562</v>
      </c>
      <c r="S31" s="59">
        <f ca="1">AVERAGE(OFFSET($R$3,0,0,'Données projet'!$E$9+1,1))-AVERAGE(OFFSET($H$3,0,0,'Données projet'!$E$9+1,1))</f>
        <v>72.647148358003676</v>
      </c>
      <c r="T31" s="59">
        <f t="shared" si="34"/>
        <v>87.231299224620898</v>
      </c>
      <c r="U31" s="15">
        <f>IF(ISNA(VLOOKUP(A31,'Données projet'!$A$35:$I$55,3,0)),0,VLOOKUP(A31,'Données projet'!$A$35:$I$55,3,0))</f>
        <v>4</v>
      </c>
      <c r="V31" s="15">
        <f>IF(ISNA(VLOOKUP(A31,'Données projet'!$A$35:$I$55,4,0)),0,VLOOKUP(A31,'Données projet'!$A$35:$I$55,4,0))</f>
        <v>13</v>
      </c>
      <c r="W31" s="16">
        <f>IF(ISNA(VLOOKUP(A31,'Données projet'!$A$35:$I$55,5,0)),0%,VLOOKUP(A31,'Données projet'!$A$35:$I$55,5,0)*VLOOKUP('Données projet'!$B$9,Paramètres!$A$1:$I$89,7,0))</f>
        <v>9.0000000000000011E-2</v>
      </c>
      <c r="X31" s="16">
        <f>IF(ISNA(VLOOKUP(A31,'Données projet'!$A$35:$I$55,6,0)),0%,VLOOKUP(A31,'Données projet'!$A$35:$I$55,6,0)*VLOOKUP('Données projet'!$B$9,Paramètres!$A$1:$I$89,7,0))</f>
        <v>0.18000000000000002</v>
      </c>
      <c r="Y31" s="16">
        <f>IF(ISNA(VLOOKUP(A31,'Données projet'!$A$35:$I$55,7,0)),0%,VLOOKUP(A31,'Données projet'!$A$35:$I$55,7,0))</f>
        <v>0.4</v>
      </c>
      <c r="Z31" s="21">
        <f>EXP(-LN(2)/35)*Z30+(1-EXP(-LN(2)/35))/(LN(2)/35)*V31*W31*VLOOKUP('Données projet'!$B$9,Paramètres!$A$1:$I$89,3,0)*0.475*44/12</f>
        <v>1.3238931288433753</v>
      </c>
      <c r="AA31" s="21">
        <f>EXP(-LN(2)/25)*AA30+(1-EXP(-LN(2)/25))/(LN(2)/25)*Calculateur!V31*Calculateur!X31*VLOOKUP('Données projet'!$B$9,Paramètres!$A$1:$I$89,3,0)*0.475*44/12</f>
        <v>4.7894839850466369</v>
      </c>
      <c r="AB31" s="21">
        <f>EXP(-LN(2)/2)*AB30+(1-EXP(-LN(2)/2))/(LN(2)/2)*V31*Y31*VLOOKUP('Données projet'!$B$9,Paramètres!$A$1:$I$89,3,0)*0.475*44/12</f>
        <v>4.5617922325415687</v>
      </c>
      <c r="AC31" s="22">
        <f t="shared" si="3"/>
        <v>10.675169346431581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9.9</v>
      </c>
      <c r="AI31" s="13">
        <f>IF('Données projet'!$A$62&gt;35,AI30+AH31-AQ30,IF(A31&lt;'Données projet'!$A$62,$AF$205^A31,IF(A31='Données projet'!$A$62,'Données projet'!$B$62,AI30+AH31-AQ30)))</f>
        <v>115.20000000000003</v>
      </c>
      <c r="AJ31" s="13">
        <f>AI31*VLOOKUP('Données projet'!$B$10,Paramètres!$A$1:$I$89,3,0)*VLOOKUP('Données projet'!$B$10,Paramètres!$A$1:$I$89,5,0)</f>
        <v>93.450240000000036</v>
      </c>
      <c r="AK31" s="13">
        <f t="shared" si="35"/>
        <v>25.395509184428466</v>
      </c>
      <c r="AL31" s="20">
        <f t="shared" si="4"/>
        <v>206.98967982954628</v>
      </c>
      <c r="AM31" s="59">
        <f t="shared" si="5"/>
        <v>500.32301316287959</v>
      </c>
      <c r="AN31" s="59">
        <f ca="1">AVERAGE(OFFSET($AM$3,0,0,'Données projet'!$E$10+1,1))-AVERAGE(OFFSET($H$3,0,0,'Données projet'!$E$10+1,1))</f>
        <v>145.3656871223958</v>
      </c>
      <c r="AO31" s="59">
        <f t="shared" si="36"/>
        <v>180.54762778843178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0</v>
      </c>
      <c r="AV31" s="21">
        <f>EXP(-LN(2)/25)*AV30+(1-EXP(-LN(2)/25))/(LN(2)/25)*Calculateur!AQ31*Calculateur!AS31*VLOOKUP('Données projet'!$B$10,Paramètres!$A$1:$I$89,3,0)*0.475*44/12</f>
        <v>1.6153247768775674</v>
      </c>
      <c r="AW31" s="21">
        <f>EXP(-LN(2)/2)*AW30+(1-EXP(-LN(2)/2))/(LN(2)/2)*AQ31*AT31*VLOOKUP('Données projet'!$B$10,Paramètres!$A$1:$I$89,3,0)*0.475*44/12</f>
        <v>0.25114327649508933</v>
      </c>
      <c r="AX31" s="21">
        <f t="shared" si="6"/>
        <v>1.8664680533726568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4.8</v>
      </c>
      <c r="BD31" s="12">
        <f>IF('Données projet'!$A$88&gt;35,BD30+BC31-BL30,IF(A31&lt;'Données projet'!$A$88,$BA$205^A31,IF(A31='Données projet'!$A$88,'Données projet'!$B$88,BD30+BC31-BL30)))</f>
        <v>44.399999999999991</v>
      </c>
      <c r="BE31" s="13">
        <f>BD31*VLOOKUP('Données projet'!$B$11,Paramètres!$A$1:$I$89,3,0)*VLOOKUP('Données projet'!$B$11,Paramètres!$A$1:$I$89,5,0)</f>
        <v>40.17311999999999</v>
      </c>
      <c r="BF31" s="13">
        <f t="shared" si="37"/>
        <v>12.044520842267836</v>
      </c>
      <c r="BG31" s="20">
        <f t="shared" si="7"/>
        <v>90.945724466949798</v>
      </c>
      <c r="BH31" s="59">
        <f t="shared" si="8"/>
        <v>384.27905780028311</v>
      </c>
      <c r="BI31" s="59">
        <f ca="1">AVERAGE(OFFSET($BH$3,0,0,'Données projet'!$E$11+1,1))-AVERAGE(OFFSET($H$3,0,0,'Données projet'!$E$11+1,1))</f>
        <v>138.8931001150624</v>
      </c>
      <c r="BJ31" s="59">
        <f t="shared" si="38"/>
        <v>48.964659354096625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>
        <f>EXP(-LN(2)/35)*BP30+(1-EXP(-LN(2)/35))/(LN(2)/35)*BL31*BM31*VLOOKUP('Données projet'!$B$11,Paramètres!$A$1:$I$89,3,0)*0.475*44/12</f>
        <v>0</v>
      </c>
      <c r="BQ31" s="21">
        <f>EXP(-LN(2)/25)*BQ30+(1-EXP(-LN(2)/25))/(LN(2)/25)*Calculateur!BL31*Calculateur!BN31*VLOOKUP('Données projet'!$B$11,Paramètres!$A$1:$I$89,3,0)*0.475*44/12</f>
        <v>0</v>
      </c>
      <c r="BR31" s="21">
        <f>EXP(-LN(2)/2)*BR30+(1-EXP(-LN(2)/2))/(LN(2)/2)*BL31*BO31*VLOOKUP('Données projet'!$B$11,Paramètres!$A$1:$I$89,3,0)*0.475*44/12</f>
        <v>0</v>
      </c>
      <c r="BS31" s="22">
        <f t="shared" si="9"/>
        <v>0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4.8</v>
      </c>
      <c r="BY31" s="12">
        <f>IF('Données projet'!$A$114&gt;35,BY30+BX31-CG30,IF(A31&lt;'Données projet'!$A$114,$BV$205^A31,IF(A31='Données projet'!$A$114,'Données projet'!$B$114,BY30+BX31-CG30)))</f>
        <v>44.399999999999991</v>
      </c>
      <c r="BZ31" s="13">
        <f>BY31*VLOOKUP('Données projet'!$B$12,Paramètres!$A$1:$I$89,3,0)*VLOOKUP('Données projet'!$B$12,Paramètres!$A$1:$I$89,5,0)</f>
        <v>42.943679999999993</v>
      </c>
      <c r="CA31" s="13">
        <f t="shared" si="39"/>
        <v>12.775615987781539</v>
      </c>
      <c r="CB31" s="20">
        <f t="shared" si="10"/>
        <v>97.044440512052844</v>
      </c>
      <c r="CC31" s="59">
        <f t="shared" si="11"/>
        <v>390.37777384538617</v>
      </c>
      <c r="CD31" s="59">
        <f ca="1">AVERAGE(OFFSET($CC$3,0,0,'Données projet'!$E$12+1,1))-AVERAGE(OFFSET($H$3,0,0,'Données projet'!$E$12+1,1))</f>
        <v>154.93882427988234</v>
      </c>
      <c r="CE31" s="59">
        <f t="shared" si="40"/>
        <v>56.347130462109817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>
        <f>EXP(-LN(2)/35)*CK30+(1-EXP(-LN(2)/35))/(LN(2)/35)*CG31*CH31*VLOOKUP('Données projet'!$B$12,Paramètres!$A$1:$I$89,3,0)*0.475*44/12</f>
        <v>0</v>
      </c>
      <c r="CL31" s="21">
        <f>EXP(-LN(2)/25)*CL30+(1-EXP(-LN(2)/25))/(LN(2)/25)*Calculateur!CG31*Calculateur!CI31*VLOOKUP('Données projet'!$B$12,Paramètres!$A$1:$I$89,3,0)*0.475*44/12</f>
        <v>0</v>
      </c>
      <c r="CM31" s="21">
        <f>EXP(-LN(2)/2)*CM30+(1-EXP(-LN(2)/2))/(LN(2)/2)*CG31*CJ31*VLOOKUP('Données projet'!$B$12,Paramètres!$A$1:$I$89,3,0)*0.475*44/12</f>
        <v>0</v>
      </c>
      <c r="CN31" s="22">
        <f t="shared" si="12"/>
        <v>0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25.786799999999992</v>
      </c>
      <c r="D32" s="11">
        <f t="shared" si="32"/>
        <v>8.1407206738151334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261.89665081541494</v>
      </c>
      <c r="H32" s="67">
        <f t="shared" si="1"/>
        <v>352.42376517356132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8</v>
      </c>
      <c r="N32" s="13">
        <f>IF('Données projet'!$A$36&gt;35,N31+M32-V31,IF(A32&lt;'Données projet'!$A$36,$K$205^A32,IF(A32='Données projet'!$A$36,'Données projet'!$B$36,N31+M32-V31)))</f>
        <v>103</v>
      </c>
      <c r="O32" s="13">
        <f>N32*VLOOKUP('Données projet'!$B$9,Paramètres!$A$1:$I$89,3,0)*VLOOKUP('Données projet'!$B$9,Paramètres!$A$1:$I$89,5,0)</f>
        <v>61.594000000000008</v>
      </c>
      <c r="P32" s="13">
        <f t="shared" si="33"/>
        <v>17.570665168564613</v>
      </c>
      <c r="Q32" s="20">
        <f t="shared" si="2"/>
        <v>137.8784585019167</v>
      </c>
      <c r="R32" s="59">
        <f t="shared" si="0"/>
        <v>431.21179183524998</v>
      </c>
      <c r="S32" s="59">
        <f ca="1">AVERAGE(OFFSET($R$3,0,0,'Données projet'!$E$9+1,1))-AVERAGE(OFFSET($H$3,0,0,'Données projet'!$E$9+1,1))</f>
        <v>72.647148358003676</v>
      </c>
      <c r="T32" s="59">
        <f t="shared" si="34"/>
        <v>87.231299224620898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1.2979323920818318</v>
      </c>
      <c r="AA32" s="21">
        <f>EXP(-LN(2)/25)*AA31+(1-EXP(-LN(2)/25))/(LN(2)/25)*Calculateur!V32*Calculateur!X32*VLOOKUP('Données projet'!$B$9,Paramètres!$A$1:$I$89,3,0)*0.475*44/12</f>
        <v>4.65851529360752</v>
      </c>
      <c r="AB32" s="21">
        <f>EXP(-LN(2)/2)*AB31+(1-EXP(-LN(2)/2))/(LN(2)/2)*V32*Y32*VLOOKUP('Données projet'!$B$9,Paramètres!$A$1:$I$89,3,0)*0.475*44/12</f>
        <v>3.2256742219942636</v>
      </c>
      <c r="AC32" s="22">
        <f t="shared" si="3"/>
        <v>9.1821219076836158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9.9</v>
      </c>
      <c r="AI32" s="13">
        <f>IF('Données projet'!$A$62&gt;35,AI31+AH32-AQ31,IF(A32&lt;'Données projet'!$A$62,$AF$205^A32,IF(A32='Données projet'!$A$62,'Données projet'!$B$62,AI31+AH32-AQ31)))</f>
        <v>125.10000000000004</v>
      </c>
      <c r="AJ32" s="13">
        <f>AI32*VLOOKUP('Données projet'!$B$10,Paramètres!$A$1:$I$89,3,0)*VLOOKUP('Données projet'!$B$10,Paramètres!$A$1:$I$89,5,0)</f>
        <v>101.48112000000003</v>
      </c>
      <c r="AK32" s="13">
        <f t="shared" si="35"/>
        <v>27.314551461266014</v>
      </c>
      <c r="AL32" s="20">
        <f t="shared" si="4"/>
        <v>224.31912779503833</v>
      </c>
      <c r="AM32" s="59">
        <f t="shared" si="5"/>
        <v>517.65246112837167</v>
      </c>
      <c r="AN32" s="59">
        <f ca="1">AVERAGE(OFFSET($AM$3,0,0,'Données projet'!$E$10+1,1))-AVERAGE(OFFSET($H$3,0,0,'Données projet'!$E$10+1,1))</f>
        <v>145.3656871223958</v>
      </c>
      <c r="AO32" s="59">
        <f t="shared" si="36"/>
        <v>180.54762778843178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0</v>
      </c>
      <c r="AV32" s="21">
        <f>EXP(-LN(2)/25)*AV31+(1-EXP(-LN(2)/25))/(LN(2)/25)*Calculateur!AQ32*Calculateur!AS32*VLOOKUP('Données projet'!$B$10,Paramètres!$A$1:$I$89,3,0)*0.475*44/12</f>
        <v>1.5711536359076121</v>
      </c>
      <c r="AW32" s="21">
        <f>EXP(-LN(2)/2)*AW31+(1-EXP(-LN(2)/2))/(LN(2)/2)*AQ32*AT32*VLOOKUP('Données projet'!$B$10,Paramètres!$A$1:$I$89,3,0)*0.475*44/12</f>
        <v>0.17758511385908574</v>
      </c>
      <c r="AX32" s="21">
        <f t="shared" si="6"/>
        <v>1.748738749766698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4.8</v>
      </c>
      <c r="BD32" s="12">
        <f>IF('Données projet'!$A$88&gt;35,BD31+BC32-BL31,IF(A32&lt;'Données projet'!$A$88,$BA$205^A32,IF(A32='Données projet'!$A$88,'Données projet'!$B$88,BD31+BC32-BL31)))</f>
        <v>49.199999999999989</v>
      </c>
      <c r="BE32" s="13">
        <f>BD32*VLOOKUP('Données projet'!$B$11,Paramètres!$A$1:$I$89,3,0)*VLOOKUP('Données projet'!$B$11,Paramètres!$A$1:$I$89,5,0)</f>
        <v>44.516159999999985</v>
      </c>
      <c r="BF32" s="13">
        <f t="shared" si="37"/>
        <v>13.188102074986608</v>
      </c>
      <c r="BG32" s="20">
        <f t="shared" si="7"/>
        <v>100.50158978060165</v>
      </c>
      <c r="BH32" s="59">
        <f t="shared" si="8"/>
        <v>393.83492311393496</v>
      </c>
      <c r="BI32" s="59">
        <f ca="1">AVERAGE(OFFSET($BH$3,0,0,'Données projet'!$E$11+1,1))-AVERAGE(OFFSET($H$3,0,0,'Données projet'!$E$11+1,1))</f>
        <v>138.8931001150624</v>
      </c>
      <c r="BJ32" s="59">
        <f t="shared" si="38"/>
        <v>48.964659354096625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>
        <f>EXP(-LN(2)/35)*BP31+(1-EXP(-LN(2)/35))/(LN(2)/35)*BL32*BM32*VLOOKUP('Données projet'!$B$11,Paramètres!$A$1:$I$89,3,0)*0.475*44/12</f>
        <v>0</v>
      </c>
      <c r="BQ32" s="21">
        <f>EXP(-LN(2)/25)*BQ31+(1-EXP(-LN(2)/25))/(LN(2)/25)*Calculateur!BL32*Calculateur!BN32*VLOOKUP('Données projet'!$B$11,Paramètres!$A$1:$I$89,3,0)*0.475*44/12</f>
        <v>0</v>
      </c>
      <c r="BR32" s="21">
        <f>EXP(-LN(2)/2)*BR31+(1-EXP(-LN(2)/2))/(LN(2)/2)*BL32*BO32*VLOOKUP('Données projet'!$B$11,Paramètres!$A$1:$I$89,3,0)*0.475*44/12</f>
        <v>0</v>
      </c>
      <c r="BS32" s="22">
        <f t="shared" si="9"/>
        <v>0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4.8</v>
      </c>
      <c r="BY32" s="12">
        <f>IF('Données projet'!$A$114&gt;35,BY31+BX32-CG31,IF(A32&lt;'Données projet'!$A$114,$BV$205^A32,IF(A32='Données projet'!$A$114,'Données projet'!$B$114,BY31+BX32-CG31)))</f>
        <v>49.199999999999989</v>
      </c>
      <c r="BZ32" s="13">
        <f>BY32*VLOOKUP('Données projet'!$B$12,Paramètres!$A$1:$I$89,3,0)*VLOOKUP('Données projet'!$B$12,Paramètres!$A$1:$I$89,5,0)</f>
        <v>47.586239999999989</v>
      </c>
      <c r="CA32" s="13">
        <f t="shared" si="39"/>
        <v>13.98861191110446</v>
      </c>
      <c r="CB32" s="20">
        <f t="shared" si="10"/>
        <v>107.2428670785069</v>
      </c>
      <c r="CC32" s="59">
        <f t="shared" si="11"/>
        <v>400.5762004118402</v>
      </c>
      <c r="CD32" s="59">
        <f ca="1">AVERAGE(OFFSET($CC$3,0,0,'Données projet'!$E$12+1,1))-AVERAGE(OFFSET($H$3,0,0,'Données projet'!$E$12+1,1))</f>
        <v>154.93882427988234</v>
      </c>
      <c r="CE32" s="59">
        <f t="shared" si="40"/>
        <v>56.347130462109817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>
        <f>EXP(-LN(2)/35)*CK31+(1-EXP(-LN(2)/35))/(LN(2)/35)*CG32*CH32*VLOOKUP('Données projet'!$B$12,Paramètres!$A$1:$I$89,3,0)*0.475*44/12</f>
        <v>0</v>
      </c>
      <c r="CL32" s="21">
        <f>EXP(-LN(2)/25)*CL31+(1-EXP(-LN(2)/25))/(LN(2)/25)*Calculateur!CG32*Calculateur!CI32*VLOOKUP('Données projet'!$B$12,Paramètres!$A$1:$I$89,3,0)*0.475*44/12</f>
        <v>0</v>
      </c>
      <c r="CM32" s="21">
        <f>EXP(-LN(2)/2)*CM31+(1-EXP(-LN(2)/2))/(LN(2)/2)*CG32*CJ32*VLOOKUP('Données projet'!$B$12,Paramètres!$A$1:$I$89,3,0)*0.475*44/12</f>
        <v>0</v>
      </c>
      <c r="CN32" s="22">
        <f t="shared" si="12"/>
        <v>0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26.675999999999991</v>
      </c>
      <c r="D33" s="11">
        <f t="shared" si="32"/>
        <v>8.388268495647786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270.67154628219339</v>
      </c>
      <c r="H33" s="67">
        <f t="shared" si="1"/>
        <v>354.40360096325321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8</v>
      </c>
      <c r="N33" s="13">
        <f>IF('Données projet'!$A$36&gt;35,N32+M33-V32,IF(A33&lt;'Données projet'!$A$36,$K$205^A33,IF(A33='Données projet'!$A$36,'Données projet'!$B$36,N32+M33-V32)))</f>
        <v>111</v>
      </c>
      <c r="O33" s="13">
        <f>N33*VLOOKUP('Données projet'!$B$9,Paramètres!$A$1:$I$89,3,0)*VLOOKUP('Données projet'!$B$9,Paramètres!$A$1:$I$89,5,0)</f>
        <v>66.378</v>
      </c>
      <c r="P33" s="13">
        <f t="shared" si="33"/>
        <v>18.771224988253085</v>
      </c>
      <c r="Q33" s="20">
        <f t="shared" si="2"/>
        <v>148.30156685454077</v>
      </c>
      <c r="R33" s="59">
        <f t="shared" si="0"/>
        <v>441.63490018787411</v>
      </c>
      <c r="S33" s="59">
        <f ca="1">AVERAGE(OFFSET($R$3,0,0,'Données projet'!$E$9+1,1))-AVERAGE(OFFSET($H$3,0,0,'Données projet'!$E$9+1,1))</f>
        <v>72.647148358003676</v>
      </c>
      <c r="T33" s="59">
        <f t="shared" si="34"/>
        <v>87.231299224620898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1.2724807295336962</v>
      </c>
      <c r="AA33" s="21">
        <f>EXP(-LN(2)/25)*AA32+(1-EXP(-LN(2)/25))/(LN(2)/25)*Calculateur!V33*Calculateur!X33*VLOOKUP('Données projet'!$B$9,Paramètres!$A$1:$I$89,3,0)*0.475*44/12</f>
        <v>4.5311279479231503</v>
      </c>
      <c r="AB33" s="21">
        <f>EXP(-LN(2)/2)*AB32+(1-EXP(-LN(2)/2))/(LN(2)/2)*V33*Y33*VLOOKUP('Données projet'!$B$9,Paramètres!$A$1:$I$89,3,0)*0.475*44/12</f>
        <v>2.2808961162707848</v>
      </c>
      <c r="AC33" s="22">
        <f t="shared" si="3"/>
        <v>8.084504793727632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135</v>
      </c>
      <c r="AG33" s="12">
        <f>VLOOKUP(A33,'Données projet'!$A$61:$I$81,9,0)</f>
        <v>9.9</v>
      </c>
      <c r="AH33" s="12">
        <f t="array" ref="AH33">INDEX(AG:AG,MIN(IF(ISNUMBER(AG33:AG229),ROW(AG33:AG229),"")))</f>
        <v>9.9</v>
      </c>
      <c r="AI33" s="13">
        <f>IF('Données projet'!$A$62&gt;35,AI32+AH33-AQ32,IF(A33&lt;'Données projet'!$A$62,$AF$205^A33,IF(A33='Données projet'!$A$62,'Données projet'!$B$62,AI32+AH33-AQ32)))</f>
        <v>135.00000000000003</v>
      </c>
      <c r="AJ33" s="13">
        <f>AI33*VLOOKUP('Données projet'!$B$10,Paramètres!$A$1:$I$89,3,0)*VLOOKUP('Données projet'!$B$10,Paramètres!$A$1:$I$89,5,0)</f>
        <v>109.51200000000003</v>
      </c>
      <c r="AK33" s="13">
        <f t="shared" si="35"/>
        <v>29.215978230632555</v>
      </c>
      <c r="AL33" s="20">
        <f t="shared" si="4"/>
        <v>241.61789541835174</v>
      </c>
      <c r="AM33" s="59">
        <f t="shared" si="5"/>
        <v>534.95122875168499</v>
      </c>
      <c r="AN33" s="59">
        <f ca="1">AVERAGE(OFFSET($AM$3,0,0,'Données projet'!$E$10+1,1))-AVERAGE(OFFSET($H$3,0,0,'Données projet'!$E$10+1,1))</f>
        <v>145.3656871223958</v>
      </c>
      <c r="AO33" s="59">
        <f t="shared" si="36"/>
        <v>180.54762778843178</v>
      </c>
      <c r="AP33" s="15">
        <f>IF(ISNA(VLOOKUP(A33,'Données projet'!$A$61:$I$81,3,0)),0,VLOOKUP(A33,'Données projet'!$A$61:$I$81,3,0))</f>
        <v>2</v>
      </c>
      <c r="AQ33" s="15">
        <f>IF(ISNA(VLOOKUP(A33,'Données projet'!$A$61:$I$81,4,0)),0,VLOOKUP(A33,'Données projet'!$A$61:$I$81,4,0))</f>
        <v>42</v>
      </c>
      <c r="AR33" s="16">
        <f>IF(ISNA(VLOOKUP(A33,'Données projet'!$A$61:$I$81,5,0)),0%,VLOOKUP(A33,'Données projet'!$A$61:$I$81,5,0)*VLOOKUP('Données projet'!$B$10,Paramètres!$A$1:$I$89,7,0))</f>
        <v>0</v>
      </c>
      <c r="AS33" s="16">
        <f>IF(ISNA(VLOOKUP(A33,'Données projet'!$A$61:$I$81,6,0)),0%,VLOOKUP(A33,'Données projet'!$A$61:$I$81,6,0)*VLOOKUP('Données projet'!$B$10,Paramètres!$A$1:$I$89,7,0))</f>
        <v>0.1075</v>
      </c>
      <c r="AT33" s="16">
        <f>IF(ISNA(VLOOKUP(A33,'Données projet'!$A$61:$I$81,7,0)),0%,VLOOKUP(A33,'Données projet'!$A$61:$I$81,7,0))</f>
        <v>0.25</v>
      </c>
      <c r="AU33" s="21">
        <f>EXP(-LN(2)/35)*AU32+(1-EXP(-LN(2)/35))/(LN(2)/35)*AQ33*AR33*VLOOKUP('Données projet'!$B$10,Paramètres!$A$1:$I$89,3,0)*0.475*44/12</f>
        <v>0</v>
      </c>
      <c r="AV33" s="21">
        <f>EXP(-LN(2)/25)*AV32+(1-EXP(-LN(2)/25))/(LN(2)/25)*Calculateur!AQ33*Calculateur!AS33*VLOOKUP('Données projet'!$B$10,Paramètres!$A$1:$I$89,3,0)*0.475*44/12</f>
        <v>5.5611088878582349</v>
      </c>
      <c r="AW33" s="21">
        <f>EXP(-LN(2)/2)*AW32+(1-EXP(-LN(2)/2))/(LN(2)/2)*AQ33*AT33*VLOOKUP('Données projet'!$B$10,Paramètres!$A$1:$I$89,3,0)*0.475*44/12</f>
        <v>8.1621564860903995</v>
      </c>
      <c r="AX33" s="21">
        <f t="shared" si="6"/>
        <v>13.723265373948635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>
        <f>VLOOKUP(A33,'Données projet'!$A$87:$I$107,2,0)</f>
        <v>54</v>
      </c>
      <c r="BB33" s="12">
        <f>VLOOKUP(A33,'Données projet'!$A$87:$I$107,9,0)</f>
        <v>4.8</v>
      </c>
      <c r="BC33" s="12">
        <f t="array" ref="BC33">INDEX(BB:BB,MIN(IF(ISNUMBER(BB33:BB229),ROW(BB33:BB229),"")))</f>
        <v>4.8</v>
      </c>
      <c r="BD33" s="12">
        <f>IF('Données projet'!$A$88&gt;35,BD32+BC33-BL32,IF(A33&lt;'Données projet'!$A$88,$BA$205^A33,IF(A33='Données projet'!$A$88,'Données projet'!$B$88,BD32+BC33-BL32)))</f>
        <v>53.999999999999986</v>
      </c>
      <c r="BE33" s="13">
        <f>BD33*VLOOKUP('Données projet'!$B$11,Paramètres!$A$1:$I$89,3,0)*VLOOKUP('Données projet'!$B$11,Paramètres!$A$1:$I$89,5,0)</f>
        <v>48.859199999999987</v>
      </c>
      <c r="BF33" s="13">
        <f t="shared" si="37"/>
        <v>14.318748507569309</v>
      </c>
      <c r="BG33" s="20">
        <f t="shared" si="7"/>
        <v>110.03492698401652</v>
      </c>
      <c r="BH33" s="59">
        <f t="shared" si="8"/>
        <v>403.36826031734984</v>
      </c>
      <c r="BI33" s="59">
        <f ca="1">AVERAGE(OFFSET($BH$3,0,0,'Données projet'!$E$11+1,1))-AVERAGE(OFFSET($H$3,0,0,'Données projet'!$E$11+1,1))</f>
        <v>138.8931001150624</v>
      </c>
      <c r="BJ33" s="59">
        <f t="shared" si="38"/>
        <v>48.964659354096625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>
        <f>EXP(-LN(2)/35)*BP32+(1-EXP(-LN(2)/35))/(LN(2)/35)*BL33*BM33*VLOOKUP('Données projet'!$B$11,Paramètres!$A$1:$I$89,3,0)*0.475*44/12</f>
        <v>0</v>
      </c>
      <c r="BQ33" s="21">
        <f>EXP(-LN(2)/25)*BQ32+(1-EXP(-LN(2)/25))/(LN(2)/25)*Calculateur!BL33*Calculateur!BN33*VLOOKUP('Données projet'!$B$11,Paramètres!$A$1:$I$89,3,0)*0.475*44/12</f>
        <v>0</v>
      </c>
      <c r="BR33" s="21">
        <f>EXP(-LN(2)/2)*BR32+(1-EXP(-LN(2)/2))/(LN(2)/2)*BL33*BO33*VLOOKUP('Données projet'!$B$11,Paramètres!$A$1:$I$89,3,0)*0.475*44/12</f>
        <v>0</v>
      </c>
      <c r="BS33" s="22">
        <f t="shared" si="9"/>
        <v>0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>
        <f>VLOOKUP(A33,'Données projet'!$A$113:$I$133,2,0)</f>
        <v>54</v>
      </c>
      <c r="BW33" s="12">
        <f>VLOOKUP(A33,'Données projet'!$A$113:$I$133,9,0)</f>
        <v>4.8</v>
      </c>
      <c r="BX33" s="12">
        <f t="array" ref="BX33">INDEX(BW:BW,MIN(IF(ISNUMBER(BW33:BW229),ROW(BW33:BW229),"")))</f>
        <v>4.8</v>
      </c>
      <c r="BY33" s="12">
        <f>IF('Données projet'!$A$114&gt;35,BY32+BX33-CG32,IF(A33&lt;'Données projet'!$A$114,$BV$205^A33,IF(A33='Données projet'!$A$114,'Données projet'!$B$114,BY32+BX33-CG32)))</f>
        <v>53.999999999999986</v>
      </c>
      <c r="BZ33" s="13">
        <f>BY33*VLOOKUP('Données projet'!$B$12,Paramètres!$A$1:$I$89,3,0)*VLOOKUP('Données projet'!$B$12,Paramètres!$A$1:$I$89,5,0)</f>
        <v>52.228799999999985</v>
      </c>
      <c r="CA33" s="13">
        <f t="shared" si="39"/>
        <v>15.187887899730002</v>
      </c>
      <c r="CB33" s="20">
        <f t="shared" si="10"/>
        <v>117.41739809202973</v>
      </c>
      <c r="CC33" s="59">
        <f t="shared" si="11"/>
        <v>410.75073142536303</v>
      </c>
      <c r="CD33" s="59">
        <f ca="1">AVERAGE(OFFSET($CC$3,0,0,'Données projet'!$E$12+1,1))-AVERAGE(OFFSET($H$3,0,0,'Données projet'!$E$12+1,1))</f>
        <v>154.93882427988234</v>
      </c>
      <c r="CE33" s="59">
        <f t="shared" si="40"/>
        <v>56.347130462109817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>
        <f>EXP(-LN(2)/35)*CK32+(1-EXP(-LN(2)/35))/(LN(2)/35)*CG33*CH33*VLOOKUP('Données projet'!$B$12,Paramètres!$A$1:$I$89,3,0)*0.475*44/12</f>
        <v>0</v>
      </c>
      <c r="CL33" s="21">
        <f>EXP(-LN(2)/25)*CL32+(1-EXP(-LN(2)/25))/(LN(2)/25)*Calculateur!CG33*Calculateur!CI33*VLOOKUP('Données projet'!$B$12,Paramètres!$A$1:$I$89,3,0)*0.475*44/12</f>
        <v>0</v>
      </c>
      <c r="CM33" s="21">
        <f>EXP(-LN(2)/2)*CM32+(1-EXP(-LN(2)/2))/(LN(2)/2)*CG33*CJ33*VLOOKUP('Données projet'!$B$12,Paramètres!$A$1:$I$89,3,0)*0.475*44/12</f>
        <v>0</v>
      </c>
      <c r="CN33" s="22">
        <f t="shared" si="12"/>
        <v>0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27.56519999999999</v>
      </c>
      <c r="D34" s="11">
        <f t="shared" si="32"/>
        <v>8.6348575052881742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279.43904039169814</v>
      </c>
      <c r="H34" s="67">
        <f t="shared" si="1"/>
        <v>356.38176682171019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 t="e">
        <f>VLOOKUP(A34,'Données projet'!$A$35:$I$55,2,0)</f>
        <v>#N/A</v>
      </c>
      <c r="L34" s="12" t="e">
        <f>VLOOKUP(A34,'Données projet'!$A$35:$I$55,9,0)</f>
        <v>#N/A</v>
      </c>
      <c r="M34" s="12">
        <f t="array" ref="M34">INDEX(L:L,MIN(IF(ISNUMBER(L34:L230),ROW(L34:L230),"")))</f>
        <v>8</v>
      </c>
      <c r="N34" s="13">
        <f>IF('Données projet'!$A$36&gt;35,N33+M34-V33,IF(A34&lt;'Données projet'!$A$36,$K$205^A34,IF(A34='Données projet'!$A$36,'Données projet'!$B$36,N33+M34-V33)))</f>
        <v>119</v>
      </c>
      <c r="O34" s="13">
        <f>N34*VLOOKUP('Données projet'!$B$9,Paramètres!$A$1:$I$89,3,0)*VLOOKUP('Données projet'!$B$9,Paramètres!$A$1:$I$89,5,0)</f>
        <v>71.162000000000006</v>
      </c>
      <c r="P34" s="13">
        <f t="shared" si="33"/>
        <v>19.961746043676346</v>
      </c>
      <c r="Q34" s="20">
        <f t="shared" si="2"/>
        <v>158.70719102606964</v>
      </c>
      <c r="R34" s="59">
        <f t="shared" si="0"/>
        <v>452.04052435940298</v>
      </c>
      <c r="S34" s="59">
        <f ca="1">AVERAGE(OFFSET($R$3,0,0,'Données projet'!$E$9+1,1))-AVERAGE(OFFSET($H$3,0,0,'Données projet'!$E$9+1,1))</f>
        <v>72.647148358003676</v>
      </c>
      <c r="T34" s="59">
        <f t="shared" si="34"/>
        <v>87.231299224620898</v>
      </c>
      <c r="U34" s="15">
        <f>IF(ISNA(VLOOKUP(A34,'Données projet'!$A$35:$I$55,3,0)),0,VLOOKUP(A34,'Données projet'!$A$35:$I$55,3,0))</f>
        <v>0</v>
      </c>
      <c r="V34" s="15">
        <f>IF(ISNA(VLOOKUP(A34,'Données projet'!$A$35:$I$55,4,0)),0,VLOOKUP(A34,'Données projet'!$A$35:$I$55,4,0))</f>
        <v>0</v>
      </c>
      <c r="W34" s="16">
        <f>IF(ISNA(VLOOKUP(A34,'Données projet'!$A$35:$I$55,5,0)),0%,VLOOKUP(A34,'Données projet'!$A$35:$I$55,5,0)*VLOOKUP('Données projet'!$B$9,Paramètres!$A$1:$I$89,7,0))</f>
        <v>0</v>
      </c>
      <c r="X34" s="16">
        <f>IF(ISNA(VLOOKUP(A34,'Données projet'!$A$35:$I$55,6,0)),0%,VLOOKUP(A34,'Données projet'!$A$35:$I$55,6,0)*VLOOKUP('Données projet'!$B$9,Paramètres!$A$1:$I$89,7,0))</f>
        <v>0</v>
      </c>
      <c r="Y34" s="16">
        <f>IF(ISNA(VLOOKUP(A34,'Données projet'!$A$35:$I$55,7,0)),0%,VLOOKUP(A34,'Données projet'!$A$35:$I$55,7,0))</f>
        <v>0</v>
      </c>
      <c r="Z34" s="21">
        <f>EXP(-LN(2)/35)*Z33+(1-EXP(-LN(2)/35))/(LN(2)/35)*V34*W34*VLOOKUP('Données projet'!$B$9,Paramètres!$A$1:$I$89,3,0)*0.475*44/12</f>
        <v>1.2475281585641482</v>
      </c>
      <c r="AA34" s="21">
        <f>EXP(-LN(2)/25)*AA33+(1-EXP(-LN(2)/25))/(LN(2)/25)*Calculateur!V34*Calculateur!X34*VLOOKUP('Données projet'!$B$9,Paramètres!$A$1:$I$89,3,0)*0.475*44/12</f>
        <v>4.4072240159055287</v>
      </c>
      <c r="AB34" s="21">
        <f>EXP(-LN(2)/2)*AB33+(1-EXP(-LN(2)/2))/(LN(2)/2)*V34*Y34*VLOOKUP('Données projet'!$B$9,Paramètres!$A$1:$I$89,3,0)*0.475*44/12</f>
        <v>1.612837110997132</v>
      </c>
      <c r="AC34" s="22">
        <f t="shared" si="3"/>
        <v>7.2675892854668094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8.1</v>
      </c>
      <c r="AI34" s="13">
        <f>IF('Données projet'!$A$62&gt;35,AI33+AH34-AQ33,IF(A34&lt;'Données projet'!$A$62,$AF$205^A34,IF(A34='Données projet'!$A$62,'Données projet'!$B$62,AI33+AH34-AQ33)))</f>
        <v>101.10000000000002</v>
      </c>
      <c r="AJ34" s="13">
        <f>AI34*VLOOKUP('Données projet'!$B$10,Paramètres!$A$1:$I$89,3,0)*VLOOKUP('Données projet'!$B$10,Paramètres!$A$1:$I$89,5,0)</f>
        <v>82.012320000000031</v>
      </c>
      <c r="AK34" s="13">
        <f t="shared" si="35"/>
        <v>22.628493181324838</v>
      </c>
      <c r="AL34" s="20">
        <f t="shared" si="4"/>
        <v>182.24941629080749</v>
      </c>
      <c r="AM34" s="59">
        <f t="shared" si="5"/>
        <v>475.58274962414077</v>
      </c>
      <c r="AN34" s="59">
        <f ca="1">AVERAGE(OFFSET($AM$3,0,0,'Données projet'!$E$10+1,1))-AVERAGE(OFFSET($H$3,0,0,'Données projet'!$E$10+1,1))</f>
        <v>145.3656871223958</v>
      </c>
      <c r="AO34" s="59">
        <f t="shared" si="36"/>
        <v>180.54762778843178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0</v>
      </c>
      <c r="AV34" s="21">
        <f>EXP(-LN(2)/25)*AV33+(1-EXP(-LN(2)/25))/(LN(2)/25)*Calculateur!AQ34*Calculateur!AS34*VLOOKUP('Données projet'!$B$10,Paramètres!$A$1:$I$89,3,0)*0.475*44/12</f>
        <v>5.4090400728737453</v>
      </c>
      <c r="AW34" s="21">
        <f>EXP(-LN(2)/2)*AW33+(1-EXP(-LN(2)/2))/(LN(2)/2)*AQ34*AT34*VLOOKUP('Données projet'!$B$10,Paramètres!$A$1:$I$89,3,0)*0.475*44/12</f>
        <v>5.771516200420284</v>
      </c>
      <c r="AX34" s="21">
        <f t="shared" si="6"/>
        <v>11.18055627329403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5.2</v>
      </c>
      <c r="BD34" s="12">
        <f>IF('Données projet'!$A$88&gt;35,BD33+BC34-BL33,IF(A34&lt;'Données projet'!$A$88,$BA$205^A34,IF(A34='Données projet'!$A$88,'Données projet'!$B$88,BD33+BC34-BL33)))</f>
        <v>59.199999999999989</v>
      </c>
      <c r="BE34" s="13">
        <f>BD34*VLOOKUP('Données projet'!$B$11,Paramètres!$A$1:$I$89,3,0)*VLOOKUP('Données projet'!$B$11,Paramètres!$A$1:$I$89,5,0)</f>
        <v>53.564159999999987</v>
      </c>
      <c r="BF34" s="13">
        <f t="shared" si="37"/>
        <v>15.530498469746302</v>
      </c>
      <c r="BG34" s="20">
        <f t="shared" si="7"/>
        <v>120.3398635014748</v>
      </c>
      <c r="BH34" s="59">
        <f t="shared" si="8"/>
        <v>413.6731968348081</v>
      </c>
      <c r="BI34" s="59">
        <f ca="1">AVERAGE(OFFSET($BH$3,0,0,'Données projet'!$E$11+1,1))-AVERAGE(OFFSET($H$3,0,0,'Données projet'!$E$11+1,1))</f>
        <v>138.8931001150624</v>
      </c>
      <c r="BJ34" s="59">
        <f t="shared" si="38"/>
        <v>48.964659354096625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>
        <f>EXP(-LN(2)/35)*BP33+(1-EXP(-LN(2)/35))/(LN(2)/35)*BL34*BM34*VLOOKUP('Données projet'!$B$11,Paramètres!$A$1:$I$89,3,0)*0.475*44/12</f>
        <v>0</v>
      </c>
      <c r="BQ34" s="21">
        <f>EXP(-LN(2)/25)*BQ33+(1-EXP(-LN(2)/25))/(LN(2)/25)*Calculateur!BL34*Calculateur!BN34*VLOOKUP('Données projet'!$B$11,Paramètres!$A$1:$I$89,3,0)*0.475*44/12</f>
        <v>0</v>
      </c>
      <c r="BR34" s="21">
        <f>EXP(-LN(2)/2)*BR33+(1-EXP(-LN(2)/2))/(LN(2)/2)*BL34*BO34*VLOOKUP('Données projet'!$B$11,Paramètres!$A$1:$I$89,3,0)*0.475*44/12</f>
        <v>0</v>
      </c>
      <c r="BS34" s="22">
        <f t="shared" si="9"/>
        <v>0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5.2</v>
      </c>
      <c r="BY34" s="12">
        <f>IF('Données projet'!$A$114&gt;35,BY33+BX34-CG33,IF(A34&lt;'Données projet'!$A$114,$BV$205^A34,IF(A34='Données projet'!$A$114,'Données projet'!$B$114,BY33+BX34-CG33)))</f>
        <v>59.199999999999989</v>
      </c>
      <c r="BZ34" s="13">
        <f>BY34*VLOOKUP('Données projet'!$B$12,Paramètres!$A$1:$I$89,3,0)*VLOOKUP('Données projet'!$B$12,Paramètres!$A$1:$I$89,5,0)</f>
        <v>57.258239999999994</v>
      </c>
      <c r="CA34" s="13">
        <f t="shared" si="39"/>
        <v>16.473190353245219</v>
      </c>
      <c r="CB34" s="20">
        <f t="shared" si="10"/>
        <v>128.41557453190208</v>
      </c>
      <c r="CC34" s="59">
        <f t="shared" si="11"/>
        <v>421.74890786523542</v>
      </c>
      <c r="CD34" s="59">
        <f ca="1">AVERAGE(OFFSET($CC$3,0,0,'Données projet'!$E$12+1,1))-AVERAGE(OFFSET($H$3,0,0,'Données projet'!$E$12+1,1))</f>
        <v>154.93882427988234</v>
      </c>
      <c r="CE34" s="59">
        <f t="shared" si="40"/>
        <v>56.347130462109817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>
        <f>EXP(-LN(2)/35)*CK33+(1-EXP(-LN(2)/35))/(LN(2)/35)*CG34*CH34*VLOOKUP('Données projet'!$B$12,Paramètres!$A$1:$I$89,3,0)*0.475*44/12</f>
        <v>0</v>
      </c>
      <c r="CL34" s="21">
        <f>EXP(-LN(2)/25)*CL33+(1-EXP(-LN(2)/25))/(LN(2)/25)*Calculateur!CG34*Calculateur!CI34*VLOOKUP('Données projet'!$B$12,Paramètres!$A$1:$I$89,3,0)*0.475*44/12</f>
        <v>0</v>
      </c>
      <c r="CM34" s="21">
        <f>EXP(-LN(2)/2)*CM33+(1-EXP(-LN(2)/2))/(LN(2)/2)*CG34*CJ34*VLOOKUP('Données projet'!$B$12,Paramètres!$A$1:$I$89,3,0)*0.475*44/12</f>
        <v>0</v>
      </c>
      <c r="CN34" s="22">
        <f t="shared" si="12"/>
        <v>0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28.454399999999989</v>
      </c>
      <c r="D35" s="11">
        <f t="shared" si="32"/>
        <v>8.8805221797401579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288.19939928220469</v>
      </c>
      <c r="H35" s="67">
        <f t="shared" si="1"/>
        <v>358.35832279638072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8</v>
      </c>
      <c r="N35" s="13">
        <f>IF('Données projet'!$A$36&gt;35,N34+M35-V34,IF(A35&lt;'Données projet'!$A$36,$K$205^A35,IF(A35='Données projet'!$A$36,'Données projet'!$B$36,N34+M35-V34)))</f>
        <v>127</v>
      </c>
      <c r="O35" s="13">
        <f>N35*VLOOKUP('Données projet'!$B$9,Paramètres!$A$1:$I$89,3,0)*VLOOKUP('Données projet'!$B$9,Paramètres!$A$1:$I$89,5,0)</f>
        <v>75.945999999999998</v>
      </c>
      <c r="P35" s="13">
        <f t="shared" si="33"/>
        <v>21.142979995226831</v>
      </c>
      <c r="Q35" s="20">
        <f t="shared" ref="Q35:Q66" si="53">(O35+P35)*0.475*44/12</f>
        <v>169.09664015835338</v>
      </c>
      <c r="R35" s="59">
        <f t="shared" si="0"/>
        <v>462.42997349168672</v>
      </c>
      <c r="S35" s="59">
        <f ca="1">AVERAGE(OFFSET($R$3,0,0,'Données projet'!$E$9+1,1))-AVERAGE(OFFSET($H$3,0,0,'Données projet'!$E$9+1,1))</f>
        <v>72.647148358003676</v>
      </c>
      <c r="T35" s="59">
        <f t="shared" si="34"/>
        <v>87.231299224620898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1.2230648922917478</v>
      </c>
      <c r="AA35" s="21">
        <f>EXP(-LN(2)/25)*AA34+(1-EXP(-LN(2)/25))/(LN(2)/25)*Calculateur!V35*Calculateur!X35*VLOOKUP('Données projet'!$B$9,Paramètres!$A$1:$I$89,3,0)*0.475*44/12</f>
        <v>4.2867082434247541</v>
      </c>
      <c r="AB35" s="21">
        <f>EXP(-LN(2)/2)*AB34+(1-EXP(-LN(2)/2))/(LN(2)/2)*V35*Y35*VLOOKUP('Données projet'!$B$9,Paramètres!$A$1:$I$89,3,0)*0.475*44/12</f>
        <v>1.1404480581353926</v>
      </c>
      <c r="AC35" s="22">
        <f t="shared" si="3"/>
        <v>6.6502211938518947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8.1</v>
      </c>
      <c r="AI35" s="13">
        <f>IF('Données projet'!$A$62&gt;35,AI34+AH35-AQ34,IF(A35&lt;'Données projet'!$A$62,$AF$205^A35,IF(A35='Données projet'!$A$62,'Données projet'!$B$62,AI34+AH35-AQ34)))</f>
        <v>109.20000000000002</v>
      </c>
      <c r="AJ35" s="13">
        <f>AI35*VLOOKUP('Données projet'!$B$10,Paramètres!$A$1:$I$89,3,0)*VLOOKUP('Données projet'!$B$10,Paramètres!$A$1:$I$89,5,0)</f>
        <v>88.583040000000025</v>
      </c>
      <c r="AK35" s="13">
        <f t="shared" si="35"/>
        <v>24.223173378642503</v>
      </c>
      <c r="AL35" s="20">
        <f t="shared" si="4"/>
        <v>196.47082163446908</v>
      </c>
      <c r="AM35" s="59">
        <f t="shared" si="5"/>
        <v>489.80415496780239</v>
      </c>
      <c r="AN35" s="59">
        <f ca="1">AVERAGE(OFFSET($AM$3,0,0,'Données projet'!$E$10+1,1))-AVERAGE(OFFSET($H$3,0,0,'Données projet'!$E$10+1,1))</f>
        <v>145.3656871223958</v>
      </c>
      <c r="AO35" s="59">
        <f t="shared" si="36"/>
        <v>180.54762778843178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0</v>
      </c>
      <c r="AV35" s="21">
        <f>EXP(-LN(2)/25)*AV34+(1-EXP(-LN(2)/25))/(LN(2)/25)*Calculateur!AQ35*Calculateur!AS35*VLOOKUP('Données projet'!$B$10,Paramètres!$A$1:$I$89,3,0)*0.475*44/12</f>
        <v>5.2611295876319577</v>
      </c>
      <c r="AW35" s="21">
        <f>EXP(-LN(2)/2)*AW34+(1-EXP(-LN(2)/2))/(LN(2)/2)*AQ35*AT35*VLOOKUP('Données projet'!$B$10,Paramètres!$A$1:$I$89,3,0)*0.475*44/12</f>
        <v>4.0810782430452006</v>
      </c>
      <c r="AX35" s="21">
        <f t="shared" si="6"/>
        <v>9.3422078306771574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5.2</v>
      </c>
      <c r="BD35" s="12">
        <f>IF('Données projet'!$A$88&gt;35,BD34+BC35-BL34,IF(A35&lt;'Données projet'!$A$88,$BA$205^A35,IF(A35='Données projet'!$A$88,'Données projet'!$B$88,BD34+BC35-BL34)))</f>
        <v>64.399999999999991</v>
      </c>
      <c r="BE35" s="13">
        <f>BD35*VLOOKUP('Données projet'!$B$11,Paramètres!$A$1:$I$89,3,0)*VLOOKUP('Données projet'!$B$11,Paramètres!$A$1:$I$89,5,0)</f>
        <v>58.269119999999987</v>
      </c>
      <c r="BF35" s="13">
        <f t="shared" si="37"/>
        <v>16.729905486873804</v>
      </c>
      <c r="BG35" s="20">
        <f t="shared" si="7"/>
        <v>130.62330272297186</v>
      </c>
      <c r="BH35" s="59">
        <f t="shared" si="8"/>
        <v>423.95663605630517</v>
      </c>
      <c r="BI35" s="59">
        <f ca="1">AVERAGE(OFFSET($BH$3,0,0,'Données projet'!$E$11+1,1))-AVERAGE(OFFSET($H$3,0,0,'Données projet'!$E$11+1,1))</f>
        <v>138.8931001150624</v>
      </c>
      <c r="BJ35" s="59">
        <f t="shared" si="38"/>
        <v>48.964659354096625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>
        <f>EXP(-LN(2)/35)*BP34+(1-EXP(-LN(2)/35))/(LN(2)/35)*BL35*BM35*VLOOKUP('Données projet'!$B$11,Paramètres!$A$1:$I$89,3,0)*0.475*44/12</f>
        <v>0</v>
      </c>
      <c r="BQ35" s="21">
        <f>EXP(-LN(2)/25)*BQ34+(1-EXP(-LN(2)/25))/(LN(2)/25)*Calculateur!BL35*Calculateur!BN35*VLOOKUP('Données projet'!$B$11,Paramètres!$A$1:$I$89,3,0)*0.475*44/12</f>
        <v>0</v>
      </c>
      <c r="BR35" s="21">
        <f>EXP(-LN(2)/2)*BR34+(1-EXP(-LN(2)/2))/(LN(2)/2)*BL35*BO35*VLOOKUP('Données projet'!$B$11,Paramètres!$A$1:$I$89,3,0)*0.475*44/12</f>
        <v>0</v>
      </c>
      <c r="BS35" s="22">
        <f t="shared" si="9"/>
        <v>0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5.2</v>
      </c>
      <c r="BY35" s="12">
        <f>IF('Données projet'!$A$114&gt;35,BY34+BX35-CG34,IF(A35&lt;'Données projet'!$A$114,$BV$205^A35,IF(A35='Données projet'!$A$114,'Données projet'!$B$114,BY34+BX35-CG34)))</f>
        <v>64.399999999999991</v>
      </c>
      <c r="BZ35" s="13">
        <f>BY35*VLOOKUP('Données projet'!$B$12,Paramètres!$A$1:$I$89,3,0)*VLOOKUP('Données projet'!$B$12,Paramètres!$A$1:$I$89,5,0)</f>
        <v>62.287679999999995</v>
      </c>
      <c r="CA35" s="13">
        <f t="shared" si="39"/>
        <v>17.745400652396182</v>
      </c>
      <c r="CB35" s="20">
        <f t="shared" si="10"/>
        <v>139.39094880292336</v>
      </c>
      <c r="CC35" s="59">
        <f t="shared" si="11"/>
        <v>432.72428213625665</v>
      </c>
      <c r="CD35" s="59">
        <f ca="1">AVERAGE(OFFSET($CC$3,0,0,'Données projet'!$E$12+1,1))-AVERAGE(OFFSET($H$3,0,0,'Données projet'!$E$12+1,1))</f>
        <v>154.93882427988234</v>
      </c>
      <c r="CE35" s="59">
        <f t="shared" si="40"/>
        <v>56.347130462109817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>
        <f>EXP(-LN(2)/35)*CK34+(1-EXP(-LN(2)/35))/(LN(2)/35)*CG35*CH35*VLOOKUP('Données projet'!$B$12,Paramètres!$A$1:$I$89,3,0)*0.475*44/12</f>
        <v>0</v>
      </c>
      <c r="CL35" s="21">
        <f>EXP(-LN(2)/25)*CL34+(1-EXP(-LN(2)/25))/(LN(2)/25)*Calculateur!CG35*Calculateur!CI35*VLOOKUP('Données projet'!$B$12,Paramètres!$A$1:$I$89,3,0)*0.475*44/12</f>
        <v>0</v>
      </c>
      <c r="CM35" s="21">
        <f>EXP(-LN(2)/2)*CM34+(1-EXP(-LN(2)/2))/(LN(2)/2)*CG35*CJ35*VLOOKUP('Données projet'!$B$12,Paramètres!$A$1:$I$89,3,0)*0.475*44/12</f>
        <v>0</v>
      </c>
      <c r="CN35" s="22">
        <f t="shared" si="12"/>
        <v>0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29.343599999999988</v>
      </c>
      <c r="D36" s="11">
        <f t="shared" si="32"/>
        <v>9.1252947188023139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296.95287151356166</v>
      </c>
      <c r="H36" s="67">
        <f t="shared" si="1"/>
        <v>360.33332496858065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8</v>
      </c>
      <c r="N36" s="13">
        <f>IF('Données projet'!$A$36&gt;35,N35+M36-V35,IF(A36&lt;'Données projet'!$A$36,$K$205^A36,IF(A36='Données projet'!$A$36,'Données projet'!$B$36,N35+M36-V35)))</f>
        <v>135</v>
      </c>
      <c r="O36" s="13">
        <f>N36*VLOOKUP('Données projet'!$B$9,Paramètres!$A$1:$I$89,3,0)*VLOOKUP('Données projet'!$B$9,Paramètres!$A$1:$I$89,5,0)</f>
        <v>80.73</v>
      </c>
      <c r="P36" s="13">
        <f t="shared" si="33"/>
        <v>22.315578453114171</v>
      </c>
      <c r="Q36" s="20">
        <f t="shared" si="53"/>
        <v>179.47104913917386</v>
      </c>
      <c r="R36" s="59">
        <f t="shared" si="0"/>
        <v>472.8043824725072</v>
      </c>
      <c r="S36" s="59">
        <f ca="1">AVERAGE(OFFSET($R$3,0,0,'Données projet'!$E$9+1,1))-AVERAGE(OFFSET($H$3,0,0,'Données projet'!$E$9+1,1))</f>
        <v>72.647148358003676</v>
      </c>
      <c r="T36" s="59">
        <f t="shared" si="34"/>
        <v>87.231299224620898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1.19908133574983</v>
      </c>
      <c r="AA36" s="21">
        <f>EXP(-LN(2)/25)*AA35+(1-EXP(-LN(2)/25))/(LN(2)/25)*Calculateur!V36*Calculateur!X36*VLOOKUP('Données projet'!$B$9,Paramètres!$A$1:$I$89,3,0)*0.475*44/12</f>
        <v>4.1694879810801151</v>
      </c>
      <c r="AB36" s="21">
        <f>EXP(-LN(2)/2)*AB35+(1-EXP(-LN(2)/2))/(LN(2)/2)*V36*Y36*VLOOKUP('Données projet'!$B$9,Paramètres!$A$1:$I$89,3,0)*0.475*44/12</f>
        <v>0.80641855549856611</v>
      </c>
      <c r="AC36" s="22">
        <f t="shared" si="3"/>
        <v>6.1749878723285114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8.1</v>
      </c>
      <c r="AI36" s="13">
        <f>IF('Données projet'!$A$62&gt;35,AI35+AH36-AQ35,IF(A36&lt;'Données projet'!$A$62,$AF$205^A36,IF(A36='Données projet'!$A$62,'Données projet'!$B$62,AI35+AH36-AQ35)))</f>
        <v>117.30000000000001</v>
      </c>
      <c r="AJ36" s="13">
        <f>AI36*VLOOKUP('Données projet'!$B$10,Paramètres!$A$1:$I$89,3,0)*VLOOKUP('Données projet'!$B$10,Paramètres!$A$1:$I$89,5,0)</f>
        <v>95.15376000000002</v>
      </c>
      <c r="AK36" s="13">
        <f t="shared" si="35"/>
        <v>25.804130994254955</v>
      </c>
      <c r="AL36" s="20">
        <f t="shared" si="4"/>
        <v>210.66832681499406</v>
      </c>
      <c r="AM36" s="59">
        <f t="shared" si="5"/>
        <v>504.00166014832735</v>
      </c>
      <c r="AN36" s="59">
        <f ca="1">AVERAGE(OFFSET($AM$3,0,0,'Données projet'!$E$10+1,1))-AVERAGE(OFFSET($H$3,0,0,'Données projet'!$E$10+1,1))</f>
        <v>145.3656871223958</v>
      </c>
      <c r="AO36" s="59">
        <f t="shared" si="36"/>
        <v>180.54762778843178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0</v>
      </c>
      <c r="AV36" s="21">
        <f>EXP(-LN(2)/25)*AV35+(1-EXP(-LN(2)/25))/(LN(2)/25)*Calculateur!AQ36*Calculateur!AS36*VLOOKUP('Données projet'!$B$10,Paramètres!$A$1:$I$89,3,0)*0.475*44/12</f>
        <v>5.1172637223873814</v>
      </c>
      <c r="AW36" s="21">
        <f>EXP(-LN(2)/2)*AW35+(1-EXP(-LN(2)/2))/(LN(2)/2)*AQ36*AT36*VLOOKUP('Données projet'!$B$10,Paramètres!$A$1:$I$89,3,0)*0.475*44/12</f>
        <v>2.8857581002101429</v>
      </c>
      <c r="AX36" s="21">
        <f t="shared" si="6"/>
        <v>8.0030218225975247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5.2</v>
      </c>
      <c r="BD36" s="12">
        <f>IF('Données projet'!$A$88&gt;35,BD35+BC36-BL35,IF(A36&lt;'Données projet'!$A$88,$BA$205^A36,IF(A36='Données projet'!$A$88,'Données projet'!$B$88,BD35+BC36-BL35)))</f>
        <v>69.599999999999994</v>
      </c>
      <c r="BE36" s="13">
        <f>BD36*VLOOKUP('Données projet'!$B$11,Paramètres!$A$1:$I$89,3,0)*VLOOKUP('Données projet'!$B$11,Paramètres!$A$1:$I$89,5,0)</f>
        <v>62.974079999999994</v>
      </c>
      <c r="BF36" s="13">
        <f t="shared" si="37"/>
        <v>17.91807950185715</v>
      </c>
      <c r="BG36" s="20">
        <f t="shared" si="7"/>
        <v>140.88717779906787</v>
      </c>
      <c r="BH36" s="59">
        <f t="shared" si="8"/>
        <v>434.22051113240116</v>
      </c>
      <c r="BI36" s="59">
        <f ca="1">AVERAGE(OFFSET($BH$3,0,0,'Données projet'!$E$11+1,1))-AVERAGE(OFFSET($H$3,0,0,'Données projet'!$E$11+1,1))</f>
        <v>138.8931001150624</v>
      </c>
      <c r="BJ36" s="59">
        <f t="shared" si="38"/>
        <v>48.964659354096625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>
        <f>EXP(-LN(2)/35)*BP35+(1-EXP(-LN(2)/35))/(LN(2)/35)*BL36*BM36*VLOOKUP('Données projet'!$B$11,Paramètres!$A$1:$I$89,3,0)*0.475*44/12</f>
        <v>0</v>
      </c>
      <c r="BQ36" s="21">
        <f>EXP(-LN(2)/25)*BQ35+(1-EXP(-LN(2)/25))/(LN(2)/25)*Calculateur!BL36*Calculateur!BN36*VLOOKUP('Données projet'!$B$11,Paramètres!$A$1:$I$89,3,0)*0.475*44/12</f>
        <v>0</v>
      </c>
      <c r="BR36" s="21">
        <f>EXP(-LN(2)/2)*BR35+(1-EXP(-LN(2)/2))/(LN(2)/2)*BL36*BO36*VLOOKUP('Données projet'!$B$11,Paramètres!$A$1:$I$89,3,0)*0.475*44/12</f>
        <v>0</v>
      </c>
      <c r="BS36" s="22">
        <f t="shared" si="9"/>
        <v>0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5.2</v>
      </c>
      <c r="BY36" s="12">
        <f>IF('Données projet'!$A$114&gt;35,BY35+BX36-CG35,IF(A36&lt;'Données projet'!$A$114,$BV$205^A36,IF(A36='Données projet'!$A$114,'Données projet'!$B$114,BY35+BX36-CG35)))</f>
        <v>69.599999999999994</v>
      </c>
      <c r="BZ36" s="13">
        <f>BY36*VLOOKUP('Données projet'!$B$12,Paramètres!$A$1:$I$89,3,0)*VLOOKUP('Données projet'!$B$12,Paramètres!$A$1:$I$89,5,0)</f>
        <v>67.317119999999989</v>
      </c>
      <c r="CA36" s="13">
        <f t="shared" si="39"/>
        <v>19.005696112952641</v>
      </c>
      <c r="CB36" s="20">
        <f t="shared" si="10"/>
        <v>150.34557139672583</v>
      </c>
      <c r="CC36" s="59">
        <f t="shared" si="11"/>
        <v>443.67890473005912</v>
      </c>
      <c r="CD36" s="59">
        <f ca="1">AVERAGE(OFFSET($CC$3,0,0,'Données projet'!$E$12+1,1))-AVERAGE(OFFSET($H$3,0,0,'Données projet'!$E$12+1,1))</f>
        <v>154.93882427988234</v>
      </c>
      <c r="CE36" s="59">
        <f t="shared" si="40"/>
        <v>56.347130462109817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>
        <f>EXP(-LN(2)/35)*CK35+(1-EXP(-LN(2)/35))/(LN(2)/35)*CG36*CH36*VLOOKUP('Données projet'!$B$12,Paramètres!$A$1:$I$89,3,0)*0.475*44/12</f>
        <v>0</v>
      </c>
      <c r="CL36" s="21">
        <f>EXP(-LN(2)/25)*CL35+(1-EXP(-LN(2)/25))/(LN(2)/25)*Calculateur!CG36*Calculateur!CI36*VLOOKUP('Données projet'!$B$12,Paramètres!$A$1:$I$89,3,0)*0.475*44/12</f>
        <v>0</v>
      </c>
      <c r="CM36" s="21">
        <f>EXP(-LN(2)/2)*CM35+(1-EXP(-LN(2)/2))/(LN(2)/2)*CG36*CJ36*VLOOKUP('Données projet'!$B$12,Paramètres!$A$1:$I$89,3,0)*0.475*44/12</f>
        <v>0</v>
      </c>
      <c r="CN36" s="22">
        <f t="shared" si="12"/>
        <v>0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30.232799999999987</v>
      </c>
      <c r="D37" s="11">
        <f t="shared" si="32"/>
        <v>9.3692052598737909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305.69968972534144</v>
      </c>
      <c r="H37" s="67">
        <f t="shared" si="1"/>
        <v>362.30682582761347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>
        <f>VLOOKUP(A37,'Données projet'!$A$35:$I$55,2,0)</f>
        <v>143</v>
      </c>
      <c r="L37" s="12">
        <f>VLOOKUP(A37,'Données projet'!$A$35:$I$55,9,0)</f>
        <v>8</v>
      </c>
      <c r="M37" s="12">
        <f t="array" ref="M37">INDEX(L:L,MIN(IF(ISNUMBER(L37:L233),ROW(L37:L233),"")))</f>
        <v>8</v>
      </c>
      <c r="N37" s="13">
        <f>IF('Données projet'!$A$36&gt;35,N36+M37-V36,IF(A37&lt;'Données projet'!$A$36,$K$205^A37,IF(A37='Données projet'!$A$36,'Données projet'!$B$36,N36+M37-V36)))</f>
        <v>143</v>
      </c>
      <c r="O37" s="13">
        <f>N37*VLOOKUP('Données projet'!$B$9,Paramètres!$A$1:$I$89,3,0)*VLOOKUP('Données projet'!$B$9,Paramètres!$A$1:$I$89,5,0)</f>
        <v>85.51400000000001</v>
      </c>
      <c r="P37" s="13">
        <f t="shared" si="33"/>
        <v>23.480111436812177</v>
      </c>
      <c r="Q37" s="20">
        <f t="shared" si="53"/>
        <v>189.83141075244791</v>
      </c>
      <c r="R37" s="59">
        <f t="shared" si="0"/>
        <v>483.16474408578119</v>
      </c>
      <c r="S37" s="59">
        <f ca="1">AVERAGE(OFFSET($R$3,0,0,'Données projet'!$E$9+1,1))-AVERAGE(OFFSET($H$3,0,0,'Données projet'!$E$9+1,1))</f>
        <v>72.647148358003676</v>
      </c>
      <c r="T37" s="59">
        <f t="shared" si="34"/>
        <v>87.231299224620898</v>
      </c>
      <c r="U37" s="15">
        <f>IF(ISNA(VLOOKUP(A37,'Données projet'!$A$35:$I$55,3,0)),0,VLOOKUP(A37,'Données projet'!$A$35:$I$55,3,0))</f>
        <v>5</v>
      </c>
      <c r="V37" s="15">
        <f>IF(ISNA(VLOOKUP(A37,'Données projet'!$A$35:$I$55,4,0)),0,VLOOKUP(A37,'Données projet'!$A$35:$I$55,4,0))</f>
        <v>25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1.1755680821231742</v>
      </c>
      <c r="AA37" s="21">
        <f>EXP(-LN(2)/25)*AA36+(1-EXP(-LN(2)/25))/(LN(2)/25)*Calculateur!V37*Calculateur!X37*VLOOKUP('Données projet'!$B$9,Paramètres!$A$1:$I$89,3,0)*0.475*44/12</f>
        <v>4.0554731129736359</v>
      </c>
      <c r="AB37" s="21">
        <f>EXP(-LN(2)/2)*AB36+(1-EXP(-LN(2)/2))/(LN(2)/2)*V37*Y37*VLOOKUP('Données projet'!$B$9,Paramètres!$A$1:$I$89,3,0)*0.475*44/12</f>
        <v>0.57022402906769631</v>
      </c>
      <c r="AC37" s="22">
        <f t="shared" si="3"/>
        <v>5.8012652241645064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8.1</v>
      </c>
      <c r="AI37" s="13">
        <f>IF('Données projet'!$A$62&gt;35,AI36+AH37-AQ36,IF(A37&lt;'Données projet'!$A$62,$AF$205^A37,IF(A37='Données projet'!$A$62,'Données projet'!$B$62,AI36+AH37-AQ36)))</f>
        <v>125.4</v>
      </c>
      <c r="AJ37" s="13">
        <f>AI37*VLOOKUP('Données projet'!$B$10,Paramètres!$A$1:$I$89,3,0)*VLOOKUP('Données projet'!$B$10,Paramètres!$A$1:$I$89,5,0)</f>
        <v>101.72448</v>
      </c>
      <c r="AK37" s="13">
        <f t="shared" si="35"/>
        <v>27.372421418513511</v>
      </c>
      <c r="AL37" s="20">
        <f t="shared" si="4"/>
        <v>224.84376997057768</v>
      </c>
      <c r="AM37" s="59">
        <f t="shared" si="5"/>
        <v>518.17710330391105</v>
      </c>
      <c r="AN37" s="59">
        <f ca="1">AVERAGE(OFFSET($AM$3,0,0,'Données projet'!$E$10+1,1))-AVERAGE(OFFSET($H$3,0,0,'Données projet'!$E$10+1,1))</f>
        <v>145.3656871223958</v>
      </c>
      <c r="AO37" s="59">
        <f t="shared" si="36"/>
        <v>180.54762778843178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0</v>
      </c>
      <c r="AV37" s="21">
        <f>EXP(-LN(2)/25)*AV36+(1-EXP(-LN(2)/25))/(LN(2)/25)*Calculateur!AQ37*Calculateur!AS37*VLOOKUP('Données projet'!$B$10,Paramètres!$A$1:$I$89,3,0)*0.475*44/12</f>
        <v>4.9773318767934951</v>
      </c>
      <c r="AW37" s="21">
        <f>EXP(-LN(2)/2)*AW36+(1-EXP(-LN(2)/2))/(LN(2)/2)*AQ37*AT37*VLOOKUP('Données projet'!$B$10,Paramètres!$A$1:$I$89,3,0)*0.475*44/12</f>
        <v>2.0405391215226008</v>
      </c>
      <c r="AX37" s="21">
        <f t="shared" si="6"/>
        <v>7.0178709983160958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5.2</v>
      </c>
      <c r="BD37" s="12">
        <f>IF('Données projet'!$A$88&gt;35,BD36+BC37-BL36,IF(A37&lt;'Données projet'!$A$88,$BA$205^A37,IF(A37='Données projet'!$A$88,'Données projet'!$B$88,BD36+BC37-BL36)))</f>
        <v>74.8</v>
      </c>
      <c r="BE37" s="13">
        <f>BD37*VLOOKUP('Données projet'!$B$11,Paramètres!$A$1:$I$89,3,0)*VLOOKUP('Données projet'!$B$11,Paramètres!$A$1:$I$89,5,0)</f>
        <v>67.679039999999986</v>
      </c>
      <c r="BF37" s="13">
        <f t="shared" si="37"/>
        <v>19.095955192788225</v>
      </c>
      <c r="BG37" s="20">
        <f t="shared" si="7"/>
        <v>151.13311662743948</v>
      </c>
      <c r="BH37" s="59">
        <f t="shared" si="8"/>
        <v>444.46644996077282</v>
      </c>
      <c r="BI37" s="59">
        <f ca="1">AVERAGE(OFFSET($BH$3,0,0,'Données projet'!$E$11+1,1))-AVERAGE(OFFSET($H$3,0,0,'Données projet'!$E$11+1,1))</f>
        <v>138.8931001150624</v>
      </c>
      <c r="BJ37" s="59">
        <f t="shared" si="38"/>
        <v>48.964659354096625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>
        <f>EXP(-LN(2)/35)*BP36+(1-EXP(-LN(2)/35))/(LN(2)/35)*BL37*BM37*VLOOKUP('Données projet'!$B$11,Paramètres!$A$1:$I$89,3,0)*0.475*44/12</f>
        <v>0</v>
      </c>
      <c r="BQ37" s="21">
        <f>EXP(-LN(2)/25)*BQ36+(1-EXP(-LN(2)/25))/(LN(2)/25)*Calculateur!BL37*Calculateur!BN37*VLOOKUP('Données projet'!$B$11,Paramètres!$A$1:$I$89,3,0)*0.475*44/12</f>
        <v>0</v>
      </c>
      <c r="BR37" s="21">
        <f>EXP(-LN(2)/2)*BR36+(1-EXP(-LN(2)/2))/(LN(2)/2)*BL37*BO37*VLOOKUP('Données projet'!$B$11,Paramètres!$A$1:$I$89,3,0)*0.475*44/12</f>
        <v>0</v>
      </c>
      <c r="BS37" s="22">
        <f t="shared" si="9"/>
        <v>0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5.2</v>
      </c>
      <c r="BY37" s="12">
        <f>IF('Données projet'!$A$114&gt;35,BY36+BX37-CG36,IF(A37&lt;'Données projet'!$A$114,$BV$205^A37,IF(A37='Données projet'!$A$114,'Données projet'!$B$114,BY36+BX37-CG36)))</f>
        <v>74.8</v>
      </c>
      <c r="BZ37" s="13">
        <f>BY37*VLOOKUP('Données projet'!$B$12,Paramètres!$A$1:$I$89,3,0)*VLOOKUP('Données projet'!$B$12,Paramètres!$A$1:$I$89,5,0)</f>
        <v>72.346559999999997</v>
      </c>
      <c r="CA37" s="13">
        <f t="shared" si="39"/>
        <v>20.255068147402529</v>
      </c>
      <c r="CB37" s="20">
        <f t="shared" si="10"/>
        <v>161.28116902339272</v>
      </c>
      <c r="CC37" s="59">
        <f t="shared" si="11"/>
        <v>454.61450235672601</v>
      </c>
      <c r="CD37" s="59">
        <f ca="1">AVERAGE(OFFSET($CC$3,0,0,'Données projet'!$E$12+1,1))-AVERAGE(OFFSET($H$3,0,0,'Données projet'!$E$12+1,1))</f>
        <v>154.93882427988234</v>
      </c>
      <c r="CE37" s="59">
        <f t="shared" si="40"/>
        <v>56.347130462109817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>
        <f>EXP(-LN(2)/35)*CK36+(1-EXP(-LN(2)/35))/(LN(2)/35)*CG37*CH37*VLOOKUP('Données projet'!$B$12,Paramètres!$A$1:$I$89,3,0)*0.475*44/12</f>
        <v>0</v>
      </c>
      <c r="CL37" s="21">
        <f>EXP(-LN(2)/25)*CL36+(1-EXP(-LN(2)/25))/(LN(2)/25)*Calculateur!CG37*Calculateur!CI37*VLOOKUP('Données projet'!$B$12,Paramètres!$A$1:$I$89,3,0)*0.475*44/12</f>
        <v>0</v>
      </c>
      <c r="CM37" s="21">
        <f>EXP(-LN(2)/2)*CM36+(1-EXP(-LN(2)/2))/(LN(2)/2)*CG37*CJ37*VLOOKUP('Données projet'!$B$12,Paramètres!$A$1:$I$89,3,0)*0.475*44/12</f>
        <v>0</v>
      </c>
      <c r="CN37" s="22">
        <f t="shared" si="12"/>
        <v>0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31.121999999999986</v>
      </c>
      <c r="D38" s="11">
        <f t="shared" si="32"/>
        <v>9.612282066778798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314.44007209443271</v>
      </c>
      <c r="H38" s="67">
        <f t="shared" si="1"/>
        <v>364.27887459963966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 t="e">
        <f>VLOOKUP(A38,'Données projet'!$A$35:$I$55,2,0)</f>
        <v>#N/A</v>
      </c>
      <c r="L38" s="12" t="e">
        <f>VLOOKUP(A38,'Données projet'!$A$35:$I$55,9,0)</f>
        <v>#N/A</v>
      </c>
      <c r="M38" s="12">
        <f t="array" ref="M38">INDEX(L:L,MIN(IF(ISNUMBER(L38:L234),ROW(L38:L234),"")))</f>
        <v>7.166666666666667</v>
      </c>
      <c r="N38" s="13">
        <f>IF('Données projet'!$A$36&gt;35,N37+M38-V37,IF(A38&lt;'Données projet'!$A$36,$K$205^A38,IF(A38='Données projet'!$A$36,'Données projet'!$B$36,N37+M38-V37)))</f>
        <v>125.16666666666666</v>
      </c>
      <c r="O38" s="13">
        <f>N38*VLOOKUP('Données projet'!$B$9,Paramètres!$A$1:$I$89,3,0)*VLOOKUP('Données projet'!$B$9,Paramètres!$A$1:$I$89,5,0)</f>
        <v>74.849666666666664</v>
      </c>
      <c r="P38" s="13">
        <f t="shared" si="33"/>
        <v>20.873065432934762</v>
      </c>
      <c r="Q38" s="20">
        <f t="shared" si="53"/>
        <v>166.71709174013915</v>
      </c>
      <c r="R38" s="59">
        <f t="shared" si="0"/>
        <v>460.05042507347247</v>
      </c>
      <c r="S38" s="59">
        <f ca="1">AVERAGE(OFFSET($R$3,0,0,'Données projet'!$E$9+1,1))-AVERAGE(OFFSET($H$3,0,0,'Données projet'!$E$9+1,1))</f>
        <v>72.647148358003676</v>
      </c>
      <c r="T38" s="59">
        <f t="shared" si="34"/>
        <v>87.231299224620898</v>
      </c>
      <c r="U38" s="15">
        <f>IF(ISNA(VLOOKUP(A38,'Données projet'!$A$35:$I$55,3,0)),0,VLOOKUP(A38,'Données projet'!$A$35:$I$55,3,0))</f>
        <v>0</v>
      </c>
      <c r="V38" s="15">
        <f>IF(ISNA(VLOOKUP(A38,'Données projet'!$A$35:$I$55,4,0)),0,VLOOKUP(A38,'Données projet'!$A$35:$I$55,4,0))</f>
        <v>0</v>
      </c>
      <c r="W38" s="16">
        <f>IF(ISNA(VLOOKUP(A38,'Données projet'!$A$35:$I$55,5,0)),0%,VLOOKUP(A38,'Données projet'!$A$35:$I$55,5,0)*VLOOKUP('Données projet'!$B$9,Paramètres!$A$1:$I$89,7,0))</f>
        <v>0</v>
      </c>
      <c r="X38" s="16">
        <f>IF(ISNA(VLOOKUP(A38,'Données projet'!$A$35:$I$55,6,0)),0%,VLOOKUP(A38,'Données projet'!$A$35:$I$55,6,0)*VLOOKUP('Données projet'!$B$9,Paramètres!$A$1:$I$89,7,0))</f>
        <v>0</v>
      </c>
      <c r="Y38" s="16">
        <f>IF(ISNA(VLOOKUP(A38,'Données projet'!$A$35:$I$55,7,0)),0%,VLOOKUP(A38,'Données projet'!$A$35:$I$55,7,0))</f>
        <v>0</v>
      </c>
      <c r="Z38" s="21">
        <f>EXP(-LN(2)/35)*Z37+(1-EXP(-LN(2)/35))/(LN(2)/35)*V38*W38*VLOOKUP('Données projet'!$B$9,Paramètres!$A$1:$I$89,3,0)*0.475*44/12</f>
        <v>1.1525159090584685</v>
      </c>
      <c r="AA38" s="21">
        <f>EXP(-LN(2)/25)*AA37+(1-EXP(-LN(2)/25))/(LN(2)/25)*Calculateur!V38*Calculateur!X38*VLOOKUP('Données projet'!$B$9,Paramètres!$A$1:$I$89,3,0)*0.475*44/12</f>
        <v>3.9445759874313095</v>
      </c>
      <c r="AB38" s="21">
        <f>EXP(-LN(2)/2)*AB37+(1-EXP(-LN(2)/2))/(LN(2)/2)*V38*Y38*VLOOKUP('Données projet'!$B$9,Paramètres!$A$1:$I$89,3,0)*0.475*44/12</f>
        <v>0.40320927774928306</v>
      </c>
      <c r="AC38" s="22">
        <f t="shared" si="3"/>
        <v>5.5003011742390608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 t="e">
        <f>VLOOKUP(A38,'Données projet'!$A$61:$I$81,2,0)</f>
        <v>#N/A</v>
      </c>
      <c r="AG38" s="12" t="e">
        <f>VLOOKUP(A38,'Données projet'!$A$61:$I$81,9,0)</f>
        <v>#N/A</v>
      </c>
      <c r="AH38" s="12">
        <f t="array" ref="AH38">INDEX(AG:AG,MIN(IF(ISNUMBER(AG38:AG234),ROW(AG38:AG234),"")))</f>
        <v>8.1</v>
      </c>
      <c r="AI38" s="13">
        <f>IF('Données projet'!$A$62&gt;35,AI37+AH38-AQ37,IF(A38&lt;'Données projet'!$A$62,$AF$205^A38,IF(A38='Données projet'!$A$62,'Données projet'!$B$62,AI37+AH38-AQ37)))</f>
        <v>133.5</v>
      </c>
      <c r="AJ38" s="13">
        <f>AI38*VLOOKUP('Données projet'!$B$10,Paramètres!$A$1:$I$89,3,0)*VLOOKUP('Données projet'!$B$10,Paramètres!$A$1:$I$89,5,0)</f>
        <v>108.29520000000001</v>
      </c>
      <c r="AK38" s="13">
        <f t="shared" si="35"/>
        <v>28.928955990039732</v>
      </c>
      <c r="AL38" s="20">
        <f t="shared" si="4"/>
        <v>238.99873834931921</v>
      </c>
      <c r="AM38" s="59">
        <f t="shared" si="5"/>
        <v>532.33207168265255</v>
      </c>
      <c r="AN38" s="59">
        <f ca="1">AVERAGE(OFFSET($AM$3,0,0,'Données projet'!$E$10+1,1))-AVERAGE(OFFSET($H$3,0,0,'Données projet'!$E$10+1,1))</f>
        <v>145.3656871223958</v>
      </c>
      <c r="AO38" s="59">
        <f t="shared" si="36"/>
        <v>180.54762778843178</v>
      </c>
      <c r="AP38" s="15">
        <f>IF(ISNA(VLOOKUP(A38,'Données projet'!$A$61:$I$81,3,0)),0,VLOOKUP(A38,'Données projet'!$A$61:$I$81,3,0))</f>
        <v>0</v>
      </c>
      <c r="AQ38" s="15">
        <f>IF(ISNA(VLOOKUP(A38,'Données projet'!$A$61:$I$81,4,0)),0,VLOOKUP(A38,'Données projet'!$A$61:$I$81,4,0))</f>
        <v>0</v>
      </c>
      <c r="AR38" s="16">
        <f>IF(ISNA(VLOOKUP(A38,'Données projet'!$A$61:$I$81,5,0)),0%,VLOOKUP(A38,'Données projet'!$A$61:$I$81,5,0)*VLOOKUP('Données projet'!$B$10,Paramètres!$A$1:$I$89,7,0))</f>
        <v>0</v>
      </c>
      <c r="AS38" s="16">
        <f>IF(ISNA(VLOOKUP(A38,'Données projet'!$A$61:$I$81,6,0)),0%,VLOOKUP(A38,'Données projet'!$A$61:$I$81,6,0)*VLOOKUP('Données projet'!$B$10,Paramètres!$A$1:$I$89,7,0))</f>
        <v>0</v>
      </c>
      <c r="AT38" s="16">
        <f>IF(ISNA(VLOOKUP(A38,'Données projet'!$A$61:$I$81,7,0)),0%,VLOOKUP(A38,'Données projet'!$A$61:$I$81,7,0))</f>
        <v>0</v>
      </c>
      <c r="AU38" s="21">
        <f>EXP(-LN(2)/35)*AU37+(1-EXP(-LN(2)/35))/(LN(2)/35)*AQ38*AR38*VLOOKUP('Données projet'!$B$10,Paramètres!$A$1:$I$89,3,0)*0.475*44/12</f>
        <v>0</v>
      </c>
      <c r="AV38" s="21">
        <f>EXP(-LN(2)/25)*AV37+(1-EXP(-LN(2)/25))/(LN(2)/25)*Calculateur!AQ38*Calculateur!AS38*VLOOKUP('Données projet'!$B$10,Paramètres!$A$1:$I$89,3,0)*0.475*44/12</f>
        <v>4.8412264748760698</v>
      </c>
      <c r="AW38" s="21">
        <f>EXP(-LN(2)/2)*AW37+(1-EXP(-LN(2)/2))/(LN(2)/2)*AQ38*AT38*VLOOKUP('Données projet'!$B$10,Paramètres!$A$1:$I$89,3,0)*0.475*44/12</f>
        <v>1.4428790501050717</v>
      </c>
      <c r="AX38" s="21">
        <f t="shared" si="6"/>
        <v>6.2841055249811415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5.2</v>
      </c>
      <c r="BD38" s="12">
        <f>IF('Données projet'!$A$88&gt;35,BD37+BC38-BL37,IF(A38&lt;'Données projet'!$A$88,$BA$205^A38,IF(A38='Données projet'!$A$88,'Données projet'!$B$88,BD37+BC38-BL37)))</f>
        <v>80</v>
      </c>
      <c r="BE38" s="13">
        <f>BD38*VLOOKUP('Données projet'!$B$11,Paramètres!$A$1:$I$89,3,0)*VLOOKUP('Données projet'!$B$11,Paramètres!$A$1:$I$89,5,0)</f>
        <v>72.384</v>
      </c>
      <c r="BF38" s="13">
        <f t="shared" si="37"/>
        <v>20.264329923804397</v>
      </c>
      <c r="BG38" s="20">
        <f t="shared" si="7"/>
        <v>161.362507950626</v>
      </c>
      <c r="BH38" s="59">
        <f t="shared" si="8"/>
        <v>454.69584128395934</v>
      </c>
      <c r="BI38" s="59">
        <f ca="1">AVERAGE(OFFSET($BH$3,0,0,'Données projet'!$E$11+1,1))-AVERAGE(OFFSET($H$3,0,0,'Données projet'!$E$11+1,1))</f>
        <v>138.8931001150624</v>
      </c>
      <c r="BJ38" s="59">
        <f t="shared" si="38"/>
        <v>48.964659354096625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>
        <f>EXP(-LN(2)/35)*BP37+(1-EXP(-LN(2)/35))/(LN(2)/35)*BL38*BM38*VLOOKUP('Données projet'!$B$11,Paramètres!$A$1:$I$89,3,0)*0.475*44/12</f>
        <v>0</v>
      </c>
      <c r="BQ38" s="21">
        <f>EXP(-LN(2)/25)*BQ37+(1-EXP(-LN(2)/25))/(LN(2)/25)*Calculateur!BL38*Calculateur!BN38*VLOOKUP('Données projet'!$B$11,Paramètres!$A$1:$I$89,3,0)*0.475*44/12</f>
        <v>0</v>
      </c>
      <c r="BR38" s="21">
        <f>EXP(-LN(2)/2)*BR37+(1-EXP(-LN(2)/2))/(LN(2)/2)*BL38*BO38*VLOOKUP('Données projet'!$B$11,Paramètres!$A$1:$I$89,3,0)*0.475*44/12</f>
        <v>0</v>
      </c>
      <c r="BS38" s="22">
        <f t="shared" si="9"/>
        <v>0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5.2</v>
      </c>
      <c r="BY38" s="12">
        <f>IF('Données projet'!$A$114&gt;35,BY37+BX38-CG37,IF(A38&lt;'Données projet'!$A$114,$BV$205^A38,IF(A38='Données projet'!$A$114,'Données projet'!$B$114,BY37+BX38-CG37)))</f>
        <v>80</v>
      </c>
      <c r="BZ38" s="13">
        <f>BY38*VLOOKUP('Données projet'!$B$12,Paramètres!$A$1:$I$89,3,0)*VLOOKUP('Données projet'!$B$12,Paramètres!$A$1:$I$89,5,0)</f>
        <v>77.376000000000005</v>
      </c>
      <c r="CA38" s="13">
        <f t="shared" si="39"/>
        <v>21.494362519405076</v>
      </c>
      <c r="CB38" s="20">
        <f t="shared" si="10"/>
        <v>172.19921472129715</v>
      </c>
      <c r="CC38" s="59">
        <f t="shared" si="11"/>
        <v>465.53254805463047</v>
      </c>
      <c r="CD38" s="59">
        <f ca="1">AVERAGE(OFFSET($CC$3,0,0,'Données projet'!$E$12+1,1))-AVERAGE(OFFSET($H$3,0,0,'Données projet'!$E$12+1,1))</f>
        <v>154.93882427988234</v>
      </c>
      <c r="CE38" s="59">
        <f t="shared" si="40"/>
        <v>56.347130462109817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>
        <f>EXP(-LN(2)/35)*CK37+(1-EXP(-LN(2)/35))/(LN(2)/35)*CG38*CH38*VLOOKUP('Données projet'!$B$12,Paramètres!$A$1:$I$89,3,0)*0.475*44/12</f>
        <v>0</v>
      </c>
      <c r="CL38" s="21">
        <f>EXP(-LN(2)/25)*CL37+(1-EXP(-LN(2)/25))/(LN(2)/25)*Calculateur!CG38*Calculateur!CI38*VLOOKUP('Données projet'!$B$12,Paramètres!$A$1:$I$89,3,0)*0.475*44/12</f>
        <v>0</v>
      </c>
      <c r="CM38" s="21">
        <f>EXP(-LN(2)/2)*CM37+(1-EXP(-LN(2)/2))/(LN(2)/2)*CG38*CJ38*VLOOKUP('Données projet'!$B$12,Paramètres!$A$1:$I$89,3,0)*0.475*44/12</f>
        <v>0</v>
      </c>
      <c r="CN38" s="22">
        <f t="shared" si="12"/>
        <v>0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32.011199999999988</v>
      </c>
      <c r="D39" s="11">
        <f t="shared" si="32"/>
        <v>9.8545516964045738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323.17422362136853</v>
      </c>
      <c r="H39" s="67">
        <f t="shared" si="1"/>
        <v>366.24951753790458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7.166666666666667</v>
      </c>
      <c r="N39" s="13">
        <f>IF('Données projet'!$A$36&gt;35,N38+M39-V38,IF(A39&lt;'Données projet'!$A$36,$K$205^A39,IF(A39='Données projet'!$A$36,'Données projet'!$B$36,N38+M39-V38)))</f>
        <v>132.33333333333331</v>
      </c>
      <c r="O39" s="13">
        <f>N39*VLOOKUP('Données projet'!$B$9,Paramètres!$A$1:$I$89,3,0)*VLOOKUP('Données projet'!$B$9,Paramètres!$A$1:$I$89,5,0)</f>
        <v>79.135333333333335</v>
      </c>
      <c r="P39" s="13">
        <f t="shared" si="33"/>
        <v>21.925635105673987</v>
      </c>
      <c r="Q39" s="20">
        <f t="shared" si="53"/>
        <v>176.0145200312711</v>
      </c>
      <c r="R39" s="59">
        <f t="shared" si="0"/>
        <v>469.34785336460442</v>
      </c>
      <c r="S39" s="59">
        <f ca="1">AVERAGE(OFFSET($R$3,0,0,'Données projet'!$E$9+1,1))-AVERAGE(OFFSET($H$3,0,0,'Données projet'!$E$9+1,1))</f>
        <v>72.647148358003676</v>
      </c>
      <c r="T39" s="59">
        <f t="shared" si="34"/>
        <v>87.231299224620898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1.1299157750471243</v>
      </c>
      <c r="AA39" s="21">
        <f>EXP(-LN(2)/25)*AA38+(1-EXP(-LN(2)/25))/(LN(2)/25)*Calculateur!V39*Calculateur!X39*VLOOKUP('Données projet'!$B$9,Paramètres!$A$1:$I$89,3,0)*0.475*44/12</f>
        <v>3.8367113496187648</v>
      </c>
      <c r="AB39" s="21">
        <f>EXP(-LN(2)/2)*AB38+(1-EXP(-LN(2)/2))/(LN(2)/2)*V39*Y39*VLOOKUP('Données projet'!$B$9,Paramètres!$A$1:$I$89,3,0)*0.475*44/12</f>
        <v>0.28511201453384816</v>
      </c>
      <c r="AC39" s="22">
        <f t="shared" si="3"/>
        <v>5.2517391391997368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8.1</v>
      </c>
      <c r="AI39" s="13">
        <f>IF('Données projet'!$A$62&gt;35,AI38+AH39-AQ38,IF(A39&lt;'Données projet'!$A$62,$AF$205^A39,IF(A39='Données projet'!$A$62,'Données projet'!$B$62,AI38+AH39-AQ38)))</f>
        <v>141.6</v>
      </c>
      <c r="AJ39" s="13">
        <f>AI39*VLOOKUP('Données projet'!$B$10,Paramètres!$A$1:$I$89,3,0)*VLOOKUP('Données projet'!$B$10,Paramètres!$A$1:$I$89,5,0)</f>
        <v>114.86592000000002</v>
      </c>
      <c r="AK39" s="13">
        <f t="shared" si="35"/>
        <v>30.474529209372392</v>
      </c>
      <c r="AL39" s="20">
        <f t="shared" si="4"/>
        <v>253.13461570632361</v>
      </c>
      <c r="AM39" s="59">
        <f t="shared" si="5"/>
        <v>546.4679490396569</v>
      </c>
      <c r="AN39" s="59">
        <f ca="1">AVERAGE(OFFSET($AM$3,0,0,'Données projet'!$E$10+1,1))-AVERAGE(OFFSET($H$3,0,0,'Données projet'!$E$10+1,1))</f>
        <v>145.3656871223958</v>
      </c>
      <c r="AO39" s="59">
        <f t="shared" si="36"/>
        <v>180.54762778843178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0</v>
      </c>
      <c r="AV39" s="21">
        <f>EXP(-LN(2)/25)*AV38+(1-EXP(-LN(2)/25))/(LN(2)/25)*Calculateur!AQ39*Calculateur!AS39*VLOOKUP('Données projet'!$B$10,Paramètres!$A$1:$I$89,3,0)*0.475*44/12</f>
        <v>4.708842882331548</v>
      </c>
      <c r="AW39" s="21">
        <f>EXP(-LN(2)/2)*AW38+(1-EXP(-LN(2)/2))/(LN(2)/2)*AQ39*AT39*VLOOKUP('Données projet'!$B$10,Paramètres!$A$1:$I$89,3,0)*0.475*44/12</f>
        <v>1.0202695607613006</v>
      </c>
      <c r="AX39" s="21">
        <f t="shared" si="6"/>
        <v>5.7291124430928484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5.2</v>
      </c>
      <c r="BD39" s="12">
        <f>IF('Données projet'!$A$88&gt;35,BD38+BC39-BL38,IF(A39&lt;'Données projet'!$A$88,$BA$205^A39,IF(A39='Données projet'!$A$88,'Données projet'!$B$88,BD38+BC39-BL38)))</f>
        <v>85.2</v>
      </c>
      <c r="BE39" s="13">
        <f>BD39*VLOOKUP('Données projet'!$B$11,Paramètres!$A$1:$I$89,3,0)*VLOOKUP('Données projet'!$B$11,Paramètres!$A$1:$I$89,5,0)</f>
        <v>77.08896</v>
      </c>
      <c r="BF39" s="13">
        <f t="shared" si="37"/>
        <v>21.423891539868706</v>
      </c>
      <c r="BG39" s="20">
        <f t="shared" si="7"/>
        <v>171.57654976527132</v>
      </c>
      <c r="BH39" s="59">
        <f t="shared" si="8"/>
        <v>464.90988309860461</v>
      </c>
      <c r="BI39" s="59">
        <f ca="1">AVERAGE(OFFSET($BH$3,0,0,'Données projet'!$E$11+1,1))-AVERAGE(OFFSET($H$3,0,0,'Données projet'!$E$11+1,1))</f>
        <v>138.8931001150624</v>
      </c>
      <c r="BJ39" s="59">
        <f t="shared" si="38"/>
        <v>48.964659354096625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>
        <f>EXP(-LN(2)/35)*BP38+(1-EXP(-LN(2)/35))/(LN(2)/35)*BL39*BM39*VLOOKUP('Données projet'!$B$11,Paramètres!$A$1:$I$89,3,0)*0.475*44/12</f>
        <v>0</v>
      </c>
      <c r="BQ39" s="21">
        <f>EXP(-LN(2)/25)*BQ38+(1-EXP(-LN(2)/25))/(LN(2)/25)*Calculateur!BL39*Calculateur!BN39*VLOOKUP('Données projet'!$B$11,Paramètres!$A$1:$I$89,3,0)*0.475*44/12</f>
        <v>0</v>
      </c>
      <c r="BR39" s="21">
        <f>EXP(-LN(2)/2)*BR38+(1-EXP(-LN(2)/2))/(LN(2)/2)*BL39*BO39*VLOOKUP('Données projet'!$B$11,Paramètres!$A$1:$I$89,3,0)*0.475*44/12</f>
        <v>0</v>
      </c>
      <c r="BS39" s="22">
        <f t="shared" si="9"/>
        <v>0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5.2</v>
      </c>
      <c r="BY39" s="12">
        <f>IF('Données projet'!$A$114&gt;35,BY38+BX39-CG38,IF(A39&lt;'Données projet'!$A$114,$BV$205^A39,IF(A39='Données projet'!$A$114,'Données projet'!$B$114,BY38+BX39-CG38)))</f>
        <v>85.2</v>
      </c>
      <c r="BZ39" s="13">
        <f>BY39*VLOOKUP('Données projet'!$B$12,Paramètres!$A$1:$I$89,3,0)*VLOOKUP('Données projet'!$B$12,Paramètres!$A$1:$I$89,5,0)</f>
        <v>82.405439999999999</v>
      </c>
      <c r="CA39" s="13">
        <f t="shared" si="39"/>
        <v>22.724308825697463</v>
      </c>
      <c r="CB39" s="20">
        <f t="shared" si="10"/>
        <v>183.10097920475641</v>
      </c>
      <c r="CC39" s="59">
        <f t="shared" si="11"/>
        <v>476.43431253808973</v>
      </c>
      <c r="CD39" s="59">
        <f ca="1">AVERAGE(OFFSET($CC$3,0,0,'Données projet'!$E$12+1,1))-AVERAGE(OFFSET($H$3,0,0,'Données projet'!$E$12+1,1))</f>
        <v>154.93882427988234</v>
      </c>
      <c r="CE39" s="59">
        <f t="shared" si="40"/>
        <v>56.347130462109817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>
        <f>EXP(-LN(2)/35)*CK38+(1-EXP(-LN(2)/35))/(LN(2)/35)*CG39*CH39*VLOOKUP('Données projet'!$B$12,Paramètres!$A$1:$I$89,3,0)*0.475*44/12</f>
        <v>0</v>
      </c>
      <c r="CL39" s="21">
        <f>EXP(-LN(2)/25)*CL38+(1-EXP(-LN(2)/25))/(LN(2)/25)*Calculateur!CG39*Calculateur!CI39*VLOOKUP('Données projet'!$B$12,Paramètres!$A$1:$I$89,3,0)*0.475*44/12</f>
        <v>0</v>
      </c>
      <c r="CM39" s="21">
        <f>EXP(-LN(2)/2)*CM38+(1-EXP(-LN(2)/2))/(LN(2)/2)*CG39*CJ39*VLOOKUP('Données projet'!$B$12,Paramètres!$A$1:$I$89,3,0)*0.475*44/12</f>
        <v>0</v>
      </c>
      <c r="CN39" s="22">
        <f t="shared" si="12"/>
        <v>0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32.900399999999991</v>
      </c>
      <c r="D40" s="11">
        <f t="shared" si="32"/>
        <v>10.096039146303498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331.90233726971115</v>
      </c>
      <c r="H40" s="67">
        <f t="shared" si="1"/>
        <v>368.21879817981187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7.166666666666667</v>
      </c>
      <c r="N40" s="13">
        <f>IF('Données projet'!$A$36&gt;35,N39+M40-V39,IF(A40&lt;'Données projet'!$A$36,$K$205^A40,IF(A40='Données projet'!$A$36,'Données projet'!$B$36,N39+M40-V39)))</f>
        <v>139.49999999999997</v>
      </c>
      <c r="O40" s="13">
        <f>N40*VLOOKUP('Données projet'!$B$9,Paramètres!$A$1:$I$89,3,0)*VLOOKUP('Données projet'!$B$9,Paramètres!$A$1:$I$89,5,0)</f>
        <v>83.420999999999992</v>
      </c>
      <c r="P40" s="13">
        <f t="shared" si="33"/>
        <v>22.971587067187599</v>
      </c>
      <c r="Q40" s="20">
        <f t="shared" si="53"/>
        <v>185.30042247535172</v>
      </c>
      <c r="R40" s="59">
        <f t="shared" si="0"/>
        <v>478.63375580868501</v>
      </c>
      <c r="S40" s="59">
        <f ca="1">AVERAGE(OFFSET($R$3,0,0,'Données projet'!$E$9+1,1))-AVERAGE(OFFSET($H$3,0,0,'Données projet'!$E$9+1,1))</f>
        <v>72.647148358003676</v>
      </c>
      <c r="T40" s="59">
        <f t="shared" si="34"/>
        <v>87.231299224620898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1.1077588158790219</v>
      </c>
      <c r="AA40" s="21">
        <f>EXP(-LN(2)/25)*AA39+(1-EXP(-LN(2)/25))/(LN(2)/25)*Calculateur!V40*Calculateur!X40*VLOOKUP('Données projet'!$B$9,Paramètres!$A$1:$I$89,3,0)*0.475*44/12</f>
        <v>3.7317962759995589</v>
      </c>
      <c r="AB40" s="21">
        <f>EXP(-LN(2)/2)*AB39+(1-EXP(-LN(2)/2))/(LN(2)/2)*V40*Y40*VLOOKUP('Données projet'!$B$9,Paramètres!$A$1:$I$89,3,0)*0.475*44/12</f>
        <v>0.20160463887464153</v>
      </c>
      <c r="AC40" s="22">
        <f t="shared" si="3"/>
        <v>5.0411597307532228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8.1</v>
      </c>
      <c r="AI40" s="13">
        <f>IF('Données projet'!$A$62&gt;35,AI39+AH40-AQ39,IF(A40&lt;'Données projet'!$A$62,$AF$205^A40,IF(A40='Données projet'!$A$62,'Données projet'!$B$62,AI39+AH40-AQ39)))</f>
        <v>149.69999999999999</v>
      </c>
      <c r="AJ40" s="13">
        <f>AI40*VLOOKUP('Données projet'!$B$10,Paramètres!$A$1:$I$89,3,0)*VLOOKUP('Données projet'!$B$10,Paramètres!$A$1:$I$89,5,0)</f>
        <v>121.43664</v>
      </c>
      <c r="AK40" s="13">
        <f t="shared" si="35"/>
        <v>32.009839546690685</v>
      </c>
      <c r="AL40" s="20">
        <f t="shared" si="4"/>
        <v>267.25261854381961</v>
      </c>
      <c r="AM40" s="59">
        <f t="shared" si="5"/>
        <v>560.58595187715287</v>
      </c>
      <c r="AN40" s="59">
        <f ca="1">AVERAGE(OFFSET($AM$3,0,0,'Données projet'!$E$10+1,1))-AVERAGE(OFFSET($H$3,0,0,'Données projet'!$E$10+1,1))</f>
        <v>145.3656871223958</v>
      </c>
      <c r="AO40" s="59">
        <f t="shared" si="36"/>
        <v>180.54762778843178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0</v>
      </c>
      <c r="AV40" s="21">
        <f>EXP(-LN(2)/25)*AV39+(1-EXP(-LN(2)/25))/(LN(2)/25)*Calculateur!AQ40*Calculateur!AS40*VLOOKUP('Données projet'!$B$10,Paramètres!$A$1:$I$89,3,0)*0.475*44/12</f>
        <v>4.5800793260869073</v>
      </c>
      <c r="AW40" s="21">
        <f>EXP(-LN(2)/2)*AW39+(1-EXP(-LN(2)/2))/(LN(2)/2)*AQ40*AT40*VLOOKUP('Données projet'!$B$10,Paramètres!$A$1:$I$89,3,0)*0.475*44/12</f>
        <v>0.72143952505253595</v>
      </c>
      <c r="AX40" s="21">
        <f t="shared" si="6"/>
        <v>5.3015188511394431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5.2</v>
      </c>
      <c r="BD40" s="12">
        <f>IF('Données projet'!$A$88&gt;35,BD39+BC40-BL39,IF(A40&lt;'Données projet'!$A$88,$BA$205^A40,IF(A40='Données projet'!$A$88,'Données projet'!$B$88,BD39+BC40-BL39)))</f>
        <v>90.4</v>
      </c>
      <c r="BE40" s="13">
        <f>BD40*VLOOKUP('Données projet'!$B$11,Paramètres!$A$1:$I$89,3,0)*VLOOKUP('Données projet'!$B$11,Paramètres!$A$1:$I$89,5,0)</f>
        <v>81.79392</v>
      </c>
      <c r="BF40" s="13">
        <f t="shared" si="37"/>
        <v>22.575239179244807</v>
      </c>
      <c r="BG40" s="20">
        <f t="shared" si="7"/>
        <v>181.77628557051801</v>
      </c>
      <c r="BH40" s="59">
        <f t="shared" si="8"/>
        <v>475.10961890385136</v>
      </c>
      <c r="BI40" s="59">
        <f ca="1">AVERAGE(OFFSET($BH$3,0,0,'Données projet'!$E$11+1,1))-AVERAGE(OFFSET($H$3,0,0,'Données projet'!$E$11+1,1))</f>
        <v>138.8931001150624</v>
      </c>
      <c r="BJ40" s="59">
        <f t="shared" si="38"/>
        <v>48.964659354096625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>
        <f>EXP(-LN(2)/35)*BP39+(1-EXP(-LN(2)/35))/(LN(2)/35)*BL40*BM40*VLOOKUP('Données projet'!$B$11,Paramètres!$A$1:$I$89,3,0)*0.475*44/12</f>
        <v>0</v>
      </c>
      <c r="BQ40" s="21">
        <f>EXP(-LN(2)/25)*BQ39+(1-EXP(-LN(2)/25))/(LN(2)/25)*Calculateur!BL40*Calculateur!BN40*VLOOKUP('Données projet'!$B$11,Paramètres!$A$1:$I$89,3,0)*0.475*44/12</f>
        <v>0</v>
      </c>
      <c r="BR40" s="21">
        <f>EXP(-LN(2)/2)*BR39+(1-EXP(-LN(2)/2))/(LN(2)/2)*BL40*BO40*VLOOKUP('Données projet'!$B$11,Paramètres!$A$1:$I$89,3,0)*0.475*44/12</f>
        <v>0</v>
      </c>
      <c r="BS40" s="22">
        <f t="shared" si="9"/>
        <v>0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5.2</v>
      </c>
      <c r="BY40" s="12">
        <f>IF('Données projet'!$A$114&gt;35,BY39+BX40-CG39,IF(A40&lt;'Données projet'!$A$114,$BV$205^A40,IF(A40='Données projet'!$A$114,'Données projet'!$B$114,BY39+BX40-CG39)))</f>
        <v>90.4</v>
      </c>
      <c r="BZ40" s="13">
        <f>BY40*VLOOKUP('Données projet'!$B$12,Paramètres!$A$1:$I$89,3,0)*VLOOKUP('Données projet'!$B$12,Paramètres!$A$1:$I$89,5,0)</f>
        <v>87.434880000000007</v>
      </c>
      <c r="CA40" s="13">
        <f t="shared" si="39"/>
        <v>23.945542571874331</v>
      </c>
      <c r="CB40" s="20">
        <f t="shared" si="10"/>
        <v>193.98756931268113</v>
      </c>
      <c r="CC40" s="59">
        <f t="shared" si="11"/>
        <v>487.32090264601447</v>
      </c>
      <c r="CD40" s="59">
        <f ca="1">AVERAGE(OFFSET($CC$3,0,0,'Données projet'!$E$12+1,1))-AVERAGE(OFFSET($H$3,0,0,'Données projet'!$E$12+1,1))</f>
        <v>154.93882427988234</v>
      </c>
      <c r="CE40" s="59">
        <f t="shared" si="40"/>
        <v>56.347130462109817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>
        <f>EXP(-LN(2)/35)*CK39+(1-EXP(-LN(2)/35))/(LN(2)/35)*CG40*CH40*VLOOKUP('Données projet'!$B$12,Paramètres!$A$1:$I$89,3,0)*0.475*44/12</f>
        <v>0</v>
      </c>
      <c r="CL40" s="21">
        <f>EXP(-LN(2)/25)*CL39+(1-EXP(-LN(2)/25))/(LN(2)/25)*Calculateur!CG40*Calculateur!CI40*VLOOKUP('Données projet'!$B$12,Paramètres!$A$1:$I$89,3,0)*0.475*44/12</f>
        <v>0</v>
      </c>
      <c r="CM40" s="21">
        <f>EXP(-LN(2)/2)*CM39+(1-EXP(-LN(2)/2))/(LN(2)/2)*CG40*CJ40*VLOOKUP('Données projet'!$B$12,Paramètres!$A$1:$I$89,3,0)*0.475*44/12</f>
        <v>0</v>
      </c>
      <c r="CN40" s="22">
        <f t="shared" si="12"/>
        <v>0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33.789599999999993</v>
      </c>
      <c r="D41" s="11">
        <f t="shared" si="32"/>
        <v>10.336767985889495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340.62459497879604</v>
      </c>
      <c r="H41" s="67">
        <f t="shared" si="1"/>
        <v>370.18675757542417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7.166666666666667</v>
      </c>
      <c r="N41" s="13">
        <f>IF('Données projet'!$A$36&gt;35,N40+M41-V40,IF(A41&lt;'Données projet'!$A$36,$K$205^A41,IF(A41='Données projet'!$A$36,'Données projet'!$B$36,N40+M41-V40)))</f>
        <v>146.66666666666663</v>
      </c>
      <c r="O41" s="13">
        <f>N41*VLOOKUP('Données projet'!$B$9,Paramètres!$A$1:$I$89,3,0)*VLOOKUP('Données projet'!$B$9,Paramètres!$A$1:$I$89,5,0)</f>
        <v>87.706666666666649</v>
      </c>
      <c r="P41" s="13">
        <f t="shared" si="33"/>
        <v>24.011300077813175</v>
      </c>
      <c r="Q41" s="20">
        <f t="shared" si="53"/>
        <v>194.57545874663569</v>
      </c>
      <c r="R41" s="59">
        <f t="shared" si="0"/>
        <v>487.90879207996898</v>
      </c>
      <c r="S41" s="59">
        <f ca="1">AVERAGE(OFFSET($R$3,0,0,'Données projet'!$E$9+1,1))-AVERAGE(OFFSET($H$3,0,0,'Données projet'!$E$9+1,1))</f>
        <v>72.647148358003676</v>
      </c>
      <c r="T41" s="59">
        <f t="shared" si="34"/>
        <v>87.231299224620898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1.0860363411657954</v>
      </c>
      <c r="AA41" s="21">
        <f>EXP(-LN(2)/25)*AA40+(1-EXP(-LN(2)/25))/(LN(2)/25)*Calculateur!V41*Calculateur!X41*VLOOKUP('Données projet'!$B$9,Paramètres!$A$1:$I$89,3,0)*0.475*44/12</f>
        <v>3.629750110585714</v>
      </c>
      <c r="AB41" s="21">
        <f>EXP(-LN(2)/2)*AB40+(1-EXP(-LN(2)/2))/(LN(2)/2)*V41*Y41*VLOOKUP('Données projet'!$B$9,Paramètres!$A$1:$I$89,3,0)*0.475*44/12</f>
        <v>0.14255600726692408</v>
      </c>
      <c r="AC41" s="22">
        <f t="shared" si="3"/>
        <v>4.8583424590184334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8.1</v>
      </c>
      <c r="AI41" s="13">
        <f>IF('Données projet'!$A$62&gt;35,AI40+AH41-AQ40,IF(A41&lt;'Données projet'!$A$62,$AF$205^A41,IF(A41='Données projet'!$A$62,'Données projet'!$B$62,AI40+AH41-AQ40)))</f>
        <v>157.79999999999998</v>
      </c>
      <c r="AJ41" s="13">
        <f>AI41*VLOOKUP('Données projet'!$B$10,Paramètres!$A$1:$I$89,3,0)*VLOOKUP('Données projet'!$B$10,Paramètres!$A$1:$I$89,5,0)</f>
        <v>128.00736000000001</v>
      </c>
      <c r="AK41" s="13">
        <f t="shared" si="35"/>
        <v>33.535505617278638</v>
      </c>
      <c r="AL41" s="20">
        <f t="shared" si="4"/>
        <v>281.35382428342695</v>
      </c>
      <c r="AM41" s="59">
        <f t="shared" si="5"/>
        <v>574.68715761676026</v>
      </c>
      <c r="AN41" s="59">
        <f ca="1">AVERAGE(OFFSET($AM$3,0,0,'Données projet'!$E$10+1,1))-AVERAGE(OFFSET($H$3,0,0,'Données projet'!$E$10+1,1))</f>
        <v>145.3656871223958</v>
      </c>
      <c r="AO41" s="59">
        <f t="shared" si="36"/>
        <v>180.54762778843178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0</v>
      </c>
      <c r="AV41" s="21">
        <f>EXP(-LN(2)/25)*AV40+(1-EXP(-LN(2)/25))/(LN(2)/25)*Calculateur!AQ41*Calculateur!AS41*VLOOKUP('Données projet'!$B$10,Paramètres!$A$1:$I$89,3,0)*0.475*44/12</f>
        <v>4.4548368160591574</v>
      </c>
      <c r="AW41" s="21">
        <f>EXP(-LN(2)/2)*AW40+(1-EXP(-LN(2)/2))/(LN(2)/2)*AQ41*AT41*VLOOKUP('Données projet'!$B$10,Paramètres!$A$1:$I$89,3,0)*0.475*44/12</f>
        <v>0.5101347803806503</v>
      </c>
      <c r="AX41" s="21">
        <f t="shared" si="6"/>
        <v>4.964971596439808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5.2</v>
      </c>
      <c r="BD41" s="12">
        <f>IF('Données projet'!$A$88&gt;35,BD40+BC41-BL40,IF(A41&lt;'Données projet'!$A$88,$BA$205^A41,IF(A41='Données projet'!$A$88,'Données projet'!$B$88,BD40+BC41-BL40)))</f>
        <v>95.600000000000009</v>
      </c>
      <c r="BE41" s="13">
        <f>BD41*VLOOKUP('Données projet'!$B$11,Paramètres!$A$1:$I$89,3,0)*VLOOKUP('Données projet'!$B$11,Paramètres!$A$1:$I$89,5,0)</f>
        <v>86.49888</v>
      </c>
      <c r="BF41" s="13">
        <f t="shared" si="37"/>
        <v>23.718899159460385</v>
      </c>
      <c r="BG41" s="20">
        <f t="shared" si="7"/>
        <v>191.96263203606017</v>
      </c>
      <c r="BH41" s="59">
        <f t="shared" si="8"/>
        <v>485.29596536939346</v>
      </c>
      <c r="BI41" s="59">
        <f ca="1">AVERAGE(OFFSET($BH$3,0,0,'Données projet'!$E$11+1,1))-AVERAGE(OFFSET($H$3,0,0,'Données projet'!$E$11+1,1))</f>
        <v>138.8931001150624</v>
      </c>
      <c r="BJ41" s="59">
        <f t="shared" si="38"/>
        <v>48.964659354096625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>
        <f>EXP(-LN(2)/35)*BP40+(1-EXP(-LN(2)/35))/(LN(2)/35)*BL41*BM41*VLOOKUP('Données projet'!$B$11,Paramètres!$A$1:$I$89,3,0)*0.475*44/12</f>
        <v>0</v>
      </c>
      <c r="BQ41" s="21">
        <f>EXP(-LN(2)/25)*BQ40+(1-EXP(-LN(2)/25))/(LN(2)/25)*Calculateur!BL41*Calculateur!BN41*VLOOKUP('Données projet'!$B$11,Paramètres!$A$1:$I$89,3,0)*0.475*44/12</f>
        <v>0</v>
      </c>
      <c r="BR41" s="21">
        <f>EXP(-LN(2)/2)*BR40+(1-EXP(-LN(2)/2))/(LN(2)/2)*BL41*BO41*VLOOKUP('Données projet'!$B$11,Paramètres!$A$1:$I$89,3,0)*0.475*44/12</f>
        <v>0</v>
      </c>
      <c r="BS41" s="22">
        <f t="shared" si="9"/>
        <v>0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5.2</v>
      </c>
      <c r="BY41" s="12">
        <f>IF('Données projet'!$A$114&gt;35,BY40+BX41-CG40,IF(A41&lt;'Données projet'!$A$114,$BV$205^A41,IF(A41='Données projet'!$A$114,'Données projet'!$B$114,BY40+BX41-CG40)))</f>
        <v>95.600000000000009</v>
      </c>
      <c r="BZ41" s="13">
        <f>BY41*VLOOKUP('Données projet'!$B$12,Paramètres!$A$1:$I$89,3,0)*VLOOKUP('Données projet'!$B$12,Paramètres!$A$1:$I$89,5,0)</f>
        <v>92.464320000000015</v>
      </c>
      <c r="CA41" s="13">
        <f t="shared" si="39"/>
        <v>25.158622022619586</v>
      </c>
      <c r="CB41" s="20">
        <f t="shared" si="10"/>
        <v>204.85995735606244</v>
      </c>
      <c r="CC41" s="59">
        <f t="shared" si="11"/>
        <v>498.19329068939578</v>
      </c>
      <c r="CD41" s="59">
        <f ca="1">AVERAGE(OFFSET($CC$3,0,0,'Données projet'!$E$12+1,1))-AVERAGE(OFFSET($H$3,0,0,'Données projet'!$E$12+1,1))</f>
        <v>154.93882427988234</v>
      </c>
      <c r="CE41" s="59">
        <f t="shared" si="40"/>
        <v>56.347130462109817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>
        <f>EXP(-LN(2)/35)*CK40+(1-EXP(-LN(2)/35))/(LN(2)/35)*CG41*CH41*VLOOKUP('Données projet'!$B$12,Paramètres!$A$1:$I$89,3,0)*0.475*44/12</f>
        <v>0</v>
      </c>
      <c r="CL41" s="21">
        <f>EXP(-LN(2)/25)*CL40+(1-EXP(-LN(2)/25))/(LN(2)/25)*Calculateur!CG41*Calculateur!CI41*VLOOKUP('Données projet'!$B$12,Paramètres!$A$1:$I$89,3,0)*0.475*44/12</f>
        <v>0</v>
      </c>
      <c r="CM41" s="21">
        <f>EXP(-LN(2)/2)*CM40+(1-EXP(-LN(2)/2))/(LN(2)/2)*CG41*CJ41*VLOOKUP('Données projet'!$B$12,Paramètres!$A$1:$I$89,3,0)*0.475*44/12</f>
        <v>0</v>
      </c>
      <c r="CN41" s="22">
        <f t="shared" si="12"/>
        <v>0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34.678799999999995</v>
      </c>
      <c r="D42" s="11">
        <f t="shared" si="32"/>
        <v>10.576760473435781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349.34116856687268</v>
      </c>
      <c r="H42" s="67">
        <f t="shared" si="1"/>
        <v>372.15343449123395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 t="e">
        <f>VLOOKUP(A42,'Données projet'!$A$35:$I$55,2,0)</f>
        <v>#N/A</v>
      </c>
      <c r="L42" s="12" t="e">
        <f>VLOOKUP(A42,'Données projet'!$A$35:$I$55,9,0)</f>
        <v>#N/A</v>
      </c>
      <c r="M42" s="12">
        <f t="array" ref="M42">INDEX(L:L,MIN(IF(ISNUMBER(L42:L238),ROW(L42:L238),"")))</f>
        <v>7.166666666666667</v>
      </c>
      <c r="N42" s="13">
        <f>IF('Données projet'!$A$36&gt;35,N41+M42-V41,IF(A42&lt;'Données projet'!$A$36,$K$205^A42,IF(A42='Données projet'!$A$36,'Données projet'!$B$36,N41+M42-V41)))</f>
        <v>153.83333333333329</v>
      </c>
      <c r="O42" s="13">
        <f>N42*VLOOKUP('Données projet'!$B$9,Paramètres!$A$1:$I$89,3,0)*VLOOKUP('Données projet'!$B$9,Paramètres!$A$1:$I$89,5,0)</f>
        <v>91.99233333333332</v>
      </c>
      <c r="P42" s="13">
        <f t="shared" si="33"/>
        <v>25.045113791449438</v>
      </c>
      <c r="Q42" s="20">
        <f t="shared" si="53"/>
        <v>203.84022040899663</v>
      </c>
      <c r="R42" s="59">
        <f t="shared" si="0"/>
        <v>497.17355374232994</v>
      </c>
      <c r="S42" s="59">
        <f ca="1">AVERAGE(OFFSET($R$3,0,0,'Données projet'!$E$9+1,1))-AVERAGE(OFFSET($H$3,0,0,'Données projet'!$E$9+1,1))</f>
        <v>72.647148358003676</v>
      </c>
      <c r="T42" s="59">
        <f t="shared" si="34"/>
        <v>87.231299224620898</v>
      </c>
      <c r="U42" s="15">
        <f>IF(ISNA(VLOOKUP(A42,'Données projet'!$A$35:$I$55,3,0)),0,VLOOKUP(A42,'Données projet'!$A$35:$I$55,3,0))</f>
        <v>0</v>
      </c>
      <c r="V42" s="15">
        <f>IF(ISNA(VLOOKUP(A42,'Données projet'!$A$35:$I$55,4,0)),0,VLOOKUP(A42,'Données projet'!$A$35:$I$55,4,0))</f>
        <v>0</v>
      </c>
      <c r="W42" s="16">
        <f>IF(ISNA(VLOOKUP(A42,'Données projet'!$A$35:$I$55,5,0)),0%,VLOOKUP(A42,'Données projet'!$A$35:$I$55,5,0)*VLOOKUP('Données projet'!$B$9,Paramètres!$A$1:$I$89,7,0))</f>
        <v>0</v>
      </c>
      <c r="X42" s="16">
        <f>IF(ISNA(VLOOKUP(A42,'Données projet'!$A$35:$I$55,6,0)),0%,VLOOKUP(A42,'Données projet'!$A$35:$I$55,6,0)*VLOOKUP('Données projet'!$B$9,Paramètres!$A$1:$I$89,7,0))</f>
        <v>0</v>
      </c>
      <c r="Y42" s="16">
        <f>IF(ISNA(VLOOKUP(A42,'Données projet'!$A$35:$I$55,7,0)),0%,VLOOKUP(A42,'Données projet'!$A$35:$I$55,7,0))</f>
        <v>0</v>
      </c>
      <c r="Z42" s="21">
        <f>EXP(-LN(2)/35)*Z41+(1-EXP(-LN(2)/35))/(LN(2)/35)*V42*W42*VLOOKUP('Données projet'!$B$9,Paramètres!$A$1:$I$89,3,0)*0.475*44/12</f>
        <v>1.064739830932294</v>
      </c>
      <c r="AA42" s="21">
        <f>EXP(-LN(2)/25)*AA41+(1-EXP(-LN(2)/25))/(LN(2)/25)*Calculateur!V42*Calculateur!X42*VLOOKUP('Données projet'!$B$9,Paramètres!$A$1:$I$89,3,0)*0.475*44/12</f>
        <v>3.5304944029314851</v>
      </c>
      <c r="AB42" s="21">
        <f>EXP(-LN(2)/2)*AB41+(1-EXP(-LN(2)/2))/(LN(2)/2)*V42*Y42*VLOOKUP('Données projet'!$B$9,Paramètres!$A$1:$I$89,3,0)*0.475*44/12</f>
        <v>0.10080231943732076</v>
      </c>
      <c r="AC42" s="22">
        <f t="shared" si="3"/>
        <v>4.6960365533011004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8.1</v>
      </c>
      <c r="AI42" s="13">
        <f>IF('Données projet'!$A$62&gt;35,AI41+AH42-AQ41,IF(A42&lt;'Données projet'!$A$62,$AF$205^A42,IF(A42='Données projet'!$A$62,'Données projet'!$B$62,AI41+AH42-AQ41)))</f>
        <v>165.89999999999998</v>
      </c>
      <c r="AJ42" s="13">
        <f>AI42*VLOOKUP('Données projet'!$B$10,Paramètres!$A$1:$I$89,3,0)*VLOOKUP('Données projet'!$B$10,Paramètres!$A$1:$I$89,5,0)</f>
        <v>134.57807999999997</v>
      </c>
      <c r="AK42" s="13">
        <f t="shared" si="35"/>
        <v>35.052078941231564</v>
      </c>
      <c r="AL42" s="20">
        <f t="shared" si="4"/>
        <v>295.43919348931161</v>
      </c>
      <c r="AM42" s="59">
        <f t="shared" si="5"/>
        <v>588.77252682264498</v>
      </c>
      <c r="AN42" s="59">
        <f ca="1">AVERAGE(OFFSET($AM$3,0,0,'Données projet'!$E$10+1,1))-AVERAGE(OFFSET($H$3,0,0,'Données projet'!$E$10+1,1))</f>
        <v>145.3656871223958</v>
      </c>
      <c r="AO42" s="59">
        <f t="shared" si="36"/>
        <v>180.54762778843178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0</v>
      </c>
      <c r="AV42" s="21">
        <f>EXP(-LN(2)/25)*AV41+(1-EXP(-LN(2)/25))/(LN(2)/25)*Calculateur!AQ42*Calculateur!AS42*VLOOKUP('Données projet'!$B$10,Paramètres!$A$1:$I$89,3,0)*0.475*44/12</f>
        <v>4.3330190690543331</v>
      </c>
      <c r="AW42" s="21">
        <f>EXP(-LN(2)/2)*AW41+(1-EXP(-LN(2)/2))/(LN(2)/2)*AQ42*AT42*VLOOKUP('Données projet'!$B$10,Paramètres!$A$1:$I$89,3,0)*0.475*44/12</f>
        <v>0.36071976252626797</v>
      </c>
      <c r="AX42" s="21">
        <f t="shared" si="6"/>
        <v>4.6937388315806015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5.2</v>
      </c>
      <c r="BD42" s="12">
        <f>IF('Données projet'!$A$88&gt;35,BD41+BC42-BL41,IF(A42&lt;'Données projet'!$A$88,$BA$205^A42,IF(A42='Données projet'!$A$88,'Données projet'!$B$88,BD41+BC42-BL41)))</f>
        <v>100.80000000000001</v>
      </c>
      <c r="BE42" s="13">
        <f>BD42*VLOOKUP('Données projet'!$B$11,Paramètres!$A$1:$I$89,3,0)*VLOOKUP('Données projet'!$B$11,Paramètres!$A$1:$I$89,5,0)</f>
        <v>91.203840000000014</v>
      </c>
      <c r="BF42" s="13">
        <f t="shared" si="37"/>
        <v>24.855337308022524</v>
      </c>
      <c r="BG42" s="20">
        <f t="shared" si="7"/>
        <v>202.13640047813922</v>
      </c>
      <c r="BH42" s="59">
        <f t="shared" si="8"/>
        <v>495.46973381147257</v>
      </c>
      <c r="BI42" s="59">
        <f ca="1">AVERAGE(OFFSET($BH$3,0,0,'Données projet'!$E$11+1,1))-AVERAGE(OFFSET($H$3,0,0,'Données projet'!$E$11+1,1))</f>
        <v>138.8931001150624</v>
      </c>
      <c r="BJ42" s="59">
        <f t="shared" si="38"/>
        <v>48.964659354096625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>
        <f>EXP(-LN(2)/35)*BP41+(1-EXP(-LN(2)/35))/(LN(2)/35)*BL42*BM42*VLOOKUP('Données projet'!$B$11,Paramètres!$A$1:$I$89,3,0)*0.475*44/12</f>
        <v>0</v>
      </c>
      <c r="BQ42" s="21">
        <f>EXP(-LN(2)/25)*BQ41+(1-EXP(-LN(2)/25))/(LN(2)/25)*Calculateur!BL42*Calculateur!BN42*VLOOKUP('Données projet'!$B$11,Paramètres!$A$1:$I$89,3,0)*0.475*44/12</f>
        <v>0</v>
      </c>
      <c r="BR42" s="21">
        <f>EXP(-LN(2)/2)*BR41+(1-EXP(-LN(2)/2))/(LN(2)/2)*BL42*BO42*VLOOKUP('Données projet'!$B$11,Paramètres!$A$1:$I$89,3,0)*0.475*44/12</f>
        <v>0</v>
      </c>
      <c r="BS42" s="22">
        <f t="shared" si="9"/>
        <v>0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5.2</v>
      </c>
      <c r="BY42" s="12">
        <f>IF('Données projet'!$A$114&gt;35,BY41+BX42-CG41,IF(A42&lt;'Données projet'!$A$114,$BV$205^A42,IF(A42='Données projet'!$A$114,'Données projet'!$B$114,BY41+BX42-CG41)))</f>
        <v>100.80000000000001</v>
      </c>
      <c r="BZ42" s="13">
        <f>BY42*VLOOKUP('Données projet'!$B$12,Paramètres!$A$1:$I$89,3,0)*VLOOKUP('Données projet'!$B$12,Paramètres!$A$1:$I$89,5,0)</f>
        <v>97.493760000000023</v>
      </c>
      <c r="CA42" s="13">
        <f t="shared" si="39"/>
        <v>26.364041280888873</v>
      </c>
      <c r="CB42" s="20">
        <f t="shared" si="10"/>
        <v>215.71900389754816</v>
      </c>
      <c r="CC42" s="59">
        <f t="shared" si="11"/>
        <v>509.05233723088145</v>
      </c>
      <c r="CD42" s="59">
        <f ca="1">AVERAGE(OFFSET($CC$3,0,0,'Données projet'!$E$12+1,1))-AVERAGE(OFFSET($H$3,0,0,'Données projet'!$E$12+1,1))</f>
        <v>154.93882427988234</v>
      </c>
      <c r="CE42" s="59">
        <f t="shared" si="40"/>
        <v>56.347130462109817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>
        <f>EXP(-LN(2)/35)*CK41+(1-EXP(-LN(2)/35))/(LN(2)/35)*CG42*CH42*VLOOKUP('Données projet'!$B$12,Paramètres!$A$1:$I$89,3,0)*0.475*44/12</f>
        <v>0</v>
      </c>
      <c r="CL42" s="21">
        <f>EXP(-LN(2)/25)*CL41+(1-EXP(-LN(2)/25))/(LN(2)/25)*Calculateur!CG42*Calculateur!CI42*VLOOKUP('Données projet'!$B$12,Paramètres!$A$1:$I$89,3,0)*0.475*44/12</f>
        <v>0</v>
      </c>
      <c r="CM42" s="21">
        <f>EXP(-LN(2)/2)*CM41+(1-EXP(-LN(2)/2))/(LN(2)/2)*CG42*CJ42*VLOOKUP('Données projet'!$B$12,Paramètres!$A$1:$I$89,3,0)*0.475*44/12</f>
        <v>0</v>
      </c>
      <c r="CN42" s="22">
        <f t="shared" si="12"/>
        <v>0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35.567999999999998</v>
      </c>
      <c r="D43" s="11">
        <f t="shared" si="32"/>
        <v>10.816037660735208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358.0522205390086</v>
      </c>
      <c r="H43" s="67">
        <f t="shared" si="1"/>
        <v>374.11886559244715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>
        <f>VLOOKUP(A43,'Données projet'!$A$35:$I$55,2,0)</f>
        <v>161</v>
      </c>
      <c r="L43" s="12">
        <f>VLOOKUP(A43,'Données projet'!$A$35:$I$55,9,0)</f>
        <v>7.166666666666667</v>
      </c>
      <c r="M43" s="12">
        <f t="array" ref="M43">INDEX(L:L,MIN(IF(ISNUMBER(L43:L239),ROW(L43:L239),"")))</f>
        <v>7.166666666666667</v>
      </c>
      <c r="N43" s="13">
        <f>IF('Données projet'!$A$36&gt;35,N42+M43-V42,IF(A43&lt;'Données projet'!$A$36,$K$205^A43,IF(A43='Données projet'!$A$36,'Données projet'!$B$36,N42+M43-V42)))</f>
        <v>160.99999999999994</v>
      </c>
      <c r="O43" s="13">
        <f>N43*VLOOKUP('Données projet'!$B$9,Paramètres!$A$1:$I$89,3,0)*VLOOKUP('Données projet'!$B$9,Paramètres!$A$1:$I$89,5,0)</f>
        <v>96.277999999999963</v>
      </c>
      <c r="P43" s="13">
        <f t="shared" si="33"/>
        <v>26.073334426410277</v>
      </c>
      <c r="Q43" s="20">
        <f t="shared" si="53"/>
        <v>213.0952407926645</v>
      </c>
      <c r="R43" s="59">
        <f t="shared" si="0"/>
        <v>506.42857412599778</v>
      </c>
      <c r="S43" s="59">
        <f ca="1">AVERAGE(OFFSET($R$3,0,0,'Données projet'!$E$9+1,1))-AVERAGE(OFFSET($H$3,0,0,'Données projet'!$E$9+1,1))</f>
        <v>72.647148358003676</v>
      </c>
      <c r="T43" s="59">
        <f t="shared" si="34"/>
        <v>87.231299224620898</v>
      </c>
      <c r="U43" s="15">
        <f>IF(ISNA(VLOOKUP(A43,'Données projet'!$A$35:$I$55,3,0)),0,VLOOKUP(A43,'Données projet'!$A$35:$I$55,3,0))</f>
        <v>6</v>
      </c>
      <c r="V43" s="15">
        <f>IF(ISNA(VLOOKUP(A43,'Données projet'!$A$35:$I$55,4,0)),0,VLOOKUP(A43,'Données projet'!$A$35:$I$55,4,0))</f>
        <v>23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1.0438609322748829</v>
      </c>
      <c r="AA43" s="21">
        <f>EXP(-LN(2)/25)*AA42+(1-EXP(-LN(2)/25))/(LN(2)/25)*Calculateur!V43*Calculateur!X43*VLOOKUP('Données projet'!$B$9,Paramètres!$A$1:$I$89,3,0)*0.475*44/12</f>
        <v>3.4339528478226922</v>
      </c>
      <c r="AB43" s="21">
        <f>EXP(-LN(2)/2)*AB42+(1-EXP(-LN(2)/2))/(LN(2)/2)*V43*Y43*VLOOKUP('Données projet'!$B$9,Paramètres!$A$1:$I$89,3,0)*0.475*44/12</f>
        <v>7.1278003633462039E-2</v>
      </c>
      <c r="AC43" s="22">
        <f t="shared" si="3"/>
        <v>4.5490917837310372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174</v>
      </c>
      <c r="AG43" s="12">
        <f>VLOOKUP(A43,'Données projet'!$A$61:$I$81,9,0)</f>
        <v>8.1</v>
      </c>
      <c r="AH43" s="12">
        <f t="array" ref="AH43">INDEX(AG:AG,MIN(IF(ISNUMBER(AG43:AG239),ROW(AG43:AG239),"")))</f>
        <v>8.1</v>
      </c>
      <c r="AI43" s="13">
        <f>IF('Données projet'!$A$62&gt;35,AI42+AH43-AQ42,IF(A43&lt;'Données projet'!$A$62,$AF$205^A43,IF(A43='Données projet'!$A$62,'Données projet'!$B$62,AI42+AH43-AQ42)))</f>
        <v>173.99999999999997</v>
      </c>
      <c r="AJ43" s="13">
        <f>AI43*VLOOKUP('Données projet'!$B$10,Paramètres!$A$1:$I$89,3,0)*VLOOKUP('Données projet'!$B$10,Paramètres!$A$1:$I$89,5,0)</f>
        <v>141.14879999999999</v>
      </c>
      <c r="AK43" s="13">
        <f t="shared" si="35"/>
        <v>36.560054140504484</v>
      </c>
      <c r="AL43" s="20">
        <f t="shared" si="4"/>
        <v>309.50958762804532</v>
      </c>
      <c r="AM43" s="59">
        <f t="shared" si="5"/>
        <v>602.8429209613787</v>
      </c>
      <c r="AN43" s="59">
        <f ca="1">AVERAGE(OFFSET($AM$3,0,0,'Données projet'!$E$10+1,1))-AVERAGE(OFFSET($H$3,0,0,'Données projet'!$E$10+1,1))</f>
        <v>145.3656871223958</v>
      </c>
      <c r="AO43" s="59">
        <f t="shared" si="36"/>
        <v>180.54762778843178</v>
      </c>
      <c r="AP43" s="15">
        <f>IF(ISNA(VLOOKUP(A43,'Données projet'!$A$61:$I$81,3,0)),0,VLOOKUP(A43,'Données projet'!$A$61:$I$81,3,0))</f>
        <v>3</v>
      </c>
      <c r="AQ43" s="15">
        <f>IF(ISNA(VLOOKUP(A43,'Données projet'!$A$61:$I$81,4,0)),0,VLOOKUP(A43,'Données projet'!$A$61:$I$81,4,0))</f>
        <v>42</v>
      </c>
      <c r="AR43" s="16">
        <f>IF(ISNA(VLOOKUP(A43,'Données projet'!$A$61:$I$81,5,0)),0%,VLOOKUP(A43,'Données projet'!$A$61:$I$81,5,0)*VLOOKUP('Données projet'!$B$10,Paramètres!$A$1:$I$89,7,0))</f>
        <v>0</v>
      </c>
      <c r="AS43" s="16">
        <f>IF(ISNA(VLOOKUP(A43,'Données projet'!$A$61:$I$81,6,0)),0%,VLOOKUP(A43,'Données projet'!$A$61:$I$81,6,0)*VLOOKUP('Données projet'!$B$10,Paramètres!$A$1:$I$89,7,0))</f>
        <v>0</v>
      </c>
      <c r="AT43" s="16">
        <f>IF(ISNA(VLOOKUP(A43,'Données projet'!$A$61:$I$81,7,0)),0%,VLOOKUP(A43,'Données projet'!$A$61:$I$81,7,0))</f>
        <v>0</v>
      </c>
      <c r="AU43" s="21">
        <f>EXP(-LN(2)/35)*AU42+(1-EXP(-LN(2)/35))/(LN(2)/35)*AQ43*AR43*VLOOKUP('Données projet'!$B$10,Paramètres!$A$1:$I$89,3,0)*0.475*44/12</f>
        <v>0</v>
      </c>
      <c r="AV43" s="21">
        <f>EXP(-LN(2)/25)*AV42+(1-EXP(-LN(2)/25))/(LN(2)/25)*Calculateur!AQ43*Calculateur!AS43*VLOOKUP('Données projet'!$B$10,Paramètres!$A$1:$I$89,3,0)*0.475*44/12</f>
        <v>4.2145324347474729</v>
      </c>
      <c r="AW43" s="21">
        <f>EXP(-LN(2)/2)*AW42+(1-EXP(-LN(2)/2))/(LN(2)/2)*AQ43*AT43*VLOOKUP('Données projet'!$B$10,Paramètres!$A$1:$I$89,3,0)*0.475*44/12</f>
        <v>0.25506739019032515</v>
      </c>
      <c r="AX43" s="21">
        <f t="shared" si="6"/>
        <v>4.4695998249377977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>
        <f>VLOOKUP(A43,'Données projet'!$A$87:$I$107,2,0)</f>
        <v>106</v>
      </c>
      <c r="BB43" s="12">
        <f>VLOOKUP(A43,'Données projet'!$A$87:$I$107,9,0)</f>
        <v>5.2</v>
      </c>
      <c r="BC43" s="12">
        <f t="array" ref="BC43">INDEX(BB:BB,MIN(IF(ISNUMBER(BB43:BB239),ROW(BB43:BB239),"")))</f>
        <v>5.2</v>
      </c>
      <c r="BD43" s="12">
        <f>IF('Données projet'!$A$88&gt;35,BD42+BC43-BL42,IF(A43&lt;'Données projet'!$A$88,$BA$205^A43,IF(A43='Données projet'!$A$88,'Données projet'!$B$88,BD42+BC43-BL42)))</f>
        <v>106.00000000000001</v>
      </c>
      <c r="BE43" s="13">
        <f>BD43*VLOOKUP('Données projet'!$B$11,Paramètres!$A$1:$I$89,3,0)*VLOOKUP('Données projet'!$B$11,Paramètres!$A$1:$I$89,5,0)</f>
        <v>95.908800000000014</v>
      </c>
      <c r="BF43" s="13">
        <f t="shared" si="37"/>
        <v>25.984968676228355</v>
      </c>
      <c r="BG43" s="20">
        <f t="shared" si="7"/>
        <v>212.29831377776441</v>
      </c>
      <c r="BH43" s="59">
        <f t="shared" si="8"/>
        <v>505.63164711109772</v>
      </c>
      <c r="BI43" s="59">
        <f ca="1">AVERAGE(OFFSET($BH$3,0,0,'Données projet'!$E$11+1,1))-AVERAGE(OFFSET($H$3,0,0,'Données projet'!$E$11+1,1))</f>
        <v>138.8931001150624</v>
      </c>
      <c r="BJ43" s="59">
        <f t="shared" si="38"/>
        <v>48.964659354096625</v>
      </c>
      <c r="BK43" s="15">
        <f>IF(ISNA(VLOOKUP(A43,'Données projet'!$A$87:$I$107,3,0)),0,VLOOKUP(A43,'Données projet'!$A$87:$I$107,3,0))</f>
        <v>1</v>
      </c>
      <c r="BL43" s="15">
        <f>IF(ISNA(VLOOKUP(A43,'Données projet'!$A$87:$I$107,4,0)),0,VLOOKUP(A43,'Données projet'!$A$87:$I$107,4,0))</f>
        <v>27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>
        <f>EXP(-LN(2)/35)*BP42+(1-EXP(-LN(2)/35))/(LN(2)/35)*BL43*BM43*VLOOKUP('Données projet'!$B$11,Paramètres!$A$1:$I$89,3,0)*0.475*44/12</f>
        <v>0</v>
      </c>
      <c r="BQ43" s="21">
        <f>EXP(-LN(2)/25)*BQ42+(1-EXP(-LN(2)/25))/(LN(2)/25)*Calculateur!BL43*Calculateur!BN43*VLOOKUP('Données projet'!$B$11,Paramètres!$A$1:$I$89,3,0)*0.475*44/12</f>
        <v>0</v>
      </c>
      <c r="BR43" s="21">
        <f>EXP(-LN(2)/2)*BR42+(1-EXP(-LN(2)/2))/(LN(2)/2)*BL43*BO43*VLOOKUP('Données projet'!$B$11,Paramètres!$A$1:$I$89,3,0)*0.475*44/12</f>
        <v>0</v>
      </c>
      <c r="BS43" s="22">
        <f t="shared" si="9"/>
        <v>0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>
        <f>VLOOKUP(A43,'Données projet'!$A$113:$I$133,2,0)</f>
        <v>106</v>
      </c>
      <c r="BW43" s="12">
        <f>VLOOKUP(A43,'Données projet'!$A$113:$I$133,9,0)</f>
        <v>5.2</v>
      </c>
      <c r="BX43" s="12">
        <f t="array" ref="BX43">INDEX(BW:BW,MIN(IF(ISNUMBER(BW43:BW239),ROW(BW43:BW239),"")))</f>
        <v>5.2</v>
      </c>
      <c r="BY43" s="12">
        <f>IF('Données projet'!$A$114&gt;35,BY42+BX43-CG42,IF(A43&lt;'Données projet'!$A$114,$BV$205^A43,IF(A43='Données projet'!$A$114,'Données projet'!$B$114,BY42+BX43-CG42)))</f>
        <v>106.00000000000001</v>
      </c>
      <c r="BZ43" s="13">
        <f>BY43*VLOOKUP('Données projet'!$B$12,Paramètres!$A$1:$I$89,3,0)*VLOOKUP('Données projet'!$B$12,Paramètres!$A$1:$I$89,5,0)</f>
        <v>102.52320000000002</v>
      </c>
      <c r="CA43" s="13">
        <f t="shared" si="39"/>
        <v>27.562240591342476</v>
      </c>
      <c r="CB43" s="20">
        <f t="shared" si="10"/>
        <v>226.56547569658815</v>
      </c>
      <c r="CC43" s="59">
        <f t="shared" si="11"/>
        <v>519.89880902992149</v>
      </c>
      <c r="CD43" s="59">
        <f ca="1">AVERAGE(OFFSET($CC$3,0,0,'Données projet'!$E$12+1,1))-AVERAGE(OFFSET($H$3,0,0,'Données projet'!$E$12+1,1))</f>
        <v>154.93882427988234</v>
      </c>
      <c r="CE43" s="59">
        <f t="shared" si="40"/>
        <v>56.347130462109817</v>
      </c>
      <c r="CF43" s="15">
        <f>IF(ISNA(VLOOKUP(A43,'Données projet'!$A$113:$I$133,3,0)),0,VLOOKUP(A43,'Données projet'!$A$113:$I$133,3,0))</f>
        <v>1</v>
      </c>
      <c r="CG43" s="15">
        <f>IF(ISNA(VLOOKUP(A43,'Données projet'!$A$113:$I$133,4,0)),0,VLOOKUP(A43,'Données projet'!$A$113:$I$133,4,0))</f>
        <v>27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>
        <f>EXP(-LN(2)/35)*CK42+(1-EXP(-LN(2)/35))/(LN(2)/35)*CG43*CH43*VLOOKUP('Données projet'!$B$12,Paramètres!$A$1:$I$89,3,0)*0.475*44/12</f>
        <v>0</v>
      </c>
      <c r="CL43" s="21">
        <f>EXP(-LN(2)/25)*CL42+(1-EXP(-LN(2)/25))/(LN(2)/25)*Calculateur!CG43*Calculateur!CI43*VLOOKUP('Données projet'!$B$12,Paramètres!$A$1:$I$89,3,0)*0.475*44/12</f>
        <v>0</v>
      </c>
      <c r="CM43" s="21">
        <f>EXP(-LN(2)/2)*CM42+(1-EXP(-LN(2)/2))/(LN(2)/2)*CG43*CJ43*VLOOKUP('Données projet'!$B$12,Paramètres!$A$1:$I$89,3,0)*0.475*44/12</f>
        <v>0</v>
      </c>
      <c r="CN43" s="22">
        <f t="shared" si="12"/>
        <v>0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36.4572</v>
      </c>
      <c r="D44" s="11">
        <f t="shared" si="32"/>
        <v>11.054619486999963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366.75790481192956</v>
      </c>
      <c r="H44" s="67">
        <f t="shared" si="1"/>
        <v>376.08308560652495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5.833333333333333</v>
      </c>
      <c r="N44" s="13">
        <f>IF('Données projet'!$A$36&gt;35,N43+M44-V43,IF(A44&lt;'Données projet'!$A$36,$K$205^A44,IF(A44='Données projet'!$A$36,'Données projet'!$B$36,N43+M44-V43)))</f>
        <v>143.83333333333329</v>
      </c>
      <c r="O44" s="13">
        <f>N44*VLOOKUP('Données projet'!$B$9,Paramètres!$A$1:$I$89,3,0)*VLOOKUP('Données projet'!$B$9,Paramètres!$A$1:$I$89,5,0)</f>
        <v>86.012333333333316</v>
      </c>
      <c r="P44" s="13">
        <f t="shared" si="33"/>
        <v>23.600973937391252</v>
      </c>
      <c r="Q44" s="20">
        <f t="shared" si="53"/>
        <v>190.90984349651194</v>
      </c>
      <c r="R44" s="59">
        <f t="shared" si="0"/>
        <v>484.24317682984525</v>
      </c>
      <c r="S44" s="59">
        <f ca="1">AVERAGE(OFFSET($R$3,0,0,'Données projet'!$E$9+1,1))-AVERAGE(OFFSET($H$3,0,0,'Données projet'!$E$9+1,1))</f>
        <v>72.647148358003676</v>
      </c>
      <c r="T44" s="59">
        <f t="shared" si="34"/>
        <v>87.231299224620898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1.023391456085273</v>
      </c>
      <c r="AA44" s="21">
        <f>EXP(-LN(2)/25)*AA43+(1-EXP(-LN(2)/25))/(LN(2)/25)*Calculateur!V44*Calculateur!X44*VLOOKUP('Données projet'!$B$9,Paramètres!$A$1:$I$89,3,0)*0.475*44/12</f>
        <v>3.3400512266152487</v>
      </c>
      <c r="AB44" s="21">
        <f>EXP(-LN(2)/2)*AB43+(1-EXP(-LN(2)/2))/(LN(2)/2)*V44*Y44*VLOOKUP('Données projet'!$B$9,Paramètres!$A$1:$I$89,3,0)*0.475*44/12</f>
        <v>5.0401159718660382E-2</v>
      </c>
      <c r="AC44" s="22">
        <f t="shared" si="3"/>
        <v>4.4138438424191824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6</v>
      </c>
      <c r="AI44" s="13">
        <f>IF('Données projet'!$A$62&gt;35,AI43+AH44-AQ43,IF(A44&lt;'Données projet'!$A$62,$AF$205^A44,IF(A44='Données projet'!$A$62,'Données projet'!$B$62,AI43+AH44-AQ43)))</f>
        <v>137.99999999999997</v>
      </c>
      <c r="AJ44" s="13">
        <f>AI44*VLOOKUP('Données projet'!$B$10,Paramètres!$A$1:$I$89,3,0)*VLOOKUP('Données projet'!$B$10,Paramètres!$A$1:$I$89,5,0)</f>
        <v>111.94559999999998</v>
      </c>
      <c r="AK44" s="13">
        <f t="shared" si="35"/>
        <v>29.788914309703763</v>
      </c>
      <c r="AL44" s="20">
        <f t="shared" si="4"/>
        <v>246.85427908940071</v>
      </c>
      <c r="AM44" s="59">
        <f t="shared" si="5"/>
        <v>540.18761242273399</v>
      </c>
      <c r="AN44" s="59">
        <f ca="1">AVERAGE(OFFSET($AM$3,0,0,'Données projet'!$E$10+1,1))-AVERAGE(OFFSET($H$3,0,0,'Données projet'!$E$10+1,1))</f>
        <v>145.3656871223958</v>
      </c>
      <c r="AO44" s="59">
        <f t="shared" si="36"/>
        <v>180.54762778843178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0</v>
      </c>
      <c r="AV44" s="21">
        <f>EXP(-LN(2)/25)*AV43+(1-EXP(-LN(2)/25))/(LN(2)/25)*Calculateur!AQ44*Calculateur!AS44*VLOOKUP('Données projet'!$B$10,Paramètres!$A$1:$I$89,3,0)*0.475*44/12</f>
        <v>4.0992858236866745</v>
      </c>
      <c r="AW44" s="21">
        <f>EXP(-LN(2)/2)*AW43+(1-EXP(-LN(2)/2))/(LN(2)/2)*AQ44*AT44*VLOOKUP('Données projet'!$B$10,Paramètres!$A$1:$I$89,3,0)*0.475*44/12</f>
        <v>0.18035988126313399</v>
      </c>
      <c r="AX44" s="21">
        <f t="shared" si="6"/>
        <v>4.2796457049498082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5.6</v>
      </c>
      <c r="BD44" s="12">
        <f>IF('Données projet'!$A$88&gt;35,BD43+BC44-BL43,IF(A44&lt;'Données projet'!$A$88,$BA$205^A44,IF(A44='Données projet'!$A$88,'Données projet'!$B$88,BD43+BC44-BL43)))</f>
        <v>84.600000000000009</v>
      </c>
      <c r="BE44" s="13">
        <f>BD44*VLOOKUP('Données projet'!$B$11,Paramètres!$A$1:$I$89,3,0)*VLOOKUP('Données projet'!$B$11,Paramètres!$A$1:$I$89,5,0)</f>
        <v>76.546080000000003</v>
      </c>
      <c r="BF44" s="13">
        <f t="shared" si="37"/>
        <v>21.290525837973497</v>
      </c>
      <c r="BG44" s="20">
        <f t="shared" si="7"/>
        <v>170.39875516780384</v>
      </c>
      <c r="BH44" s="59">
        <f t="shared" si="8"/>
        <v>463.73208850113713</v>
      </c>
      <c r="BI44" s="59">
        <f ca="1">AVERAGE(OFFSET($BH$3,0,0,'Données projet'!$E$11+1,1))-AVERAGE(OFFSET($H$3,0,0,'Données projet'!$E$11+1,1))</f>
        <v>138.8931001150624</v>
      </c>
      <c r="BJ44" s="59">
        <f t="shared" si="38"/>
        <v>48.964659354096625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>
        <f>EXP(-LN(2)/35)*BP43+(1-EXP(-LN(2)/35))/(LN(2)/35)*BL44*BM44*VLOOKUP('Données projet'!$B$11,Paramètres!$A$1:$I$89,3,0)*0.475*44/12</f>
        <v>0</v>
      </c>
      <c r="BQ44" s="21">
        <f>EXP(-LN(2)/25)*BQ43+(1-EXP(-LN(2)/25))/(LN(2)/25)*Calculateur!BL44*Calculateur!BN44*VLOOKUP('Données projet'!$B$11,Paramètres!$A$1:$I$89,3,0)*0.475*44/12</f>
        <v>0</v>
      </c>
      <c r="BR44" s="21">
        <f>EXP(-LN(2)/2)*BR43+(1-EXP(-LN(2)/2))/(LN(2)/2)*BL44*BO44*VLOOKUP('Données projet'!$B$11,Paramètres!$A$1:$I$89,3,0)*0.475*44/12</f>
        <v>0</v>
      </c>
      <c r="BS44" s="22">
        <f t="shared" si="9"/>
        <v>0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4.2</v>
      </c>
      <c r="BY44" s="12">
        <f>IF('Données projet'!$A$114&gt;35,BY43+BX44-CG43,IF(A44&lt;'Données projet'!$A$114,$BV$205^A44,IF(A44='Données projet'!$A$114,'Données projet'!$B$114,BY43+BX44-CG43)))</f>
        <v>83.200000000000017</v>
      </c>
      <c r="BZ44" s="13">
        <f>BY44*VLOOKUP('Données projet'!$B$12,Paramètres!$A$1:$I$89,3,0)*VLOOKUP('Données projet'!$B$12,Paramètres!$A$1:$I$89,5,0)</f>
        <v>80.471040000000016</v>
      </c>
      <c r="CA44" s="13">
        <f t="shared" si="39"/>
        <v>22.25231647643426</v>
      </c>
      <c r="CB44" s="20">
        <f t="shared" si="10"/>
        <v>178.90984586312302</v>
      </c>
      <c r="CC44" s="59">
        <f t="shared" si="11"/>
        <v>472.24317919645637</v>
      </c>
      <c r="CD44" s="59">
        <f ca="1">AVERAGE(OFFSET($CC$3,0,0,'Données projet'!$E$12+1,1))-AVERAGE(OFFSET($H$3,0,0,'Données projet'!$E$12+1,1))</f>
        <v>154.93882427988234</v>
      </c>
      <c r="CE44" s="59">
        <f t="shared" si="40"/>
        <v>56.347130462109817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>
        <f>EXP(-LN(2)/35)*CK43+(1-EXP(-LN(2)/35))/(LN(2)/35)*CG44*CH44*VLOOKUP('Données projet'!$B$12,Paramètres!$A$1:$I$89,3,0)*0.475*44/12</f>
        <v>0</v>
      </c>
      <c r="CL44" s="21">
        <f>EXP(-LN(2)/25)*CL43+(1-EXP(-LN(2)/25))/(LN(2)/25)*Calculateur!CG44*Calculateur!CI44*VLOOKUP('Données projet'!$B$12,Paramètres!$A$1:$I$89,3,0)*0.475*44/12</f>
        <v>0</v>
      </c>
      <c r="CM44" s="21">
        <f>EXP(-LN(2)/2)*CM43+(1-EXP(-LN(2)/2))/(LN(2)/2)*CG44*CJ44*VLOOKUP('Données projet'!$B$12,Paramètres!$A$1:$I$89,3,0)*0.475*44/12</f>
        <v>0</v>
      </c>
      <c r="CN44" s="22">
        <f t="shared" si="12"/>
        <v>0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37.346400000000003</v>
      </c>
      <c r="D45" s="11">
        <f t="shared" si="32"/>
        <v>11.292524863342397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375.45836736615183</v>
      </c>
      <c r="H45" s="67">
        <f t="shared" si="1"/>
        <v>378.04612747032132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5.833333333333333</v>
      </c>
      <c r="N45" s="13">
        <f>IF('Données projet'!$A$36&gt;35,N44+M45-V44,IF(A45&lt;'Données projet'!$A$36,$K$205^A45,IF(A45='Données projet'!$A$36,'Données projet'!$B$36,N44+M45-V44)))</f>
        <v>149.66666666666663</v>
      </c>
      <c r="O45" s="13">
        <f>N45*VLOOKUP('Données projet'!$B$9,Paramètres!$A$1:$I$89,3,0)*VLOOKUP('Données projet'!$B$9,Paramètres!$A$1:$I$89,5,0)</f>
        <v>89.500666666666646</v>
      </c>
      <c r="P45" s="13">
        <f t="shared" si="33"/>
        <v>24.444758851104769</v>
      </c>
      <c r="Q45" s="20">
        <f t="shared" si="53"/>
        <v>198.45494944345185</v>
      </c>
      <c r="R45" s="59">
        <f t="shared" si="0"/>
        <v>491.78828277678519</v>
      </c>
      <c r="S45" s="59">
        <f ca="1">AVERAGE(OFFSET($R$3,0,0,'Données projet'!$E$9+1,1))-AVERAGE(OFFSET($H$3,0,0,'Données projet'!$E$9+1,1))</f>
        <v>72.647148358003676</v>
      </c>
      <c r="T45" s="59">
        <f t="shared" si="34"/>
        <v>87.231299224620898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1.0033233738385938</v>
      </c>
      <c r="AA45" s="21">
        <f>EXP(-LN(2)/25)*AA44+(1-EXP(-LN(2)/25))/(LN(2)/25)*Calculateur!V45*Calculateur!X45*VLOOKUP('Données projet'!$B$9,Paramètres!$A$1:$I$89,3,0)*0.475*44/12</f>
        <v>3.2487173501777944</v>
      </c>
      <c r="AB45" s="21">
        <f>EXP(-LN(2)/2)*AB44+(1-EXP(-LN(2)/2))/(LN(2)/2)*V45*Y45*VLOOKUP('Données projet'!$B$9,Paramètres!$A$1:$I$89,3,0)*0.475*44/12</f>
        <v>3.563900181673102E-2</v>
      </c>
      <c r="AC45" s="22">
        <f t="shared" si="3"/>
        <v>4.2876797258331196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6</v>
      </c>
      <c r="AI45" s="13">
        <f>IF('Données projet'!$A$62&gt;35,AI44+AH45-AQ44,IF(A45&lt;'Données projet'!$A$62,$AF$205^A45,IF(A45='Données projet'!$A$62,'Données projet'!$B$62,AI44+AH45-AQ44)))</f>
        <v>143.99999999999997</v>
      </c>
      <c r="AJ45" s="13">
        <f>AI45*VLOOKUP('Données projet'!$B$10,Paramètres!$A$1:$I$89,3,0)*VLOOKUP('Données projet'!$B$10,Paramètres!$A$1:$I$89,5,0)</f>
        <v>116.81279999999998</v>
      </c>
      <c r="AK45" s="13">
        <f t="shared" si="35"/>
        <v>30.930476631089483</v>
      </c>
      <c r="AL45" s="20">
        <f t="shared" si="4"/>
        <v>257.31954013248077</v>
      </c>
      <c r="AM45" s="59">
        <f t="shared" si="5"/>
        <v>550.65287346581408</v>
      </c>
      <c r="AN45" s="59">
        <f ca="1">AVERAGE(OFFSET($AM$3,0,0,'Données projet'!$E$10+1,1))-AVERAGE(OFFSET($H$3,0,0,'Données projet'!$E$10+1,1))</f>
        <v>145.3656871223958</v>
      </c>
      <c r="AO45" s="59">
        <f t="shared" si="36"/>
        <v>180.54762778843178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0</v>
      </c>
      <c r="AV45" s="21">
        <f>EXP(-LN(2)/25)*AV44+(1-EXP(-LN(2)/25))/(LN(2)/25)*Calculateur!AQ45*Calculateur!AS45*VLOOKUP('Données projet'!$B$10,Paramètres!$A$1:$I$89,3,0)*0.475*44/12</f>
        <v>3.9871906372658898</v>
      </c>
      <c r="AW45" s="21">
        <f>EXP(-LN(2)/2)*AW44+(1-EXP(-LN(2)/2))/(LN(2)/2)*AQ45*AT45*VLOOKUP('Données projet'!$B$10,Paramètres!$A$1:$I$89,3,0)*0.475*44/12</f>
        <v>0.12753369509516257</v>
      </c>
      <c r="AX45" s="21">
        <f t="shared" si="6"/>
        <v>4.1147243323610523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5.6</v>
      </c>
      <c r="BD45" s="12">
        <f>IF('Données projet'!$A$88&gt;35,BD44+BC45-BL44,IF(A45&lt;'Données projet'!$A$88,$BA$205^A45,IF(A45='Données projet'!$A$88,'Données projet'!$B$88,BD44+BC45-BL44)))</f>
        <v>90.2</v>
      </c>
      <c r="BE45" s="13">
        <f>BD45*VLOOKUP('Données projet'!$B$11,Paramètres!$A$1:$I$89,3,0)*VLOOKUP('Données projet'!$B$11,Paramètres!$A$1:$I$89,5,0)</f>
        <v>81.612960000000001</v>
      </c>
      <c r="BF45" s="13">
        <f t="shared" si="37"/>
        <v>22.531101896247538</v>
      </c>
      <c r="BG45" s="20">
        <f t="shared" si="7"/>
        <v>181.38424113596443</v>
      </c>
      <c r="BH45" s="59">
        <f t="shared" si="8"/>
        <v>474.71757446929774</v>
      </c>
      <c r="BI45" s="59">
        <f ca="1">AVERAGE(OFFSET($BH$3,0,0,'Données projet'!$E$11+1,1))-AVERAGE(OFFSET($H$3,0,0,'Données projet'!$E$11+1,1))</f>
        <v>138.8931001150624</v>
      </c>
      <c r="BJ45" s="59">
        <f t="shared" si="38"/>
        <v>48.964659354096625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>
        <f>EXP(-LN(2)/35)*BP44+(1-EXP(-LN(2)/35))/(LN(2)/35)*BL45*BM45*VLOOKUP('Données projet'!$B$11,Paramètres!$A$1:$I$89,3,0)*0.475*44/12</f>
        <v>0</v>
      </c>
      <c r="BQ45" s="21">
        <f>EXP(-LN(2)/25)*BQ44+(1-EXP(-LN(2)/25))/(LN(2)/25)*Calculateur!BL45*Calculateur!BN45*VLOOKUP('Données projet'!$B$11,Paramètres!$A$1:$I$89,3,0)*0.475*44/12</f>
        <v>0</v>
      </c>
      <c r="BR45" s="21">
        <f>EXP(-LN(2)/2)*BR44+(1-EXP(-LN(2)/2))/(LN(2)/2)*BL45*BO45*VLOOKUP('Données projet'!$B$11,Paramètres!$A$1:$I$89,3,0)*0.475*44/12</f>
        <v>0</v>
      </c>
      <c r="BS45" s="22">
        <f t="shared" si="9"/>
        <v>0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4.2</v>
      </c>
      <c r="BY45" s="12">
        <f>IF('Données projet'!$A$114&gt;35,BY44+BX45-CG44,IF(A45&lt;'Données projet'!$A$114,$BV$205^A45,IF(A45='Données projet'!$A$114,'Données projet'!$B$114,BY44+BX45-CG44)))</f>
        <v>87.40000000000002</v>
      </c>
      <c r="BZ45" s="13">
        <f>BY45*VLOOKUP('Données projet'!$B$12,Paramètres!$A$1:$I$89,3,0)*VLOOKUP('Données projet'!$B$12,Paramètres!$A$1:$I$89,5,0)</f>
        <v>84.533280000000019</v>
      </c>
      <c r="CA45" s="13">
        <f t="shared" si="39"/>
        <v>23.242014012893971</v>
      </c>
      <c r="CB45" s="20">
        <f t="shared" si="10"/>
        <v>187.70863707245704</v>
      </c>
      <c r="CC45" s="59">
        <f t="shared" si="11"/>
        <v>481.04197040579038</v>
      </c>
      <c r="CD45" s="59">
        <f ca="1">AVERAGE(OFFSET($CC$3,0,0,'Données projet'!$E$12+1,1))-AVERAGE(OFFSET($H$3,0,0,'Données projet'!$E$12+1,1))</f>
        <v>154.93882427988234</v>
      </c>
      <c r="CE45" s="59">
        <f t="shared" si="40"/>
        <v>56.347130462109817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>
        <f>EXP(-LN(2)/35)*CK44+(1-EXP(-LN(2)/35))/(LN(2)/35)*CG45*CH45*VLOOKUP('Données projet'!$B$12,Paramètres!$A$1:$I$89,3,0)*0.475*44/12</f>
        <v>0</v>
      </c>
      <c r="CL45" s="21">
        <f>EXP(-LN(2)/25)*CL44+(1-EXP(-LN(2)/25))/(LN(2)/25)*Calculateur!CG45*Calculateur!CI45*VLOOKUP('Données projet'!$B$12,Paramètres!$A$1:$I$89,3,0)*0.475*44/12</f>
        <v>0</v>
      </c>
      <c r="CM45" s="21">
        <f>EXP(-LN(2)/2)*CM44+(1-EXP(-LN(2)/2))/(LN(2)/2)*CG45*CJ45*VLOOKUP('Données projet'!$B$12,Paramètres!$A$1:$I$89,3,0)*0.475*44/12</f>
        <v>0</v>
      </c>
      <c r="CN45" s="22">
        <f t="shared" si="12"/>
        <v>0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38.235600000000005</v>
      </c>
      <c r="D46" s="11">
        <f t="shared" si="32"/>
        <v>11.529771748983352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384.15374683425745</v>
      </c>
      <c r="H46" s="67">
        <f t="shared" si="1"/>
        <v>380.00802246281268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5.833333333333333</v>
      </c>
      <c r="N46" s="13">
        <f>IF('Données projet'!$A$36&gt;35,N45+M46-V45,IF(A46&lt;'Données projet'!$A$36,$K$205^A46,IF(A46='Données projet'!$A$36,'Données projet'!$B$36,N45+M46-V45)))</f>
        <v>155.49999999999997</v>
      </c>
      <c r="O46" s="13">
        <f>N46*VLOOKUP('Données projet'!$B$9,Paramètres!$A$1:$I$89,3,0)*VLOOKUP('Données projet'!$B$9,Paramètres!$A$1:$I$89,5,0)</f>
        <v>92.98899999999999</v>
      </c>
      <c r="P46" s="13">
        <f t="shared" si="33"/>
        <v>25.284723373727243</v>
      </c>
      <c r="Q46" s="20">
        <f t="shared" si="53"/>
        <v>205.99340154257493</v>
      </c>
      <c r="R46" s="59">
        <f t="shared" si="0"/>
        <v>499.32673487590824</v>
      </c>
      <c r="S46" s="59">
        <f ca="1">AVERAGE(OFFSET($R$3,0,0,'Données projet'!$E$9+1,1))-AVERAGE(OFFSET($H$3,0,0,'Données projet'!$E$9+1,1))</f>
        <v>72.647148358003676</v>
      </c>
      <c r="T46" s="59">
        <f t="shared" si="34"/>
        <v>87.231299224620898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0.98364881444445029</v>
      </c>
      <c r="AA46" s="21">
        <f>EXP(-LN(2)/25)*AA45+(1-EXP(-LN(2)/25))/(LN(2)/25)*Calculateur!V46*Calculateur!X46*VLOOKUP('Données projet'!$B$9,Paramètres!$A$1:$I$89,3,0)*0.475*44/12</f>
        <v>3.1598810033945623</v>
      </c>
      <c r="AB46" s="21">
        <f>EXP(-LN(2)/2)*AB45+(1-EXP(-LN(2)/2))/(LN(2)/2)*V46*Y46*VLOOKUP('Données projet'!$B$9,Paramètres!$A$1:$I$89,3,0)*0.475*44/12</f>
        <v>2.5200579859330191E-2</v>
      </c>
      <c r="AC46" s="22">
        <f t="shared" si="3"/>
        <v>4.1687303976983427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6</v>
      </c>
      <c r="AI46" s="13">
        <f>IF('Données projet'!$A$62&gt;35,AI45+AH46-AQ45,IF(A46&lt;'Données projet'!$A$62,$AF$205^A46,IF(A46='Données projet'!$A$62,'Données projet'!$B$62,AI45+AH46-AQ45)))</f>
        <v>149.99999999999997</v>
      </c>
      <c r="AJ46" s="13">
        <f>AI46*VLOOKUP('Données projet'!$B$10,Paramètres!$A$1:$I$89,3,0)*VLOOKUP('Données projet'!$B$10,Paramètres!$A$1:$I$89,5,0)</f>
        <v>121.67999999999998</v>
      </c>
      <c r="AK46" s="13">
        <f t="shared" si="35"/>
        <v>32.066514091456256</v>
      </c>
      <c r="AL46" s="20">
        <f t="shared" si="4"/>
        <v>267.77517870928619</v>
      </c>
      <c r="AM46" s="59">
        <f t="shared" si="5"/>
        <v>561.10851204261951</v>
      </c>
      <c r="AN46" s="59">
        <f ca="1">AVERAGE(OFFSET($AM$3,0,0,'Données projet'!$E$10+1,1))-AVERAGE(OFFSET($H$3,0,0,'Données projet'!$E$10+1,1))</f>
        <v>145.3656871223958</v>
      </c>
      <c r="AO46" s="59">
        <f t="shared" si="36"/>
        <v>180.54762778843178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0</v>
      </c>
      <c r="AV46" s="21">
        <f>EXP(-LN(2)/25)*AV45+(1-EXP(-LN(2)/25))/(LN(2)/25)*Calculateur!AQ46*Calculateur!AS46*VLOOKUP('Données projet'!$B$10,Paramètres!$A$1:$I$89,3,0)*0.475*44/12</f>
        <v>3.8781606996126112</v>
      </c>
      <c r="AW46" s="21">
        <f>EXP(-LN(2)/2)*AW45+(1-EXP(-LN(2)/2))/(LN(2)/2)*AQ46*AT46*VLOOKUP('Données projet'!$B$10,Paramètres!$A$1:$I$89,3,0)*0.475*44/12</f>
        <v>9.0179940631566993E-2</v>
      </c>
      <c r="AX46" s="21">
        <f t="shared" si="6"/>
        <v>3.9683406402441781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5.6</v>
      </c>
      <c r="BD46" s="12">
        <f>IF('Données projet'!$A$88&gt;35,BD45+BC46-BL45,IF(A46&lt;'Données projet'!$A$88,$BA$205^A46,IF(A46='Données projet'!$A$88,'Données projet'!$B$88,BD45+BC46-BL45)))</f>
        <v>95.8</v>
      </c>
      <c r="BE46" s="13">
        <f>BD46*VLOOKUP('Données projet'!$B$11,Paramètres!$A$1:$I$89,3,0)*VLOOKUP('Données projet'!$B$11,Paramètres!$A$1:$I$89,5,0)</f>
        <v>86.679839999999999</v>
      </c>
      <c r="BF46" s="13">
        <f t="shared" si="37"/>
        <v>23.762739053789723</v>
      </c>
      <c r="BG46" s="20">
        <f t="shared" si="7"/>
        <v>192.35415851868379</v>
      </c>
      <c r="BH46" s="59">
        <f t="shared" si="8"/>
        <v>485.6874918520171</v>
      </c>
      <c r="BI46" s="59">
        <f ca="1">AVERAGE(OFFSET($BH$3,0,0,'Données projet'!$E$11+1,1))-AVERAGE(OFFSET($H$3,0,0,'Données projet'!$E$11+1,1))</f>
        <v>138.8931001150624</v>
      </c>
      <c r="BJ46" s="59">
        <f t="shared" si="38"/>
        <v>48.964659354096625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>
        <f>EXP(-LN(2)/35)*BP45+(1-EXP(-LN(2)/35))/(LN(2)/35)*BL46*BM46*VLOOKUP('Données projet'!$B$11,Paramètres!$A$1:$I$89,3,0)*0.475*44/12</f>
        <v>0</v>
      </c>
      <c r="BQ46" s="21">
        <f>EXP(-LN(2)/25)*BQ45+(1-EXP(-LN(2)/25))/(LN(2)/25)*Calculateur!BL46*Calculateur!BN46*VLOOKUP('Données projet'!$B$11,Paramètres!$A$1:$I$89,3,0)*0.475*44/12</f>
        <v>0</v>
      </c>
      <c r="BR46" s="21">
        <f>EXP(-LN(2)/2)*BR45+(1-EXP(-LN(2)/2))/(LN(2)/2)*BL46*BO46*VLOOKUP('Données projet'!$B$11,Paramètres!$A$1:$I$89,3,0)*0.475*44/12</f>
        <v>0</v>
      </c>
      <c r="BS46" s="22">
        <f t="shared" si="9"/>
        <v>0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4.2</v>
      </c>
      <c r="BY46" s="12">
        <f>IF('Données projet'!$A$114&gt;35,BY45+BX46-CG45,IF(A46&lt;'Données projet'!$A$114,$BV$205^A46,IF(A46='Données projet'!$A$114,'Données projet'!$B$114,BY45+BX46-CG45)))</f>
        <v>91.600000000000023</v>
      </c>
      <c r="BZ46" s="13">
        <f>BY46*VLOOKUP('Données projet'!$B$12,Paramètres!$A$1:$I$89,3,0)*VLOOKUP('Données projet'!$B$12,Paramètres!$A$1:$I$89,5,0)</f>
        <v>88.595520000000022</v>
      </c>
      <c r="CA46" s="13">
        <f t="shared" si="39"/>
        <v>24.226188794324088</v>
      </c>
      <c r="CB46" s="20">
        <f t="shared" si="10"/>
        <v>196.49780948344781</v>
      </c>
      <c r="CC46" s="59">
        <f t="shared" si="11"/>
        <v>489.83114281678115</v>
      </c>
      <c r="CD46" s="59">
        <f ca="1">AVERAGE(OFFSET($CC$3,0,0,'Données projet'!$E$12+1,1))-AVERAGE(OFFSET($H$3,0,0,'Données projet'!$E$12+1,1))</f>
        <v>154.93882427988234</v>
      </c>
      <c r="CE46" s="59">
        <f t="shared" si="40"/>
        <v>56.347130462109817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>
        <f>EXP(-LN(2)/35)*CK45+(1-EXP(-LN(2)/35))/(LN(2)/35)*CG46*CH46*VLOOKUP('Données projet'!$B$12,Paramètres!$A$1:$I$89,3,0)*0.475*44/12</f>
        <v>0</v>
      </c>
      <c r="CL46" s="21">
        <f>EXP(-LN(2)/25)*CL45+(1-EXP(-LN(2)/25))/(LN(2)/25)*Calculateur!CG46*Calculateur!CI46*VLOOKUP('Données projet'!$B$12,Paramètres!$A$1:$I$89,3,0)*0.475*44/12</f>
        <v>0</v>
      </c>
      <c r="CM46" s="21">
        <f>EXP(-LN(2)/2)*CM45+(1-EXP(-LN(2)/2))/(LN(2)/2)*CG46*CJ46*VLOOKUP('Données projet'!$B$12,Paramètres!$A$1:$I$89,3,0)*0.475*44/12</f>
        <v>0</v>
      </c>
      <c r="CN46" s="22">
        <f t="shared" si="12"/>
        <v>0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39.124800000000008</v>
      </c>
      <c r="D47" s="11">
        <f t="shared" si="32"/>
        <v>11.766377220171686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392.84417503290433</v>
      </c>
      <c r="H47" s="67">
        <f t="shared" si="1"/>
        <v>381.96880032513235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 t="e">
        <f>VLOOKUP(A47,'Données projet'!$A$35:$I$55,2,0)</f>
        <v>#N/A</v>
      </c>
      <c r="L47" s="12" t="e">
        <f>VLOOKUP(A47,'Données projet'!$A$35:$I$55,9,0)</f>
        <v>#N/A</v>
      </c>
      <c r="M47" s="12">
        <f t="array" ref="M47">INDEX(L:L,MIN(IF(ISNUMBER(L47:L243),ROW(L47:L243),"")))</f>
        <v>5.833333333333333</v>
      </c>
      <c r="N47" s="13">
        <f>IF('Données projet'!$A$36&gt;35,N46+M47-V46,IF(A47&lt;'Données projet'!$A$36,$K$205^A47,IF(A47='Données projet'!$A$36,'Données projet'!$B$36,N46+M47-V46)))</f>
        <v>161.33333333333331</v>
      </c>
      <c r="O47" s="13">
        <f>N47*VLOOKUP('Données projet'!$B$9,Paramètres!$A$1:$I$89,3,0)*VLOOKUP('Données projet'!$B$9,Paramètres!$A$1:$I$89,5,0)</f>
        <v>96.47733333333332</v>
      </c>
      <c r="P47" s="13">
        <f t="shared" si="33"/>
        <v>26.121027230510151</v>
      </c>
      <c r="Q47" s="20">
        <f t="shared" si="53"/>
        <v>213.52547798202738</v>
      </c>
      <c r="R47" s="59">
        <f t="shared" si="0"/>
        <v>506.8588113153607</v>
      </c>
      <c r="S47" s="59">
        <f ca="1">AVERAGE(OFFSET($R$3,0,0,'Données projet'!$E$9+1,1))-AVERAGE(OFFSET($H$3,0,0,'Données projet'!$E$9+1,1))</f>
        <v>72.647148358003676</v>
      </c>
      <c r="T47" s="59">
        <f t="shared" si="34"/>
        <v>87.231299224620898</v>
      </c>
      <c r="U47" s="15">
        <f>IF(ISNA(VLOOKUP(A47,'Données projet'!$A$35:$I$55,3,0)),0,VLOOKUP(A47,'Données projet'!$A$35:$I$55,3,0))</f>
        <v>0</v>
      </c>
      <c r="V47" s="15">
        <f>IF(ISNA(VLOOKUP(A47,'Données projet'!$A$35:$I$55,4,0)),0,VLOOKUP(A47,'Données projet'!$A$35:$I$55,4,0))</f>
        <v>0</v>
      </c>
      <c r="W47" s="16">
        <f>IF(ISNA(VLOOKUP(A47,'Données projet'!$A$35:$I$55,5,0)),0%,VLOOKUP(A47,'Données projet'!$A$35:$I$55,5,0)*VLOOKUP('Données projet'!$B$9,Paramètres!$A$1:$I$89,7,0))</f>
        <v>0</v>
      </c>
      <c r="X47" s="16">
        <f>IF(ISNA(VLOOKUP(A47,'Données projet'!$A$35:$I$55,6,0)),0%,VLOOKUP(A47,'Données projet'!$A$35:$I$55,6,0)*VLOOKUP('Données projet'!$B$9,Paramètres!$A$1:$I$89,7,0))</f>
        <v>0</v>
      </c>
      <c r="Y47" s="16">
        <f>IF(ISNA(VLOOKUP(A47,'Données projet'!$A$35:$I$55,7,0)),0%,VLOOKUP(A47,'Données projet'!$A$35:$I$55,7,0))</f>
        <v>0</v>
      </c>
      <c r="Z47" s="21">
        <f>EXP(-LN(2)/35)*Z46+(1-EXP(-LN(2)/35))/(LN(2)/35)*V47*W47*VLOOKUP('Données projet'!$B$9,Paramètres!$A$1:$I$89,3,0)*0.475*44/12</f>
        <v>0.96436006115972961</v>
      </c>
      <c r="AA47" s="21">
        <f>EXP(-LN(2)/25)*AA46+(1-EXP(-LN(2)/25))/(LN(2)/25)*Calculateur!V47*Calculateur!X47*VLOOKUP('Données projet'!$B$9,Paramètres!$A$1:$I$89,3,0)*0.475*44/12</f>
        <v>3.0734738911858179</v>
      </c>
      <c r="AB47" s="21">
        <f>EXP(-LN(2)/2)*AB46+(1-EXP(-LN(2)/2))/(LN(2)/2)*V47*Y47*VLOOKUP('Données projet'!$B$9,Paramètres!$A$1:$I$89,3,0)*0.475*44/12</f>
        <v>1.781950090836551E-2</v>
      </c>
      <c r="AC47" s="22">
        <f t="shared" si="3"/>
        <v>4.055653453253913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6</v>
      </c>
      <c r="AI47" s="13">
        <f>IF('Données projet'!$A$62&gt;35,AI46+AH47-AQ46,IF(A47&lt;'Données projet'!$A$62,$AF$205^A47,IF(A47='Données projet'!$A$62,'Données projet'!$B$62,AI46+AH47-AQ46)))</f>
        <v>155.99999999999997</v>
      </c>
      <c r="AJ47" s="13">
        <f>AI47*VLOOKUP('Données projet'!$B$10,Paramètres!$A$1:$I$89,3,0)*VLOOKUP('Données projet'!$B$10,Paramètres!$A$1:$I$89,5,0)</f>
        <v>126.54719999999999</v>
      </c>
      <c r="AK47" s="13">
        <f t="shared" si="35"/>
        <v>33.19727296936243</v>
      </c>
      <c r="AL47" s="20">
        <f t="shared" si="4"/>
        <v>278.22162375497288</v>
      </c>
      <c r="AM47" s="59">
        <f t="shared" si="5"/>
        <v>571.5549570883062</v>
      </c>
      <c r="AN47" s="59">
        <f ca="1">AVERAGE(OFFSET($AM$3,0,0,'Données projet'!$E$10+1,1))-AVERAGE(OFFSET($H$3,0,0,'Données projet'!$E$10+1,1))</f>
        <v>145.3656871223958</v>
      </c>
      <c r="AO47" s="59">
        <f t="shared" si="36"/>
        <v>180.54762778843178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0</v>
      </c>
      <c r="AV47" s="21">
        <f>EXP(-LN(2)/25)*AV46+(1-EXP(-LN(2)/25))/(LN(2)/25)*Calculateur!AQ47*Calculateur!AS47*VLOOKUP('Données projet'!$B$10,Paramètres!$A$1:$I$89,3,0)*0.475*44/12</f>
        <v>3.7721121913380968</v>
      </c>
      <c r="AW47" s="21">
        <f>EXP(-LN(2)/2)*AW46+(1-EXP(-LN(2)/2))/(LN(2)/2)*AQ47*AT47*VLOOKUP('Données projet'!$B$10,Paramètres!$A$1:$I$89,3,0)*0.475*44/12</f>
        <v>6.3766847547581287E-2</v>
      </c>
      <c r="AX47" s="21">
        <f t="shared" si="6"/>
        <v>3.835879038885678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5.6</v>
      </c>
      <c r="BD47" s="12">
        <f>IF('Données projet'!$A$88&gt;35,BD46+BC47-BL46,IF(A47&lt;'Données projet'!$A$88,$BA$205^A47,IF(A47='Données projet'!$A$88,'Données projet'!$B$88,BD46+BC47-BL46)))</f>
        <v>101.39999999999999</v>
      </c>
      <c r="BE47" s="13">
        <f>BD47*VLOOKUP('Données projet'!$B$11,Paramètres!$A$1:$I$89,3,0)*VLOOKUP('Données projet'!$B$11,Paramètres!$A$1:$I$89,5,0)</f>
        <v>91.746719999999982</v>
      </c>
      <c r="BF47" s="13">
        <f t="shared" si="37"/>
        <v>24.986019358738364</v>
      </c>
      <c r="BG47" s="20">
        <f t="shared" si="7"/>
        <v>203.30952104980258</v>
      </c>
      <c r="BH47" s="59">
        <f t="shared" si="8"/>
        <v>496.6428543831359</v>
      </c>
      <c r="BI47" s="59">
        <f ca="1">AVERAGE(OFFSET($BH$3,0,0,'Données projet'!$E$11+1,1))-AVERAGE(OFFSET($H$3,0,0,'Données projet'!$E$11+1,1))</f>
        <v>138.8931001150624</v>
      </c>
      <c r="BJ47" s="59">
        <f t="shared" si="38"/>
        <v>48.964659354096625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>
        <f>EXP(-LN(2)/35)*BP46+(1-EXP(-LN(2)/35))/(LN(2)/35)*BL47*BM47*VLOOKUP('Données projet'!$B$11,Paramètres!$A$1:$I$89,3,0)*0.475*44/12</f>
        <v>0</v>
      </c>
      <c r="BQ47" s="21">
        <f>EXP(-LN(2)/25)*BQ46+(1-EXP(-LN(2)/25))/(LN(2)/25)*Calculateur!BL47*Calculateur!BN47*VLOOKUP('Données projet'!$B$11,Paramètres!$A$1:$I$89,3,0)*0.475*44/12</f>
        <v>0</v>
      </c>
      <c r="BR47" s="21">
        <f>EXP(-LN(2)/2)*BR46+(1-EXP(-LN(2)/2))/(LN(2)/2)*BL47*BO47*VLOOKUP('Données projet'!$B$11,Paramètres!$A$1:$I$89,3,0)*0.475*44/12</f>
        <v>0</v>
      </c>
      <c r="BS47" s="22">
        <f t="shared" si="9"/>
        <v>0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4.2</v>
      </c>
      <c r="BY47" s="12">
        <f>IF('Données projet'!$A$114&gt;35,BY46+BX47-CG46,IF(A47&lt;'Données projet'!$A$114,$BV$205^A47,IF(A47='Données projet'!$A$114,'Données projet'!$B$114,BY46+BX47-CG46)))</f>
        <v>95.800000000000026</v>
      </c>
      <c r="BZ47" s="13">
        <f>BY47*VLOOKUP('Données projet'!$B$12,Paramètres!$A$1:$I$89,3,0)*VLOOKUP('Données projet'!$B$12,Paramètres!$A$1:$I$89,5,0)</f>
        <v>92.657760000000025</v>
      </c>
      <c r="CA47" s="13">
        <f t="shared" si="39"/>
        <v>25.205122972074633</v>
      </c>
      <c r="CB47" s="20">
        <f t="shared" si="10"/>
        <v>205.27785450969668</v>
      </c>
      <c r="CC47" s="59">
        <f t="shared" si="11"/>
        <v>498.61118784303</v>
      </c>
      <c r="CD47" s="59">
        <f ca="1">AVERAGE(OFFSET($CC$3,0,0,'Données projet'!$E$12+1,1))-AVERAGE(OFFSET($H$3,0,0,'Données projet'!$E$12+1,1))</f>
        <v>154.93882427988234</v>
      </c>
      <c r="CE47" s="59">
        <f t="shared" si="40"/>
        <v>56.347130462109817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>
        <f>EXP(-LN(2)/35)*CK46+(1-EXP(-LN(2)/35))/(LN(2)/35)*CG47*CH47*VLOOKUP('Données projet'!$B$12,Paramètres!$A$1:$I$89,3,0)*0.475*44/12</f>
        <v>0</v>
      </c>
      <c r="CL47" s="21">
        <f>EXP(-LN(2)/25)*CL46+(1-EXP(-LN(2)/25))/(LN(2)/25)*Calculateur!CG47*Calculateur!CI47*VLOOKUP('Données projet'!$B$12,Paramètres!$A$1:$I$89,3,0)*0.475*44/12</f>
        <v>0</v>
      </c>
      <c r="CM47" s="21">
        <f>EXP(-LN(2)/2)*CM46+(1-EXP(-LN(2)/2))/(LN(2)/2)*CG47*CJ47*VLOOKUP('Données projet'!$B$12,Paramètres!$A$1:$I$89,3,0)*0.475*44/12</f>
        <v>0</v>
      </c>
      <c r="CN47" s="22">
        <f t="shared" si="12"/>
        <v>0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40.01400000000001</v>
      </c>
      <c r="D48" s="11">
        <f t="shared" si="32"/>
        <v>12.002357532661732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401.52977744510821</v>
      </c>
      <c r="H48" s="67">
        <f t="shared" si="1"/>
        <v>383.92848936938583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5.833333333333333</v>
      </c>
      <c r="N48" s="13">
        <f>IF('Données projet'!$A$36&gt;35,N47+M48-V47,IF(A48&lt;'Données projet'!$A$36,$K$205^A48,IF(A48='Données projet'!$A$36,'Données projet'!$B$36,N47+M48-V47)))</f>
        <v>167.16666666666666</v>
      </c>
      <c r="O48" s="13">
        <f>N48*VLOOKUP('Données projet'!$B$9,Paramètres!$A$1:$I$89,3,0)*VLOOKUP('Données projet'!$B$9,Paramètres!$A$1:$I$89,5,0)</f>
        <v>99.965666666666664</v>
      </c>
      <c r="P48" s="13">
        <f t="shared" si="33"/>
        <v>26.953817941666887</v>
      </c>
      <c r="Q48" s="20">
        <f t="shared" si="53"/>
        <v>221.05143569284758</v>
      </c>
      <c r="R48" s="59">
        <f t="shared" si="0"/>
        <v>514.38476902618095</v>
      </c>
      <c r="S48" s="59">
        <f ca="1">AVERAGE(OFFSET($R$3,0,0,'Données projet'!$E$9+1,1))-AVERAGE(OFFSET($H$3,0,0,'Données projet'!$E$9+1,1))</f>
        <v>72.647148358003676</v>
      </c>
      <c r="T48" s="59">
        <f t="shared" si="34"/>
        <v>87.231299224620898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0.94544954856194452</v>
      </c>
      <c r="AA48" s="21">
        <f>EXP(-LN(2)/25)*AA47+(1-EXP(-LN(2)/25))/(LN(2)/25)*Calculateur!V48*Calculateur!X48*VLOOKUP('Données projet'!$B$9,Paramètres!$A$1:$I$89,3,0)*0.475*44/12</f>
        <v>2.9894295860043743</v>
      </c>
      <c r="AB48" s="21">
        <f>EXP(-LN(2)/2)*AB47+(1-EXP(-LN(2)/2))/(LN(2)/2)*V48*Y48*VLOOKUP('Données projet'!$B$9,Paramètres!$A$1:$I$89,3,0)*0.475*44/12</f>
        <v>1.2600289929665096E-2</v>
      </c>
      <c r="AC48" s="22">
        <f t="shared" si="3"/>
        <v>3.9474794244959837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 t="e">
        <f>VLOOKUP(A48,'Données projet'!$A$61:$I$81,2,0)</f>
        <v>#N/A</v>
      </c>
      <c r="AG48" s="12" t="e">
        <f>VLOOKUP(A48,'Données projet'!$A$61:$I$81,9,0)</f>
        <v>#N/A</v>
      </c>
      <c r="AH48" s="12">
        <f t="array" ref="AH48">INDEX(AG:AG,MIN(IF(ISNUMBER(AG48:AG244),ROW(AG48:AG244),"")))</f>
        <v>6</v>
      </c>
      <c r="AI48" s="13">
        <f>IF('Données projet'!$A$62&gt;35,AI47+AH48-AQ47,IF(A48&lt;'Données projet'!$A$62,$AF$205^A48,IF(A48='Données projet'!$A$62,'Données projet'!$B$62,AI47+AH48-AQ47)))</f>
        <v>161.99999999999997</v>
      </c>
      <c r="AJ48" s="13">
        <f>AI48*VLOOKUP('Données projet'!$B$10,Paramètres!$A$1:$I$89,3,0)*VLOOKUP('Données projet'!$B$10,Paramètres!$A$1:$I$89,5,0)</f>
        <v>131.4144</v>
      </c>
      <c r="AK48" s="13">
        <f t="shared" si="35"/>
        <v>34.32297952601067</v>
      </c>
      <c r="AL48" s="20">
        <f t="shared" si="4"/>
        <v>288.6592693411352</v>
      </c>
      <c r="AM48" s="59">
        <f t="shared" si="5"/>
        <v>581.99260267446857</v>
      </c>
      <c r="AN48" s="59">
        <f ca="1">AVERAGE(OFFSET($AM$3,0,0,'Données projet'!$E$10+1,1))-AVERAGE(OFFSET($H$3,0,0,'Données projet'!$E$10+1,1))</f>
        <v>145.3656871223958</v>
      </c>
      <c r="AO48" s="59">
        <f t="shared" si="36"/>
        <v>180.54762778843178</v>
      </c>
      <c r="AP48" s="15">
        <f>IF(ISNA(VLOOKUP(A48,'Données projet'!$A$61:$I$81,3,0)),0,VLOOKUP(A48,'Données projet'!$A$61:$I$81,3,0))</f>
        <v>0</v>
      </c>
      <c r="AQ48" s="15">
        <f>IF(ISNA(VLOOKUP(A48,'Données projet'!$A$61:$I$81,4,0)),0,VLOOKUP(A48,'Données projet'!$A$61:$I$81,4,0))</f>
        <v>0</v>
      </c>
      <c r="AR48" s="16">
        <f>IF(ISNA(VLOOKUP(A48,'Données projet'!$A$61:$I$81,5,0)),0%,VLOOKUP(A48,'Données projet'!$A$61:$I$81,5,0)*VLOOKUP('Données projet'!$B$10,Paramètres!$A$1:$I$89,7,0))</f>
        <v>0</v>
      </c>
      <c r="AS48" s="16">
        <f>IF(ISNA(VLOOKUP(A48,'Données projet'!$A$61:$I$81,6,0)),0%,VLOOKUP(A48,'Données projet'!$A$61:$I$81,6,0)*VLOOKUP('Données projet'!$B$10,Paramètres!$A$1:$I$89,7,0))</f>
        <v>0</v>
      </c>
      <c r="AT48" s="16">
        <f>IF(ISNA(VLOOKUP(A48,'Données projet'!$A$61:$I$81,7,0)),0%,VLOOKUP(A48,'Données projet'!$A$61:$I$81,7,0))</f>
        <v>0</v>
      </c>
      <c r="AU48" s="21">
        <f>EXP(-LN(2)/35)*AU47+(1-EXP(-LN(2)/35))/(LN(2)/35)*AQ48*AR48*VLOOKUP('Données projet'!$B$10,Paramètres!$A$1:$I$89,3,0)*0.475*44/12</f>
        <v>0</v>
      </c>
      <c r="AV48" s="21">
        <f>EXP(-LN(2)/25)*AV47+(1-EXP(-LN(2)/25))/(LN(2)/25)*Calculateur!AQ48*Calculateur!AS48*VLOOKUP('Données projet'!$B$10,Paramètres!$A$1:$I$89,3,0)*0.475*44/12</f>
        <v>3.6689635850991977</v>
      </c>
      <c r="AW48" s="21">
        <f>EXP(-LN(2)/2)*AW47+(1-EXP(-LN(2)/2))/(LN(2)/2)*AQ48*AT48*VLOOKUP('Données projet'!$B$10,Paramètres!$A$1:$I$89,3,0)*0.475*44/12</f>
        <v>4.5089970315783497E-2</v>
      </c>
      <c r="AX48" s="21">
        <f t="shared" si="6"/>
        <v>3.7140535554149814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5.6</v>
      </c>
      <c r="BD48" s="12">
        <f>IF('Données projet'!$A$88&gt;35,BD47+BC48-BL47,IF(A48&lt;'Données projet'!$A$88,$BA$205^A48,IF(A48='Données projet'!$A$88,'Données projet'!$B$88,BD47+BC48-BL47)))</f>
        <v>106.99999999999999</v>
      </c>
      <c r="BE48" s="13">
        <f>BD48*VLOOKUP('Données projet'!$B$11,Paramètres!$A$1:$I$89,3,0)*VLOOKUP('Données projet'!$B$11,Paramètres!$A$1:$I$89,5,0)</f>
        <v>96.81359999999998</v>
      </c>
      <c r="BF48" s="13">
        <f t="shared" si="37"/>
        <v>26.201456938925315</v>
      </c>
      <c r="BG48" s="20">
        <f t="shared" si="7"/>
        <v>214.25122416862823</v>
      </c>
      <c r="BH48" s="59">
        <f t="shared" si="8"/>
        <v>507.58455750196151</v>
      </c>
      <c r="BI48" s="59">
        <f ca="1">AVERAGE(OFFSET($BH$3,0,0,'Données projet'!$E$11+1,1))-AVERAGE(OFFSET($H$3,0,0,'Données projet'!$E$11+1,1))</f>
        <v>138.8931001150624</v>
      </c>
      <c r="BJ48" s="59">
        <f t="shared" si="38"/>
        <v>48.964659354096625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>
        <f>EXP(-LN(2)/35)*BP47+(1-EXP(-LN(2)/35))/(LN(2)/35)*BL48*BM48*VLOOKUP('Données projet'!$B$11,Paramètres!$A$1:$I$89,3,0)*0.475*44/12</f>
        <v>0</v>
      </c>
      <c r="BQ48" s="21">
        <f>EXP(-LN(2)/25)*BQ47+(1-EXP(-LN(2)/25))/(LN(2)/25)*Calculateur!BL48*Calculateur!BN48*VLOOKUP('Données projet'!$B$11,Paramètres!$A$1:$I$89,3,0)*0.475*44/12</f>
        <v>0</v>
      </c>
      <c r="BR48" s="21">
        <f>EXP(-LN(2)/2)*BR47+(1-EXP(-LN(2)/2))/(LN(2)/2)*BL48*BO48*VLOOKUP('Données projet'!$B$11,Paramètres!$A$1:$I$89,3,0)*0.475*44/12</f>
        <v>0</v>
      </c>
      <c r="BS48" s="22">
        <f t="shared" si="9"/>
        <v>0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4.2</v>
      </c>
      <c r="BY48" s="12">
        <f>IF('Données projet'!$A$114&gt;35,BY47+BX48-CG47,IF(A48&lt;'Données projet'!$A$114,$BV$205^A48,IF(A48='Données projet'!$A$114,'Données projet'!$B$114,BY47+BX48-CG47)))</f>
        <v>100.00000000000003</v>
      </c>
      <c r="BZ48" s="13">
        <f>BY48*VLOOKUP('Données projet'!$B$12,Paramètres!$A$1:$I$89,3,0)*VLOOKUP('Données projet'!$B$12,Paramètres!$A$1:$I$89,5,0)</f>
        <v>96.720000000000027</v>
      </c>
      <c r="CA48" s="13">
        <f t="shared" si="39"/>
        <v>26.179072558792161</v>
      </c>
      <c r="CB48" s="20">
        <f t="shared" si="10"/>
        <v>214.04921803989637</v>
      </c>
      <c r="CC48" s="59">
        <f t="shared" si="11"/>
        <v>507.38255137322972</v>
      </c>
      <c r="CD48" s="59">
        <f ca="1">AVERAGE(OFFSET($CC$3,0,0,'Données projet'!$E$12+1,1))-AVERAGE(OFFSET($H$3,0,0,'Données projet'!$E$12+1,1))</f>
        <v>154.93882427988234</v>
      </c>
      <c r="CE48" s="59">
        <f t="shared" si="40"/>
        <v>56.347130462109817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>
        <f>EXP(-LN(2)/35)*CK47+(1-EXP(-LN(2)/35))/(LN(2)/35)*CG48*CH48*VLOOKUP('Données projet'!$B$12,Paramètres!$A$1:$I$89,3,0)*0.475*44/12</f>
        <v>0</v>
      </c>
      <c r="CL48" s="21">
        <f>EXP(-LN(2)/25)*CL47+(1-EXP(-LN(2)/25))/(LN(2)/25)*Calculateur!CG48*Calculateur!CI48*VLOOKUP('Données projet'!$B$12,Paramètres!$A$1:$I$89,3,0)*0.475*44/12</f>
        <v>0</v>
      </c>
      <c r="CM48" s="21">
        <f>EXP(-LN(2)/2)*CM47+(1-EXP(-LN(2)/2))/(LN(2)/2)*CG48*CJ48*VLOOKUP('Données projet'!$B$12,Paramètres!$A$1:$I$89,3,0)*0.475*44/12</f>
        <v>0</v>
      </c>
      <c r="CN48" s="22">
        <f t="shared" si="12"/>
        <v>0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40.903200000000012</v>
      </c>
      <c r="D49" s="11">
        <f t="shared" si="32"/>
        <v>12.237728178480605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410.21067365844692</v>
      </c>
      <c r="H49" s="67">
        <f t="shared" si="1"/>
        <v>385.88711657752037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>
        <f>VLOOKUP(A49,'Données projet'!$A$35:$I$55,2,0)</f>
        <v>173</v>
      </c>
      <c r="L49" s="12">
        <f>VLOOKUP(A49,'Données projet'!$A$35:$I$55,9,0)</f>
        <v>5.833333333333333</v>
      </c>
      <c r="M49" s="12">
        <f t="array" ref="M49">INDEX(L:L,MIN(IF(ISNUMBER(L49:L245),ROW(L49:L245),"")))</f>
        <v>5.833333333333333</v>
      </c>
      <c r="N49" s="13">
        <f>IF('Données projet'!$A$36&gt;35,N48+M49-V48,IF(A49&lt;'Données projet'!$A$36,$K$205^A49,IF(A49='Données projet'!$A$36,'Données projet'!$B$36,N48+M49-V48)))</f>
        <v>173</v>
      </c>
      <c r="O49" s="13">
        <f>N49*VLOOKUP('Données projet'!$B$9,Paramètres!$A$1:$I$89,3,0)*VLOOKUP('Données projet'!$B$9,Paramètres!$A$1:$I$89,5,0)</f>
        <v>103.45400000000001</v>
      </c>
      <c r="P49" s="13">
        <f t="shared" si="33"/>
        <v>27.783232148054164</v>
      </c>
      <c r="Q49" s="20">
        <f t="shared" si="53"/>
        <v>228.57151265786101</v>
      </c>
      <c r="R49" s="59">
        <f t="shared" si="0"/>
        <v>521.90484599119429</v>
      </c>
      <c r="S49" s="59">
        <f ca="1">AVERAGE(OFFSET($R$3,0,0,'Données projet'!$E$9+1,1))-AVERAGE(OFFSET($H$3,0,0,'Données projet'!$E$9+1,1))</f>
        <v>72.647148358003676</v>
      </c>
      <c r="T49" s="59">
        <f t="shared" si="34"/>
        <v>87.231299224620898</v>
      </c>
      <c r="U49" s="15">
        <f>IF(ISNA(VLOOKUP(A49,'Données projet'!$A$35:$I$55,3,0)),0,VLOOKUP(A49,'Données projet'!$A$35:$I$55,3,0))</f>
        <v>7</v>
      </c>
      <c r="V49" s="15">
        <f>IF(ISNA(VLOOKUP(A49,'Données projet'!$A$35:$I$55,4,0)),0,VLOOKUP(A49,'Données projet'!$A$35:$I$55,4,0))</f>
        <v>19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0.92690985958192829</v>
      </c>
      <c r="AA49" s="21">
        <f>EXP(-LN(2)/25)*AA48+(1-EXP(-LN(2)/25))/(LN(2)/25)*Calculateur!V49*Calculateur!X49*VLOOKUP('Données projet'!$B$9,Paramètres!$A$1:$I$89,3,0)*0.475*44/12</f>
        <v>2.907683476767815</v>
      </c>
      <c r="AB49" s="21">
        <f>EXP(-LN(2)/2)*AB48+(1-EXP(-LN(2)/2))/(LN(2)/2)*V49*Y49*VLOOKUP('Données projet'!$B$9,Paramètres!$A$1:$I$89,3,0)*0.475*44/12</f>
        <v>8.9097504541827549E-3</v>
      </c>
      <c r="AC49" s="22">
        <f t="shared" si="3"/>
        <v>3.8435030868039264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6</v>
      </c>
      <c r="AI49" s="13">
        <f>IF('Données projet'!$A$62&gt;35,AI48+AH49-AQ48,IF(A49&lt;'Données projet'!$A$62,$AF$205^A49,IF(A49='Données projet'!$A$62,'Données projet'!$B$62,AI48+AH49-AQ48)))</f>
        <v>167.99999999999997</v>
      </c>
      <c r="AJ49" s="13">
        <f>AI49*VLOOKUP('Données projet'!$B$10,Paramètres!$A$1:$I$89,3,0)*VLOOKUP('Données projet'!$B$10,Paramètres!$A$1:$I$89,5,0)</f>
        <v>136.28159999999997</v>
      </c>
      <c r="AK49" s="13">
        <f t="shared" si="35"/>
        <v>35.443842312892279</v>
      </c>
      <c r="AL49" s="20">
        <f t="shared" si="4"/>
        <v>299.08847869495401</v>
      </c>
      <c r="AM49" s="59">
        <f t="shared" si="5"/>
        <v>592.42181202828738</v>
      </c>
      <c r="AN49" s="59">
        <f ca="1">AVERAGE(OFFSET($AM$3,0,0,'Données projet'!$E$10+1,1))-AVERAGE(OFFSET($H$3,0,0,'Données projet'!$E$10+1,1))</f>
        <v>145.3656871223958</v>
      </c>
      <c r="AO49" s="59">
        <f t="shared" si="36"/>
        <v>180.54762778843178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0</v>
      </c>
      <c r="AV49" s="21">
        <f>EXP(-LN(2)/25)*AV48+(1-EXP(-LN(2)/25))/(LN(2)/25)*Calculateur!AQ49*Calculateur!AS49*VLOOKUP('Données projet'!$B$10,Paramètres!$A$1:$I$89,3,0)*0.475*44/12</f>
        <v>3.5686355829222509</v>
      </c>
      <c r="AW49" s="21">
        <f>EXP(-LN(2)/2)*AW48+(1-EXP(-LN(2)/2))/(LN(2)/2)*AQ49*AT49*VLOOKUP('Données projet'!$B$10,Paramètres!$A$1:$I$89,3,0)*0.475*44/12</f>
        <v>3.1883423773790644E-2</v>
      </c>
      <c r="AX49" s="21">
        <f t="shared" si="6"/>
        <v>3.6005190066960417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5.6</v>
      </c>
      <c r="BD49" s="12">
        <f>IF('Données projet'!$A$88&gt;35,BD48+BC49-BL48,IF(A49&lt;'Données projet'!$A$88,$BA$205^A49,IF(A49='Données projet'!$A$88,'Données projet'!$B$88,BD48+BC49-BL48)))</f>
        <v>112.59999999999998</v>
      </c>
      <c r="BE49" s="13">
        <f>BD49*VLOOKUP('Données projet'!$B$11,Paramètres!$A$1:$I$89,3,0)*VLOOKUP('Données projet'!$B$11,Paramètres!$A$1:$I$89,5,0)</f>
        <v>101.88047999999996</v>
      </c>
      <c r="BF49" s="13">
        <f t="shared" si="37"/>
        <v>27.409509067425631</v>
      </c>
      <c r="BG49" s="20">
        <f t="shared" si="7"/>
        <v>225.18006429243292</v>
      </c>
      <c r="BH49" s="59">
        <f t="shared" si="8"/>
        <v>518.51339762576617</v>
      </c>
      <c r="BI49" s="59">
        <f ca="1">AVERAGE(OFFSET($BH$3,0,0,'Données projet'!$E$11+1,1))-AVERAGE(OFFSET($H$3,0,0,'Données projet'!$E$11+1,1))</f>
        <v>138.8931001150624</v>
      </c>
      <c r="BJ49" s="59">
        <f t="shared" si="38"/>
        <v>48.964659354096625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>
        <f>EXP(-LN(2)/35)*BP48+(1-EXP(-LN(2)/35))/(LN(2)/35)*BL49*BM49*VLOOKUP('Données projet'!$B$11,Paramètres!$A$1:$I$89,3,0)*0.475*44/12</f>
        <v>0</v>
      </c>
      <c r="BQ49" s="21">
        <f>EXP(-LN(2)/25)*BQ48+(1-EXP(-LN(2)/25))/(LN(2)/25)*Calculateur!BL49*Calculateur!BN49*VLOOKUP('Données projet'!$B$11,Paramètres!$A$1:$I$89,3,0)*0.475*44/12</f>
        <v>0</v>
      </c>
      <c r="BR49" s="21">
        <f>EXP(-LN(2)/2)*BR48+(1-EXP(-LN(2)/2))/(LN(2)/2)*BL49*BO49*VLOOKUP('Données projet'!$B$11,Paramètres!$A$1:$I$89,3,0)*0.475*44/12</f>
        <v>0</v>
      </c>
      <c r="BS49" s="22">
        <f t="shared" si="9"/>
        <v>0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4.2</v>
      </c>
      <c r="BY49" s="12">
        <f>IF('Données projet'!$A$114&gt;35,BY48+BX49-CG48,IF(A49&lt;'Données projet'!$A$114,$BV$205^A49,IF(A49='Données projet'!$A$114,'Données projet'!$B$114,BY48+BX49-CG48)))</f>
        <v>104.20000000000003</v>
      </c>
      <c r="BZ49" s="13">
        <f>BY49*VLOOKUP('Données projet'!$B$12,Paramètres!$A$1:$I$89,3,0)*VLOOKUP('Données projet'!$B$12,Paramètres!$A$1:$I$89,5,0)</f>
        <v>100.78224000000003</v>
      </c>
      <c r="CA49" s="13">
        <f t="shared" si="39"/>
        <v>27.148270845500655</v>
      </c>
      <c r="CB49" s="20">
        <f t="shared" si="10"/>
        <v>222.81230638924703</v>
      </c>
      <c r="CC49" s="59">
        <f t="shared" si="11"/>
        <v>516.14563972258031</v>
      </c>
      <c r="CD49" s="59">
        <f ca="1">AVERAGE(OFFSET($CC$3,0,0,'Données projet'!$E$12+1,1))-AVERAGE(OFFSET($H$3,0,0,'Données projet'!$E$12+1,1))</f>
        <v>154.93882427988234</v>
      </c>
      <c r="CE49" s="59">
        <f t="shared" si="40"/>
        <v>56.347130462109817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>
        <f>EXP(-LN(2)/35)*CK48+(1-EXP(-LN(2)/35))/(LN(2)/35)*CG49*CH49*VLOOKUP('Données projet'!$B$12,Paramètres!$A$1:$I$89,3,0)*0.475*44/12</f>
        <v>0</v>
      </c>
      <c r="CL49" s="21">
        <f>EXP(-LN(2)/25)*CL48+(1-EXP(-LN(2)/25))/(LN(2)/25)*Calculateur!CG49*Calculateur!CI49*VLOOKUP('Données projet'!$B$12,Paramètres!$A$1:$I$89,3,0)*0.475*44/12</f>
        <v>0</v>
      </c>
      <c r="CM49" s="21">
        <f>EXP(-LN(2)/2)*CM48+(1-EXP(-LN(2)/2))/(LN(2)/2)*CG49*CJ49*VLOOKUP('Données projet'!$B$12,Paramètres!$A$1:$I$89,3,0)*0.475*44/12</f>
        <v>0</v>
      </c>
      <c r="CN49" s="22">
        <f t="shared" si="12"/>
        <v>0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41.792400000000015</v>
      </c>
      <c r="D50" s="11">
        <f t="shared" si="32"/>
        <v>12.472503937619972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418.88697776408418</v>
      </c>
      <c r="H50" s="67">
        <f t="shared" si="1"/>
        <v>387.84470769135481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3.75</v>
      </c>
      <c r="N50" s="13">
        <f>IF('Données projet'!$A$36&gt;35,N49+M50-V49,IF(A50&lt;'Données projet'!$A$36,$K$205^A50,IF(A50='Données projet'!$A$36,'Données projet'!$B$36,N49+M50-V49)))</f>
        <v>157.75</v>
      </c>
      <c r="O50" s="13">
        <f>N50*VLOOKUP('Données projet'!$B$9,Paramètres!$A$1:$I$89,3,0)*VLOOKUP('Données projet'!$B$9,Paramètres!$A$1:$I$89,5,0)</f>
        <v>94.334500000000006</v>
      </c>
      <c r="P50" s="13">
        <f t="shared" si="33"/>
        <v>25.607723068147099</v>
      </c>
      <c r="Q50" s="20">
        <f t="shared" si="53"/>
        <v>208.89937184368952</v>
      </c>
      <c r="R50" s="59">
        <f t="shared" si="0"/>
        <v>502.23270517702281</v>
      </c>
      <c r="S50" s="59">
        <f ca="1">AVERAGE(OFFSET($R$3,0,0,'Données projet'!$E$9+1,1))-AVERAGE(OFFSET($H$3,0,0,'Données projet'!$E$9+1,1))</f>
        <v>72.647148358003676</v>
      </c>
      <c r="T50" s="59">
        <f t="shared" si="34"/>
        <v>87.231299224620898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0.90873372259471641</v>
      </c>
      <c r="AA50" s="21">
        <f>EXP(-LN(2)/25)*AA49+(1-EXP(-LN(2)/25))/(LN(2)/25)*Calculateur!V50*Calculateur!X50*VLOOKUP('Données projet'!$B$9,Paramètres!$A$1:$I$89,3,0)*0.475*44/12</f>
        <v>2.8281727191871706</v>
      </c>
      <c r="AB50" s="21">
        <f>EXP(-LN(2)/2)*AB49+(1-EXP(-LN(2)/2))/(LN(2)/2)*V50*Y50*VLOOKUP('Données projet'!$B$9,Paramètres!$A$1:$I$89,3,0)*0.475*44/12</f>
        <v>6.3001449648325478E-3</v>
      </c>
      <c r="AC50" s="22">
        <f t="shared" si="3"/>
        <v>3.7432065867467195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6</v>
      </c>
      <c r="AI50" s="13">
        <f>IF('Données projet'!$A$62&gt;35,AI49+AH50-AQ49,IF(A50&lt;'Données projet'!$A$62,$AF$205^A50,IF(A50='Données projet'!$A$62,'Données projet'!$B$62,AI49+AH50-AQ49)))</f>
        <v>173.99999999999997</v>
      </c>
      <c r="AJ50" s="13">
        <f>AI50*VLOOKUP('Données projet'!$B$10,Paramètres!$A$1:$I$89,3,0)*VLOOKUP('Données projet'!$B$10,Paramètres!$A$1:$I$89,5,0)</f>
        <v>141.14879999999999</v>
      </c>
      <c r="AK50" s="13">
        <f t="shared" si="35"/>
        <v>36.560054140504484</v>
      </c>
      <c r="AL50" s="20">
        <f t="shared" si="4"/>
        <v>309.50958762804532</v>
      </c>
      <c r="AM50" s="59">
        <f t="shared" si="5"/>
        <v>602.8429209613787</v>
      </c>
      <c r="AN50" s="59">
        <f ca="1">AVERAGE(OFFSET($AM$3,0,0,'Données projet'!$E$10+1,1))-AVERAGE(OFFSET($H$3,0,0,'Données projet'!$E$10+1,1))</f>
        <v>145.3656871223958</v>
      </c>
      <c r="AO50" s="59">
        <f t="shared" si="36"/>
        <v>180.54762778843178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0</v>
      </c>
      <c r="AV50" s="21">
        <f>EXP(-LN(2)/25)*AV49+(1-EXP(-LN(2)/25))/(LN(2)/25)*Calculateur!AQ50*Calculateur!AS50*VLOOKUP('Données projet'!$B$10,Paramètres!$A$1:$I$89,3,0)*0.475*44/12</f>
        <v>3.4710510552408529</v>
      </c>
      <c r="AW50" s="21">
        <f>EXP(-LN(2)/2)*AW49+(1-EXP(-LN(2)/2))/(LN(2)/2)*AQ50*AT50*VLOOKUP('Données projet'!$B$10,Paramètres!$A$1:$I$89,3,0)*0.475*44/12</f>
        <v>2.2544985157891748E-2</v>
      </c>
      <c r="AX50" s="21">
        <f t="shared" si="6"/>
        <v>3.4935960403987445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5.6</v>
      </c>
      <c r="BD50" s="12">
        <f>IF('Données projet'!$A$88&gt;35,BD49+BC50-BL49,IF(A50&lt;'Données projet'!$A$88,$BA$205^A50,IF(A50='Données projet'!$A$88,'Données projet'!$B$88,BD49+BC50-BL49)))</f>
        <v>118.19999999999997</v>
      </c>
      <c r="BE50" s="13">
        <f>BD50*VLOOKUP('Données projet'!$B$11,Paramètres!$A$1:$I$89,3,0)*VLOOKUP('Données projet'!$B$11,Paramètres!$A$1:$I$89,5,0)</f>
        <v>106.94735999999997</v>
      </c>
      <c r="BF50" s="13">
        <f t="shared" si="37"/>
        <v>28.61058496425451</v>
      </c>
      <c r="BG50" s="20">
        <f t="shared" si="7"/>
        <v>236.09675414607656</v>
      </c>
      <c r="BH50" s="59">
        <f t="shared" si="8"/>
        <v>529.43008747940985</v>
      </c>
      <c r="BI50" s="59">
        <f ca="1">AVERAGE(OFFSET($BH$3,0,0,'Données projet'!$E$11+1,1))-AVERAGE(OFFSET($H$3,0,0,'Données projet'!$E$11+1,1))</f>
        <v>138.8931001150624</v>
      </c>
      <c r="BJ50" s="59">
        <f t="shared" si="38"/>
        <v>48.964659354096625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>
        <f>EXP(-LN(2)/35)*BP49+(1-EXP(-LN(2)/35))/(LN(2)/35)*BL50*BM50*VLOOKUP('Données projet'!$B$11,Paramètres!$A$1:$I$89,3,0)*0.475*44/12</f>
        <v>0</v>
      </c>
      <c r="BQ50" s="21">
        <f>EXP(-LN(2)/25)*BQ49+(1-EXP(-LN(2)/25))/(LN(2)/25)*Calculateur!BL50*Calculateur!BN50*VLOOKUP('Données projet'!$B$11,Paramètres!$A$1:$I$89,3,0)*0.475*44/12</f>
        <v>0</v>
      </c>
      <c r="BR50" s="21">
        <f>EXP(-LN(2)/2)*BR49+(1-EXP(-LN(2)/2))/(LN(2)/2)*BL50*BO50*VLOOKUP('Données projet'!$B$11,Paramètres!$A$1:$I$89,3,0)*0.475*44/12</f>
        <v>0</v>
      </c>
      <c r="BS50" s="22">
        <f t="shared" si="9"/>
        <v>0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4.2</v>
      </c>
      <c r="BY50" s="12">
        <f>IF('Données projet'!$A$114&gt;35,BY49+BX50-CG49,IF(A50&lt;'Données projet'!$A$114,$BV$205^A50,IF(A50='Données projet'!$A$114,'Données projet'!$B$114,BY49+BX50-CG49)))</f>
        <v>108.40000000000003</v>
      </c>
      <c r="BZ50" s="13">
        <f>BY50*VLOOKUP('Données projet'!$B$12,Paramètres!$A$1:$I$89,3,0)*VLOOKUP('Données projet'!$B$12,Paramètres!$A$1:$I$89,5,0)</f>
        <v>104.84448000000005</v>
      </c>
      <c r="CA50" s="13">
        <f t="shared" si="39"/>
        <v>28.112931252241342</v>
      </c>
      <c r="CB50" s="20">
        <f t="shared" si="10"/>
        <v>231.56749126432044</v>
      </c>
      <c r="CC50" s="59">
        <f t="shared" si="11"/>
        <v>524.90082459765381</v>
      </c>
      <c r="CD50" s="59">
        <f ca="1">AVERAGE(OFFSET($CC$3,0,0,'Données projet'!$E$12+1,1))-AVERAGE(OFFSET($H$3,0,0,'Données projet'!$E$12+1,1))</f>
        <v>154.93882427988234</v>
      </c>
      <c r="CE50" s="59">
        <f t="shared" si="40"/>
        <v>56.347130462109817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>
        <f>EXP(-LN(2)/35)*CK49+(1-EXP(-LN(2)/35))/(LN(2)/35)*CG50*CH50*VLOOKUP('Données projet'!$B$12,Paramètres!$A$1:$I$89,3,0)*0.475*44/12</f>
        <v>0</v>
      </c>
      <c r="CL50" s="21">
        <f>EXP(-LN(2)/25)*CL49+(1-EXP(-LN(2)/25))/(LN(2)/25)*Calculateur!CG50*Calculateur!CI50*VLOOKUP('Données projet'!$B$12,Paramètres!$A$1:$I$89,3,0)*0.475*44/12</f>
        <v>0</v>
      </c>
      <c r="CM50" s="21">
        <f>EXP(-LN(2)/2)*CM49+(1-EXP(-LN(2)/2))/(LN(2)/2)*CG50*CJ50*VLOOKUP('Données projet'!$B$12,Paramètres!$A$1:$I$89,3,0)*0.475*44/12</f>
        <v>0</v>
      </c>
      <c r="CN50" s="22">
        <f t="shared" si="12"/>
        <v>0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42.681600000000017</v>
      </c>
      <c r="D51" s="11">
        <f t="shared" si="32"/>
        <v>12.706698925204435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427.55879872087644</v>
      </c>
      <c r="H51" s="67">
        <f t="shared" si="1"/>
        <v>389.80128729473108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3.75</v>
      </c>
      <c r="N51" s="13">
        <f>IF('Données projet'!$A$36&gt;35,N50+M51-V50,IF(A51&lt;'Données projet'!$A$36,$K$205^A51,IF(A51='Données projet'!$A$36,'Données projet'!$B$36,N50+M51-V50)))</f>
        <v>161.5</v>
      </c>
      <c r="O51" s="13">
        <f>N51*VLOOKUP('Données projet'!$B$9,Paramètres!$A$1:$I$89,3,0)*VLOOKUP('Données projet'!$B$9,Paramètres!$A$1:$I$89,5,0)</f>
        <v>96.577000000000012</v>
      </c>
      <c r="P51" s="13">
        <f t="shared" si="33"/>
        <v>26.144869330200713</v>
      </c>
      <c r="Q51" s="20">
        <f t="shared" si="53"/>
        <v>213.74058908343292</v>
      </c>
      <c r="R51" s="59">
        <f t="shared" si="0"/>
        <v>507.07392241676621</v>
      </c>
      <c r="S51" s="59">
        <f ca="1">AVERAGE(OFFSET($R$3,0,0,'Données projet'!$E$9+1,1))-AVERAGE(OFFSET($H$3,0,0,'Données projet'!$E$9+1,1))</f>
        <v>72.647148358003676</v>
      </c>
      <c r="T51" s="59">
        <f t="shared" si="34"/>
        <v>87.231299224620898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0.89091400856747494</v>
      </c>
      <c r="AA51" s="21">
        <f>EXP(-LN(2)/25)*AA50+(1-EXP(-LN(2)/25))/(LN(2)/25)*Calculateur!V51*Calculateur!X51*VLOOKUP('Données projet'!$B$9,Paramètres!$A$1:$I$89,3,0)*0.475*44/12</f>
        <v>2.7508361874538578</v>
      </c>
      <c r="AB51" s="21">
        <f>EXP(-LN(2)/2)*AB50+(1-EXP(-LN(2)/2))/(LN(2)/2)*V51*Y51*VLOOKUP('Données projet'!$B$9,Paramètres!$A$1:$I$89,3,0)*0.475*44/12</f>
        <v>4.4548752270913775E-3</v>
      </c>
      <c r="AC51" s="22">
        <f t="shared" si="3"/>
        <v>3.6462050712484237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6</v>
      </c>
      <c r="AI51" s="13">
        <f>IF('Données projet'!$A$62&gt;35,AI50+AH51-AQ50,IF(A51&lt;'Données projet'!$A$62,$AF$205^A51,IF(A51='Données projet'!$A$62,'Données projet'!$B$62,AI50+AH51-AQ50)))</f>
        <v>179.99999999999997</v>
      </c>
      <c r="AJ51" s="13">
        <f>AI51*VLOOKUP('Données projet'!$B$10,Paramètres!$A$1:$I$89,3,0)*VLOOKUP('Données projet'!$B$10,Paramètres!$A$1:$I$89,5,0)</f>
        <v>146.01599999999999</v>
      </c>
      <c r="AK51" s="13">
        <f t="shared" si="35"/>
        <v>37.671793767891103</v>
      </c>
      <c r="AL51" s="20">
        <f t="shared" si="4"/>
        <v>319.92290747907697</v>
      </c>
      <c r="AM51" s="59">
        <f t="shared" si="5"/>
        <v>613.25624081241028</v>
      </c>
      <c r="AN51" s="59">
        <f ca="1">AVERAGE(OFFSET($AM$3,0,0,'Données projet'!$E$10+1,1))-AVERAGE(OFFSET($H$3,0,0,'Données projet'!$E$10+1,1))</f>
        <v>145.3656871223958</v>
      </c>
      <c r="AO51" s="59">
        <f t="shared" si="36"/>
        <v>180.54762778843178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0</v>
      </c>
      <c r="AV51" s="21">
        <f>EXP(-LN(2)/25)*AV50+(1-EXP(-LN(2)/25))/(LN(2)/25)*Calculateur!AQ51*Calculateur!AS51*VLOOKUP('Données projet'!$B$10,Paramètres!$A$1:$I$89,3,0)*0.475*44/12</f>
        <v>3.3761349816006501</v>
      </c>
      <c r="AW51" s="21">
        <f>EXP(-LN(2)/2)*AW50+(1-EXP(-LN(2)/2))/(LN(2)/2)*AQ51*AT51*VLOOKUP('Données projet'!$B$10,Paramètres!$A$1:$I$89,3,0)*0.475*44/12</f>
        <v>1.5941711886895322E-2</v>
      </c>
      <c r="AX51" s="21">
        <f t="shared" si="6"/>
        <v>3.3920766934875455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5.6</v>
      </c>
      <c r="BD51" s="12">
        <f>IF('Données projet'!$A$88&gt;35,BD50+BC51-BL50,IF(A51&lt;'Données projet'!$A$88,$BA$205^A51,IF(A51='Données projet'!$A$88,'Données projet'!$B$88,BD50+BC51-BL50)))</f>
        <v>123.79999999999997</v>
      </c>
      <c r="BE51" s="13">
        <f>BD51*VLOOKUP('Données projet'!$B$11,Paramètres!$A$1:$I$89,3,0)*VLOOKUP('Données projet'!$B$11,Paramètres!$A$1:$I$89,5,0)</f>
        <v>112.01423999999996</v>
      </c>
      <c r="BF51" s="13">
        <f t="shared" si="37"/>
        <v>29.805052882814007</v>
      </c>
      <c r="BG51" s="20">
        <f t="shared" si="7"/>
        <v>247.00193510423426</v>
      </c>
      <c r="BH51" s="59">
        <f t="shared" si="8"/>
        <v>540.33526843756761</v>
      </c>
      <c r="BI51" s="59">
        <f ca="1">AVERAGE(OFFSET($BH$3,0,0,'Données projet'!$E$11+1,1))-AVERAGE(OFFSET($H$3,0,0,'Données projet'!$E$11+1,1))</f>
        <v>138.8931001150624</v>
      </c>
      <c r="BJ51" s="59">
        <f t="shared" si="38"/>
        <v>48.964659354096625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>
        <f>EXP(-LN(2)/35)*BP50+(1-EXP(-LN(2)/35))/(LN(2)/35)*BL51*BM51*VLOOKUP('Données projet'!$B$11,Paramètres!$A$1:$I$89,3,0)*0.475*44/12</f>
        <v>0</v>
      </c>
      <c r="BQ51" s="21">
        <f>EXP(-LN(2)/25)*BQ50+(1-EXP(-LN(2)/25))/(LN(2)/25)*Calculateur!BL51*Calculateur!BN51*VLOOKUP('Données projet'!$B$11,Paramètres!$A$1:$I$89,3,0)*0.475*44/12</f>
        <v>0</v>
      </c>
      <c r="BR51" s="21">
        <f>EXP(-LN(2)/2)*BR50+(1-EXP(-LN(2)/2))/(LN(2)/2)*BL51*BO51*VLOOKUP('Données projet'!$B$11,Paramètres!$A$1:$I$89,3,0)*0.475*44/12</f>
        <v>0</v>
      </c>
      <c r="BS51" s="22">
        <f t="shared" si="9"/>
        <v>0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4.2</v>
      </c>
      <c r="BY51" s="12">
        <f>IF('Données projet'!$A$114&gt;35,BY50+BX51-CG50,IF(A51&lt;'Données projet'!$A$114,$BV$205^A51,IF(A51='Données projet'!$A$114,'Données projet'!$B$114,BY50+BX51-CG50)))</f>
        <v>112.60000000000004</v>
      </c>
      <c r="BZ51" s="13">
        <f>BY51*VLOOKUP('Données projet'!$B$12,Paramètres!$A$1:$I$89,3,0)*VLOOKUP('Données projet'!$B$12,Paramètres!$A$1:$I$89,5,0)</f>
        <v>108.90672000000005</v>
      </c>
      <c r="CA51" s="13">
        <f t="shared" si="39"/>
        <v>29.073249724487372</v>
      </c>
      <c r="CB51" s="20">
        <f t="shared" si="10"/>
        <v>240.31511393681561</v>
      </c>
      <c r="CC51" s="59">
        <f t="shared" si="11"/>
        <v>533.64844727014895</v>
      </c>
      <c r="CD51" s="59">
        <f ca="1">AVERAGE(OFFSET($CC$3,0,0,'Données projet'!$E$12+1,1))-AVERAGE(OFFSET($H$3,0,0,'Données projet'!$E$12+1,1))</f>
        <v>154.93882427988234</v>
      </c>
      <c r="CE51" s="59">
        <f t="shared" si="40"/>
        <v>56.347130462109817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>
        <f>EXP(-LN(2)/35)*CK50+(1-EXP(-LN(2)/35))/(LN(2)/35)*CG51*CH51*VLOOKUP('Données projet'!$B$12,Paramètres!$A$1:$I$89,3,0)*0.475*44/12</f>
        <v>0</v>
      </c>
      <c r="CL51" s="21">
        <f>EXP(-LN(2)/25)*CL50+(1-EXP(-LN(2)/25))/(LN(2)/25)*Calculateur!CG51*Calculateur!CI51*VLOOKUP('Données projet'!$B$12,Paramètres!$A$1:$I$89,3,0)*0.475*44/12</f>
        <v>0</v>
      </c>
      <c r="CM51" s="21">
        <f>EXP(-LN(2)/2)*CM50+(1-EXP(-LN(2)/2))/(LN(2)/2)*CG51*CJ51*VLOOKUP('Données projet'!$B$12,Paramètres!$A$1:$I$89,3,0)*0.475*44/12</f>
        <v>0</v>
      </c>
      <c r="CN51" s="22">
        <f t="shared" si="12"/>
        <v>0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43.57080000000002</v>
      </c>
      <c r="D52" s="11">
        <f t="shared" si="32"/>
        <v>12.940326634618209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436.22624068828105</v>
      </c>
      <c r="H52" s="67">
        <f t="shared" si="1"/>
        <v>391.75687888862672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3.75</v>
      </c>
      <c r="N52" s="13">
        <f>IF('Données projet'!$A$36&gt;35,N51+M52-V51,IF(A52&lt;'Données projet'!$A$36,$K$205^A52,IF(A52='Données projet'!$A$36,'Données projet'!$B$36,N51+M52-V51)))</f>
        <v>165.25</v>
      </c>
      <c r="O52" s="13">
        <f>N52*VLOOKUP('Données projet'!$B$9,Paramètres!$A$1:$I$89,3,0)*VLOOKUP('Données projet'!$B$9,Paramètres!$A$1:$I$89,5,0)</f>
        <v>98.819500000000005</v>
      </c>
      <c r="P52" s="13">
        <f t="shared" si="33"/>
        <v>26.680565623120266</v>
      </c>
      <c r="Q52" s="20">
        <f t="shared" si="53"/>
        <v>218.57928096026777</v>
      </c>
      <c r="R52" s="59">
        <f t="shared" si="0"/>
        <v>511.91261429360111</v>
      </c>
      <c r="S52" s="59">
        <f ca="1">AVERAGE(OFFSET($R$3,0,0,'Données projet'!$E$9+1,1))-AVERAGE(OFFSET($H$3,0,0,'Données projet'!$E$9+1,1))</f>
        <v>72.647148358003676</v>
      </c>
      <c r="T52" s="59">
        <f t="shared" si="34"/>
        <v>87.231299224620898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0.87344372826335526</v>
      </c>
      <c r="AA52" s="21">
        <f>EXP(-LN(2)/25)*AA51+(1-EXP(-LN(2)/25))/(LN(2)/25)*Calculateur!V52*Calculateur!X52*VLOOKUP('Données projet'!$B$9,Paramètres!$A$1:$I$89,3,0)*0.475*44/12</f>
        <v>2.6756144272477442</v>
      </c>
      <c r="AB52" s="21">
        <f>EXP(-LN(2)/2)*AB51+(1-EXP(-LN(2)/2))/(LN(2)/2)*V52*Y52*VLOOKUP('Données projet'!$B$9,Paramètres!$A$1:$I$89,3,0)*0.475*44/12</f>
        <v>3.1500724824162739E-3</v>
      </c>
      <c r="AC52" s="22">
        <f t="shared" si="3"/>
        <v>3.5522082279935159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6</v>
      </c>
      <c r="AI52" s="13">
        <f>IF('Données projet'!$A$62&gt;35,AI51+AH52-AQ51,IF(A52&lt;'Données projet'!$A$62,$AF$205^A52,IF(A52='Données projet'!$A$62,'Données projet'!$B$62,AI51+AH52-AQ51)))</f>
        <v>185.99999999999997</v>
      </c>
      <c r="AJ52" s="13">
        <f>AI52*VLOOKUP('Données projet'!$B$10,Paramètres!$A$1:$I$89,3,0)*VLOOKUP('Données projet'!$B$10,Paramètres!$A$1:$I$89,5,0)</f>
        <v>150.88319999999999</v>
      </c>
      <c r="AK52" s="13">
        <f t="shared" si="35"/>
        <v>38.779227360583199</v>
      </c>
      <c r="AL52" s="20">
        <f t="shared" si="4"/>
        <v>330.32872765301573</v>
      </c>
      <c r="AM52" s="59">
        <f t="shared" si="5"/>
        <v>623.66206098634905</v>
      </c>
      <c r="AN52" s="59">
        <f ca="1">AVERAGE(OFFSET($AM$3,0,0,'Données projet'!$E$10+1,1))-AVERAGE(OFFSET($H$3,0,0,'Données projet'!$E$10+1,1))</f>
        <v>145.3656871223958</v>
      </c>
      <c r="AO52" s="59">
        <f t="shared" si="36"/>
        <v>180.54762778843178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0</v>
      </c>
      <c r="AV52" s="21">
        <f>EXP(-LN(2)/25)*AV51+(1-EXP(-LN(2)/25))/(LN(2)/25)*Calculateur!AQ52*Calculateur!AS52*VLOOKUP('Données projet'!$B$10,Paramètres!$A$1:$I$89,3,0)*0.475*44/12</f>
        <v>3.2838143929855579</v>
      </c>
      <c r="AW52" s="21">
        <f>EXP(-LN(2)/2)*AW51+(1-EXP(-LN(2)/2))/(LN(2)/2)*AQ52*AT52*VLOOKUP('Données projet'!$B$10,Paramètres!$A$1:$I$89,3,0)*0.475*44/12</f>
        <v>1.1272492578945874E-2</v>
      </c>
      <c r="AX52" s="21">
        <f t="shared" si="6"/>
        <v>3.2950868855645039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5.6</v>
      </c>
      <c r="BD52" s="12">
        <f>IF('Données projet'!$A$88&gt;35,BD51+BC52-BL51,IF(A52&lt;'Données projet'!$A$88,$BA$205^A52,IF(A52='Données projet'!$A$88,'Données projet'!$B$88,BD51+BC52-BL51)))</f>
        <v>129.39999999999998</v>
      </c>
      <c r="BE52" s="13">
        <f>BD52*VLOOKUP('Données projet'!$B$11,Paramètres!$A$1:$I$89,3,0)*VLOOKUP('Données projet'!$B$11,Paramètres!$A$1:$I$89,5,0)</f>
        <v>117.08111999999997</v>
      </c>
      <c r="BF52" s="13">
        <f t="shared" si="37"/>
        <v>30.993245877902094</v>
      </c>
      <c r="BG52" s="20">
        <f t="shared" si="7"/>
        <v>257.89618723734606</v>
      </c>
      <c r="BH52" s="59">
        <f t="shared" si="8"/>
        <v>551.22952057067937</v>
      </c>
      <c r="BI52" s="59">
        <f ca="1">AVERAGE(OFFSET($BH$3,0,0,'Données projet'!$E$11+1,1))-AVERAGE(OFFSET($H$3,0,0,'Données projet'!$E$11+1,1))</f>
        <v>138.8931001150624</v>
      </c>
      <c r="BJ52" s="59">
        <f t="shared" si="38"/>
        <v>48.964659354096625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>
        <f>EXP(-LN(2)/35)*BP51+(1-EXP(-LN(2)/35))/(LN(2)/35)*BL52*BM52*VLOOKUP('Données projet'!$B$11,Paramètres!$A$1:$I$89,3,0)*0.475*44/12</f>
        <v>0</v>
      </c>
      <c r="BQ52" s="21">
        <f>EXP(-LN(2)/25)*BQ51+(1-EXP(-LN(2)/25))/(LN(2)/25)*Calculateur!BL52*Calculateur!BN52*VLOOKUP('Données projet'!$B$11,Paramètres!$A$1:$I$89,3,0)*0.475*44/12</f>
        <v>0</v>
      </c>
      <c r="BR52" s="21">
        <f>EXP(-LN(2)/2)*BR51+(1-EXP(-LN(2)/2))/(LN(2)/2)*BL52*BO52*VLOOKUP('Données projet'!$B$11,Paramètres!$A$1:$I$89,3,0)*0.475*44/12</f>
        <v>0</v>
      </c>
      <c r="BS52" s="22">
        <f t="shared" si="9"/>
        <v>0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4.2</v>
      </c>
      <c r="BY52" s="12">
        <f>IF('Données projet'!$A$114&gt;35,BY51+BX52-CG51,IF(A52&lt;'Données projet'!$A$114,$BV$205^A52,IF(A52='Données projet'!$A$114,'Données projet'!$B$114,BY51+BX52-CG51)))</f>
        <v>116.80000000000004</v>
      </c>
      <c r="BZ52" s="13">
        <f>BY52*VLOOKUP('Données projet'!$B$12,Paramètres!$A$1:$I$89,3,0)*VLOOKUP('Données projet'!$B$12,Paramètres!$A$1:$I$89,5,0)</f>
        <v>112.96896000000004</v>
      </c>
      <c r="CA52" s="13">
        <f t="shared" si="39"/>
        <v>30.029406761960193</v>
      </c>
      <c r="CB52" s="20">
        <f t="shared" si="10"/>
        <v>249.05548877708074</v>
      </c>
      <c r="CC52" s="59">
        <f t="shared" si="11"/>
        <v>542.38882211041403</v>
      </c>
      <c r="CD52" s="59">
        <f ca="1">AVERAGE(OFFSET($CC$3,0,0,'Données projet'!$E$12+1,1))-AVERAGE(OFFSET($H$3,0,0,'Données projet'!$E$12+1,1))</f>
        <v>154.93882427988234</v>
      </c>
      <c r="CE52" s="59">
        <f t="shared" si="40"/>
        <v>56.347130462109817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>
        <f>EXP(-LN(2)/35)*CK51+(1-EXP(-LN(2)/35))/(LN(2)/35)*CG52*CH52*VLOOKUP('Données projet'!$B$12,Paramètres!$A$1:$I$89,3,0)*0.475*44/12</f>
        <v>0</v>
      </c>
      <c r="CL52" s="21">
        <f>EXP(-LN(2)/25)*CL51+(1-EXP(-LN(2)/25))/(LN(2)/25)*Calculateur!CG52*Calculateur!CI52*VLOOKUP('Données projet'!$B$12,Paramètres!$A$1:$I$89,3,0)*0.475*44/12</f>
        <v>0</v>
      </c>
      <c r="CM52" s="21">
        <f>EXP(-LN(2)/2)*CM51+(1-EXP(-LN(2)/2))/(LN(2)/2)*CG52*CJ52*VLOOKUP('Données projet'!$B$12,Paramètres!$A$1:$I$89,3,0)*0.475*44/12</f>
        <v>0</v>
      </c>
      <c r="CN52" s="22">
        <f t="shared" si="12"/>
        <v>0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44.460000000000022</v>
      </c>
      <c r="D53" s="11">
        <f t="shared" si="32"/>
        <v>13.17339997701186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444.88940333131978</v>
      </c>
      <c r="H53" s="67">
        <f t="shared" si="1"/>
        <v>393.71150495996233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 t="e">
        <f>VLOOKUP(A53,'Données projet'!$A$35:$I$55,2,0)</f>
        <v>#N/A</v>
      </c>
      <c r="L53" s="12" t="e">
        <f>VLOOKUP(A53,'Données projet'!$A$35:$I$55,9,0)</f>
        <v>#N/A</v>
      </c>
      <c r="M53" s="12">
        <f t="array" ref="M53">INDEX(L:L,MIN(IF(ISNUMBER(L53:L249),ROW(L53:L249),"")))</f>
        <v>3.75</v>
      </c>
      <c r="N53" s="13">
        <f>IF('Données projet'!$A$36&gt;35,N52+M53-V52,IF(A53&lt;'Données projet'!$A$36,$K$205^A53,IF(A53='Données projet'!$A$36,'Données projet'!$B$36,N52+M53-V52)))</f>
        <v>169</v>
      </c>
      <c r="O53" s="13">
        <f>N53*VLOOKUP('Données projet'!$B$9,Paramètres!$A$1:$I$89,3,0)*VLOOKUP('Données projet'!$B$9,Paramètres!$A$1:$I$89,5,0)</f>
        <v>101.06200000000001</v>
      </c>
      <c r="P53" s="13">
        <f t="shared" si="33"/>
        <v>27.214848638810562</v>
      </c>
      <c r="Q53" s="20">
        <f t="shared" si="53"/>
        <v>223.41551137926174</v>
      </c>
      <c r="R53" s="59">
        <f t="shared" si="0"/>
        <v>516.74884471259509</v>
      </c>
      <c r="S53" s="59">
        <f ca="1">AVERAGE(OFFSET($R$3,0,0,'Données projet'!$E$9+1,1))-AVERAGE(OFFSET($H$3,0,0,'Données projet'!$E$9+1,1))</f>
        <v>72.647148358003676</v>
      </c>
      <c r="T53" s="59">
        <f t="shared" si="34"/>
        <v>87.231299224620898</v>
      </c>
      <c r="U53" s="15">
        <f>IF(ISNA(VLOOKUP(A53,'Données projet'!$A$35:$I$55,3,0)),0,VLOOKUP(A53,'Données projet'!$A$35:$I$55,3,0))</f>
        <v>0</v>
      </c>
      <c r="V53" s="15">
        <f>IF(ISNA(VLOOKUP(A53,'Données projet'!$A$35:$I$55,4,0)),0,VLOOKUP(A53,'Données projet'!$A$35:$I$55,4,0))</f>
        <v>0</v>
      </c>
      <c r="W53" s="16">
        <f>IF(ISNA(VLOOKUP(A53,'Données projet'!$A$35:$I$55,5,0)),0%,VLOOKUP(A53,'Données projet'!$A$35:$I$55,5,0)*VLOOKUP('Données projet'!$B$9,Paramètres!$A$1:$I$89,7,0))</f>
        <v>0</v>
      </c>
      <c r="X53" s="16">
        <f>IF(ISNA(VLOOKUP(A53,'Données projet'!$A$35:$I$55,6,0)),0%,VLOOKUP(A53,'Données projet'!$A$35:$I$55,6,0)*VLOOKUP('Données projet'!$B$9,Paramètres!$A$1:$I$89,7,0))</f>
        <v>0</v>
      </c>
      <c r="Y53" s="16">
        <f>IF(ISNA(VLOOKUP(A53,'Données projet'!$A$35:$I$55,7,0)),0%,VLOOKUP(A53,'Données projet'!$A$35:$I$55,7,0))</f>
        <v>0</v>
      </c>
      <c r="Z53" s="21">
        <f>EXP(-LN(2)/35)*Z52+(1-EXP(-LN(2)/35))/(LN(2)/35)*V53*W53*VLOOKUP('Données projet'!$B$9,Paramètres!$A$1:$I$89,3,0)*0.475*44/12</f>
        <v>0.8563160295001806</v>
      </c>
      <c r="AA53" s="21">
        <f>EXP(-LN(2)/25)*AA52+(1-EXP(-LN(2)/25))/(LN(2)/25)*Calculateur!V53*Calculateur!X53*VLOOKUP('Données projet'!$B$9,Paramètres!$A$1:$I$89,3,0)*0.475*44/12</f>
        <v>2.6024496100302072</v>
      </c>
      <c r="AB53" s="21">
        <f>EXP(-LN(2)/2)*AB52+(1-EXP(-LN(2)/2))/(LN(2)/2)*V53*Y53*VLOOKUP('Données projet'!$B$9,Paramètres!$A$1:$I$89,3,0)*0.475*44/12</f>
        <v>2.2274376135456887E-3</v>
      </c>
      <c r="AC53" s="22">
        <f t="shared" si="3"/>
        <v>3.4609930771439337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192</v>
      </c>
      <c r="AG53" s="12">
        <f>VLOOKUP(A53,'Données projet'!$A$61:$I$81,9,0)</f>
        <v>6</v>
      </c>
      <c r="AH53" s="12">
        <f t="array" ref="AH53">INDEX(AG:AG,MIN(IF(ISNUMBER(AG53:AG249),ROW(AG53:AG249),"")))</f>
        <v>6</v>
      </c>
      <c r="AI53" s="13">
        <f>IF('Données projet'!$A$62&gt;35,AI52+AH53-AQ52,IF(A53&lt;'Données projet'!$A$62,$AF$205^A53,IF(A53='Données projet'!$A$62,'Données projet'!$B$62,AI52+AH53-AQ52)))</f>
        <v>191.99999999999997</v>
      </c>
      <c r="AJ53" s="13">
        <f>AI53*VLOOKUP('Données projet'!$B$10,Paramètres!$A$1:$I$89,3,0)*VLOOKUP('Données projet'!$B$10,Paramètres!$A$1:$I$89,5,0)</f>
        <v>155.75039999999998</v>
      </c>
      <c r="AK53" s="13">
        <f t="shared" si="35"/>
        <v>39.882509755133754</v>
      </c>
      <c r="AL53" s="20">
        <f t="shared" si="4"/>
        <v>340.72731782352457</v>
      </c>
      <c r="AM53" s="59">
        <f t="shared" si="5"/>
        <v>634.06065115685783</v>
      </c>
      <c r="AN53" s="59">
        <f ca="1">AVERAGE(OFFSET($AM$3,0,0,'Données projet'!$E$10+1,1))-AVERAGE(OFFSET($H$3,0,0,'Données projet'!$E$10+1,1))</f>
        <v>145.3656871223958</v>
      </c>
      <c r="AO53" s="59">
        <f t="shared" si="36"/>
        <v>180.54762778843178</v>
      </c>
      <c r="AP53" s="15">
        <f>IF(ISNA(VLOOKUP(A53,'Données projet'!$A$61:$I$81,3,0)),0,VLOOKUP(A53,'Données projet'!$A$61:$I$81,3,0))</f>
        <v>4</v>
      </c>
      <c r="AQ53" s="15">
        <f>IF(ISNA(VLOOKUP(A53,'Données projet'!$A$61:$I$81,4,0)),0,VLOOKUP(A53,'Données projet'!$A$61:$I$81,4,0))</f>
        <v>31</v>
      </c>
      <c r="AR53" s="16">
        <f>IF(ISNA(VLOOKUP(A53,'Données projet'!$A$61:$I$81,5,0)),0%,VLOOKUP(A53,'Données projet'!$A$61:$I$81,5,0)*VLOOKUP('Données projet'!$B$10,Paramètres!$A$1:$I$89,7,0))</f>
        <v>0</v>
      </c>
      <c r="AS53" s="16">
        <f>IF(ISNA(VLOOKUP(A53,'Données projet'!$A$61:$I$81,6,0)),0%,VLOOKUP(A53,'Données projet'!$A$61:$I$81,6,0)*VLOOKUP('Données projet'!$B$10,Paramètres!$A$1:$I$89,7,0))</f>
        <v>0</v>
      </c>
      <c r="AT53" s="16">
        <f>IF(ISNA(VLOOKUP(A53,'Données projet'!$A$61:$I$81,7,0)),0%,VLOOKUP(A53,'Données projet'!$A$61:$I$81,7,0))</f>
        <v>0</v>
      </c>
      <c r="AU53" s="21">
        <f>EXP(-LN(2)/35)*AU52+(1-EXP(-LN(2)/35))/(LN(2)/35)*AQ53*AR53*VLOOKUP('Données projet'!$B$10,Paramètres!$A$1:$I$89,3,0)*0.475*44/12</f>
        <v>0</v>
      </c>
      <c r="AV53" s="21">
        <f>EXP(-LN(2)/25)*AV52+(1-EXP(-LN(2)/25))/(LN(2)/25)*Calculateur!AQ53*Calculateur!AS53*VLOOKUP('Données projet'!$B$10,Paramètres!$A$1:$I$89,3,0)*0.475*44/12</f>
        <v>3.194018315721074</v>
      </c>
      <c r="AW53" s="21">
        <f>EXP(-LN(2)/2)*AW52+(1-EXP(-LN(2)/2))/(LN(2)/2)*AQ53*AT53*VLOOKUP('Données projet'!$B$10,Paramètres!$A$1:$I$89,3,0)*0.475*44/12</f>
        <v>7.9708559434476609E-3</v>
      </c>
      <c r="AX53" s="21">
        <f t="shared" si="6"/>
        <v>3.2019891716645215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>
        <f>VLOOKUP(A53,'Données projet'!$A$87:$I$107,2,0)</f>
        <v>135</v>
      </c>
      <c r="BB53" s="12">
        <f>VLOOKUP(A53,'Données projet'!$A$87:$I$107,9,0)</f>
        <v>5.6</v>
      </c>
      <c r="BC53" s="12">
        <f t="array" ref="BC53">INDEX(BB:BB,MIN(IF(ISNUMBER(BB53:BB249),ROW(BB53:BB249),"")))</f>
        <v>5.6</v>
      </c>
      <c r="BD53" s="12">
        <f>IF('Données projet'!$A$88&gt;35,BD52+BC53-BL52,IF(A53&lt;'Données projet'!$A$88,$BA$205^A53,IF(A53='Données projet'!$A$88,'Données projet'!$B$88,BD52+BC53-BL52)))</f>
        <v>134.99999999999997</v>
      </c>
      <c r="BE53" s="13">
        <f>BD53*VLOOKUP('Données projet'!$B$11,Paramètres!$A$1:$I$89,3,0)*VLOOKUP('Données projet'!$B$11,Paramètres!$A$1:$I$89,5,0)</f>
        <v>122.14799999999998</v>
      </c>
      <c r="BF53" s="13">
        <f t="shared" si="37"/>
        <v>32.175466547071615</v>
      </c>
      <c r="BG53" s="20">
        <f t="shared" si="7"/>
        <v>268.78003756948306</v>
      </c>
      <c r="BH53" s="59">
        <f t="shared" si="8"/>
        <v>562.11337090281631</v>
      </c>
      <c r="BI53" s="59">
        <f ca="1">AVERAGE(OFFSET($BH$3,0,0,'Données projet'!$E$11+1,1))-AVERAGE(OFFSET($H$3,0,0,'Données projet'!$E$11+1,1))</f>
        <v>138.8931001150624</v>
      </c>
      <c r="BJ53" s="59">
        <f t="shared" si="38"/>
        <v>48.964659354096625</v>
      </c>
      <c r="BK53" s="15">
        <f>IF(ISNA(VLOOKUP(A53,'Données projet'!$A$87:$I$107,3,0)),0,VLOOKUP(A53,'Données projet'!$A$87:$I$107,3,0))</f>
        <v>2</v>
      </c>
      <c r="BL53" s="15">
        <f>IF(ISNA(VLOOKUP(A53,'Données projet'!$A$87:$I$107,4,0)),0,VLOOKUP(A53,'Données projet'!$A$87:$I$107,4,0))</f>
        <v>28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>
        <f>EXP(-LN(2)/35)*BP52+(1-EXP(-LN(2)/35))/(LN(2)/35)*BL53*BM53*VLOOKUP('Données projet'!$B$11,Paramètres!$A$1:$I$89,3,0)*0.475*44/12</f>
        <v>0</v>
      </c>
      <c r="BQ53" s="21">
        <f>EXP(-LN(2)/25)*BQ52+(1-EXP(-LN(2)/25))/(LN(2)/25)*Calculateur!BL53*Calculateur!BN53*VLOOKUP('Données projet'!$B$11,Paramètres!$A$1:$I$89,3,0)*0.475*44/12</f>
        <v>0</v>
      </c>
      <c r="BR53" s="21">
        <f>EXP(-LN(2)/2)*BR52+(1-EXP(-LN(2)/2))/(LN(2)/2)*BL53*BO53*VLOOKUP('Données projet'!$B$11,Paramètres!$A$1:$I$89,3,0)*0.475*44/12</f>
        <v>0</v>
      </c>
      <c r="BS53" s="22">
        <f t="shared" si="9"/>
        <v>0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>
        <f>VLOOKUP(A53,'Données projet'!$A$113:$I$133,2,0)</f>
        <v>121</v>
      </c>
      <c r="BW53" s="12">
        <f>VLOOKUP(A53,'Données projet'!$A$113:$I$133,9,0)</f>
        <v>4.2</v>
      </c>
      <c r="BX53" s="12">
        <f t="array" ref="BX53">INDEX(BW:BW,MIN(IF(ISNUMBER(BW53:BW249),ROW(BW53:BW249),"")))</f>
        <v>4.2</v>
      </c>
      <c r="BY53" s="12">
        <f>IF('Données projet'!$A$114&gt;35,BY52+BX53-CG52,IF(A53&lt;'Données projet'!$A$114,$BV$205^A53,IF(A53='Données projet'!$A$114,'Données projet'!$B$114,BY52+BX53-CG52)))</f>
        <v>121.00000000000004</v>
      </c>
      <c r="BZ53" s="13">
        <f>BY53*VLOOKUP('Données projet'!$B$12,Paramètres!$A$1:$I$89,3,0)*VLOOKUP('Données projet'!$B$12,Paramètres!$A$1:$I$89,5,0)</f>
        <v>117.03120000000004</v>
      </c>
      <c r="CA53" s="13">
        <f t="shared" si="39"/>
        <v>30.981569147428555</v>
      </c>
      <c r="CB53" s="20">
        <f t="shared" si="10"/>
        <v>257.7889062651048</v>
      </c>
      <c r="CC53" s="59">
        <f t="shared" si="11"/>
        <v>551.12223959843811</v>
      </c>
      <c r="CD53" s="59">
        <f ca="1">AVERAGE(OFFSET($CC$3,0,0,'Données projet'!$E$12+1,1))-AVERAGE(OFFSET($H$3,0,0,'Données projet'!$E$12+1,1))</f>
        <v>154.93882427988234</v>
      </c>
      <c r="CE53" s="59">
        <f t="shared" si="40"/>
        <v>56.347130462109817</v>
      </c>
      <c r="CF53" s="15">
        <f>IF(ISNA(VLOOKUP(A53,'Données projet'!$A$113:$I$133,3,0)),0,VLOOKUP(A53,'Données projet'!$A$113:$I$133,3,0))</f>
        <v>2</v>
      </c>
      <c r="CG53" s="15">
        <f>IF(ISNA(VLOOKUP(A53,'Données projet'!$A$113:$I$133,4,0)),0,VLOOKUP(A53,'Données projet'!$A$113:$I$133,4,0))</f>
        <v>14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>
        <f>EXP(-LN(2)/35)*CK52+(1-EXP(-LN(2)/35))/(LN(2)/35)*CG53*CH53*VLOOKUP('Données projet'!$B$12,Paramètres!$A$1:$I$89,3,0)*0.475*44/12</f>
        <v>0</v>
      </c>
      <c r="CL53" s="21">
        <f>EXP(-LN(2)/25)*CL52+(1-EXP(-LN(2)/25))/(LN(2)/25)*Calculateur!CG53*Calculateur!CI53*VLOOKUP('Données projet'!$B$12,Paramètres!$A$1:$I$89,3,0)*0.475*44/12</f>
        <v>0</v>
      </c>
      <c r="CM53" s="21">
        <f>EXP(-LN(2)/2)*CM52+(1-EXP(-LN(2)/2))/(LN(2)/2)*CG53*CJ53*VLOOKUP('Données projet'!$B$12,Paramètres!$A$1:$I$89,3,0)*0.475*44/12</f>
        <v>0</v>
      </c>
      <c r="CN53" s="22">
        <f t="shared" si="12"/>
        <v>0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45.349200000000025</v>
      </c>
      <c r="D54" s="11">
        <f t="shared" si="32"/>
        <v>13.405931317559242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453.54838210045756</v>
      </c>
      <c r="H54" s="67">
        <f t="shared" si="1"/>
        <v>395.66518704474902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3.75</v>
      </c>
      <c r="N54" s="13">
        <f>IF('Données projet'!$A$36&gt;35,N53+M54-V53,IF(A54&lt;'Données projet'!$A$36,$K$205^A54,IF(A54='Données projet'!$A$36,'Données projet'!$B$36,N53+M54-V53)))</f>
        <v>172.75</v>
      </c>
      <c r="O54" s="13">
        <f>N54*VLOOKUP('Données projet'!$B$9,Paramètres!$A$1:$I$89,3,0)*VLOOKUP('Données projet'!$B$9,Paramètres!$A$1:$I$89,5,0)</f>
        <v>103.3045</v>
      </c>
      <c r="P54" s="13">
        <f t="shared" si="33"/>
        <v>27.747753347866851</v>
      </c>
      <c r="Q54" s="20">
        <f t="shared" si="53"/>
        <v>228.24934124753477</v>
      </c>
      <c r="R54" s="59">
        <f t="shared" si="0"/>
        <v>521.58267458086812</v>
      </c>
      <c r="S54" s="59">
        <f ca="1">AVERAGE(OFFSET($R$3,0,0,'Données projet'!$E$9+1,1))-AVERAGE(OFFSET($H$3,0,0,'Données projet'!$E$9+1,1))</f>
        <v>72.647148358003676</v>
      </c>
      <c r="T54" s="59">
        <f t="shared" si="34"/>
        <v>87.231299224620898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0.83952419446288706</v>
      </c>
      <c r="AA54" s="21">
        <f>EXP(-LN(2)/25)*AA53+(1-EXP(-LN(2)/25))/(LN(2)/25)*Calculateur!V54*Calculateur!X54*VLOOKUP('Données projet'!$B$9,Paramètres!$A$1:$I$89,3,0)*0.475*44/12</f>
        <v>2.5312854885870544</v>
      </c>
      <c r="AB54" s="21">
        <f>EXP(-LN(2)/2)*AB53+(1-EXP(-LN(2)/2))/(LN(2)/2)*V54*Y54*VLOOKUP('Données projet'!$B$9,Paramètres!$A$1:$I$89,3,0)*0.475*44/12</f>
        <v>1.5750362412081369E-3</v>
      </c>
      <c r="AC54" s="22">
        <f t="shared" si="3"/>
        <v>3.3723847192911496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4.4000000000000004</v>
      </c>
      <c r="AI54" s="13">
        <f>IF('Données projet'!$A$62&gt;35,AI53+AH54-AQ53,IF(A54&lt;'Données projet'!$A$62,$AF$205^A54,IF(A54='Données projet'!$A$62,'Données projet'!$B$62,AI53+AH54-AQ53)))</f>
        <v>165.39999999999998</v>
      </c>
      <c r="AJ54" s="13">
        <f>AI54*VLOOKUP('Données projet'!$B$10,Paramètres!$A$1:$I$89,3,0)*VLOOKUP('Données projet'!$B$10,Paramètres!$A$1:$I$89,5,0)</f>
        <v>134.17248000000001</v>
      </c>
      <c r="AK54" s="13">
        <f t="shared" si="35"/>
        <v>34.958717109525992</v>
      </c>
      <c r="AL54" s="20">
        <f t="shared" si="4"/>
        <v>294.57016829909111</v>
      </c>
      <c r="AM54" s="59">
        <f t="shared" si="5"/>
        <v>587.90350163242442</v>
      </c>
      <c r="AN54" s="59">
        <f ca="1">AVERAGE(OFFSET($AM$3,0,0,'Données projet'!$E$10+1,1))-AVERAGE(OFFSET($H$3,0,0,'Données projet'!$E$10+1,1))</f>
        <v>145.3656871223958</v>
      </c>
      <c r="AO54" s="59">
        <f t="shared" si="36"/>
        <v>180.54762778843178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0</v>
      </c>
      <c r="AV54" s="21">
        <f>EXP(-LN(2)/25)*AV53+(1-EXP(-LN(2)/25))/(LN(2)/25)*Calculateur!AQ54*Calculateur!AS54*VLOOKUP('Données projet'!$B$10,Paramètres!$A$1:$I$89,3,0)*0.475*44/12</f>
        <v>3.106677716911558</v>
      </c>
      <c r="AW54" s="21">
        <f>EXP(-LN(2)/2)*AW53+(1-EXP(-LN(2)/2))/(LN(2)/2)*AQ54*AT54*VLOOKUP('Données projet'!$B$10,Paramètres!$A$1:$I$89,3,0)*0.475*44/12</f>
        <v>5.6362462894729371E-3</v>
      </c>
      <c r="AX54" s="21">
        <f t="shared" si="6"/>
        <v>3.1123139632010308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5.5</v>
      </c>
      <c r="BD54" s="12">
        <f>IF('Données projet'!$A$88&gt;35,BD53+BC54-BL53,IF(A54&lt;'Données projet'!$A$88,$BA$205^A54,IF(A54='Données projet'!$A$88,'Données projet'!$B$88,BD53+BC54-BL53)))</f>
        <v>112.49999999999997</v>
      </c>
      <c r="BE54" s="13">
        <f>BD54*VLOOKUP('Données projet'!$B$11,Paramètres!$A$1:$I$89,3,0)*VLOOKUP('Données projet'!$B$11,Paramètres!$A$1:$I$89,5,0)</f>
        <v>101.78999999999998</v>
      </c>
      <c r="BF54" s="13">
        <f t="shared" si="37"/>
        <v>27.38799903683508</v>
      </c>
      <c r="BG54" s="20">
        <f t="shared" si="7"/>
        <v>224.98501498915437</v>
      </c>
      <c r="BH54" s="59">
        <f t="shared" si="8"/>
        <v>518.31834832248774</v>
      </c>
      <c r="BI54" s="59">
        <f ca="1">AVERAGE(OFFSET($BH$3,0,0,'Données projet'!$E$11+1,1))-AVERAGE(OFFSET($H$3,0,0,'Données projet'!$E$11+1,1))</f>
        <v>138.8931001150624</v>
      </c>
      <c r="BJ54" s="59">
        <f t="shared" si="38"/>
        <v>48.964659354096625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>
        <f>EXP(-LN(2)/35)*BP53+(1-EXP(-LN(2)/35))/(LN(2)/35)*BL54*BM54*VLOOKUP('Données projet'!$B$11,Paramètres!$A$1:$I$89,3,0)*0.475*44/12</f>
        <v>0</v>
      </c>
      <c r="BQ54" s="21">
        <f>EXP(-LN(2)/25)*BQ53+(1-EXP(-LN(2)/25))/(LN(2)/25)*Calculateur!BL54*Calculateur!BN54*VLOOKUP('Données projet'!$B$11,Paramètres!$A$1:$I$89,3,0)*0.475*44/12</f>
        <v>0</v>
      </c>
      <c r="BR54" s="21">
        <f>EXP(-LN(2)/2)*BR53+(1-EXP(-LN(2)/2))/(LN(2)/2)*BL54*BO54*VLOOKUP('Données projet'!$B$11,Paramètres!$A$1:$I$89,3,0)*0.475*44/12</f>
        <v>0</v>
      </c>
      <c r="BS54" s="22">
        <f t="shared" si="9"/>
        <v>0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5.5</v>
      </c>
      <c r="BY54" s="12">
        <f>IF('Données projet'!$A$114&gt;35,BY53+BX54-CG53,IF(A54&lt;'Données projet'!$A$114,$BV$205^A54,IF(A54='Données projet'!$A$114,'Données projet'!$B$114,BY53+BX54-CG53)))</f>
        <v>112.50000000000004</v>
      </c>
      <c r="BZ54" s="13">
        <f>BY54*VLOOKUP('Données projet'!$B$12,Paramètres!$A$1:$I$89,3,0)*VLOOKUP('Données projet'!$B$12,Paramètres!$A$1:$I$89,5,0)</f>
        <v>108.81000000000004</v>
      </c>
      <c r="CA54" s="13">
        <f t="shared" si="39"/>
        <v>29.05043404802263</v>
      </c>
      <c r="CB54" s="20">
        <f t="shared" si="10"/>
        <v>240.10692263363947</v>
      </c>
      <c r="CC54" s="59">
        <f t="shared" si="11"/>
        <v>533.44025596697281</v>
      </c>
      <c r="CD54" s="59">
        <f ca="1">AVERAGE(OFFSET($CC$3,0,0,'Données projet'!$E$12+1,1))-AVERAGE(OFFSET($H$3,0,0,'Données projet'!$E$12+1,1))</f>
        <v>154.93882427988234</v>
      </c>
      <c r="CE54" s="59">
        <f t="shared" si="40"/>
        <v>56.347130462109817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>
        <f>EXP(-LN(2)/35)*CK53+(1-EXP(-LN(2)/35))/(LN(2)/35)*CG54*CH54*VLOOKUP('Données projet'!$B$12,Paramètres!$A$1:$I$89,3,0)*0.475*44/12</f>
        <v>0</v>
      </c>
      <c r="CL54" s="21">
        <f>EXP(-LN(2)/25)*CL53+(1-EXP(-LN(2)/25))/(LN(2)/25)*Calculateur!CG54*Calculateur!CI54*VLOOKUP('Données projet'!$B$12,Paramètres!$A$1:$I$89,3,0)*0.475*44/12</f>
        <v>0</v>
      </c>
      <c r="CM54" s="21">
        <f>EXP(-LN(2)/2)*CM53+(1-EXP(-LN(2)/2))/(LN(2)/2)*CG54*CJ54*VLOOKUP('Données projet'!$B$12,Paramètres!$A$1:$I$89,3,0)*0.475*44/12</f>
        <v>0</v>
      </c>
      <c r="CN54" s="22">
        <f t="shared" si="12"/>
        <v>0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46.238400000000027</v>
      </c>
      <c r="D55" s="11">
        <f t="shared" si="32"/>
        <v>13.637932508790366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462.20326848890824</v>
      </c>
      <c r="H55" s="67">
        <f t="shared" si="1"/>
        <v>397.61794578614325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3.75</v>
      </c>
      <c r="N55" s="13">
        <f>IF('Données projet'!$A$36&gt;35,N54+M55-V54,IF(A55&lt;'Données projet'!$A$36,$K$205^A55,IF(A55='Données projet'!$A$36,'Données projet'!$B$36,N54+M55-V54)))</f>
        <v>176.5</v>
      </c>
      <c r="O55" s="13">
        <f>N55*VLOOKUP('Données projet'!$B$9,Paramètres!$A$1:$I$89,3,0)*VLOOKUP('Données projet'!$B$9,Paramètres!$A$1:$I$89,5,0)</f>
        <v>105.547</v>
      </c>
      <c r="P55" s="13">
        <f t="shared" si="33"/>
        <v>28.279313115910643</v>
      </c>
      <c r="Q55" s="20">
        <f t="shared" si="53"/>
        <v>233.08082867687767</v>
      </c>
      <c r="R55" s="59">
        <f t="shared" si="0"/>
        <v>526.41416201021093</v>
      </c>
      <c r="S55" s="59">
        <f ca="1">AVERAGE(OFFSET($R$3,0,0,'Données projet'!$E$9+1,1))-AVERAGE(OFFSET($H$3,0,0,'Données projet'!$E$9+1,1))</f>
        <v>72.647148358003676</v>
      </c>
      <c r="T55" s="59">
        <f t="shared" si="34"/>
        <v>87.231299224620898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0.82306163706866686</v>
      </c>
      <c r="AA55" s="21">
        <f>EXP(-LN(2)/25)*AA54+(1-EXP(-LN(2)/25))/(LN(2)/25)*Calculateur!V55*Calculateur!X55*VLOOKUP('Données projet'!$B$9,Paramètres!$A$1:$I$89,3,0)*0.475*44/12</f>
        <v>2.4620673537871229</v>
      </c>
      <c r="AB55" s="21">
        <f>EXP(-LN(2)/2)*AB54+(1-EXP(-LN(2)/2))/(LN(2)/2)*V55*Y55*VLOOKUP('Données projet'!$B$9,Paramètres!$A$1:$I$89,3,0)*0.475*44/12</f>
        <v>1.1137188067728444E-3</v>
      </c>
      <c r="AC55" s="22">
        <f t="shared" si="3"/>
        <v>3.2862427096625626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4.4000000000000004</v>
      </c>
      <c r="AI55" s="13">
        <f>IF('Données projet'!$A$62&gt;35,AI54+AH55-AQ54,IF(A55&lt;'Données projet'!$A$62,$AF$205^A55,IF(A55='Données projet'!$A$62,'Données projet'!$B$62,AI54+AH55-AQ54)))</f>
        <v>169.79999999999998</v>
      </c>
      <c r="AJ55" s="13">
        <f>AI55*VLOOKUP('Données projet'!$B$10,Paramètres!$A$1:$I$89,3,0)*VLOOKUP('Données projet'!$B$10,Paramètres!$A$1:$I$89,5,0)</f>
        <v>137.74176</v>
      </c>
      <c r="AK55" s="13">
        <f t="shared" si="35"/>
        <v>35.779185820459276</v>
      </c>
      <c r="AL55" s="20">
        <f t="shared" si="4"/>
        <v>302.21564730396659</v>
      </c>
      <c r="AM55" s="59">
        <f t="shared" si="5"/>
        <v>595.54898063729991</v>
      </c>
      <c r="AN55" s="59">
        <f ca="1">AVERAGE(OFFSET($AM$3,0,0,'Données projet'!$E$10+1,1))-AVERAGE(OFFSET($H$3,0,0,'Données projet'!$E$10+1,1))</f>
        <v>145.3656871223958</v>
      </c>
      <c r="AO55" s="59">
        <f t="shared" si="36"/>
        <v>180.54762778843178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0</v>
      </c>
      <c r="AV55" s="21">
        <f>EXP(-LN(2)/25)*AV54+(1-EXP(-LN(2)/25))/(LN(2)/25)*Calculateur!AQ55*Calculateur!AS55*VLOOKUP('Données projet'!$B$10,Paramètres!$A$1:$I$89,3,0)*0.475*44/12</f>
        <v>3.0217254513695306</v>
      </c>
      <c r="AW55" s="21">
        <f>EXP(-LN(2)/2)*AW54+(1-EXP(-LN(2)/2))/(LN(2)/2)*AQ55*AT55*VLOOKUP('Données projet'!$B$10,Paramètres!$A$1:$I$89,3,0)*0.475*44/12</f>
        <v>3.9854279717238305E-3</v>
      </c>
      <c r="AX55" s="21">
        <f t="shared" si="6"/>
        <v>3.0257108793412546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5.5</v>
      </c>
      <c r="BD55" s="12">
        <f>IF('Données projet'!$A$88&gt;35,BD54+BC55-BL54,IF(A55&lt;'Données projet'!$A$88,$BA$205^A55,IF(A55='Données projet'!$A$88,'Données projet'!$B$88,BD54+BC55-BL54)))</f>
        <v>117.99999999999997</v>
      </c>
      <c r="BE55" s="13">
        <f>BD55*VLOOKUP('Données projet'!$B$11,Paramètres!$A$1:$I$89,3,0)*VLOOKUP('Données projet'!$B$11,Paramètres!$A$1:$I$89,5,0)</f>
        <v>106.76639999999998</v>
      </c>
      <c r="BF55" s="13">
        <f t="shared" si="37"/>
        <v>28.5678052620942</v>
      </c>
      <c r="BG55" s="20">
        <f t="shared" si="7"/>
        <v>235.707074164814</v>
      </c>
      <c r="BH55" s="59">
        <f t="shared" si="8"/>
        <v>529.04040749814726</v>
      </c>
      <c r="BI55" s="59">
        <f ca="1">AVERAGE(OFFSET($BH$3,0,0,'Données projet'!$E$11+1,1))-AVERAGE(OFFSET($H$3,0,0,'Données projet'!$E$11+1,1))</f>
        <v>138.8931001150624</v>
      </c>
      <c r="BJ55" s="59">
        <f t="shared" si="38"/>
        <v>48.964659354096625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>
        <f>EXP(-LN(2)/35)*BP54+(1-EXP(-LN(2)/35))/(LN(2)/35)*BL55*BM55*VLOOKUP('Données projet'!$B$11,Paramètres!$A$1:$I$89,3,0)*0.475*44/12</f>
        <v>0</v>
      </c>
      <c r="BQ55" s="21">
        <f>EXP(-LN(2)/25)*BQ54+(1-EXP(-LN(2)/25))/(LN(2)/25)*Calculateur!BL55*Calculateur!BN55*VLOOKUP('Données projet'!$B$11,Paramètres!$A$1:$I$89,3,0)*0.475*44/12</f>
        <v>0</v>
      </c>
      <c r="BR55" s="21">
        <f>EXP(-LN(2)/2)*BR54+(1-EXP(-LN(2)/2))/(LN(2)/2)*BL55*BO55*VLOOKUP('Données projet'!$B$11,Paramètres!$A$1:$I$89,3,0)*0.475*44/12</f>
        <v>0</v>
      </c>
      <c r="BS55" s="22">
        <f t="shared" si="9"/>
        <v>0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5.5</v>
      </c>
      <c r="BY55" s="12">
        <f>IF('Données projet'!$A$114&gt;35,BY54+BX55-CG54,IF(A55&lt;'Données projet'!$A$114,$BV$205^A55,IF(A55='Données projet'!$A$114,'Données projet'!$B$114,BY54+BX55-CG54)))</f>
        <v>118.00000000000004</v>
      </c>
      <c r="BZ55" s="13">
        <f>BY55*VLOOKUP('Données projet'!$B$12,Paramètres!$A$1:$I$89,3,0)*VLOOKUP('Données projet'!$B$12,Paramètres!$A$1:$I$89,5,0)</f>
        <v>114.12960000000004</v>
      </c>
      <c r="CA55" s="13">
        <f t="shared" si="39"/>
        <v>30.301853799069086</v>
      </c>
      <c r="CB55" s="20">
        <f t="shared" si="10"/>
        <v>251.55144870004537</v>
      </c>
      <c r="CC55" s="59">
        <f t="shared" si="11"/>
        <v>544.88478203337866</v>
      </c>
      <c r="CD55" s="59">
        <f ca="1">AVERAGE(OFFSET($CC$3,0,0,'Données projet'!$E$12+1,1))-AVERAGE(OFFSET($H$3,0,0,'Données projet'!$E$12+1,1))</f>
        <v>154.93882427988234</v>
      </c>
      <c r="CE55" s="59">
        <f t="shared" si="40"/>
        <v>56.347130462109817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>
        <f>EXP(-LN(2)/35)*CK54+(1-EXP(-LN(2)/35))/(LN(2)/35)*CG55*CH55*VLOOKUP('Données projet'!$B$12,Paramètres!$A$1:$I$89,3,0)*0.475*44/12</f>
        <v>0</v>
      </c>
      <c r="CL55" s="21">
        <f>EXP(-LN(2)/25)*CL54+(1-EXP(-LN(2)/25))/(LN(2)/25)*Calculateur!CG55*Calculateur!CI55*VLOOKUP('Données projet'!$B$12,Paramètres!$A$1:$I$89,3,0)*0.475*44/12</f>
        <v>0</v>
      </c>
      <c r="CM55" s="21">
        <f>EXP(-LN(2)/2)*CM54+(1-EXP(-LN(2)/2))/(LN(2)/2)*CG55*CJ55*VLOOKUP('Données projet'!$B$12,Paramètres!$A$1:$I$89,3,0)*0.475*44/12</f>
        <v>0</v>
      </c>
      <c r="CN55" s="22">
        <f t="shared" si="12"/>
        <v>0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47.127600000000029</v>
      </c>
      <c r="D56" s="11">
        <f t="shared" si="32"/>
        <v>13.869414921287754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470.85415026958998</v>
      </c>
      <c r="H56" s="67">
        <f t="shared" si="1"/>
        <v>399.56980098790956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 t="e">
        <f>VLOOKUP(A56,'Données projet'!$A$35:$I$55,2,0)</f>
        <v>#N/A</v>
      </c>
      <c r="L56" s="12" t="e">
        <f>VLOOKUP(A56,'Données projet'!$A$35:$I$55,9,0)</f>
        <v>#N/A</v>
      </c>
      <c r="M56" s="12">
        <f t="array" ref="M56">INDEX(L:L,MIN(IF(ISNUMBER(L56:L252),ROW(L56:L252),"")))</f>
        <v>3.75</v>
      </c>
      <c r="N56" s="13">
        <f>IF('Données projet'!$A$36&gt;35,N55+M56-V55,IF(A56&lt;'Données projet'!$A$36,$K$205^A56,IF(A56='Données projet'!$A$36,'Données projet'!$B$36,N55+M56-V55)))</f>
        <v>180.25</v>
      </c>
      <c r="O56" s="13">
        <f>N56*VLOOKUP('Données projet'!$B$9,Paramètres!$A$1:$I$89,3,0)*VLOOKUP('Données projet'!$B$9,Paramètres!$A$1:$I$89,5,0)</f>
        <v>107.78950000000002</v>
      </c>
      <c r="P56" s="13">
        <f t="shared" si="33"/>
        <v>28.80955980975984</v>
      </c>
      <c r="Q56" s="20">
        <f t="shared" si="53"/>
        <v>237.91002916866509</v>
      </c>
      <c r="R56" s="59">
        <f t="shared" si="0"/>
        <v>531.24336250199838</v>
      </c>
      <c r="S56" s="59">
        <f ca="1">AVERAGE(OFFSET($R$3,0,0,'Données projet'!$E$9+1,1))-AVERAGE(OFFSET($H$3,0,0,'Données projet'!$E$9+1,1))</f>
        <v>72.647148358003676</v>
      </c>
      <c r="T56" s="59">
        <f t="shared" si="34"/>
        <v>87.231299224620898</v>
      </c>
      <c r="U56" s="15">
        <f>IF(ISNA(VLOOKUP(A56,'Données projet'!$A$35:$I$55,3,0)),0,VLOOKUP(A56,'Données projet'!$A$35:$I$55,3,0))</f>
        <v>0</v>
      </c>
      <c r="V56" s="15">
        <f>IF(ISNA(VLOOKUP(A56,'Données projet'!$A$35:$I$55,4,0)),0,VLOOKUP(A56,'Données projet'!$A$35:$I$55,4,0))</f>
        <v>0</v>
      </c>
      <c r="W56" s="16">
        <f>IF(ISNA(VLOOKUP(A56,'Données projet'!$A$35:$I$55,5,0)),0%,VLOOKUP(A56,'Données projet'!$A$35:$I$55,5,0)*VLOOKUP('Données projet'!$B$9,Paramètres!$A$1:$I$89,7,0))</f>
        <v>0</v>
      </c>
      <c r="X56" s="16">
        <f>IF(ISNA(VLOOKUP(A56,'Données projet'!$A$35:$I$55,6,0)),0%,VLOOKUP(A56,'Données projet'!$A$35:$I$55,6,0)*VLOOKUP('Données projet'!$B$9,Paramètres!$A$1:$I$89,7,0))</f>
        <v>0</v>
      </c>
      <c r="Y56" s="16">
        <f>IF(ISNA(VLOOKUP(A56,'Données projet'!$A$35:$I$55,7,0)),0%,VLOOKUP(A56,'Données projet'!$A$35:$I$55,7,0))</f>
        <v>0</v>
      </c>
      <c r="Z56" s="21">
        <f>EXP(-LN(2)/35)*Z55+(1-EXP(-LN(2)/35))/(LN(2)/35)*V56*W56*VLOOKUP('Données projet'!$B$9,Paramètres!$A$1:$I$89,3,0)*0.475*44/12</f>
        <v>0.80692190038377876</v>
      </c>
      <c r="AA56" s="21">
        <f>EXP(-LN(2)/25)*AA55+(1-EXP(-LN(2)/25))/(LN(2)/25)*Calculateur!V56*Calculateur!X56*VLOOKUP('Données projet'!$B$9,Paramètres!$A$1:$I$89,3,0)*0.475*44/12</f>
        <v>2.3947419925233189</v>
      </c>
      <c r="AB56" s="21">
        <f>EXP(-LN(2)/2)*AB55+(1-EXP(-LN(2)/2))/(LN(2)/2)*V56*Y56*VLOOKUP('Données projet'!$B$9,Paramètres!$A$1:$I$89,3,0)*0.475*44/12</f>
        <v>7.8751812060406847E-4</v>
      </c>
      <c r="AC56" s="22">
        <f t="shared" si="3"/>
        <v>3.2024514110277016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4.4000000000000004</v>
      </c>
      <c r="AI56" s="13">
        <f>IF('Données projet'!$A$62&gt;35,AI55+AH56-AQ55,IF(A56&lt;'Données projet'!$A$62,$AF$205^A56,IF(A56='Données projet'!$A$62,'Données projet'!$B$62,AI55+AH56-AQ55)))</f>
        <v>174.2</v>
      </c>
      <c r="AJ56" s="13">
        <f>AI56*VLOOKUP('Données projet'!$B$10,Paramètres!$A$1:$I$89,3,0)*VLOOKUP('Données projet'!$B$10,Paramètres!$A$1:$I$89,5,0)</f>
        <v>141.31104000000002</v>
      </c>
      <c r="AK56" s="13">
        <f t="shared" si="35"/>
        <v>36.597183225222992</v>
      </c>
      <c r="AL56" s="20">
        <f t="shared" si="4"/>
        <v>309.85682211726339</v>
      </c>
      <c r="AM56" s="59">
        <f t="shared" si="5"/>
        <v>603.19015545059665</v>
      </c>
      <c r="AN56" s="59">
        <f ca="1">AVERAGE(OFFSET($AM$3,0,0,'Données projet'!$E$10+1,1))-AVERAGE(OFFSET($H$3,0,0,'Données projet'!$E$10+1,1))</f>
        <v>145.3656871223958</v>
      </c>
      <c r="AO56" s="59">
        <f t="shared" si="36"/>
        <v>180.54762778843178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0</v>
      </c>
      <c r="AV56" s="21">
        <f>EXP(-LN(2)/25)*AV55+(1-EXP(-LN(2)/25))/(LN(2)/25)*Calculateur!AQ56*Calculateur!AS56*VLOOKUP('Données projet'!$B$10,Paramètres!$A$1:$I$89,3,0)*0.475*44/12</f>
        <v>2.9390962099961957</v>
      </c>
      <c r="AW56" s="21">
        <f>EXP(-LN(2)/2)*AW55+(1-EXP(-LN(2)/2))/(LN(2)/2)*AQ56*AT56*VLOOKUP('Données projet'!$B$10,Paramètres!$A$1:$I$89,3,0)*0.475*44/12</f>
        <v>2.8181231447364685E-3</v>
      </c>
      <c r="AX56" s="21">
        <f t="shared" si="6"/>
        <v>2.9419143331409323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5.5</v>
      </c>
      <c r="BD56" s="12">
        <f>IF('Données projet'!$A$88&gt;35,BD55+BC56-BL55,IF(A56&lt;'Données projet'!$A$88,$BA$205^A56,IF(A56='Données projet'!$A$88,'Données projet'!$B$88,BD55+BC56-BL55)))</f>
        <v>123.49999999999997</v>
      </c>
      <c r="BE56" s="13">
        <f>BD56*VLOOKUP('Données projet'!$B$11,Paramètres!$A$1:$I$89,3,0)*VLOOKUP('Données projet'!$B$11,Paramètres!$A$1:$I$89,5,0)</f>
        <v>111.74279999999997</v>
      </c>
      <c r="BF56" s="13">
        <f t="shared" si="37"/>
        <v>29.741225429709573</v>
      </c>
      <c r="BG56" s="20">
        <f t="shared" si="7"/>
        <v>246.4180109567441</v>
      </c>
      <c r="BH56" s="59">
        <f t="shared" si="8"/>
        <v>539.75134429007744</v>
      </c>
      <c r="BI56" s="59">
        <f ca="1">AVERAGE(OFFSET($BH$3,0,0,'Données projet'!$E$11+1,1))-AVERAGE(OFFSET($H$3,0,0,'Données projet'!$E$11+1,1))</f>
        <v>138.8931001150624</v>
      </c>
      <c r="BJ56" s="59">
        <f t="shared" si="38"/>
        <v>48.964659354096625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>
        <f>EXP(-LN(2)/35)*BP55+(1-EXP(-LN(2)/35))/(LN(2)/35)*BL56*BM56*VLOOKUP('Données projet'!$B$11,Paramètres!$A$1:$I$89,3,0)*0.475*44/12</f>
        <v>0</v>
      </c>
      <c r="BQ56" s="21">
        <f>EXP(-LN(2)/25)*BQ55+(1-EXP(-LN(2)/25))/(LN(2)/25)*Calculateur!BL56*Calculateur!BN56*VLOOKUP('Données projet'!$B$11,Paramètres!$A$1:$I$89,3,0)*0.475*44/12</f>
        <v>0</v>
      </c>
      <c r="BR56" s="21">
        <f>EXP(-LN(2)/2)*BR55+(1-EXP(-LN(2)/2))/(LN(2)/2)*BL56*BO56*VLOOKUP('Données projet'!$B$11,Paramètres!$A$1:$I$89,3,0)*0.475*44/12</f>
        <v>0</v>
      </c>
      <c r="BS56" s="22">
        <f t="shared" si="9"/>
        <v>0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5.5</v>
      </c>
      <c r="BY56" s="12">
        <f>IF('Données projet'!$A$114&gt;35,BY55+BX56-CG55,IF(A56&lt;'Données projet'!$A$114,$BV$205^A56,IF(A56='Données projet'!$A$114,'Données projet'!$B$114,BY55+BX56-CG55)))</f>
        <v>123.50000000000004</v>
      </c>
      <c r="BZ56" s="13">
        <f>BY56*VLOOKUP('Données projet'!$B$12,Paramètres!$A$1:$I$89,3,0)*VLOOKUP('Données projet'!$B$12,Paramètres!$A$1:$I$89,5,0)</f>
        <v>119.44920000000003</v>
      </c>
      <c r="CA56" s="13">
        <f t="shared" si="39"/>
        <v>31.54649986262719</v>
      </c>
      <c r="CB56" s="20">
        <f t="shared" si="10"/>
        <v>262.9841772607424</v>
      </c>
      <c r="CC56" s="59">
        <f t="shared" si="11"/>
        <v>556.31751059407566</v>
      </c>
      <c r="CD56" s="59">
        <f ca="1">AVERAGE(OFFSET($CC$3,0,0,'Données projet'!$E$12+1,1))-AVERAGE(OFFSET($H$3,0,0,'Données projet'!$E$12+1,1))</f>
        <v>154.93882427988234</v>
      </c>
      <c r="CE56" s="59">
        <f t="shared" si="40"/>
        <v>56.347130462109817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>
        <f>EXP(-LN(2)/35)*CK55+(1-EXP(-LN(2)/35))/(LN(2)/35)*CG56*CH56*VLOOKUP('Données projet'!$B$12,Paramètres!$A$1:$I$89,3,0)*0.475*44/12</f>
        <v>0</v>
      </c>
      <c r="CL56" s="21">
        <f>EXP(-LN(2)/25)*CL55+(1-EXP(-LN(2)/25))/(LN(2)/25)*Calculateur!CG56*Calculateur!CI56*VLOOKUP('Données projet'!$B$12,Paramètres!$A$1:$I$89,3,0)*0.475*44/12</f>
        <v>0</v>
      </c>
      <c r="CM56" s="21">
        <f>EXP(-LN(2)/2)*CM55+(1-EXP(-LN(2)/2))/(LN(2)/2)*CG56*CJ56*VLOOKUP('Données projet'!$B$12,Paramètres!$A$1:$I$89,3,0)*0.475*44/12</f>
        <v>0</v>
      </c>
      <c r="CN56" s="22">
        <f t="shared" si="12"/>
        <v>0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48.016800000000032</v>
      </c>
      <c r="D57" s="11">
        <f t="shared" si="32"/>
        <v>14.100389472000563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479.50111171368889</v>
      </c>
      <c r="H57" s="67">
        <f t="shared" si="1"/>
        <v>401.52077166373437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>
        <f>VLOOKUP(A57,'Données projet'!$A$35:$I$55,2,0)</f>
        <v>184</v>
      </c>
      <c r="L57" s="12">
        <f>VLOOKUP(A57,'Données projet'!$A$35:$I$55,9,0)</f>
        <v>3.75</v>
      </c>
      <c r="M57" s="12">
        <f t="array" ref="M57">INDEX(L:L,MIN(IF(ISNUMBER(L57:L253),ROW(L57:L253),"")))</f>
        <v>3.75</v>
      </c>
      <c r="N57" s="13">
        <f>IF('Données projet'!$A$36&gt;35,N56+M57-V56,IF(A57&lt;'Données projet'!$A$36,$K$205^A57,IF(A57='Données projet'!$A$36,'Données projet'!$B$36,N56+M57-V56)))</f>
        <v>184</v>
      </c>
      <c r="O57" s="13">
        <f>N57*VLOOKUP('Données projet'!$B$9,Paramètres!$A$1:$I$89,3,0)*VLOOKUP('Données projet'!$B$9,Paramètres!$A$1:$I$89,5,0)</f>
        <v>110.03200000000001</v>
      </c>
      <c r="P57" s="13">
        <f t="shared" si="33"/>
        <v>29.338523894513916</v>
      </c>
      <c r="Q57" s="20">
        <f t="shared" si="53"/>
        <v>242.73699578294506</v>
      </c>
      <c r="R57" s="59">
        <f t="shared" si="0"/>
        <v>536.07032911627834</v>
      </c>
      <c r="S57" s="59">
        <f ca="1">AVERAGE(OFFSET($R$3,0,0,'Données projet'!$E$9+1,1))-AVERAGE(OFFSET($H$3,0,0,'Données projet'!$E$9+1,1))</f>
        <v>72.647148358003676</v>
      </c>
      <c r="T57" s="59">
        <f t="shared" si="34"/>
        <v>87.231299224620898</v>
      </c>
      <c r="U57" s="15">
        <f>IF(ISNA(VLOOKUP(A57,'Données projet'!$A$35:$I$55,3,0)),0,VLOOKUP(A57,'Données projet'!$A$35:$I$55,3,0))</f>
        <v>8</v>
      </c>
      <c r="V57" s="15">
        <f>IF(ISNA(VLOOKUP(A57,'Données projet'!$A$35:$I$55,4,0)),0,VLOOKUP(A57,'Données projet'!$A$35:$I$55,4,0))</f>
        <v>16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0.79109865409101399</v>
      </c>
      <c r="AA57" s="21">
        <f>EXP(-LN(2)/25)*AA56+(1-EXP(-LN(2)/25))/(LN(2)/25)*Calculateur!V57*Calculateur!X57*VLOOKUP('Données projet'!$B$9,Paramètres!$A$1:$I$89,3,0)*0.475*44/12</f>
        <v>2.3292576468037605</v>
      </c>
      <c r="AB57" s="21">
        <f>EXP(-LN(2)/2)*AB56+(1-EXP(-LN(2)/2))/(LN(2)/2)*V57*Y57*VLOOKUP('Données projet'!$B$9,Paramètres!$A$1:$I$89,3,0)*0.475*44/12</f>
        <v>5.5685940338642218E-4</v>
      </c>
      <c r="AC57" s="22">
        <f t="shared" si="3"/>
        <v>3.1209131602981608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4.4000000000000004</v>
      </c>
      <c r="AI57" s="13">
        <f>IF('Données projet'!$A$62&gt;35,AI56+AH57-AQ56,IF(A57&lt;'Données projet'!$A$62,$AF$205^A57,IF(A57='Données projet'!$A$62,'Données projet'!$B$62,AI56+AH57-AQ56)))</f>
        <v>178.6</v>
      </c>
      <c r="AJ57" s="13">
        <f>AI57*VLOOKUP('Données projet'!$B$10,Paramètres!$A$1:$I$89,3,0)*VLOOKUP('Données projet'!$B$10,Paramètres!$A$1:$I$89,5,0)</f>
        <v>144.88032000000001</v>
      </c>
      <c r="AK57" s="13">
        <f t="shared" si="35"/>
        <v>37.412778923310412</v>
      </c>
      <c r="AL57" s="20">
        <f t="shared" si="4"/>
        <v>317.493813958099</v>
      </c>
      <c r="AM57" s="59">
        <f t="shared" si="5"/>
        <v>610.82714729143231</v>
      </c>
      <c r="AN57" s="59">
        <f ca="1">AVERAGE(OFFSET($AM$3,0,0,'Données projet'!$E$10+1,1))-AVERAGE(OFFSET($H$3,0,0,'Données projet'!$E$10+1,1))</f>
        <v>145.3656871223958</v>
      </c>
      <c r="AO57" s="59">
        <f t="shared" si="36"/>
        <v>180.54762778843178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0</v>
      </c>
      <c r="AV57" s="21">
        <f>EXP(-LN(2)/25)*AV56+(1-EXP(-LN(2)/25))/(LN(2)/25)*Calculateur!AQ57*Calculateur!AS57*VLOOKUP('Données projet'!$B$10,Paramètres!$A$1:$I$89,3,0)*0.475*44/12</f>
        <v>2.8587264695734973</v>
      </c>
      <c r="AW57" s="21">
        <f>EXP(-LN(2)/2)*AW56+(1-EXP(-LN(2)/2))/(LN(2)/2)*AQ57*AT57*VLOOKUP('Données projet'!$B$10,Paramètres!$A$1:$I$89,3,0)*0.475*44/12</f>
        <v>1.9927139858619152E-3</v>
      </c>
      <c r="AX57" s="21">
        <f t="shared" si="6"/>
        <v>2.8607191835593593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5.5</v>
      </c>
      <c r="BD57" s="12">
        <f>IF('Données projet'!$A$88&gt;35,BD56+BC57-BL56,IF(A57&lt;'Données projet'!$A$88,$BA$205^A57,IF(A57='Données projet'!$A$88,'Données projet'!$B$88,BD56+BC57-BL56)))</f>
        <v>128.99999999999997</v>
      </c>
      <c r="BE57" s="13">
        <f>BD57*VLOOKUP('Données projet'!$B$11,Paramètres!$A$1:$I$89,3,0)*VLOOKUP('Données projet'!$B$11,Paramètres!$A$1:$I$89,5,0)</f>
        <v>116.71919999999997</v>
      </c>
      <c r="BF57" s="13">
        <f t="shared" si="37"/>
        <v>30.908576435525887</v>
      </c>
      <c r="BG57" s="20">
        <f t="shared" si="7"/>
        <v>257.11837729187414</v>
      </c>
      <c r="BH57" s="59">
        <f t="shared" si="8"/>
        <v>550.4517106252074</v>
      </c>
      <c r="BI57" s="59">
        <f ca="1">AVERAGE(OFFSET($BH$3,0,0,'Données projet'!$E$11+1,1))-AVERAGE(OFFSET($H$3,0,0,'Données projet'!$E$11+1,1))</f>
        <v>138.8931001150624</v>
      </c>
      <c r="BJ57" s="59">
        <f t="shared" si="38"/>
        <v>48.964659354096625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>
        <f>EXP(-LN(2)/35)*BP56+(1-EXP(-LN(2)/35))/(LN(2)/35)*BL57*BM57*VLOOKUP('Données projet'!$B$11,Paramètres!$A$1:$I$89,3,0)*0.475*44/12</f>
        <v>0</v>
      </c>
      <c r="BQ57" s="21">
        <f>EXP(-LN(2)/25)*BQ56+(1-EXP(-LN(2)/25))/(LN(2)/25)*Calculateur!BL57*Calculateur!BN57*VLOOKUP('Données projet'!$B$11,Paramètres!$A$1:$I$89,3,0)*0.475*44/12</f>
        <v>0</v>
      </c>
      <c r="BR57" s="21">
        <f>EXP(-LN(2)/2)*BR56+(1-EXP(-LN(2)/2))/(LN(2)/2)*BL57*BO57*VLOOKUP('Données projet'!$B$11,Paramètres!$A$1:$I$89,3,0)*0.475*44/12</f>
        <v>0</v>
      </c>
      <c r="BS57" s="22">
        <f t="shared" si="9"/>
        <v>0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5.5</v>
      </c>
      <c r="BY57" s="12">
        <f>IF('Données projet'!$A$114&gt;35,BY56+BX57-CG56,IF(A57&lt;'Données projet'!$A$114,$BV$205^A57,IF(A57='Données projet'!$A$114,'Données projet'!$B$114,BY56+BX57-CG56)))</f>
        <v>129.00000000000006</v>
      </c>
      <c r="BZ57" s="13">
        <f>BY57*VLOOKUP('Données projet'!$B$12,Paramètres!$A$1:$I$89,3,0)*VLOOKUP('Données projet'!$B$12,Paramètres!$A$1:$I$89,5,0)</f>
        <v>124.76880000000006</v>
      </c>
      <c r="CA57" s="13">
        <f t="shared" si="39"/>
        <v>32.784708369928126</v>
      </c>
      <c r="CB57" s="20">
        <f t="shared" si="10"/>
        <v>274.40569374429157</v>
      </c>
      <c r="CC57" s="59">
        <f t="shared" si="11"/>
        <v>567.73902707762488</v>
      </c>
      <c r="CD57" s="59">
        <f ca="1">AVERAGE(OFFSET($CC$3,0,0,'Données projet'!$E$12+1,1))-AVERAGE(OFFSET($H$3,0,0,'Données projet'!$E$12+1,1))</f>
        <v>154.93882427988234</v>
      </c>
      <c r="CE57" s="59">
        <f t="shared" si="40"/>
        <v>56.347130462109817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>
        <f>EXP(-LN(2)/35)*CK56+(1-EXP(-LN(2)/35))/(LN(2)/35)*CG57*CH57*VLOOKUP('Données projet'!$B$12,Paramètres!$A$1:$I$89,3,0)*0.475*44/12</f>
        <v>0</v>
      </c>
      <c r="CL57" s="21">
        <f>EXP(-LN(2)/25)*CL56+(1-EXP(-LN(2)/25))/(LN(2)/25)*Calculateur!CG57*Calculateur!CI57*VLOOKUP('Données projet'!$B$12,Paramètres!$A$1:$I$89,3,0)*0.475*44/12</f>
        <v>0</v>
      </c>
      <c r="CM57" s="21">
        <f>EXP(-LN(2)/2)*CM56+(1-EXP(-LN(2)/2))/(LN(2)/2)*CG57*CJ57*VLOOKUP('Données projet'!$B$12,Paramètres!$A$1:$I$89,3,0)*0.475*44/12</f>
        <v>0</v>
      </c>
      <c r="CN57" s="22">
        <f t="shared" si="12"/>
        <v>0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48.906000000000034</v>
      </c>
      <c r="D58" s="11">
        <f t="shared" si="32"/>
        <v>14.330866650402033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488.14423379257738</v>
      </c>
      <c r="H58" s="67">
        <f t="shared" si="1"/>
        <v>403.47087608278355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1.625</v>
      </c>
      <c r="N58" s="13">
        <f>IF('Données projet'!$A$36&gt;35,N57+M58-V57,IF(A58&lt;'Données projet'!$A$36,$K$205^A58,IF(A58='Données projet'!$A$36,'Données projet'!$B$36,N57+M58-V57)))</f>
        <v>169.625</v>
      </c>
      <c r="O58" s="13">
        <f>N58*VLOOKUP('Données projet'!$B$9,Paramètres!$A$1:$I$89,3,0)*VLOOKUP('Données projet'!$B$9,Paramètres!$A$1:$I$89,5,0)</f>
        <v>101.43575000000001</v>
      </c>
      <c r="P58" s="13">
        <f t="shared" si="33"/>
        <v>27.303760885708478</v>
      </c>
      <c r="Q58" s="20">
        <f t="shared" si="53"/>
        <v>224.22131479260892</v>
      </c>
      <c r="R58" s="59">
        <f t="shared" si="0"/>
        <v>517.55464812594221</v>
      </c>
      <c r="S58" s="59">
        <f ca="1">AVERAGE(OFFSET($R$3,0,0,'Données projet'!$E$9+1,1))-AVERAGE(OFFSET($H$3,0,0,'Données projet'!$E$9+1,1))</f>
        <v>72.647148358003676</v>
      </c>
      <c r="T58" s="59">
        <f t="shared" si="34"/>
        <v>87.231299224620898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0.77558569200682304</v>
      </c>
      <c r="AA58" s="21">
        <f>EXP(-LN(2)/25)*AA57+(1-EXP(-LN(2)/25))/(LN(2)/25)*Calculateur!V58*Calculateur!X58*VLOOKUP('Données projet'!$B$9,Paramètres!$A$1:$I$89,3,0)*0.475*44/12</f>
        <v>2.2655639739615756</v>
      </c>
      <c r="AB58" s="21">
        <f>EXP(-LN(2)/2)*AB57+(1-EXP(-LN(2)/2))/(LN(2)/2)*V58*Y58*VLOOKUP('Données projet'!$B$9,Paramètres!$A$1:$I$89,3,0)*0.475*44/12</f>
        <v>3.9375906030203424E-4</v>
      </c>
      <c r="AC58" s="22">
        <f t="shared" si="3"/>
        <v>3.0415434250287006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 t="e">
        <f>VLOOKUP(A58,'Données projet'!$A$61:$I$81,2,0)</f>
        <v>#N/A</v>
      </c>
      <c r="AG58" s="12" t="e">
        <f>VLOOKUP(A58,'Données projet'!$A$61:$I$81,9,0)</f>
        <v>#N/A</v>
      </c>
      <c r="AH58" s="12">
        <f t="array" ref="AH58">INDEX(AG:AG,MIN(IF(ISNUMBER(AG58:AG254),ROW(AG58:AG254),"")))</f>
        <v>4.4000000000000004</v>
      </c>
      <c r="AI58" s="13">
        <f>IF('Données projet'!$A$62&gt;35,AI57+AH58-AQ57,IF(A58&lt;'Données projet'!$A$62,$AF$205^A58,IF(A58='Données projet'!$A$62,'Données projet'!$B$62,AI57+AH58-AQ57)))</f>
        <v>183</v>
      </c>
      <c r="AJ58" s="13">
        <f>AI58*VLOOKUP('Données projet'!$B$10,Paramètres!$A$1:$I$89,3,0)*VLOOKUP('Données projet'!$B$10,Paramètres!$A$1:$I$89,5,0)</f>
        <v>148.4496</v>
      </c>
      <c r="AK58" s="13">
        <f t="shared" si="35"/>
        <v>38.226038889407498</v>
      </c>
      <c r="AL58" s="20">
        <f t="shared" si="4"/>
        <v>325.1267377323847</v>
      </c>
      <c r="AM58" s="59">
        <f t="shared" si="5"/>
        <v>618.46007106571801</v>
      </c>
      <c r="AN58" s="59">
        <f ca="1">AVERAGE(OFFSET($AM$3,0,0,'Données projet'!$E$10+1,1))-AVERAGE(OFFSET($H$3,0,0,'Données projet'!$E$10+1,1))</f>
        <v>145.3656871223958</v>
      </c>
      <c r="AO58" s="59">
        <f t="shared" si="36"/>
        <v>180.54762778843178</v>
      </c>
      <c r="AP58" s="15">
        <f>IF(ISNA(VLOOKUP(A58,'Données projet'!$A$61:$I$81,3,0)),0,VLOOKUP(A58,'Données projet'!$A$61:$I$81,3,0))</f>
        <v>0</v>
      </c>
      <c r="AQ58" s="15">
        <f>IF(ISNA(VLOOKUP(A58,'Données projet'!$A$61:$I$81,4,0)),0,VLOOKUP(A58,'Données projet'!$A$61:$I$81,4,0))</f>
        <v>0</v>
      </c>
      <c r="AR58" s="16">
        <f>IF(ISNA(VLOOKUP(A58,'Données projet'!$A$61:$I$81,5,0)),0%,VLOOKUP(A58,'Données projet'!$A$61:$I$81,5,0)*VLOOKUP('Données projet'!$B$10,Paramètres!$A$1:$I$89,7,0))</f>
        <v>0</v>
      </c>
      <c r="AS58" s="16">
        <f>IF(ISNA(VLOOKUP(A58,'Données projet'!$A$61:$I$81,6,0)),0%,VLOOKUP(A58,'Données projet'!$A$61:$I$81,6,0)*VLOOKUP('Données projet'!$B$10,Paramètres!$A$1:$I$89,7,0))</f>
        <v>0</v>
      </c>
      <c r="AT58" s="16">
        <f>IF(ISNA(VLOOKUP(A58,'Données projet'!$A$61:$I$81,7,0)),0%,VLOOKUP(A58,'Données projet'!$A$61:$I$81,7,0))</f>
        <v>0</v>
      </c>
      <c r="AU58" s="21">
        <f>EXP(-LN(2)/35)*AU57+(1-EXP(-LN(2)/35))/(LN(2)/35)*AQ58*AR58*VLOOKUP('Données projet'!$B$10,Paramètres!$A$1:$I$89,3,0)*0.475*44/12</f>
        <v>0</v>
      </c>
      <c r="AV58" s="21">
        <f>EXP(-LN(2)/25)*AV57+(1-EXP(-LN(2)/25))/(LN(2)/25)*Calculateur!AQ58*Calculateur!AS58*VLOOKUP('Données projet'!$B$10,Paramètres!$A$1:$I$89,3,0)*0.475*44/12</f>
        <v>2.7805544439291188</v>
      </c>
      <c r="AW58" s="21">
        <f>EXP(-LN(2)/2)*AW57+(1-EXP(-LN(2)/2))/(LN(2)/2)*AQ58*AT58*VLOOKUP('Données projet'!$B$10,Paramètres!$A$1:$I$89,3,0)*0.475*44/12</f>
        <v>1.4090615723682343E-3</v>
      </c>
      <c r="AX58" s="21">
        <f t="shared" si="6"/>
        <v>2.7819635055014871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5.5</v>
      </c>
      <c r="BD58" s="12">
        <f>IF('Données projet'!$A$88&gt;35,BD57+BC58-BL57,IF(A58&lt;'Données projet'!$A$88,$BA$205^A58,IF(A58='Données projet'!$A$88,'Données projet'!$B$88,BD57+BC58-BL57)))</f>
        <v>134.49999999999997</v>
      </c>
      <c r="BE58" s="13">
        <f>BD58*VLOOKUP('Données projet'!$B$11,Paramètres!$A$1:$I$89,3,0)*VLOOKUP('Données projet'!$B$11,Paramètres!$A$1:$I$89,5,0)</f>
        <v>121.69559999999997</v>
      </c>
      <c r="BF58" s="13">
        <f t="shared" si="37"/>
        <v>32.070146624846785</v>
      </c>
      <c r="BG58" s="20">
        <f t="shared" si="7"/>
        <v>267.8086753716081</v>
      </c>
      <c r="BH58" s="59">
        <f t="shared" si="8"/>
        <v>561.14200870494142</v>
      </c>
      <c r="BI58" s="59">
        <f ca="1">AVERAGE(OFFSET($BH$3,0,0,'Données projet'!$E$11+1,1))-AVERAGE(OFFSET($H$3,0,0,'Données projet'!$E$11+1,1))</f>
        <v>138.8931001150624</v>
      </c>
      <c r="BJ58" s="59">
        <f t="shared" si="38"/>
        <v>48.964659354096625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>
        <f>EXP(-LN(2)/35)*BP57+(1-EXP(-LN(2)/35))/(LN(2)/35)*BL58*BM58*VLOOKUP('Données projet'!$B$11,Paramètres!$A$1:$I$89,3,0)*0.475*44/12</f>
        <v>0</v>
      </c>
      <c r="BQ58" s="21">
        <f>EXP(-LN(2)/25)*BQ57+(1-EXP(-LN(2)/25))/(LN(2)/25)*Calculateur!BL58*Calculateur!BN58*VLOOKUP('Données projet'!$B$11,Paramètres!$A$1:$I$89,3,0)*0.475*44/12</f>
        <v>0</v>
      </c>
      <c r="BR58" s="21">
        <f>EXP(-LN(2)/2)*BR57+(1-EXP(-LN(2)/2))/(LN(2)/2)*BL58*BO58*VLOOKUP('Données projet'!$B$11,Paramètres!$A$1:$I$89,3,0)*0.475*44/12</f>
        <v>0</v>
      </c>
      <c r="BS58" s="22">
        <f t="shared" si="9"/>
        <v>0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5.5</v>
      </c>
      <c r="BY58" s="12">
        <f>IF('Données projet'!$A$114&gt;35,BY57+BX58-CG57,IF(A58&lt;'Données projet'!$A$114,$BV$205^A58,IF(A58='Données projet'!$A$114,'Données projet'!$B$114,BY57+BX58-CG57)))</f>
        <v>134.50000000000006</v>
      </c>
      <c r="BZ58" s="13">
        <f>BY58*VLOOKUP('Données projet'!$B$12,Paramètres!$A$1:$I$89,3,0)*VLOOKUP('Données projet'!$B$12,Paramètres!$A$1:$I$89,5,0)</f>
        <v>130.08840000000004</v>
      </c>
      <c r="CA58" s="13">
        <f t="shared" si="39"/>
        <v>34.016785168661507</v>
      </c>
      <c r="CB58" s="20">
        <f t="shared" si="10"/>
        <v>285.81653083541886</v>
      </c>
      <c r="CC58" s="59">
        <f t="shared" si="11"/>
        <v>579.14986416875217</v>
      </c>
      <c r="CD58" s="59">
        <f ca="1">AVERAGE(OFFSET($CC$3,0,0,'Données projet'!$E$12+1,1))-AVERAGE(OFFSET($H$3,0,0,'Données projet'!$E$12+1,1))</f>
        <v>154.93882427988234</v>
      </c>
      <c r="CE58" s="59">
        <f t="shared" si="40"/>
        <v>56.347130462109817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>
        <f>EXP(-LN(2)/35)*CK57+(1-EXP(-LN(2)/35))/(LN(2)/35)*CG58*CH58*VLOOKUP('Données projet'!$B$12,Paramètres!$A$1:$I$89,3,0)*0.475*44/12</f>
        <v>0</v>
      </c>
      <c r="CL58" s="21">
        <f>EXP(-LN(2)/25)*CL57+(1-EXP(-LN(2)/25))/(LN(2)/25)*Calculateur!CG58*Calculateur!CI58*VLOOKUP('Données projet'!$B$12,Paramètres!$A$1:$I$89,3,0)*0.475*44/12</f>
        <v>0</v>
      </c>
      <c r="CM58" s="21">
        <f>EXP(-LN(2)/2)*CM57+(1-EXP(-LN(2)/2))/(LN(2)/2)*CG58*CJ58*VLOOKUP('Données projet'!$B$12,Paramètres!$A$1:$I$89,3,0)*0.475*44/12</f>
        <v>0</v>
      </c>
      <c r="CN58" s="22">
        <f t="shared" si="12"/>
        <v>0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49.795200000000037</v>
      </c>
      <c r="D59" s="11">
        <f t="shared" si="32"/>
        <v>14.560856542690786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496.78359436463097</v>
      </c>
      <c r="H59" s="67">
        <f t="shared" si="1"/>
        <v>405.42013181185314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1.625</v>
      </c>
      <c r="N59" s="13">
        <f>IF('Données projet'!$A$36&gt;35,N58+M59-V58,IF(A59&lt;'Données projet'!$A$36,$K$205^A59,IF(A59='Données projet'!$A$36,'Données projet'!$B$36,N58+M59-V58)))</f>
        <v>171.25</v>
      </c>
      <c r="O59" s="13">
        <f>N59*VLOOKUP('Données projet'!$B$9,Paramètres!$A$1:$I$89,3,0)*VLOOKUP('Données projet'!$B$9,Paramètres!$A$1:$I$89,5,0)</f>
        <v>102.40750000000001</v>
      </c>
      <c r="P59" s="13">
        <f t="shared" si="33"/>
        <v>27.534754690970516</v>
      </c>
      <c r="Q59" s="20">
        <f t="shared" si="53"/>
        <v>226.31609358677363</v>
      </c>
      <c r="R59" s="59">
        <f t="shared" si="0"/>
        <v>519.64942692010698</v>
      </c>
      <c r="S59" s="59">
        <f ca="1">AVERAGE(OFFSET($R$3,0,0,'Données projet'!$E$9+1,1))-AVERAGE(OFFSET($H$3,0,0,'Données projet'!$E$9+1,1))</f>
        <v>72.647148358003676</v>
      </c>
      <c r="T59" s="59">
        <f t="shared" si="34"/>
        <v>87.231299224620898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0.76037692964713055</v>
      </c>
      <c r="AA59" s="21">
        <f>EXP(-LN(2)/25)*AA58+(1-EXP(-LN(2)/25))/(LN(2)/25)*Calculateur!V59*Calculateur!X59*VLOOKUP('Données projet'!$B$9,Paramètres!$A$1:$I$89,3,0)*0.475*44/12</f>
        <v>2.2036120079527648</v>
      </c>
      <c r="AB59" s="21">
        <f>EXP(-LN(2)/2)*AB58+(1-EXP(-LN(2)/2))/(LN(2)/2)*V59*Y59*VLOOKUP('Données projet'!$B$9,Paramètres!$A$1:$I$89,3,0)*0.475*44/12</f>
        <v>2.7842970169321109E-4</v>
      </c>
      <c r="AC59" s="22">
        <f t="shared" si="3"/>
        <v>2.9642673673015882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4.4000000000000004</v>
      </c>
      <c r="AI59" s="13">
        <f>IF('Données projet'!$A$62&gt;35,AI58+AH59-AQ58,IF(A59&lt;'Données projet'!$A$62,$AF$205^A59,IF(A59='Données projet'!$A$62,'Données projet'!$B$62,AI58+AH59-AQ58)))</f>
        <v>187.4</v>
      </c>
      <c r="AJ59" s="13">
        <f>AI59*VLOOKUP('Données projet'!$B$10,Paramètres!$A$1:$I$89,3,0)*VLOOKUP('Données projet'!$B$10,Paramètres!$A$1:$I$89,5,0)</f>
        <v>152.01888000000002</v>
      </c>
      <c r="AK59" s="13">
        <f t="shared" si="35"/>
        <v>39.037025744724936</v>
      </c>
      <c r="AL59" s="20">
        <f t="shared" si="4"/>
        <v>332.75570250539596</v>
      </c>
      <c r="AM59" s="59">
        <f t="shared" si="5"/>
        <v>626.08903583872927</v>
      </c>
      <c r="AN59" s="59">
        <f ca="1">AVERAGE(OFFSET($AM$3,0,0,'Données projet'!$E$10+1,1))-AVERAGE(OFFSET($H$3,0,0,'Données projet'!$E$10+1,1))</f>
        <v>145.3656871223958</v>
      </c>
      <c r="AO59" s="59">
        <f t="shared" si="36"/>
        <v>180.54762778843178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0</v>
      </c>
      <c r="AV59" s="21">
        <f>EXP(-LN(2)/25)*AV58+(1-EXP(-LN(2)/25))/(LN(2)/25)*Calculateur!AQ59*Calculateur!AS59*VLOOKUP('Données projet'!$B$10,Paramètres!$A$1:$I$89,3,0)*0.475*44/12</f>
        <v>2.704520036436874</v>
      </c>
      <c r="AW59" s="21">
        <f>EXP(-LN(2)/2)*AW58+(1-EXP(-LN(2)/2))/(LN(2)/2)*AQ59*AT59*VLOOKUP('Données projet'!$B$10,Paramètres!$A$1:$I$89,3,0)*0.475*44/12</f>
        <v>9.9635699293095762E-4</v>
      </c>
      <c r="AX59" s="21">
        <f t="shared" si="6"/>
        <v>2.705516393429805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5.5</v>
      </c>
      <c r="BD59" s="12">
        <f>IF('Données projet'!$A$88&gt;35,BD58+BC59-BL58,IF(A59&lt;'Données projet'!$A$88,$BA$205^A59,IF(A59='Données projet'!$A$88,'Données projet'!$B$88,BD58+BC59-BL58)))</f>
        <v>139.99999999999997</v>
      </c>
      <c r="BE59" s="13">
        <f>BD59*VLOOKUP('Données projet'!$B$11,Paramètres!$A$1:$I$89,3,0)*VLOOKUP('Données projet'!$B$11,Paramètres!$A$1:$I$89,5,0)</f>
        <v>126.67199999999997</v>
      </c>
      <c r="BF59" s="13">
        <f t="shared" si="37"/>
        <v>33.226199426361319</v>
      </c>
      <c r="BG59" s="20">
        <f t="shared" si="7"/>
        <v>278.48936400091259</v>
      </c>
      <c r="BH59" s="59">
        <f t="shared" si="8"/>
        <v>571.82269733424596</v>
      </c>
      <c r="BI59" s="59">
        <f ca="1">AVERAGE(OFFSET($BH$3,0,0,'Données projet'!$E$11+1,1))-AVERAGE(OFFSET($H$3,0,0,'Données projet'!$E$11+1,1))</f>
        <v>138.8931001150624</v>
      </c>
      <c r="BJ59" s="59">
        <f t="shared" si="38"/>
        <v>48.964659354096625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>
        <f>EXP(-LN(2)/35)*BP58+(1-EXP(-LN(2)/35))/(LN(2)/35)*BL59*BM59*VLOOKUP('Données projet'!$B$11,Paramètres!$A$1:$I$89,3,0)*0.475*44/12</f>
        <v>0</v>
      </c>
      <c r="BQ59" s="21">
        <f>EXP(-LN(2)/25)*BQ58+(1-EXP(-LN(2)/25))/(LN(2)/25)*Calculateur!BL59*Calculateur!BN59*VLOOKUP('Données projet'!$B$11,Paramètres!$A$1:$I$89,3,0)*0.475*44/12</f>
        <v>0</v>
      </c>
      <c r="BR59" s="21">
        <f>EXP(-LN(2)/2)*BR58+(1-EXP(-LN(2)/2))/(LN(2)/2)*BL59*BO59*VLOOKUP('Données projet'!$B$11,Paramètres!$A$1:$I$89,3,0)*0.475*44/12</f>
        <v>0</v>
      </c>
      <c r="BS59" s="22">
        <f t="shared" si="9"/>
        <v>0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5.5</v>
      </c>
      <c r="BY59" s="12">
        <f>IF('Données projet'!$A$114&gt;35,BY58+BX59-CG58,IF(A59&lt;'Données projet'!$A$114,$BV$205^A59,IF(A59='Données projet'!$A$114,'Données projet'!$B$114,BY58+BX59-CG58)))</f>
        <v>140.00000000000006</v>
      </c>
      <c r="BZ59" s="13">
        <f>BY59*VLOOKUP('Données projet'!$B$12,Paramètres!$A$1:$I$89,3,0)*VLOOKUP('Données projet'!$B$12,Paramètres!$A$1:$I$89,5,0)</f>
        <v>135.40800000000007</v>
      </c>
      <c r="CA59" s="13">
        <f t="shared" si="39"/>
        <v>35.243009677478732</v>
      </c>
      <c r="CB59" s="20">
        <f t="shared" si="10"/>
        <v>297.21717518827558</v>
      </c>
      <c r="CC59" s="59">
        <f t="shared" si="11"/>
        <v>590.55050852160889</v>
      </c>
      <c r="CD59" s="59">
        <f ca="1">AVERAGE(OFFSET($CC$3,0,0,'Données projet'!$E$12+1,1))-AVERAGE(OFFSET($H$3,0,0,'Données projet'!$E$12+1,1))</f>
        <v>154.93882427988234</v>
      </c>
      <c r="CE59" s="59">
        <f t="shared" si="40"/>
        <v>56.347130462109817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>
        <f>EXP(-LN(2)/35)*CK58+(1-EXP(-LN(2)/35))/(LN(2)/35)*CG59*CH59*VLOOKUP('Données projet'!$B$12,Paramètres!$A$1:$I$89,3,0)*0.475*44/12</f>
        <v>0</v>
      </c>
      <c r="CL59" s="21">
        <f>EXP(-LN(2)/25)*CL58+(1-EXP(-LN(2)/25))/(LN(2)/25)*Calculateur!CG59*Calculateur!CI59*VLOOKUP('Données projet'!$B$12,Paramètres!$A$1:$I$89,3,0)*0.475*44/12</f>
        <v>0</v>
      </c>
      <c r="CM59" s="21">
        <f>EXP(-LN(2)/2)*CM58+(1-EXP(-LN(2)/2))/(LN(2)/2)*CG59*CJ59*VLOOKUP('Données projet'!$B$12,Paramètres!$A$1:$I$89,3,0)*0.475*44/12</f>
        <v>0</v>
      </c>
      <c r="CN59" s="22">
        <f t="shared" si="12"/>
        <v>0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50.684400000000039</v>
      </c>
      <c r="D60" s="11">
        <f t="shared" si="32"/>
        <v>14.790368854214481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505.41926834832265</v>
      </c>
      <c r="H60" s="67">
        <f t="shared" si="1"/>
        <v>407.3685557544236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1.625</v>
      </c>
      <c r="N60" s="13">
        <f>IF('Données projet'!$A$36&gt;35,N59+M60-V59,IF(A60&lt;'Données projet'!$A$36,$K$205^A60,IF(A60='Données projet'!$A$36,'Données projet'!$B$36,N59+M60-V59)))</f>
        <v>172.875</v>
      </c>
      <c r="O60" s="13">
        <f>N60*VLOOKUP('Données projet'!$B$9,Paramètres!$A$1:$I$89,3,0)*VLOOKUP('Données projet'!$B$9,Paramètres!$A$1:$I$89,5,0)</f>
        <v>103.37925000000001</v>
      </c>
      <c r="P60" s="13">
        <f t="shared" si="33"/>
        <v>27.765493494477635</v>
      </c>
      <c r="Q60" s="20">
        <f t="shared" si="53"/>
        <v>228.41042825288187</v>
      </c>
      <c r="R60" s="59">
        <f t="shared" si="0"/>
        <v>521.74376158621521</v>
      </c>
      <c r="S60" s="59">
        <f ca="1">AVERAGE(OFFSET($R$3,0,0,'Données projet'!$E$9+1,1))-AVERAGE(OFFSET($H$3,0,0,'Données projet'!$E$9+1,1))</f>
        <v>72.647148358003676</v>
      </c>
      <c r="T60" s="59">
        <f t="shared" si="34"/>
        <v>87.231299224620898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0.74546640184088253</v>
      </c>
      <c r="AA60" s="21">
        <f>EXP(-LN(2)/25)*AA59+(1-EXP(-LN(2)/25))/(LN(2)/25)*Calculateur!V60*Calculateur!X60*VLOOKUP('Données projet'!$B$9,Paramètres!$A$1:$I$89,3,0)*0.475*44/12</f>
        <v>2.1433541217123775</v>
      </c>
      <c r="AB60" s="21">
        <f>EXP(-LN(2)/2)*AB59+(1-EXP(-LN(2)/2))/(LN(2)/2)*V60*Y60*VLOOKUP('Données projet'!$B$9,Paramètres!$A$1:$I$89,3,0)*0.475*44/12</f>
        <v>1.9687953015101712E-4</v>
      </c>
      <c r="AC60" s="22">
        <f t="shared" si="3"/>
        <v>2.889017403083411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4.4000000000000004</v>
      </c>
      <c r="AI60" s="13">
        <f>IF('Données projet'!$A$62&gt;35,AI59+AH60-AQ59,IF(A60&lt;'Données projet'!$A$62,$AF$205^A60,IF(A60='Données projet'!$A$62,'Données projet'!$B$62,AI59+AH60-AQ59)))</f>
        <v>191.8</v>
      </c>
      <c r="AJ60" s="13">
        <f>AI60*VLOOKUP('Données projet'!$B$10,Paramètres!$A$1:$I$89,3,0)*VLOOKUP('Données projet'!$B$10,Paramètres!$A$1:$I$89,5,0)</f>
        <v>155.58816000000002</v>
      </c>
      <c r="AK60" s="13">
        <f t="shared" si="35"/>
        <v>39.845799002129048</v>
      </c>
      <c r="AL60" s="20">
        <f t="shared" si="4"/>
        <v>340.38081192870806</v>
      </c>
      <c r="AM60" s="59">
        <f t="shared" si="5"/>
        <v>633.71414526204137</v>
      </c>
      <c r="AN60" s="59">
        <f ca="1">AVERAGE(OFFSET($AM$3,0,0,'Données projet'!$E$10+1,1))-AVERAGE(OFFSET($H$3,0,0,'Données projet'!$E$10+1,1))</f>
        <v>145.3656871223958</v>
      </c>
      <c r="AO60" s="59">
        <f t="shared" si="36"/>
        <v>180.54762778843178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0</v>
      </c>
      <c r="AV60" s="21">
        <f>EXP(-LN(2)/25)*AV59+(1-EXP(-LN(2)/25))/(LN(2)/25)*Calculateur!AQ60*Calculateur!AS60*VLOOKUP('Données projet'!$B$10,Paramètres!$A$1:$I$89,3,0)*0.475*44/12</f>
        <v>2.6305647938159802</v>
      </c>
      <c r="AW60" s="21">
        <f>EXP(-LN(2)/2)*AW59+(1-EXP(-LN(2)/2))/(LN(2)/2)*AQ60*AT60*VLOOKUP('Données projet'!$B$10,Paramètres!$A$1:$I$89,3,0)*0.475*44/12</f>
        <v>7.0453078618411713E-4</v>
      </c>
      <c r="AX60" s="21">
        <f t="shared" si="6"/>
        <v>2.6312693246021643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5.5</v>
      </c>
      <c r="BD60" s="12">
        <f>IF('Données projet'!$A$88&gt;35,BD59+BC60-BL59,IF(A60&lt;'Données projet'!$A$88,$BA$205^A60,IF(A60='Données projet'!$A$88,'Données projet'!$B$88,BD59+BC60-BL59)))</f>
        <v>145.49999999999997</v>
      </c>
      <c r="BE60" s="13">
        <f>BD60*VLOOKUP('Données projet'!$B$11,Paramètres!$A$1:$I$89,3,0)*VLOOKUP('Données projet'!$B$11,Paramètres!$A$1:$I$89,5,0)</f>
        <v>131.64839999999995</v>
      </c>
      <c r="BF60" s="13">
        <f t="shared" si="37"/>
        <v>34.376976398956401</v>
      </c>
      <c r="BG60" s="20">
        <f t="shared" si="7"/>
        <v>289.16086389484894</v>
      </c>
      <c r="BH60" s="59">
        <f t="shared" si="8"/>
        <v>582.4941972281822</v>
      </c>
      <c r="BI60" s="59">
        <f ca="1">AVERAGE(OFFSET($BH$3,0,0,'Données projet'!$E$11+1,1))-AVERAGE(OFFSET($H$3,0,0,'Données projet'!$E$11+1,1))</f>
        <v>138.8931001150624</v>
      </c>
      <c r="BJ60" s="59">
        <f t="shared" si="38"/>
        <v>48.964659354096625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>
        <f>EXP(-LN(2)/35)*BP59+(1-EXP(-LN(2)/35))/(LN(2)/35)*BL60*BM60*VLOOKUP('Données projet'!$B$11,Paramètres!$A$1:$I$89,3,0)*0.475*44/12</f>
        <v>0</v>
      </c>
      <c r="BQ60" s="21">
        <f>EXP(-LN(2)/25)*BQ59+(1-EXP(-LN(2)/25))/(LN(2)/25)*Calculateur!BL60*Calculateur!BN60*VLOOKUP('Données projet'!$B$11,Paramètres!$A$1:$I$89,3,0)*0.475*44/12</f>
        <v>0</v>
      </c>
      <c r="BR60" s="21">
        <f>EXP(-LN(2)/2)*BR59+(1-EXP(-LN(2)/2))/(LN(2)/2)*BL60*BO60*VLOOKUP('Données projet'!$B$11,Paramètres!$A$1:$I$89,3,0)*0.475*44/12</f>
        <v>0</v>
      </c>
      <c r="BS60" s="22">
        <f t="shared" si="9"/>
        <v>0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5.5</v>
      </c>
      <c r="BY60" s="12">
        <f>IF('Données projet'!$A$114&gt;35,BY59+BX60-CG59,IF(A60&lt;'Données projet'!$A$114,$BV$205^A60,IF(A60='Données projet'!$A$114,'Données projet'!$B$114,BY59+BX60-CG59)))</f>
        <v>145.50000000000006</v>
      </c>
      <c r="BZ60" s="13">
        <f>BY60*VLOOKUP('Données projet'!$B$12,Paramètres!$A$1:$I$89,3,0)*VLOOKUP('Données projet'!$B$12,Paramètres!$A$1:$I$89,5,0)</f>
        <v>140.72760000000005</v>
      </c>
      <c r="CA60" s="13">
        <f t="shared" si="39"/>
        <v>36.463638117745354</v>
      </c>
      <c r="CB60" s="20">
        <f t="shared" si="10"/>
        <v>308.60807305507319</v>
      </c>
      <c r="CC60" s="59">
        <f t="shared" si="11"/>
        <v>601.94140638840645</v>
      </c>
      <c r="CD60" s="59">
        <f ca="1">AVERAGE(OFFSET($CC$3,0,0,'Données projet'!$E$12+1,1))-AVERAGE(OFFSET($H$3,0,0,'Données projet'!$E$12+1,1))</f>
        <v>154.93882427988234</v>
      </c>
      <c r="CE60" s="59">
        <f t="shared" si="40"/>
        <v>56.347130462109817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>
        <f>EXP(-LN(2)/35)*CK59+(1-EXP(-LN(2)/35))/(LN(2)/35)*CG60*CH60*VLOOKUP('Données projet'!$B$12,Paramètres!$A$1:$I$89,3,0)*0.475*44/12</f>
        <v>0</v>
      </c>
      <c r="CL60" s="21">
        <f>EXP(-LN(2)/25)*CL59+(1-EXP(-LN(2)/25))/(LN(2)/25)*Calculateur!CG60*Calculateur!CI60*VLOOKUP('Données projet'!$B$12,Paramètres!$A$1:$I$89,3,0)*0.475*44/12</f>
        <v>0</v>
      </c>
      <c r="CM60" s="21">
        <f>EXP(-LN(2)/2)*CM59+(1-EXP(-LN(2)/2))/(LN(2)/2)*CG60*CJ60*VLOOKUP('Données projet'!$B$12,Paramètres!$A$1:$I$89,3,0)*0.475*44/12</f>
        <v>0</v>
      </c>
      <c r="CN60" s="22">
        <f t="shared" si="12"/>
        <v>0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51.573600000000042</v>
      </c>
      <c r="D61" s="11">
        <f t="shared" si="32"/>
        <v>15.01941293027533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514.05132788282742</v>
      </c>
      <c r="H61" s="67">
        <f t="shared" si="1"/>
        <v>409.31616418689623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1.625</v>
      </c>
      <c r="N61" s="13">
        <f>IF('Données projet'!$A$36&gt;35,N60+M61-V60,IF(A61&lt;'Données projet'!$A$36,$K$205^A61,IF(A61='Données projet'!$A$36,'Données projet'!$B$36,N60+M61-V60)))</f>
        <v>174.5</v>
      </c>
      <c r="O61" s="13">
        <f>N61*VLOOKUP('Données projet'!$B$9,Paramètres!$A$1:$I$89,3,0)*VLOOKUP('Données projet'!$B$9,Paramètres!$A$1:$I$89,5,0)</f>
        <v>104.35100000000001</v>
      </c>
      <c r="P61" s="13">
        <f t="shared" si="33"/>
        <v>27.995979970833542</v>
      </c>
      <c r="Q61" s="20">
        <f t="shared" si="53"/>
        <v>230.50432344920179</v>
      </c>
      <c r="R61" s="59">
        <f t="shared" si="0"/>
        <v>523.83765678253508</v>
      </c>
      <c r="S61" s="59">
        <f ca="1">AVERAGE(OFFSET($R$3,0,0,'Données projet'!$E$9+1,1))-AVERAGE(OFFSET($H$3,0,0,'Données projet'!$E$9+1,1))</f>
        <v>72.647148358003676</v>
      </c>
      <c r="T61" s="59">
        <f t="shared" si="34"/>
        <v>87.231299224620898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0.73084826039039108</v>
      </c>
      <c r="AA61" s="21">
        <f>EXP(-LN(2)/25)*AA60+(1-EXP(-LN(2)/25))/(LN(2)/25)*Calculateur!V61*Calculateur!X61*VLOOKUP('Données projet'!$B$9,Paramètres!$A$1:$I$89,3,0)*0.475*44/12</f>
        <v>2.084743990540058</v>
      </c>
      <c r="AB61" s="21">
        <f>EXP(-LN(2)/2)*AB60+(1-EXP(-LN(2)/2))/(LN(2)/2)*V61*Y61*VLOOKUP('Données projet'!$B$9,Paramètres!$A$1:$I$89,3,0)*0.475*44/12</f>
        <v>1.3921485084660555E-4</v>
      </c>
      <c r="AC61" s="22">
        <f t="shared" si="3"/>
        <v>2.8157314657812957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4.4000000000000004</v>
      </c>
      <c r="AI61" s="13">
        <f>IF('Données projet'!$A$62&gt;35,AI60+AH61-AQ60,IF(A61&lt;'Données projet'!$A$62,$AF$205^A61,IF(A61='Données projet'!$A$62,'Données projet'!$B$62,AI60+AH61-AQ60)))</f>
        <v>196.20000000000002</v>
      </c>
      <c r="AJ61" s="13">
        <f>AI61*VLOOKUP('Données projet'!$B$10,Paramètres!$A$1:$I$89,3,0)*VLOOKUP('Données projet'!$B$10,Paramètres!$A$1:$I$89,5,0)</f>
        <v>159.15744000000004</v>
      </c>
      <c r="AK61" s="13">
        <f t="shared" si="35"/>
        <v>40.652415288145676</v>
      </c>
      <c r="AL61" s="20">
        <f t="shared" si="4"/>
        <v>348.00216462685376</v>
      </c>
      <c r="AM61" s="59">
        <f t="shared" si="5"/>
        <v>641.33549796018701</v>
      </c>
      <c r="AN61" s="59">
        <f ca="1">AVERAGE(OFFSET($AM$3,0,0,'Données projet'!$E$10+1,1))-AVERAGE(OFFSET($H$3,0,0,'Données projet'!$E$10+1,1))</f>
        <v>145.3656871223958</v>
      </c>
      <c r="AO61" s="59">
        <f t="shared" si="36"/>
        <v>180.54762778843178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0</v>
      </c>
      <c r="AV61" s="21">
        <f>EXP(-LN(2)/25)*AV60+(1-EXP(-LN(2)/25))/(LN(2)/25)*Calculateur!AQ61*Calculateur!AS61*VLOOKUP('Données projet'!$B$10,Paramètres!$A$1:$I$89,3,0)*0.475*44/12</f>
        <v>2.558631861193692</v>
      </c>
      <c r="AW61" s="21">
        <f>EXP(-LN(2)/2)*AW60+(1-EXP(-LN(2)/2))/(LN(2)/2)*AQ61*AT61*VLOOKUP('Données projet'!$B$10,Paramètres!$A$1:$I$89,3,0)*0.475*44/12</f>
        <v>4.9817849646547881E-4</v>
      </c>
      <c r="AX61" s="21">
        <f t="shared" si="6"/>
        <v>2.5591300396901575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5.5</v>
      </c>
      <c r="BD61" s="12">
        <f>IF('Données projet'!$A$88&gt;35,BD60+BC61-BL60,IF(A61&lt;'Données projet'!$A$88,$BA$205^A61,IF(A61='Données projet'!$A$88,'Données projet'!$B$88,BD60+BC61-BL60)))</f>
        <v>150.99999999999997</v>
      </c>
      <c r="BE61" s="13">
        <f>BD61*VLOOKUP('Données projet'!$B$11,Paramètres!$A$1:$I$89,3,0)*VLOOKUP('Données projet'!$B$11,Paramètres!$A$1:$I$89,5,0)</f>
        <v>136.62479999999999</v>
      </c>
      <c r="BF61" s="13">
        <f t="shared" si="37"/>
        <v>35.522699804888632</v>
      </c>
      <c r="BG61" s="20">
        <f t="shared" si="7"/>
        <v>299.82356216018104</v>
      </c>
      <c r="BH61" s="59">
        <f t="shared" si="8"/>
        <v>593.15689549351441</v>
      </c>
      <c r="BI61" s="59">
        <f ca="1">AVERAGE(OFFSET($BH$3,0,0,'Données projet'!$E$11+1,1))-AVERAGE(OFFSET($H$3,0,0,'Données projet'!$E$11+1,1))</f>
        <v>138.8931001150624</v>
      </c>
      <c r="BJ61" s="59">
        <f t="shared" si="38"/>
        <v>48.964659354096625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>
        <f>EXP(-LN(2)/35)*BP60+(1-EXP(-LN(2)/35))/(LN(2)/35)*BL61*BM61*VLOOKUP('Données projet'!$B$11,Paramètres!$A$1:$I$89,3,0)*0.475*44/12</f>
        <v>0</v>
      </c>
      <c r="BQ61" s="21">
        <f>EXP(-LN(2)/25)*BQ60+(1-EXP(-LN(2)/25))/(LN(2)/25)*Calculateur!BL61*Calculateur!BN61*VLOOKUP('Données projet'!$B$11,Paramètres!$A$1:$I$89,3,0)*0.475*44/12</f>
        <v>0</v>
      </c>
      <c r="BR61" s="21">
        <f>EXP(-LN(2)/2)*BR60+(1-EXP(-LN(2)/2))/(LN(2)/2)*BL61*BO61*VLOOKUP('Données projet'!$B$11,Paramètres!$A$1:$I$89,3,0)*0.475*44/12</f>
        <v>0</v>
      </c>
      <c r="BS61" s="22">
        <f t="shared" si="9"/>
        <v>0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5.5</v>
      </c>
      <c r="BY61" s="12">
        <f>IF('Données projet'!$A$114&gt;35,BY60+BX61-CG60,IF(A61&lt;'Données projet'!$A$114,$BV$205^A61,IF(A61='Données projet'!$A$114,'Données projet'!$B$114,BY60+BX61-CG60)))</f>
        <v>151.00000000000006</v>
      </c>
      <c r="BZ61" s="13">
        <f>BY61*VLOOKUP('Données projet'!$B$12,Paramètres!$A$1:$I$89,3,0)*VLOOKUP('Données projet'!$B$12,Paramètres!$A$1:$I$89,5,0)</f>
        <v>146.04720000000006</v>
      </c>
      <c r="CA61" s="13">
        <f t="shared" si="39"/>
        <v>37.678906242902855</v>
      </c>
      <c r="CB61" s="20">
        <f t="shared" si="10"/>
        <v>319.9896350397226</v>
      </c>
      <c r="CC61" s="59">
        <f t="shared" si="11"/>
        <v>613.32296837305591</v>
      </c>
      <c r="CD61" s="59">
        <f ca="1">AVERAGE(OFFSET($CC$3,0,0,'Données projet'!$E$12+1,1))-AVERAGE(OFFSET($H$3,0,0,'Données projet'!$E$12+1,1))</f>
        <v>154.93882427988234</v>
      </c>
      <c r="CE61" s="59">
        <f t="shared" si="40"/>
        <v>56.347130462109817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>
        <f>EXP(-LN(2)/35)*CK60+(1-EXP(-LN(2)/35))/(LN(2)/35)*CG61*CH61*VLOOKUP('Données projet'!$B$12,Paramètres!$A$1:$I$89,3,0)*0.475*44/12</f>
        <v>0</v>
      </c>
      <c r="CL61" s="21">
        <f>EXP(-LN(2)/25)*CL60+(1-EXP(-LN(2)/25))/(LN(2)/25)*Calculateur!CG61*Calculateur!CI61*VLOOKUP('Données projet'!$B$12,Paramètres!$A$1:$I$89,3,0)*0.475*44/12</f>
        <v>0</v>
      </c>
      <c r="CM61" s="21">
        <f>EXP(-LN(2)/2)*CM60+(1-EXP(-LN(2)/2))/(LN(2)/2)*CG61*CJ61*VLOOKUP('Données projet'!$B$12,Paramètres!$A$1:$I$89,3,0)*0.475*44/12</f>
        <v>0</v>
      </c>
      <c r="CN61" s="22">
        <f t="shared" si="12"/>
        <v>0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52.462800000000044</v>
      </c>
      <c r="D62" s="11">
        <f t="shared" si="32"/>
        <v>15.247997775460181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522.67984247723678</v>
      </c>
      <c r="H62" s="67">
        <f t="shared" si="1"/>
        <v>411.26297279225986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1.625</v>
      </c>
      <c r="N62" s="13">
        <f>IF('Données projet'!$A$36&gt;35,N61+M62-V61,IF(A62&lt;'Données projet'!$A$36,$K$205^A62,IF(A62='Données projet'!$A$36,'Données projet'!$B$36,N61+M62-V61)))</f>
        <v>176.125</v>
      </c>
      <c r="O62" s="13">
        <f>N62*VLOOKUP('Données projet'!$B$9,Paramètres!$A$1:$I$89,3,0)*VLOOKUP('Données projet'!$B$9,Paramètres!$A$1:$I$89,5,0)</f>
        <v>105.32275</v>
      </c>
      <c r="P62" s="13">
        <f t="shared" si="33"/>
        <v>28.226216741955572</v>
      </c>
      <c r="Q62" s="20">
        <f t="shared" si="53"/>
        <v>232.59778374223927</v>
      </c>
      <c r="R62" s="59">
        <f t="shared" si="0"/>
        <v>525.93111707557262</v>
      </c>
      <c r="S62" s="59">
        <f ca="1">AVERAGE(OFFSET($R$3,0,0,'Données projet'!$E$9+1,1))-AVERAGE(OFFSET($H$3,0,0,'Données projet'!$E$9+1,1))</f>
        <v>72.647148358003676</v>
      </c>
      <c r="T62" s="59">
        <f t="shared" si="34"/>
        <v>87.231299224620898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0.7165167717775579</v>
      </c>
      <c r="AA62" s="21">
        <f>EXP(-LN(2)/25)*AA61+(1-EXP(-LN(2)/25))/(LN(2)/25)*Calculateur!V62*Calculateur!X62*VLOOKUP('Données projet'!$B$9,Paramètres!$A$1:$I$89,3,0)*0.475*44/12</f>
        <v>2.0277365564868184</v>
      </c>
      <c r="AB62" s="21">
        <f>EXP(-LN(2)/2)*AB61+(1-EXP(-LN(2)/2))/(LN(2)/2)*V62*Y62*VLOOKUP('Données projet'!$B$9,Paramètres!$A$1:$I$89,3,0)*0.475*44/12</f>
        <v>9.8439765075508559E-5</v>
      </c>
      <c r="AC62" s="22">
        <f t="shared" si="3"/>
        <v>2.7443517680294516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4.4000000000000004</v>
      </c>
      <c r="AI62" s="13">
        <f>IF('Données projet'!$A$62&gt;35,AI61+AH62-AQ61,IF(A62&lt;'Données projet'!$A$62,$AF$205^A62,IF(A62='Données projet'!$A$62,'Données projet'!$B$62,AI61+AH62-AQ61)))</f>
        <v>200.60000000000002</v>
      </c>
      <c r="AJ62" s="13">
        <f>AI62*VLOOKUP('Données projet'!$B$10,Paramètres!$A$1:$I$89,3,0)*VLOOKUP('Données projet'!$B$10,Paramètres!$A$1:$I$89,5,0)</f>
        <v>162.72672000000003</v>
      </c>
      <c r="AK62" s="13">
        <f t="shared" si="35"/>
        <v>41.456928544487127</v>
      </c>
      <c r="AL62" s="20">
        <f t="shared" si="4"/>
        <v>355.61985454831506</v>
      </c>
      <c r="AM62" s="59">
        <f t="shared" si="5"/>
        <v>648.95318788164832</v>
      </c>
      <c r="AN62" s="59">
        <f ca="1">AVERAGE(OFFSET($AM$3,0,0,'Données projet'!$E$10+1,1))-AVERAGE(OFFSET($H$3,0,0,'Données projet'!$E$10+1,1))</f>
        <v>145.3656871223958</v>
      </c>
      <c r="AO62" s="59">
        <f t="shared" si="36"/>
        <v>180.54762778843178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0</v>
      </c>
      <c r="AV62" s="21">
        <f>EXP(-LN(2)/25)*AV61+(1-EXP(-LN(2)/25))/(LN(2)/25)*Calculateur!AQ62*Calculateur!AS62*VLOOKUP('Données projet'!$B$10,Paramètres!$A$1:$I$89,3,0)*0.475*44/12</f>
        <v>2.4886659383967489</v>
      </c>
      <c r="AW62" s="21">
        <f>EXP(-LN(2)/2)*AW61+(1-EXP(-LN(2)/2))/(LN(2)/2)*AQ62*AT62*VLOOKUP('Données projet'!$B$10,Paramètres!$A$1:$I$89,3,0)*0.475*44/12</f>
        <v>3.5226539309205857E-4</v>
      </c>
      <c r="AX62" s="21">
        <f t="shared" si="6"/>
        <v>2.4890182037898407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5.5</v>
      </c>
      <c r="BD62" s="12">
        <f>IF('Données projet'!$A$88&gt;35,BD61+BC62-BL61,IF(A62&lt;'Données projet'!$A$88,$BA$205^A62,IF(A62='Données projet'!$A$88,'Données projet'!$B$88,BD61+BC62-BL61)))</f>
        <v>156.49999999999997</v>
      </c>
      <c r="BE62" s="13">
        <f>BD62*VLOOKUP('Données projet'!$B$11,Paramètres!$A$1:$I$89,3,0)*VLOOKUP('Données projet'!$B$11,Paramètres!$A$1:$I$89,5,0)</f>
        <v>141.60119999999998</v>
      </c>
      <c r="BF62" s="13">
        <f t="shared" si="37"/>
        <v>36.66357479752002</v>
      </c>
      <c r="BG62" s="20">
        <f t="shared" si="7"/>
        <v>310.47781610568063</v>
      </c>
      <c r="BH62" s="59">
        <f t="shared" si="8"/>
        <v>603.81114943901389</v>
      </c>
      <c r="BI62" s="59">
        <f ca="1">AVERAGE(OFFSET($BH$3,0,0,'Données projet'!$E$11+1,1))-AVERAGE(OFFSET($H$3,0,0,'Données projet'!$E$11+1,1))</f>
        <v>138.8931001150624</v>
      </c>
      <c r="BJ62" s="59">
        <f t="shared" si="38"/>
        <v>48.964659354096625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>
        <f>EXP(-LN(2)/35)*BP61+(1-EXP(-LN(2)/35))/(LN(2)/35)*BL62*BM62*VLOOKUP('Données projet'!$B$11,Paramètres!$A$1:$I$89,3,0)*0.475*44/12</f>
        <v>0</v>
      </c>
      <c r="BQ62" s="21">
        <f>EXP(-LN(2)/25)*BQ61+(1-EXP(-LN(2)/25))/(LN(2)/25)*Calculateur!BL62*Calculateur!BN62*VLOOKUP('Données projet'!$B$11,Paramètres!$A$1:$I$89,3,0)*0.475*44/12</f>
        <v>0</v>
      </c>
      <c r="BR62" s="21">
        <f>EXP(-LN(2)/2)*BR61+(1-EXP(-LN(2)/2))/(LN(2)/2)*BL62*BO62*VLOOKUP('Données projet'!$B$11,Paramètres!$A$1:$I$89,3,0)*0.475*44/12</f>
        <v>0</v>
      </c>
      <c r="BS62" s="22">
        <f t="shared" si="9"/>
        <v>0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5.5</v>
      </c>
      <c r="BY62" s="12">
        <f>IF('Données projet'!$A$114&gt;35,BY61+BX62-CG61,IF(A62&lt;'Données projet'!$A$114,$BV$205^A62,IF(A62='Données projet'!$A$114,'Données projet'!$B$114,BY61+BX62-CG61)))</f>
        <v>156.50000000000006</v>
      </c>
      <c r="BZ62" s="13">
        <f>BY62*VLOOKUP('Données projet'!$B$12,Paramètres!$A$1:$I$89,3,0)*VLOOKUP('Données projet'!$B$12,Paramètres!$A$1:$I$89,5,0)</f>
        <v>151.36680000000004</v>
      </c>
      <c r="CA62" s="13">
        <f t="shared" si="39"/>
        <v>38.889031658998512</v>
      </c>
      <c r="CB62" s="20">
        <f t="shared" si="10"/>
        <v>331.36224013942245</v>
      </c>
      <c r="CC62" s="59">
        <f t="shared" si="11"/>
        <v>624.69557347275577</v>
      </c>
      <c r="CD62" s="59">
        <f ca="1">AVERAGE(OFFSET($CC$3,0,0,'Données projet'!$E$12+1,1))-AVERAGE(OFFSET($H$3,0,0,'Données projet'!$E$12+1,1))</f>
        <v>154.93882427988234</v>
      </c>
      <c r="CE62" s="59">
        <f t="shared" si="40"/>
        <v>56.347130462109817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>
        <f>EXP(-LN(2)/35)*CK61+(1-EXP(-LN(2)/35))/(LN(2)/35)*CG62*CH62*VLOOKUP('Données projet'!$B$12,Paramètres!$A$1:$I$89,3,0)*0.475*44/12</f>
        <v>0</v>
      </c>
      <c r="CL62" s="21">
        <f>EXP(-LN(2)/25)*CL61+(1-EXP(-LN(2)/25))/(LN(2)/25)*Calculateur!CG62*Calculateur!CI62*VLOOKUP('Données projet'!$B$12,Paramètres!$A$1:$I$89,3,0)*0.475*44/12</f>
        <v>0</v>
      </c>
      <c r="CM62" s="21">
        <f>EXP(-LN(2)/2)*CM61+(1-EXP(-LN(2)/2))/(LN(2)/2)*CG62*CJ62*VLOOKUP('Données projet'!$B$12,Paramètres!$A$1:$I$89,3,0)*0.475*44/12</f>
        <v>0</v>
      </c>
      <c r="CN62" s="22">
        <f t="shared" si="12"/>
        <v>0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53.352000000000046</v>
      </c>
      <c r="D63" s="11">
        <f t="shared" si="32"/>
        <v>15.476132071622855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531.30487914936975</v>
      </c>
      <c r="H63" s="67">
        <f t="shared" si="1"/>
        <v>413.20899669140988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1.625</v>
      </c>
      <c r="N63" s="13">
        <f>IF('Données projet'!$A$36&gt;35,N62+M63-V62,IF(A63&lt;'Données projet'!$A$36,$K$205^A63,IF(A63='Données projet'!$A$36,'Données projet'!$B$36,N62+M63-V62)))</f>
        <v>177.75</v>
      </c>
      <c r="O63" s="13">
        <f>N63*VLOOKUP('Données projet'!$B$9,Paramètres!$A$1:$I$89,3,0)*VLOOKUP('Données projet'!$B$9,Paramètres!$A$1:$I$89,5,0)</f>
        <v>106.2945</v>
      </c>
      <c r="P63" s="13">
        <f t="shared" si="33"/>
        <v>28.45620637858886</v>
      </c>
      <c r="Q63" s="20">
        <f t="shared" si="53"/>
        <v>234.6908136093756</v>
      </c>
      <c r="R63" s="59">
        <f t="shared" si="0"/>
        <v>528.02414694270897</v>
      </c>
      <c r="S63" s="59">
        <f ca="1">AVERAGE(OFFSET($R$3,0,0,'Données projet'!$E$9+1,1))-AVERAGE(OFFSET($H$3,0,0,'Données projet'!$E$9+1,1))</f>
        <v>72.647148358003676</v>
      </c>
      <c r="T63" s="59">
        <f t="shared" si="34"/>
        <v>87.231299224620898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0.70246631491507749</v>
      </c>
      <c r="AA63" s="21">
        <f>EXP(-LN(2)/25)*AA62+(1-EXP(-LN(2)/25))/(LN(2)/25)*Calculateur!V63*Calculateur!X63*VLOOKUP('Données projet'!$B$9,Paramètres!$A$1:$I$89,3,0)*0.475*44/12</f>
        <v>1.9722879937156552</v>
      </c>
      <c r="AB63" s="21">
        <f>EXP(-LN(2)/2)*AB62+(1-EXP(-LN(2)/2))/(LN(2)/2)*V63*Y63*VLOOKUP('Données projet'!$B$9,Paramètres!$A$1:$I$89,3,0)*0.475*44/12</f>
        <v>6.9607425423302773E-5</v>
      </c>
      <c r="AC63" s="22">
        <f t="shared" si="3"/>
        <v>2.6748239160561558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205</v>
      </c>
      <c r="AG63" s="12">
        <f>VLOOKUP(A63,'Données projet'!$A$61:$I$81,9,0)</f>
        <v>4.4000000000000004</v>
      </c>
      <c r="AH63" s="12">
        <f t="array" ref="AH63">INDEX(AG:AG,MIN(IF(ISNUMBER(AG63:AG259),ROW(AG63:AG259),"")))</f>
        <v>4.4000000000000004</v>
      </c>
      <c r="AI63" s="13">
        <f>IF('Données projet'!$A$62&gt;35,AI62+AH63-AQ62,IF(A63&lt;'Données projet'!$A$62,$AF$205^A63,IF(A63='Données projet'!$A$62,'Données projet'!$B$62,AI62+AH63-AQ62)))</f>
        <v>205.00000000000003</v>
      </c>
      <c r="AJ63" s="13">
        <f>AI63*VLOOKUP('Données projet'!$B$10,Paramètres!$A$1:$I$89,3,0)*VLOOKUP('Données projet'!$B$10,Paramètres!$A$1:$I$89,5,0)</f>
        <v>166.29600000000005</v>
      </c>
      <c r="AK63" s="13">
        <f t="shared" si="35"/>
        <v>42.259390211399776</v>
      </c>
      <c r="AL63" s="20">
        <f t="shared" si="4"/>
        <v>363.2339712848547</v>
      </c>
      <c r="AM63" s="59">
        <f t="shared" si="5"/>
        <v>656.56730461818802</v>
      </c>
      <c r="AN63" s="59">
        <f ca="1">AVERAGE(OFFSET($AM$3,0,0,'Données projet'!$E$10+1,1))-AVERAGE(OFFSET($H$3,0,0,'Données projet'!$E$10+1,1))</f>
        <v>145.3656871223958</v>
      </c>
      <c r="AO63" s="59">
        <f t="shared" si="36"/>
        <v>180.54762778843178</v>
      </c>
      <c r="AP63" s="15">
        <f>IF(ISNA(VLOOKUP(A63,'Données projet'!$A$61:$I$81,3,0)),0,VLOOKUP(A63,'Données projet'!$A$61:$I$81,3,0))</f>
        <v>5</v>
      </c>
      <c r="AQ63" s="15">
        <f>IF(ISNA(VLOOKUP(A63,'Données projet'!$A$61:$I$81,4,0)),0,VLOOKUP(A63,'Données projet'!$A$61:$I$81,4,0))</f>
        <v>20</v>
      </c>
      <c r="AR63" s="16">
        <f>IF(ISNA(VLOOKUP(A63,'Données projet'!$A$61:$I$81,5,0)),0%,VLOOKUP(A63,'Données projet'!$A$61:$I$81,5,0)*VLOOKUP('Données projet'!$B$10,Paramètres!$A$1:$I$89,7,0))</f>
        <v>0</v>
      </c>
      <c r="AS63" s="16">
        <f>IF(ISNA(VLOOKUP(A63,'Données projet'!$A$61:$I$81,6,0)),0%,VLOOKUP(A63,'Données projet'!$A$61:$I$81,6,0)*VLOOKUP('Données projet'!$B$10,Paramètres!$A$1:$I$89,7,0))</f>
        <v>0</v>
      </c>
      <c r="AT63" s="16">
        <f>IF(ISNA(VLOOKUP(A63,'Données projet'!$A$61:$I$81,7,0)),0%,VLOOKUP(A63,'Données projet'!$A$61:$I$81,7,0))</f>
        <v>0</v>
      </c>
      <c r="AU63" s="21">
        <f>EXP(-LN(2)/35)*AU62+(1-EXP(-LN(2)/35))/(LN(2)/35)*AQ63*AR63*VLOOKUP('Données projet'!$B$10,Paramètres!$A$1:$I$89,3,0)*0.475*44/12</f>
        <v>0</v>
      </c>
      <c r="AV63" s="21">
        <f>EXP(-LN(2)/25)*AV62+(1-EXP(-LN(2)/25))/(LN(2)/25)*Calculateur!AQ63*Calculateur!AS63*VLOOKUP('Données projet'!$B$10,Paramètres!$A$1:$I$89,3,0)*0.475*44/12</f>
        <v>2.4206132374380358</v>
      </c>
      <c r="AW63" s="21">
        <f>EXP(-LN(2)/2)*AW62+(1-EXP(-LN(2)/2))/(LN(2)/2)*AQ63*AT63*VLOOKUP('Données projet'!$B$10,Paramètres!$A$1:$I$89,3,0)*0.475*44/12</f>
        <v>2.490892482327394E-4</v>
      </c>
      <c r="AX63" s="21">
        <f t="shared" si="6"/>
        <v>2.4208623266862683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>
        <f>VLOOKUP(A63,'Données projet'!$A$87:$I$107,2,0)</f>
        <v>162</v>
      </c>
      <c r="BB63" s="12">
        <f>VLOOKUP(A63,'Données projet'!$A$87:$I$107,9,0)</f>
        <v>5.5</v>
      </c>
      <c r="BC63" s="12">
        <f t="array" ref="BC63">INDEX(BB:BB,MIN(IF(ISNUMBER(BB63:BB259),ROW(BB63:BB259),"")))</f>
        <v>5.5</v>
      </c>
      <c r="BD63" s="12">
        <f>IF('Données projet'!$A$88&gt;35,BD62+BC63-BL62,IF(A63&lt;'Données projet'!$A$88,$BA$205^A63,IF(A63='Données projet'!$A$88,'Données projet'!$B$88,BD62+BC63-BL62)))</f>
        <v>161.99999999999997</v>
      </c>
      <c r="BE63" s="13">
        <f>BD63*VLOOKUP('Données projet'!$B$11,Paramètres!$A$1:$I$89,3,0)*VLOOKUP('Données projet'!$B$11,Paramètres!$A$1:$I$89,5,0)</f>
        <v>146.57759999999996</v>
      </c>
      <c r="BF63" s="13">
        <f t="shared" si="37"/>
        <v>37.799791292871213</v>
      </c>
      <c r="BG63" s="20">
        <f t="shared" si="7"/>
        <v>321.12395650175063</v>
      </c>
      <c r="BH63" s="59">
        <f t="shared" si="8"/>
        <v>614.45728983508388</v>
      </c>
      <c r="BI63" s="59">
        <f ca="1">AVERAGE(OFFSET($BH$3,0,0,'Données projet'!$E$11+1,1))-AVERAGE(OFFSET($H$3,0,0,'Données projet'!$E$11+1,1))</f>
        <v>138.8931001150624</v>
      </c>
      <c r="BJ63" s="59">
        <f t="shared" si="38"/>
        <v>48.964659354096625</v>
      </c>
      <c r="BK63" s="15">
        <f>IF(ISNA(VLOOKUP(A63,'Données projet'!$A$87:$I$107,3,0)),0,VLOOKUP(A63,'Données projet'!$A$87:$I$107,3,0))</f>
        <v>3</v>
      </c>
      <c r="BL63" s="15">
        <f>IF(ISNA(VLOOKUP(A63,'Données projet'!$A$87:$I$107,4,0)),0,VLOOKUP(A63,'Données projet'!$A$87:$I$107,4,0))</f>
        <v>28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>
        <f>EXP(-LN(2)/35)*BP62+(1-EXP(-LN(2)/35))/(LN(2)/35)*BL63*BM63*VLOOKUP('Données projet'!$B$11,Paramètres!$A$1:$I$89,3,0)*0.475*44/12</f>
        <v>0</v>
      </c>
      <c r="BQ63" s="21">
        <f>EXP(-LN(2)/25)*BQ62+(1-EXP(-LN(2)/25))/(LN(2)/25)*Calculateur!BL63*Calculateur!BN63*VLOOKUP('Données projet'!$B$11,Paramètres!$A$1:$I$89,3,0)*0.475*44/12</f>
        <v>0</v>
      </c>
      <c r="BR63" s="21">
        <f>EXP(-LN(2)/2)*BR62+(1-EXP(-LN(2)/2))/(LN(2)/2)*BL63*BO63*VLOOKUP('Données projet'!$B$11,Paramètres!$A$1:$I$89,3,0)*0.475*44/12</f>
        <v>0</v>
      </c>
      <c r="BS63" s="22">
        <f t="shared" si="9"/>
        <v>0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>
        <f>VLOOKUP(A63,'Données projet'!$A$113:$I$133,2,0)</f>
        <v>162</v>
      </c>
      <c r="BW63" s="12">
        <f>VLOOKUP(A63,'Données projet'!$A$113:$I$133,9,0)</f>
        <v>5.5</v>
      </c>
      <c r="BX63" s="12">
        <f t="array" ref="BX63">INDEX(BW:BW,MIN(IF(ISNUMBER(BW63:BW259),ROW(BW63:BW259),"")))</f>
        <v>5.5</v>
      </c>
      <c r="BY63" s="12">
        <f>IF('Données projet'!$A$114&gt;35,BY62+BX63-CG62,IF(A63&lt;'Données projet'!$A$114,$BV$205^A63,IF(A63='Données projet'!$A$114,'Données projet'!$B$114,BY62+BX63-CG62)))</f>
        <v>162.00000000000006</v>
      </c>
      <c r="BZ63" s="13">
        <f>BY63*VLOOKUP('Données projet'!$B$12,Paramètres!$A$1:$I$89,3,0)*VLOOKUP('Données projet'!$B$12,Paramètres!$A$1:$I$89,5,0)</f>
        <v>156.68640000000008</v>
      </c>
      <c r="CA63" s="13">
        <f t="shared" si="39"/>
        <v>40.094215809840748</v>
      </c>
      <c r="CB63" s="20">
        <f t="shared" si="10"/>
        <v>342.72623920213937</v>
      </c>
      <c r="CC63" s="59">
        <f t="shared" si="11"/>
        <v>636.05957253547263</v>
      </c>
      <c r="CD63" s="59">
        <f ca="1">AVERAGE(OFFSET($CC$3,0,0,'Données projet'!$E$12+1,1))-AVERAGE(OFFSET($H$3,0,0,'Données projet'!$E$12+1,1))</f>
        <v>154.93882427988234</v>
      </c>
      <c r="CE63" s="59">
        <f t="shared" si="40"/>
        <v>56.347130462109817</v>
      </c>
      <c r="CF63" s="15">
        <f>IF(ISNA(VLOOKUP(A63,'Données projet'!$A$113:$I$133,3,0)),0,VLOOKUP(A63,'Données projet'!$A$113:$I$133,3,0))</f>
        <v>3</v>
      </c>
      <c r="CG63" s="15">
        <f>IF(ISNA(VLOOKUP(A63,'Données projet'!$A$113:$I$133,4,0)),0,VLOOKUP(A63,'Données projet'!$A$113:$I$133,4,0))</f>
        <v>28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>
        <f>EXP(-LN(2)/35)*CK62+(1-EXP(-LN(2)/35))/(LN(2)/35)*CG63*CH63*VLOOKUP('Données projet'!$B$12,Paramètres!$A$1:$I$89,3,0)*0.475*44/12</f>
        <v>0</v>
      </c>
      <c r="CL63" s="21">
        <f>EXP(-LN(2)/25)*CL62+(1-EXP(-LN(2)/25))/(LN(2)/25)*Calculateur!CG63*Calculateur!CI63*VLOOKUP('Données projet'!$B$12,Paramètres!$A$1:$I$89,3,0)*0.475*44/12</f>
        <v>0</v>
      </c>
      <c r="CM63" s="21">
        <f>EXP(-LN(2)/2)*CM62+(1-EXP(-LN(2)/2))/(LN(2)/2)*CG63*CJ63*VLOOKUP('Données projet'!$B$12,Paramètres!$A$1:$I$89,3,0)*0.475*44/12</f>
        <v>0</v>
      </c>
      <c r="CN63" s="22">
        <f t="shared" si="12"/>
        <v>0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54.241200000000049</v>
      </c>
      <c r="D64" s="11">
        <f t="shared" si="32"/>
        <v>15.703824194633762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539.92650255506805</v>
      </c>
      <c r="H64" s="67">
        <f t="shared" si="1"/>
        <v>415.15425047232054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1.625</v>
      </c>
      <c r="N64" s="13">
        <f>IF('Données projet'!$A$36&gt;35,N63+M64-V63,IF(A64&lt;'Données projet'!$A$36,$K$205^A64,IF(A64='Données projet'!$A$36,'Données projet'!$B$36,N63+M64-V63)))</f>
        <v>179.375</v>
      </c>
      <c r="O64" s="13">
        <f>N64*VLOOKUP('Données projet'!$B$9,Paramètres!$A$1:$I$89,3,0)*VLOOKUP('Données projet'!$B$9,Paramètres!$A$1:$I$89,5,0)</f>
        <v>107.26625000000001</v>
      </c>
      <c r="P64" s="13">
        <f t="shared" si="33"/>
        <v>28.685951401763571</v>
      </c>
      <c r="Q64" s="20">
        <f t="shared" si="53"/>
        <v>236.78341744140491</v>
      </c>
      <c r="R64" s="59">
        <f t="shared" si="0"/>
        <v>530.11675077473819</v>
      </c>
      <c r="S64" s="59">
        <f ca="1">AVERAGE(OFFSET($R$3,0,0,'Données projet'!$E$9+1,1))-AVERAGE(OFFSET($H$3,0,0,'Données projet'!$E$9+1,1))</f>
        <v>72.647148358003676</v>
      </c>
      <c r="T64" s="59">
        <f t="shared" si="34"/>
        <v>87.231299224620898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0.68869137894173782</v>
      </c>
      <c r="AA64" s="21">
        <f>EXP(-LN(2)/25)*AA63+(1-EXP(-LN(2)/25))/(LN(2)/25)*Calculateur!V64*Calculateur!X64*VLOOKUP('Données projet'!$B$9,Paramètres!$A$1:$I$89,3,0)*0.475*44/12</f>
        <v>1.9183556748093828</v>
      </c>
      <c r="AB64" s="21">
        <f>EXP(-LN(2)/2)*AB63+(1-EXP(-LN(2)/2))/(LN(2)/2)*V64*Y64*VLOOKUP('Données projet'!$B$9,Paramètres!$A$1:$I$89,3,0)*0.475*44/12</f>
        <v>4.9219882537754279E-5</v>
      </c>
      <c r="AC64" s="22">
        <f t="shared" si="3"/>
        <v>2.6070962736336583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3.2</v>
      </c>
      <c r="AI64" s="13">
        <f>IF('Données projet'!$A$62&gt;35,AI63+AH64-AQ63,IF(A64&lt;'Données projet'!$A$62,$AF$205^A64,IF(A64='Données projet'!$A$62,'Données projet'!$B$62,AI63+AH64-AQ63)))</f>
        <v>188.20000000000002</v>
      </c>
      <c r="AJ64" s="13">
        <f>AI64*VLOOKUP('Données projet'!$B$10,Paramètres!$A$1:$I$89,3,0)*VLOOKUP('Données projet'!$B$10,Paramètres!$A$1:$I$89,5,0)</f>
        <v>152.66784000000004</v>
      </c>
      <c r="AK64" s="13">
        <f t="shared" si="35"/>
        <v>39.184238379220069</v>
      </c>
      <c r="AL64" s="20">
        <f t="shared" si="4"/>
        <v>334.14236984380835</v>
      </c>
      <c r="AM64" s="59">
        <f t="shared" si="5"/>
        <v>627.47570317714167</v>
      </c>
      <c r="AN64" s="59">
        <f ca="1">AVERAGE(OFFSET($AM$3,0,0,'Données projet'!$E$10+1,1))-AVERAGE(OFFSET($H$3,0,0,'Données projet'!$E$10+1,1))</f>
        <v>145.3656871223958</v>
      </c>
      <c r="AO64" s="59">
        <f t="shared" si="36"/>
        <v>180.54762778843178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0</v>
      </c>
      <c r="AV64" s="21">
        <f>EXP(-LN(2)/25)*AV63+(1-EXP(-LN(2)/25))/(LN(2)/25)*Calculateur!AQ64*Calculateur!AS64*VLOOKUP('Données projet'!$B$10,Paramètres!$A$1:$I$89,3,0)*0.475*44/12</f>
        <v>2.3544214411657749</v>
      </c>
      <c r="AW64" s="21">
        <f>EXP(-LN(2)/2)*AW63+(1-EXP(-LN(2)/2))/(LN(2)/2)*AQ64*AT64*VLOOKUP('Données projet'!$B$10,Paramètres!$A$1:$I$89,3,0)*0.475*44/12</f>
        <v>1.7613269654602928E-4</v>
      </c>
      <c r="AX64" s="21">
        <f t="shared" si="6"/>
        <v>2.3545975738623208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5.2</v>
      </c>
      <c r="BD64" s="12">
        <f>IF('Données projet'!$A$88&gt;35,BD63+BC64-BL63,IF(A64&lt;'Données projet'!$A$88,$BA$205^A64,IF(A64='Données projet'!$A$88,'Données projet'!$B$88,BD63+BC64-BL63)))</f>
        <v>139.19999999999996</v>
      </c>
      <c r="BE64" s="13">
        <f>BD64*VLOOKUP('Données projet'!$B$11,Paramètres!$A$1:$I$89,3,0)*VLOOKUP('Données projet'!$B$11,Paramètres!$A$1:$I$89,5,0)</f>
        <v>125.94815999999997</v>
      </c>
      <c r="BF64" s="13">
        <f t="shared" si="37"/>
        <v>33.058379686398482</v>
      </c>
      <c r="BG64" s="20">
        <f t="shared" si="7"/>
        <v>276.93638995381065</v>
      </c>
      <c r="BH64" s="59">
        <f t="shared" si="8"/>
        <v>570.26972328714396</v>
      </c>
      <c r="BI64" s="59">
        <f ca="1">AVERAGE(OFFSET($BH$3,0,0,'Données projet'!$E$11+1,1))-AVERAGE(OFFSET($H$3,0,0,'Données projet'!$E$11+1,1))</f>
        <v>138.8931001150624</v>
      </c>
      <c r="BJ64" s="59">
        <f t="shared" si="38"/>
        <v>48.964659354096625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>
        <f>EXP(-LN(2)/35)*BP63+(1-EXP(-LN(2)/35))/(LN(2)/35)*BL64*BM64*VLOOKUP('Données projet'!$B$11,Paramètres!$A$1:$I$89,3,0)*0.475*44/12</f>
        <v>0</v>
      </c>
      <c r="BQ64" s="21">
        <f>EXP(-LN(2)/25)*BQ63+(1-EXP(-LN(2)/25))/(LN(2)/25)*Calculateur!BL64*Calculateur!BN64*VLOOKUP('Données projet'!$B$11,Paramètres!$A$1:$I$89,3,0)*0.475*44/12</f>
        <v>0</v>
      </c>
      <c r="BR64" s="21">
        <f>EXP(-LN(2)/2)*BR63+(1-EXP(-LN(2)/2))/(LN(2)/2)*BL64*BO64*VLOOKUP('Données projet'!$B$11,Paramètres!$A$1:$I$89,3,0)*0.475*44/12</f>
        <v>0</v>
      </c>
      <c r="BS64" s="22">
        <f t="shared" si="9"/>
        <v>0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5.2</v>
      </c>
      <c r="BY64" s="12">
        <f>IF('Données projet'!$A$114&gt;35,BY63+BX64-CG63,IF(A64&lt;'Données projet'!$A$114,$BV$205^A64,IF(A64='Données projet'!$A$114,'Données projet'!$B$114,BY63+BX64-CG63)))</f>
        <v>139.20000000000005</v>
      </c>
      <c r="BZ64" s="13">
        <f>BY64*VLOOKUP('Données projet'!$B$12,Paramètres!$A$1:$I$89,3,0)*VLOOKUP('Données projet'!$B$12,Paramètres!$A$1:$I$89,5,0)</f>
        <v>134.63424000000006</v>
      </c>
      <c r="CA64" s="13">
        <f t="shared" si="39"/>
        <v>35.065003380589729</v>
      </c>
      <c r="CB64" s="20">
        <f t="shared" si="10"/>
        <v>295.5595155545272</v>
      </c>
      <c r="CC64" s="59">
        <f t="shared" si="11"/>
        <v>588.89284888786051</v>
      </c>
      <c r="CD64" s="59">
        <f ca="1">AVERAGE(OFFSET($CC$3,0,0,'Données projet'!$E$12+1,1))-AVERAGE(OFFSET($H$3,0,0,'Données projet'!$E$12+1,1))</f>
        <v>154.93882427988234</v>
      </c>
      <c r="CE64" s="59">
        <f t="shared" si="40"/>
        <v>56.347130462109817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>
        <f>EXP(-LN(2)/35)*CK63+(1-EXP(-LN(2)/35))/(LN(2)/35)*CG64*CH64*VLOOKUP('Données projet'!$B$12,Paramètres!$A$1:$I$89,3,0)*0.475*44/12</f>
        <v>0</v>
      </c>
      <c r="CL64" s="21">
        <f>EXP(-LN(2)/25)*CL63+(1-EXP(-LN(2)/25))/(LN(2)/25)*Calculateur!CG64*Calculateur!CI64*VLOOKUP('Données projet'!$B$12,Paramètres!$A$1:$I$89,3,0)*0.475*44/12</f>
        <v>0</v>
      </c>
      <c r="CM64" s="21">
        <f>EXP(-LN(2)/2)*CM63+(1-EXP(-LN(2)/2))/(LN(2)/2)*CG64*CJ64*VLOOKUP('Données projet'!$B$12,Paramètres!$A$1:$I$89,3,0)*0.475*44/12</f>
        <v>0</v>
      </c>
      <c r="CN64" s="22">
        <f t="shared" si="12"/>
        <v>0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55.130400000000051</v>
      </c>
      <c r="D65" s="11">
        <f t="shared" si="32"/>
        <v>15.931082230000042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548.54477510877268</v>
      </c>
      <c r="H65" s="67">
        <f t="shared" si="1"/>
        <v>417.09874821725015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>
        <f>VLOOKUP(A65,'Données projet'!$A$35:$I$55,2,0)</f>
        <v>181</v>
      </c>
      <c r="L65" s="12">
        <f>VLOOKUP(A65,'Données projet'!$A$35:$I$55,9,0)</f>
        <v>1.625</v>
      </c>
      <c r="M65" s="12">
        <f t="array" ref="M65">INDEX(L:L,MIN(IF(ISNUMBER(L65:L261),ROW(L65:L261),"")))</f>
        <v>1.625</v>
      </c>
      <c r="N65" s="13">
        <f>IF('Données projet'!$A$36&gt;35,N64+M65-V64,IF(A65&lt;'Données projet'!$A$36,$K$205^A65,IF(A65='Données projet'!$A$36,'Données projet'!$B$36,N64+M65-V64)))</f>
        <v>181</v>
      </c>
      <c r="O65" s="13">
        <f>N65*VLOOKUP('Données projet'!$B$9,Paramètres!$A$1:$I$89,3,0)*VLOOKUP('Données projet'!$B$9,Paramètres!$A$1:$I$89,5,0)</f>
        <v>108.23800000000001</v>
      </c>
      <c r="P65" s="13">
        <f t="shared" si="33"/>
        <v>28.915454284197679</v>
      </c>
      <c r="Q65" s="20">
        <f t="shared" si="53"/>
        <v>238.87559954497763</v>
      </c>
      <c r="R65" s="59">
        <f t="shared" si="0"/>
        <v>532.20893287831097</v>
      </c>
      <c r="S65" s="59">
        <f ca="1">AVERAGE(OFFSET($R$3,0,0,'Données projet'!$E$9+1,1))-AVERAGE(OFFSET($H$3,0,0,'Données projet'!$E$9+1,1))</f>
        <v>72.647148358003676</v>
      </c>
      <c r="T65" s="59">
        <f t="shared" si="34"/>
        <v>87.231299224620898</v>
      </c>
      <c r="U65" s="15">
        <f>IF(ISNA(VLOOKUP(A65,'Données projet'!$A$35:$I$55,3,0)),0,VLOOKUP(A65,'Données projet'!$A$35:$I$55,3,0))</f>
        <v>9</v>
      </c>
      <c r="V65" s="15">
        <f>IF(ISNA(VLOOKUP(A65,'Données projet'!$A$35:$I$55,4,0)),0,VLOOKUP(A65,'Données projet'!$A$35:$I$55,4,0))</f>
        <v>181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0.67518656106095398</v>
      </c>
      <c r="AA65" s="21">
        <f>EXP(-LN(2)/25)*AA64+(1-EXP(-LN(2)/25))/(LN(2)/25)*Calculateur!V65*Calculateur!X65*VLOOKUP('Données projet'!$B$9,Paramètres!$A$1:$I$89,3,0)*0.475*44/12</f>
        <v>1.8658981379997799</v>
      </c>
      <c r="AB65" s="21">
        <f>EXP(-LN(2)/2)*AB64+(1-EXP(-LN(2)/2))/(LN(2)/2)*V65*Y65*VLOOKUP('Données projet'!$B$9,Paramètres!$A$1:$I$89,3,0)*0.475*44/12</f>
        <v>3.4803712711651386E-5</v>
      </c>
      <c r="AC65" s="22">
        <f t="shared" si="3"/>
        <v>2.5411195027734457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3.2</v>
      </c>
      <c r="AI65" s="13">
        <f>IF('Données projet'!$A$62&gt;35,AI64+AH65-AQ64,IF(A65&lt;'Données projet'!$A$62,$AF$205^A65,IF(A65='Données projet'!$A$62,'Données projet'!$B$62,AI64+AH65-AQ64)))</f>
        <v>191.4</v>
      </c>
      <c r="AJ65" s="13">
        <f>AI65*VLOOKUP('Données projet'!$B$10,Paramètres!$A$1:$I$89,3,0)*VLOOKUP('Données projet'!$B$10,Paramètres!$A$1:$I$89,5,0)</f>
        <v>155.26368000000002</v>
      </c>
      <c r="AK65" s="13">
        <f t="shared" si="35"/>
        <v>39.77236412265178</v>
      </c>
      <c r="AL65" s="20">
        <f t="shared" si="4"/>
        <v>339.68777684695186</v>
      </c>
      <c r="AM65" s="59">
        <f t="shared" si="5"/>
        <v>633.02111018028518</v>
      </c>
      <c r="AN65" s="59">
        <f ca="1">AVERAGE(OFFSET($AM$3,0,0,'Données projet'!$E$10+1,1))-AVERAGE(OFFSET($H$3,0,0,'Données projet'!$E$10+1,1))</f>
        <v>145.3656871223958</v>
      </c>
      <c r="AO65" s="59">
        <f t="shared" si="36"/>
        <v>180.54762778843178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0</v>
      </c>
      <c r="AV65" s="21">
        <f>EXP(-LN(2)/25)*AV64+(1-EXP(-LN(2)/25))/(LN(2)/25)*Calculateur!AQ65*Calculateur!AS65*VLOOKUP('Données projet'!$B$10,Paramètres!$A$1:$I$89,3,0)*0.475*44/12</f>
        <v>2.2900396630434541</v>
      </c>
      <c r="AW65" s="21">
        <f>EXP(-LN(2)/2)*AW64+(1-EXP(-LN(2)/2))/(LN(2)/2)*AQ65*AT65*VLOOKUP('Données projet'!$B$10,Paramètres!$A$1:$I$89,3,0)*0.475*44/12</f>
        <v>1.245446241163697E-4</v>
      </c>
      <c r="AX65" s="21">
        <f t="shared" si="6"/>
        <v>2.2901642076675706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5.2</v>
      </c>
      <c r="BD65" s="12">
        <f>IF('Données projet'!$A$88&gt;35,BD64+BC65-BL64,IF(A65&lt;'Données projet'!$A$88,$BA$205^A65,IF(A65='Données projet'!$A$88,'Données projet'!$B$88,BD64+BC65-BL64)))</f>
        <v>144.39999999999995</v>
      </c>
      <c r="BE65" s="13">
        <f>BD65*VLOOKUP('Données projet'!$B$11,Paramètres!$A$1:$I$89,3,0)*VLOOKUP('Données projet'!$B$11,Paramètres!$A$1:$I$89,5,0)</f>
        <v>130.65311999999994</v>
      </c>
      <c r="BF65" s="13">
        <f t="shared" si="37"/>
        <v>34.147232142951147</v>
      </c>
      <c r="BG65" s="20">
        <f t="shared" si="7"/>
        <v>287.02727998230642</v>
      </c>
      <c r="BH65" s="59">
        <f t="shared" si="8"/>
        <v>580.36061331563974</v>
      </c>
      <c r="BI65" s="59">
        <f ca="1">AVERAGE(OFFSET($BH$3,0,0,'Données projet'!$E$11+1,1))-AVERAGE(OFFSET($H$3,0,0,'Données projet'!$E$11+1,1))</f>
        <v>138.8931001150624</v>
      </c>
      <c r="BJ65" s="59">
        <f t="shared" si="38"/>
        <v>48.964659354096625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>
        <f>EXP(-LN(2)/35)*BP64+(1-EXP(-LN(2)/35))/(LN(2)/35)*BL65*BM65*VLOOKUP('Données projet'!$B$11,Paramètres!$A$1:$I$89,3,0)*0.475*44/12</f>
        <v>0</v>
      </c>
      <c r="BQ65" s="21">
        <f>EXP(-LN(2)/25)*BQ64+(1-EXP(-LN(2)/25))/(LN(2)/25)*Calculateur!BL65*Calculateur!BN65*VLOOKUP('Données projet'!$B$11,Paramètres!$A$1:$I$89,3,0)*0.475*44/12</f>
        <v>0</v>
      </c>
      <c r="BR65" s="21">
        <f>EXP(-LN(2)/2)*BR64+(1-EXP(-LN(2)/2))/(LN(2)/2)*BL65*BO65*VLOOKUP('Données projet'!$B$11,Paramètres!$A$1:$I$89,3,0)*0.475*44/12</f>
        <v>0</v>
      </c>
      <c r="BS65" s="22">
        <f t="shared" si="9"/>
        <v>0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5.2</v>
      </c>
      <c r="BY65" s="12">
        <f>IF('Données projet'!$A$114&gt;35,BY64+BX65-CG64,IF(A65&lt;'Données projet'!$A$114,$BV$205^A65,IF(A65='Données projet'!$A$114,'Données projet'!$B$114,BY64+BX65-CG64)))</f>
        <v>144.40000000000003</v>
      </c>
      <c r="BZ65" s="13">
        <f>BY65*VLOOKUP('Données projet'!$B$12,Paramètres!$A$1:$I$89,3,0)*VLOOKUP('Données projet'!$B$12,Paramètres!$A$1:$I$89,5,0)</f>
        <v>139.66368000000003</v>
      </c>
      <c r="CA65" s="13">
        <f t="shared" si="39"/>
        <v>36.219948524065451</v>
      </c>
      <c r="CB65" s="20">
        <f t="shared" si="10"/>
        <v>306.33065301274729</v>
      </c>
      <c r="CC65" s="59">
        <f t="shared" si="11"/>
        <v>599.66398634608061</v>
      </c>
      <c r="CD65" s="59">
        <f ca="1">AVERAGE(OFFSET($CC$3,0,0,'Données projet'!$E$12+1,1))-AVERAGE(OFFSET($H$3,0,0,'Données projet'!$E$12+1,1))</f>
        <v>154.93882427988234</v>
      </c>
      <c r="CE65" s="59">
        <f t="shared" si="40"/>
        <v>56.347130462109817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>
        <f>EXP(-LN(2)/35)*CK64+(1-EXP(-LN(2)/35))/(LN(2)/35)*CG65*CH65*VLOOKUP('Données projet'!$B$12,Paramètres!$A$1:$I$89,3,0)*0.475*44/12</f>
        <v>0</v>
      </c>
      <c r="CL65" s="21">
        <f>EXP(-LN(2)/25)*CL64+(1-EXP(-LN(2)/25))/(LN(2)/25)*Calculateur!CG65*Calculateur!CI65*VLOOKUP('Données projet'!$B$12,Paramètres!$A$1:$I$89,3,0)*0.475*44/12</f>
        <v>0</v>
      </c>
      <c r="CM65" s="21">
        <f>EXP(-LN(2)/2)*CM64+(1-EXP(-LN(2)/2))/(LN(2)/2)*CG65*CJ65*VLOOKUP('Données projet'!$B$12,Paramètres!$A$1:$I$89,3,0)*0.475*44/12</f>
        <v>0</v>
      </c>
      <c r="CN65" s="22">
        <f t="shared" si="12"/>
        <v>0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56.019600000000054</v>
      </c>
      <c r="D66" s="11">
        <f t="shared" si="32"/>
        <v>16.157913987449295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557.15975709610018</v>
      </c>
      <c r="H66" s="67">
        <f t="shared" si="1"/>
        <v>419.04250352814091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0</v>
      </c>
      <c r="O66" s="13">
        <f>N66*VLOOKUP('Données projet'!$B$9,Paramètres!$A$1:$I$89,3,0)*VLOOKUP('Données projet'!$B$9,Paramètres!$A$1:$I$89,5,0)</f>
        <v>0</v>
      </c>
      <c r="P66" s="13" t="e">
        <f t="shared" si="33"/>
        <v>#NUM!</v>
      </c>
      <c r="Q66" s="20" t="e">
        <f t="shared" si="53"/>
        <v>#NUM!</v>
      </c>
      <c r="R66" s="59" t="e">
        <f t="shared" si="0"/>
        <v>#NUM!</v>
      </c>
      <c r="S66" s="59">
        <f ca="1">AVERAGE(OFFSET($R$3,0,0,'Données projet'!$E$9+1,1))-AVERAGE(OFFSET($H$3,0,0,'Données projet'!$E$9+1,1))</f>
        <v>72.647148358003676</v>
      </c>
      <c r="T66" s="59">
        <f t="shared" si="34"/>
        <v>87.231299224620898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0.66194656442168676</v>
      </c>
      <c r="AA66" s="21">
        <f>EXP(-LN(2)/25)*AA65+(1-EXP(-LN(2)/25))/(LN(2)/25)*Calculateur!V66*Calculateur!X66*VLOOKUP('Données projet'!$B$9,Paramètres!$A$1:$I$89,3,0)*0.475*44/12</f>
        <v>1.8148750552928574</v>
      </c>
      <c r="AB66" s="21">
        <f>EXP(-LN(2)/2)*AB65+(1-EXP(-LN(2)/2))/(LN(2)/2)*V66*Y66*VLOOKUP('Données projet'!$B$9,Paramètres!$A$1:$I$89,3,0)*0.475*44/12</f>
        <v>2.460994126887714E-5</v>
      </c>
      <c r="AC66" s="22">
        <f t="shared" si="3"/>
        <v>2.4768462296558131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3.2</v>
      </c>
      <c r="AI66" s="13">
        <f>IF('Données projet'!$A$62&gt;35,AI65+AH66-AQ65,IF(A66&lt;'Données projet'!$A$62,$AF$205^A66,IF(A66='Données projet'!$A$62,'Données projet'!$B$62,AI65+AH66-AQ65)))</f>
        <v>194.6</v>
      </c>
      <c r="AJ66" s="13">
        <f>AI66*VLOOKUP('Données projet'!$B$10,Paramètres!$A$1:$I$89,3,0)*VLOOKUP('Données projet'!$B$10,Paramètres!$A$1:$I$89,5,0)</f>
        <v>157.85952</v>
      </c>
      <c r="AK66" s="13">
        <f t="shared" si="35"/>
        <v>40.35934638209347</v>
      </c>
      <c r="AL66" s="20">
        <f t="shared" si="4"/>
        <v>345.23119228214608</v>
      </c>
      <c r="AM66" s="59">
        <f t="shared" si="5"/>
        <v>638.5645256154794</v>
      </c>
      <c r="AN66" s="59">
        <f ca="1">AVERAGE(OFFSET($AM$3,0,0,'Données projet'!$E$10+1,1))-AVERAGE(OFFSET($H$3,0,0,'Données projet'!$E$10+1,1))</f>
        <v>145.3656871223958</v>
      </c>
      <c r="AO66" s="59">
        <f t="shared" si="36"/>
        <v>180.54762778843178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0</v>
      </c>
      <c r="AV66" s="21">
        <f>EXP(-LN(2)/25)*AV65+(1-EXP(-LN(2)/25))/(LN(2)/25)*Calculateur!AQ66*Calculateur!AS66*VLOOKUP('Données projet'!$B$10,Paramètres!$A$1:$I$89,3,0)*0.475*44/12</f>
        <v>2.2274184080295787</v>
      </c>
      <c r="AW66" s="21">
        <f>EXP(-LN(2)/2)*AW65+(1-EXP(-LN(2)/2))/(LN(2)/2)*AQ66*AT66*VLOOKUP('Données projet'!$B$10,Paramètres!$A$1:$I$89,3,0)*0.475*44/12</f>
        <v>8.8066348273014642E-5</v>
      </c>
      <c r="AX66" s="21">
        <f t="shared" si="6"/>
        <v>2.2275064743778517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5.2</v>
      </c>
      <c r="BD66" s="12">
        <f>IF('Données projet'!$A$88&gt;35,BD65+BC66-BL65,IF(A66&lt;'Données projet'!$A$88,$BA$205^A66,IF(A66='Données projet'!$A$88,'Données projet'!$B$88,BD65+BC66-BL65)))</f>
        <v>149.59999999999994</v>
      </c>
      <c r="BE66" s="13">
        <f>BD66*VLOOKUP('Données projet'!$B$11,Paramètres!$A$1:$I$89,3,0)*VLOOKUP('Données projet'!$B$11,Paramètres!$A$1:$I$89,5,0)</f>
        <v>135.35807999999994</v>
      </c>
      <c r="BF66" s="13">
        <f t="shared" si="37"/>
        <v>35.231528980112806</v>
      </c>
      <c r="BG66" s="20">
        <f t="shared" si="7"/>
        <v>297.11023564036304</v>
      </c>
      <c r="BH66" s="59">
        <f t="shared" si="8"/>
        <v>590.4435689736963</v>
      </c>
      <c r="BI66" s="59">
        <f ca="1">AVERAGE(OFFSET($BH$3,0,0,'Données projet'!$E$11+1,1))-AVERAGE(OFFSET($H$3,0,0,'Données projet'!$E$11+1,1))</f>
        <v>138.8931001150624</v>
      </c>
      <c r="BJ66" s="59">
        <f t="shared" si="38"/>
        <v>48.964659354096625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>
        <f>EXP(-LN(2)/35)*BP65+(1-EXP(-LN(2)/35))/(LN(2)/35)*BL66*BM66*VLOOKUP('Données projet'!$B$11,Paramètres!$A$1:$I$89,3,0)*0.475*44/12</f>
        <v>0</v>
      </c>
      <c r="BQ66" s="21">
        <f>EXP(-LN(2)/25)*BQ65+(1-EXP(-LN(2)/25))/(LN(2)/25)*Calculateur!BL66*Calculateur!BN66*VLOOKUP('Données projet'!$B$11,Paramètres!$A$1:$I$89,3,0)*0.475*44/12</f>
        <v>0</v>
      </c>
      <c r="BR66" s="21">
        <f>EXP(-LN(2)/2)*BR65+(1-EXP(-LN(2)/2))/(LN(2)/2)*BL66*BO66*VLOOKUP('Données projet'!$B$11,Paramètres!$A$1:$I$89,3,0)*0.475*44/12</f>
        <v>0</v>
      </c>
      <c r="BS66" s="22">
        <f t="shared" si="9"/>
        <v>0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5.2</v>
      </c>
      <c r="BY66" s="12">
        <f>IF('Données projet'!$A$114&gt;35,BY65+BX66-CG65,IF(A66&lt;'Données projet'!$A$114,$BV$205^A66,IF(A66='Données projet'!$A$114,'Données projet'!$B$114,BY65+BX66-CG65)))</f>
        <v>149.60000000000002</v>
      </c>
      <c r="BZ66" s="13">
        <f>BY66*VLOOKUP('Données projet'!$B$12,Paramètres!$A$1:$I$89,3,0)*VLOOKUP('Données projet'!$B$12,Paramètres!$A$1:$I$89,5,0)</f>
        <v>144.69312000000002</v>
      </c>
      <c r="CA66" s="13">
        <f t="shared" si="39"/>
        <v>37.370061524802772</v>
      </c>
      <c r="CB66" s="20">
        <f t="shared" si="10"/>
        <v>317.09337448903148</v>
      </c>
      <c r="CC66" s="59">
        <f t="shared" si="11"/>
        <v>610.42670782236473</v>
      </c>
      <c r="CD66" s="59">
        <f ca="1">AVERAGE(OFFSET($CC$3,0,0,'Données projet'!$E$12+1,1))-AVERAGE(OFFSET($H$3,0,0,'Données projet'!$E$12+1,1))</f>
        <v>154.93882427988234</v>
      </c>
      <c r="CE66" s="59">
        <f t="shared" si="40"/>
        <v>56.347130462109817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>
        <f>EXP(-LN(2)/35)*CK65+(1-EXP(-LN(2)/35))/(LN(2)/35)*CG66*CH66*VLOOKUP('Données projet'!$B$12,Paramètres!$A$1:$I$89,3,0)*0.475*44/12</f>
        <v>0</v>
      </c>
      <c r="CL66" s="21">
        <f>EXP(-LN(2)/25)*CL65+(1-EXP(-LN(2)/25))/(LN(2)/25)*Calculateur!CG66*Calculateur!CI66*VLOOKUP('Données projet'!$B$12,Paramètres!$A$1:$I$89,3,0)*0.475*44/12</f>
        <v>0</v>
      </c>
      <c r="CM66" s="21">
        <f>EXP(-LN(2)/2)*CM65+(1-EXP(-LN(2)/2))/(LN(2)/2)*CG66*CJ66*VLOOKUP('Données projet'!$B$12,Paramètres!$A$1:$I$89,3,0)*0.475*44/12</f>
        <v>0</v>
      </c>
      <c r="CN66" s="22">
        <f t="shared" si="12"/>
        <v>0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56.908800000000056</v>
      </c>
      <c r="D67" s="11">
        <f t="shared" si="32"/>
        <v>16.384327014561212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565.77150677906945</v>
      </c>
      <c r="H67" s="67">
        <f t="shared" si="1"/>
        <v>420.98552955036087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0</v>
      </c>
      <c r="O67" s="13">
        <f>N67*VLOOKUP('Données projet'!$B$9,Paramètres!$A$1:$I$89,3,0)*VLOOKUP('Données projet'!$B$9,Paramètres!$A$1:$I$89,5,0)</f>
        <v>0</v>
      </c>
      <c r="P67" s="13" t="e">
        <f t="shared" si="33"/>
        <v>#NUM!</v>
      </c>
      <c r="Q67" s="20" t="e">
        <f t="shared" ref="Q67:Q98" si="54">(O67+P67)*0.475*44/12</f>
        <v>#NUM!</v>
      </c>
      <c r="R67" s="59" t="e">
        <f t="shared" ref="R67:R130" si="55">Q67+(I67+J67)*44/12</f>
        <v>#NUM!</v>
      </c>
      <c r="S67" s="59">
        <f ca="1">AVERAGE(OFFSET($R$3,0,0,'Données projet'!$E$9+1,1))-AVERAGE(OFFSET($H$3,0,0,'Données projet'!$E$9+1,1))</f>
        <v>72.647148358003676</v>
      </c>
      <c r="T67" s="59">
        <f t="shared" si="34"/>
        <v>87.231299224620898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0.64896619604091499</v>
      </c>
      <c r="AA67" s="21">
        <f>EXP(-LN(2)/25)*AA66+(1-EXP(-LN(2)/25))/(LN(2)/25)*Calculateur!V67*Calculateur!X67*VLOOKUP('Données projet'!$B$9,Paramètres!$A$1:$I$89,3,0)*0.475*44/12</f>
        <v>1.765247201465743</v>
      </c>
      <c r="AB67" s="21">
        <f>EXP(-LN(2)/2)*AB66+(1-EXP(-LN(2)/2))/(LN(2)/2)*V67*Y67*VLOOKUP('Données projet'!$B$9,Paramètres!$A$1:$I$89,3,0)*0.475*44/12</f>
        <v>1.7401856355825693E-5</v>
      </c>
      <c r="AC67" s="22">
        <f t="shared" si="3"/>
        <v>2.4142307993630139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3.2</v>
      </c>
      <c r="AI67" s="13">
        <f>IF('Données projet'!$A$62&gt;35,AI66+AH67-AQ66,IF(A67&lt;'Données projet'!$A$62,$AF$205^A67,IF(A67='Données projet'!$A$62,'Données projet'!$B$62,AI66+AH67-AQ66)))</f>
        <v>197.79999999999998</v>
      </c>
      <c r="AJ67" s="13">
        <f>AI67*VLOOKUP('Données projet'!$B$10,Paramètres!$A$1:$I$89,3,0)*VLOOKUP('Données projet'!$B$10,Paramètres!$A$1:$I$89,5,0)</f>
        <v>160.45535999999998</v>
      </c>
      <c r="AK67" s="13">
        <f t="shared" si="35"/>
        <v>40.945206131528849</v>
      </c>
      <c r="AL67" s="20">
        <f t="shared" si="4"/>
        <v>350.77265267907933</v>
      </c>
      <c r="AM67" s="59">
        <f t="shared" si="5"/>
        <v>644.10598601241259</v>
      </c>
      <c r="AN67" s="59">
        <f ca="1">AVERAGE(OFFSET($AM$3,0,0,'Données projet'!$E$10+1,1))-AVERAGE(OFFSET($H$3,0,0,'Données projet'!$E$10+1,1))</f>
        <v>145.3656871223958</v>
      </c>
      <c r="AO67" s="59">
        <f t="shared" si="36"/>
        <v>180.54762778843178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0</v>
      </c>
      <c r="AV67" s="21">
        <f>EXP(-LN(2)/25)*AV66+(1-EXP(-LN(2)/25))/(LN(2)/25)*Calculateur!AQ67*Calculateur!AS67*VLOOKUP('Données projet'!$B$10,Paramètres!$A$1:$I$89,3,0)*0.475*44/12</f>
        <v>2.1665095345271665</v>
      </c>
      <c r="AW67" s="21">
        <f>EXP(-LN(2)/2)*AW66+(1-EXP(-LN(2)/2))/(LN(2)/2)*AQ67*AT67*VLOOKUP('Données projet'!$B$10,Paramètres!$A$1:$I$89,3,0)*0.475*44/12</f>
        <v>6.2272312058184851E-5</v>
      </c>
      <c r="AX67" s="21">
        <f t="shared" si="6"/>
        <v>2.1665718068392246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5.2</v>
      </c>
      <c r="BD67" s="12">
        <f>IF('Données projet'!$A$88&gt;35,BD66+BC67-BL66,IF(A67&lt;'Données projet'!$A$88,$BA$205^A67,IF(A67='Données projet'!$A$88,'Données projet'!$B$88,BD66+BC67-BL66)))</f>
        <v>154.79999999999993</v>
      </c>
      <c r="BE67" s="13">
        <f>BD67*VLOOKUP('Données projet'!$B$11,Paramètres!$A$1:$I$89,3,0)*VLOOKUP('Données projet'!$B$11,Paramètres!$A$1:$I$89,5,0)</f>
        <v>140.06303999999992</v>
      </c>
      <c r="BF67" s="13">
        <f t="shared" si="37"/>
        <v>36.311446695369504</v>
      </c>
      <c r="BG67" s="20">
        <f t="shared" si="7"/>
        <v>307.18556432776842</v>
      </c>
      <c r="BH67" s="59">
        <f t="shared" si="8"/>
        <v>600.51889766110173</v>
      </c>
      <c r="BI67" s="59">
        <f ca="1">AVERAGE(OFFSET($BH$3,0,0,'Données projet'!$E$11+1,1))-AVERAGE(OFFSET($H$3,0,0,'Données projet'!$E$11+1,1))</f>
        <v>138.8931001150624</v>
      </c>
      <c r="BJ67" s="59">
        <f t="shared" si="38"/>
        <v>48.964659354096625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>
        <f>EXP(-LN(2)/35)*BP66+(1-EXP(-LN(2)/35))/(LN(2)/35)*BL67*BM67*VLOOKUP('Données projet'!$B$11,Paramètres!$A$1:$I$89,3,0)*0.475*44/12</f>
        <v>0</v>
      </c>
      <c r="BQ67" s="21">
        <f>EXP(-LN(2)/25)*BQ66+(1-EXP(-LN(2)/25))/(LN(2)/25)*Calculateur!BL67*Calculateur!BN67*VLOOKUP('Données projet'!$B$11,Paramètres!$A$1:$I$89,3,0)*0.475*44/12</f>
        <v>0</v>
      </c>
      <c r="BR67" s="21">
        <f>EXP(-LN(2)/2)*BR66+(1-EXP(-LN(2)/2))/(LN(2)/2)*BL67*BO67*VLOOKUP('Données projet'!$B$11,Paramètres!$A$1:$I$89,3,0)*0.475*44/12</f>
        <v>0</v>
      </c>
      <c r="BS67" s="22">
        <f t="shared" si="9"/>
        <v>0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5.2</v>
      </c>
      <c r="BY67" s="12">
        <f>IF('Données projet'!$A$114&gt;35,BY66+BX67-CG66,IF(A67&lt;'Données projet'!$A$114,$BV$205^A67,IF(A67='Données projet'!$A$114,'Données projet'!$B$114,BY66+BX67-CG66)))</f>
        <v>154.80000000000001</v>
      </c>
      <c r="BZ67" s="13">
        <f>BY67*VLOOKUP('Données projet'!$B$12,Paramètres!$A$1:$I$89,3,0)*VLOOKUP('Données projet'!$B$12,Paramètres!$A$1:$I$89,5,0)</f>
        <v>149.72256000000002</v>
      </c>
      <c r="CA67" s="13">
        <f t="shared" si="39"/>
        <v>38.515529593578506</v>
      </c>
      <c r="CB67" s="20">
        <f t="shared" si="10"/>
        <v>327.84800604214928</v>
      </c>
      <c r="CC67" s="59">
        <f t="shared" si="11"/>
        <v>621.18133937548259</v>
      </c>
      <c r="CD67" s="59">
        <f ca="1">AVERAGE(OFFSET($CC$3,0,0,'Données projet'!$E$12+1,1))-AVERAGE(OFFSET($H$3,0,0,'Données projet'!$E$12+1,1))</f>
        <v>154.93882427988234</v>
      </c>
      <c r="CE67" s="59">
        <f t="shared" si="40"/>
        <v>56.347130462109817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>
        <f>EXP(-LN(2)/35)*CK66+(1-EXP(-LN(2)/35))/(LN(2)/35)*CG67*CH67*VLOOKUP('Données projet'!$B$12,Paramètres!$A$1:$I$89,3,0)*0.475*44/12</f>
        <v>0</v>
      </c>
      <c r="CL67" s="21">
        <f>EXP(-LN(2)/25)*CL66+(1-EXP(-LN(2)/25))/(LN(2)/25)*Calculateur!CG67*Calculateur!CI67*VLOOKUP('Données projet'!$B$12,Paramètres!$A$1:$I$89,3,0)*0.475*44/12</f>
        <v>0</v>
      </c>
      <c r="CM67" s="21">
        <f>EXP(-LN(2)/2)*CM66+(1-EXP(-LN(2)/2))/(LN(2)/2)*CG67*CJ67*VLOOKUP('Données projet'!$B$12,Paramètres!$A$1:$I$89,3,0)*0.475*44/12</f>
        <v>0</v>
      </c>
      <c r="CN67" s="22">
        <f t="shared" si="12"/>
        <v>0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57.798000000000059</v>
      </c>
      <c r="D68" s="11">
        <f t="shared" si="32"/>
        <v>16.610328609523005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574.38008049456403</v>
      </c>
      <c r="H68" s="67">
        <f t="shared" ref="H68:H131" si="56">(B68+E68+F68)*44/12+(C68+D68)*0.475*44/12</f>
        <v>422.92783899491928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0</v>
      </c>
      <c r="O68" s="13">
        <f>N68*VLOOKUP('Données projet'!$B$9,Paramètres!$A$1:$I$89,3,0)*VLOOKUP('Données projet'!$B$9,Paramètres!$A$1:$I$89,5,0)</f>
        <v>0</v>
      </c>
      <c r="P68" s="13" t="e">
        <f t="shared" si="33"/>
        <v>#NUM!</v>
      </c>
      <c r="Q68" s="20" t="e">
        <f t="shared" si="54"/>
        <v>#NUM!</v>
      </c>
      <c r="R68" s="59" t="e">
        <f t="shared" si="55"/>
        <v>#NUM!</v>
      </c>
      <c r="S68" s="59">
        <f ca="1">AVERAGE(OFFSET($R$3,0,0,'Données projet'!$E$9+1,1))-AVERAGE(OFFSET($H$3,0,0,'Données projet'!$E$9+1,1))</f>
        <v>72.647148358003676</v>
      </c>
      <c r="T68" s="59">
        <f t="shared" si="34"/>
        <v>87.231299224620898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0.6362403647668472</v>
      </c>
      <c r="AA68" s="21">
        <f>EXP(-LN(2)/25)*AA67+(1-EXP(-LN(2)/25))/(LN(2)/25)*Calculateur!V68*Calculateur!X68*VLOOKUP('Données projet'!$B$9,Paramètres!$A$1:$I$89,3,0)*0.475*44/12</f>
        <v>1.7169764239113465</v>
      </c>
      <c r="AB68" s="21">
        <f>EXP(-LN(2)/2)*AB67+(1-EXP(-LN(2)/2))/(LN(2)/2)*V68*Y68*VLOOKUP('Données projet'!$B$9,Paramètres!$A$1:$I$89,3,0)*0.475*44/12</f>
        <v>1.230497063443857E-5</v>
      </c>
      <c r="AC68" s="22">
        <f t="shared" ref="AC68:AC131" si="57">SUM(Z68:AB68)</f>
        <v>2.353229093648828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 t="e">
        <f>VLOOKUP(A68,'Données projet'!$A$61:$I$81,2,0)</f>
        <v>#N/A</v>
      </c>
      <c r="AG68" s="12" t="e">
        <f>VLOOKUP(A68,'Données projet'!$A$61:$I$81,9,0)</f>
        <v>#N/A</v>
      </c>
      <c r="AH68" s="12">
        <f t="array" ref="AH68">INDEX(AG:AG,MIN(IF(ISNUMBER(AG68:AG264),ROW(AG68:AG264),"")))</f>
        <v>3.2</v>
      </c>
      <c r="AI68" s="13">
        <f>IF('Données projet'!$A$62&gt;35,AI67+AH68-AQ67,IF(A68&lt;'Données projet'!$A$62,$AF$205^A68,IF(A68='Données projet'!$A$62,'Données projet'!$B$62,AI67+AH68-AQ67)))</f>
        <v>200.99999999999997</v>
      </c>
      <c r="AJ68" s="13">
        <f>AI68*VLOOKUP('Données projet'!$B$10,Paramètres!$A$1:$I$89,3,0)*VLOOKUP('Données projet'!$B$10,Paramètres!$A$1:$I$89,5,0)</f>
        <v>163.05119999999997</v>
      </c>
      <c r="AK68" s="13">
        <f t="shared" si="35"/>
        <v>41.529963627394977</v>
      </c>
      <c r="AL68" s="20">
        <f t="shared" ref="AL68:AL131" si="58">(AJ68+AK68)*0.475*44/12</f>
        <v>356.31219331771285</v>
      </c>
      <c r="AM68" s="59">
        <f t="shared" ref="AM68:AM131" si="59">AL68+(AD68+AE68)*44/12</f>
        <v>649.64552665104611</v>
      </c>
      <c r="AN68" s="59">
        <f ca="1">AVERAGE(OFFSET($AM$3,0,0,'Données projet'!$E$10+1,1))-AVERAGE(OFFSET($H$3,0,0,'Données projet'!$E$10+1,1))</f>
        <v>145.3656871223958</v>
      </c>
      <c r="AO68" s="59">
        <f t="shared" si="36"/>
        <v>180.54762778843178</v>
      </c>
      <c r="AP68" s="15">
        <f>IF(ISNA(VLOOKUP(A68,'Données projet'!$A$61:$I$81,3,0)),0,VLOOKUP(A68,'Données projet'!$A$61:$I$81,3,0))</f>
        <v>0</v>
      </c>
      <c r="AQ68" s="15">
        <f>IF(ISNA(VLOOKUP(A68,'Données projet'!$A$61:$I$81,4,0)),0,VLOOKUP(A68,'Données projet'!$A$61:$I$81,4,0))</f>
        <v>0</v>
      </c>
      <c r="AR68" s="16">
        <f>IF(ISNA(VLOOKUP(A68,'Données projet'!$A$61:$I$81,5,0)),0%,VLOOKUP(A68,'Données projet'!$A$61:$I$81,5,0)*VLOOKUP('Données projet'!$B$10,Paramètres!$A$1:$I$89,7,0))</f>
        <v>0</v>
      </c>
      <c r="AS68" s="16">
        <f>IF(ISNA(VLOOKUP(A68,'Données projet'!$A$61:$I$81,6,0)),0%,VLOOKUP(A68,'Données projet'!$A$61:$I$81,6,0)*VLOOKUP('Données projet'!$B$10,Paramètres!$A$1:$I$89,7,0))</f>
        <v>0</v>
      </c>
      <c r="AT68" s="16">
        <f>IF(ISNA(VLOOKUP(A68,'Données projet'!$A$61:$I$81,7,0)),0%,VLOOKUP(A68,'Données projet'!$A$61:$I$81,7,0))</f>
        <v>0</v>
      </c>
      <c r="AU68" s="21">
        <f>EXP(-LN(2)/35)*AU67+(1-EXP(-LN(2)/35))/(LN(2)/35)*AQ68*AR68*VLOOKUP('Données projet'!$B$10,Paramètres!$A$1:$I$89,3,0)*0.475*44/12</f>
        <v>0</v>
      </c>
      <c r="AV68" s="21">
        <f>EXP(-LN(2)/25)*AV67+(1-EXP(-LN(2)/25))/(LN(2)/25)*Calculateur!AQ68*Calculateur!AS68*VLOOKUP('Données projet'!$B$10,Paramètres!$A$1:$I$89,3,0)*0.475*44/12</f>
        <v>2.1072662173737364</v>
      </c>
      <c r="AW68" s="21">
        <f>EXP(-LN(2)/2)*AW67+(1-EXP(-LN(2)/2))/(LN(2)/2)*AQ68*AT68*VLOOKUP('Données projet'!$B$10,Paramètres!$A$1:$I$89,3,0)*0.475*44/12</f>
        <v>4.4033174136507321E-5</v>
      </c>
      <c r="AX68" s="21">
        <f t="shared" ref="AX68:AX131" si="60">SUM(AU68:AW68)</f>
        <v>2.1073102505478731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5.2</v>
      </c>
      <c r="BD68" s="12">
        <f>IF('Données projet'!$A$88&gt;35,BD67+BC68-BL67,IF(A68&lt;'Données projet'!$A$88,$BA$205^A68,IF(A68='Données projet'!$A$88,'Données projet'!$B$88,BD67+BC68-BL67)))</f>
        <v>159.99999999999991</v>
      </c>
      <c r="BE68" s="13">
        <f>BD68*VLOOKUP('Données projet'!$B$11,Paramètres!$A$1:$I$89,3,0)*VLOOKUP('Données projet'!$B$11,Paramètres!$A$1:$I$89,5,0)</f>
        <v>144.76799999999992</v>
      </c>
      <c r="BF68" s="13">
        <f t="shared" si="37"/>
        <v>37.387149255707826</v>
      </c>
      <c r="BG68" s="20">
        <f t="shared" ref="BG68:BG131" si="61">(BE68+BF68)*0.475*44/12</f>
        <v>317.2535516203576</v>
      </c>
      <c r="BH68" s="59">
        <f t="shared" ref="BH68:BH131" si="62">BG68+(AY68+AZ68)*44/12</f>
        <v>610.58688495369097</v>
      </c>
      <c r="BI68" s="59">
        <f ca="1">AVERAGE(OFFSET($BH$3,0,0,'Données projet'!$E$11+1,1))-AVERAGE(OFFSET($H$3,0,0,'Données projet'!$E$11+1,1))</f>
        <v>138.8931001150624</v>
      </c>
      <c r="BJ68" s="59">
        <f t="shared" si="38"/>
        <v>48.964659354096625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>
        <f>EXP(-LN(2)/35)*BP67+(1-EXP(-LN(2)/35))/(LN(2)/35)*BL68*BM68*VLOOKUP('Données projet'!$B$11,Paramètres!$A$1:$I$89,3,0)*0.475*44/12</f>
        <v>0</v>
      </c>
      <c r="BQ68" s="21">
        <f>EXP(-LN(2)/25)*BQ67+(1-EXP(-LN(2)/25))/(LN(2)/25)*Calculateur!BL68*Calculateur!BN68*VLOOKUP('Données projet'!$B$11,Paramètres!$A$1:$I$89,3,0)*0.475*44/12</f>
        <v>0</v>
      </c>
      <c r="BR68" s="21">
        <f>EXP(-LN(2)/2)*BR67+(1-EXP(-LN(2)/2))/(LN(2)/2)*BL68*BO68*VLOOKUP('Données projet'!$B$11,Paramètres!$A$1:$I$89,3,0)*0.475*44/12</f>
        <v>0</v>
      </c>
      <c r="BS68" s="22">
        <f t="shared" ref="BS68:BS131" si="63">SUM(BP68:BR68)</f>
        <v>0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5.2</v>
      </c>
      <c r="BY68" s="12">
        <f>IF('Données projet'!$A$114&gt;35,BY67+BX68-CG67,IF(A68&lt;'Données projet'!$A$114,$BV$205^A68,IF(A68='Données projet'!$A$114,'Données projet'!$B$114,BY67+BX68-CG67)))</f>
        <v>160</v>
      </c>
      <c r="BZ68" s="13">
        <f>BY68*VLOOKUP('Données projet'!$B$12,Paramètres!$A$1:$I$89,3,0)*VLOOKUP('Données projet'!$B$12,Paramètres!$A$1:$I$89,5,0)</f>
        <v>154.75200000000001</v>
      </c>
      <c r="CA68" s="13">
        <f t="shared" si="39"/>
        <v>39.656526650076415</v>
      </c>
      <c r="CB68" s="20">
        <f t="shared" ref="CB68:CB131" si="64">(BZ68+CA68)*0.475*44/12</f>
        <v>338.59485058221645</v>
      </c>
      <c r="CC68" s="59">
        <f t="shared" ref="CC68:CC131" si="65">CB68+(BT68+BU68)*44/12</f>
        <v>631.92818391554977</v>
      </c>
      <c r="CD68" s="59">
        <f ca="1">AVERAGE(OFFSET($CC$3,0,0,'Données projet'!$E$12+1,1))-AVERAGE(OFFSET($H$3,0,0,'Données projet'!$E$12+1,1))</f>
        <v>154.93882427988234</v>
      </c>
      <c r="CE68" s="59">
        <f t="shared" si="40"/>
        <v>56.347130462109817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>
        <f>EXP(-LN(2)/35)*CK67+(1-EXP(-LN(2)/35))/(LN(2)/35)*CG68*CH68*VLOOKUP('Données projet'!$B$12,Paramètres!$A$1:$I$89,3,0)*0.475*44/12</f>
        <v>0</v>
      </c>
      <c r="CL68" s="21">
        <f>EXP(-LN(2)/25)*CL67+(1-EXP(-LN(2)/25))/(LN(2)/25)*Calculateur!CG68*Calculateur!CI68*VLOOKUP('Données projet'!$B$12,Paramètres!$A$1:$I$89,3,0)*0.475*44/12</f>
        <v>0</v>
      </c>
      <c r="CM68" s="21">
        <f>EXP(-LN(2)/2)*CM67+(1-EXP(-LN(2)/2))/(LN(2)/2)*CG68*CJ68*VLOOKUP('Données projet'!$B$12,Paramètres!$A$1:$I$89,3,0)*0.475*44/12</f>
        <v>0</v>
      </c>
      <c r="CN68" s="22">
        <f t="shared" ref="CN68:CN131" si="66">SUM(CK68:CM68)</f>
        <v>0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58.687200000000061</v>
      </c>
      <c r="D69" s="11">
        <f t="shared" ref="D69:D132" si="86">IFERROR(EXP(-1.0587+0.8836*LN(C69)+0.284),0)</f>
        <v>16.835925833077553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582.98553274656399</v>
      </c>
      <c r="H69" s="67">
        <f t="shared" si="56"/>
        <v>424.86944415927678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0</v>
      </c>
      <c r="O69" s="13">
        <f>N69*VLOOKUP('Données projet'!$B$9,Paramètres!$A$1:$I$89,3,0)*VLOOKUP('Données projet'!$B$9,Paramètres!$A$1:$I$89,5,0)</f>
        <v>0</v>
      </c>
      <c r="P69" s="13" t="e">
        <f t="shared" ref="P69:P132" si="87">EXP(-1.0587+0.8836*LN(O69)+0.284)</f>
        <v>#NUM!</v>
      </c>
      <c r="Q69" s="20" t="e">
        <f t="shared" si="54"/>
        <v>#NUM!</v>
      </c>
      <c r="R69" s="59" t="e">
        <f t="shared" si="55"/>
        <v>#NUM!</v>
      </c>
      <c r="S69" s="59">
        <f ca="1">AVERAGE(OFFSET($R$3,0,0,'Données projet'!$E$9+1,1))-AVERAGE(OFFSET($H$3,0,0,'Données projet'!$E$9+1,1))</f>
        <v>72.647148358003676</v>
      </c>
      <c r="T69" s="59">
        <f t="shared" ref="T69:T132" si="88">$T$3</f>
        <v>87.231299224620898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0.62376407928207322</v>
      </c>
      <c r="AA69" s="21">
        <f>EXP(-LN(2)/25)*AA68+(1-EXP(-LN(2)/25))/(LN(2)/25)*Calculateur!V69*Calculateur!X69*VLOOKUP('Données projet'!$B$9,Paramètres!$A$1:$I$89,3,0)*0.475*44/12</f>
        <v>1.6700256133076248</v>
      </c>
      <c r="AB69" s="21">
        <f>EXP(-LN(2)/2)*AB68+(1-EXP(-LN(2)/2))/(LN(2)/2)*V69*Y69*VLOOKUP('Données projet'!$B$9,Paramètres!$A$1:$I$89,3,0)*0.475*44/12</f>
        <v>8.7009281779128466E-6</v>
      </c>
      <c r="AC69" s="22">
        <f t="shared" si="57"/>
        <v>2.2937983935178758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3.2</v>
      </c>
      <c r="AI69" s="13">
        <f>IF('Données projet'!$A$62&gt;35,AI68+AH69-AQ68,IF(A69&lt;'Données projet'!$A$62,$AF$205^A69,IF(A69='Données projet'!$A$62,'Données projet'!$B$62,AI68+AH69-AQ68)))</f>
        <v>204.19999999999996</v>
      </c>
      <c r="AJ69" s="13">
        <f>AI69*VLOOKUP('Données projet'!$B$10,Paramètres!$A$1:$I$89,3,0)*VLOOKUP('Données projet'!$B$10,Paramètres!$A$1:$I$89,5,0)</f>
        <v>165.64703999999998</v>
      </c>
      <c r="AK69" s="13">
        <f t="shared" ref="AK69:AK132" si="89">EXP(-1.0587+0.8836*LN(AJ69)+0.284)</f>
        <v>42.11363844415591</v>
      </c>
      <c r="AL69" s="20">
        <f t="shared" si="58"/>
        <v>361.84984829023819</v>
      </c>
      <c r="AM69" s="59">
        <f t="shared" si="59"/>
        <v>655.1831816235715</v>
      </c>
      <c r="AN69" s="59">
        <f ca="1">AVERAGE(OFFSET($AM$3,0,0,'Données projet'!$E$10+1,1))-AVERAGE(OFFSET($H$3,0,0,'Données projet'!$E$10+1,1))</f>
        <v>145.3656871223958</v>
      </c>
      <c r="AO69" s="59">
        <f t="shared" ref="AO69:AO132" si="90">$AO$3</f>
        <v>180.54762778843178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0</v>
      </c>
      <c r="AV69" s="21">
        <f>EXP(-LN(2)/25)*AV68+(1-EXP(-LN(2)/25))/(LN(2)/25)*Calculateur!AQ69*Calculateur!AS69*VLOOKUP('Données projet'!$B$10,Paramètres!$A$1:$I$89,3,0)*0.475*44/12</f>
        <v>2.0496429118433372</v>
      </c>
      <c r="AW69" s="21">
        <f>EXP(-LN(2)/2)*AW68+(1-EXP(-LN(2)/2))/(LN(2)/2)*AQ69*AT69*VLOOKUP('Données projet'!$B$10,Paramètres!$A$1:$I$89,3,0)*0.475*44/12</f>
        <v>3.1136156029092425E-5</v>
      </c>
      <c r="AX69" s="21">
        <f t="shared" si="60"/>
        <v>2.0496740479993663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5.2</v>
      </c>
      <c r="BD69" s="12">
        <f>IF('Données projet'!$A$88&gt;35,BD68+BC69-BL68,IF(A69&lt;'Données projet'!$A$88,$BA$205^A69,IF(A69='Données projet'!$A$88,'Données projet'!$B$88,BD68+BC69-BL68)))</f>
        <v>165.1999999999999</v>
      </c>
      <c r="BE69" s="13">
        <f>BD69*VLOOKUP('Données projet'!$B$11,Paramètres!$A$1:$I$89,3,0)*VLOOKUP('Données projet'!$B$11,Paramètres!$A$1:$I$89,5,0)</f>
        <v>149.47295999999989</v>
      </c>
      <c r="BF69" s="13">
        <f t="shared" ref="BF69:BF132" si="91">EXP(-1.0587+0.8836*LN(BE69)+0.284)</f>
        <v>38.458789365254951</v>
      </c>
      <c r="BG69" s="20">
        <f t="shared" si="61"/>
        <v>327.31446347781883</v>
      </c>
      <c r="BH69" s="59">
        <f t="shared" si="62"/>
        <v>620.64779681115215</v>
      </c>
      <c r="BI69" s="59">
        <f ca="1">AVERAGE(OFFSET($BH$3,0,0,'Données projet'!$E$11+1,1))-AVERAGE(OFFSET($H$3,0,0,'Données projet'!$E$11+1,1))</f>
        <v>138.8931001150624</v>
      </c>
      <c r="BJ69" s="59">
        <f t="shared" ref="BJ69:BJ132" si="92">$BJ$3</f>
        <v>48.964659354096625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>
        <f>EXP(-LN(2)/35)*BP68+(1-EXP(-LN(2)/35))/(LN(2)/35)*BL69*BM69*VLOOKUP('Données projet'!$B$11,Paramètres!$A$1:$I$89,3,0)*0.475*44/12</f>
        <v>0</v>
      </c>
      <c r="BQ69" s="21">
        <f>EXP(-LN(2)/25)*BQ68+(1-EXP(-LN(2)/25))/(LN(2)/25)*Calculateur!BL69*Calculateur!BN69*VLOOKUP('Données projet'!$B$11,Paramètres!$A$1:$I$89,3,0)*0.475*44/12</f>
        <v>0</v>
      </c>
      <c r="BR69" s="21">
        <f>EXP(-LN(2)/2)*BR68+(1-EXP(-LN(2)/2))/(LN(2)/2)*BL69*BO69*VLOOKUP('Données projet'!$B$11,Paramètres!$A$1:$I$89,3,0)*0.475*44/12</f>
        <v>0</v>
      </c>
      <c r="BS69" s="22">
        <f t="shared" si="63"/>
        <v>0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5.2</v>
      </c>
      <c r="BY69" s="12">
        <f>IF('Données projet'!$A$114&gt;35,BY68+BX69-CG68,IF(A69&lt;'Données projet'!$A$114,$BV$205^A69,IF(A69='Données projet'!$A$114,'Données projet'!$B$114,BY68+BX69-CG68)))</f>
        <v>165.2</v>
      </c>
      <c r="BZ69" s="13">
        <f>BY69*VLOOKUP('Données projet'!$B$12,Paramètres!$A$1:$I$89,3,0)*VLOOKUP('Données projet'!$B$12,Paramètres!$A$1:$I$89,5,0)</f>
        <v>159.78144</v>
      </c>
      <c r="CA69" s="13">
        <f t="shared" ref="CA69:CA132" si="93">EXP(-1.0587+0.8836*LN(BZ69)+0.284)</f>
        <v>40.793214667472085</v>
      </c>
      <c r="CB69" s="20">
        <f t="shared" si="64"/>
        <v>349.33419021251393</v>
      </c>
      <c r="CC69" s="59">
        <f t="shared" si="65"/>
        <v>642.66752354584719</v>
      </c>
      <c r="CD69" s="59">
        <f ca="1">AVERAGE(OFFSET($CC$3,0,0,'Données projet'!$E$12+1,1))-AVERAGE(OFFSET($H$3,0,0,'Données projet'!$E$12+1,1))</f>
        <v>154.93882427988234</v>
      </c>
      <c r="CE69" s="59">
        <f t="shared" ref="CE69:CE132" si="94">$CE$3</f>
        <v>56.347130462109817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>
        <f>EXP(-LN(2)/35)*CK68+(1-EXP(-LN(2)/35))/(LN(2)/35)*CG69*CH69*VLOOKUP('Données projet'!$B$12,Paramètres!$A$1:$I$89,3,0)*0.475*44/12</f>
        <v>0</v>
      </c>
      <c r="CL69" s="21">
        <f>EXP(-LN(2)/25)*CL68+(1-EXP(-LN(2)/25))/(LN(2)/25)*Calculateur!CG69*Calculateur!CI69*VLOOKUP('Données projet'!$B$12,Paramètres!$A$1:$I$89,3,0)*0.475*44/12</f>
        <v>0</v>
      </c>
      <c r="CM69" s="21">
        <f>EXP(-LN(2)/2)*CM68+(1-EXP(-LN(2)/2))/(LN(2)/2)*CG69*CJ69*VLOOKUP('Données projet'!$B$12,Paramètres!$A$1:$I$89,3,0)*0.475*44/12</f>
        <v>0</v>
      </c>
      <c r="CN69" s="22">
        <f t="shared" si="66"/>
        <v>0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59.576400000000064</v>
      </c>
      <c r="D70" s="11">
        <f t="shared" si="86"/>
        <v>17.061125519726964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591.58791629262976</v>
      </c>
      <c r="H70" s="67">
        <f t="shared" si="56"/>
        <v>426.81035694685789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0</v>
      </c>
      <c r="O70" s="13">
        <f>N70*VLOOKUP('Données projet'!$B$9,Paramètres!$A$1:$I$89,3,0)*VLOOKUP('Données projet'!$B$9,Paramètres!$A$1:$I$89,5,0)</f>
        <v>0</v>
      </c>
      <c r="P70" s="13" t="e">
        <f t="shared" si="87"/>
        <v>#NUM!</v>
      </c>
      <c r="Q70" s="20" t="e">
        <f t="shared" si="54"/>
        <v>#NUM!</v>
      </c>
      <c r="R70" s="59" t="e">
        <f t="shared" si="55"/>
        <v>#NUM!</v>
      </c>
      <c r="S70" s="59">
        <f ca="1">AVERAGE(OFFSET($R$3,0,0,'Données projet'!$E$9+1,1))-AVERAGE(OFFSET($H$3,0,0,'Données projet'!$E$9+1,1))</f>
        <v>72.647148358003676</v>
      </c>
      <c r="T70" s="59">
        <f t="shared" si="88"/>
        <v>87.231299224620898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0.61153244614587299</v>
      </c>
      <c r="AA70" s="21">
        <f>EXP(-LN(2)/25)*AA69+(1-EXP(-LN(2)/25))/(LN(2)/25)*Calculateur!V70*Calculateur!X70*VLOOKUP('Données projet'!$B$9,Paramètres!$A$1:$I$89,3,0)*0.475*44/12</f>
        <v>1.6243586750888976</v>
      </c>
      <c r="AB70" s="21">
        <f>EXP(-LN(2)/2)*AB69+(1-EXP(-LN(2)/2))/(LN(2)/2)*V70*Y70*VLOOKUP('Données projet'!$B$9,Paramètres!$A$1:$I$89,3,0)*0.475*44/12</f>
        <v>6.1524853172192849E-6</v>
      </c>
      <c r="AC70" s="22">
        <f t="shared" si="57"/>
        <v>2.235897273720088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3.2</v>
      </c>
      <c r="AI70" s="13">
        <f>IF('Données projet'!$A$62&gt;35,AI69+AH70-AQ69,IF(A70&lt;'Données projet'!$A$62,$AF$205^A70,IF(A70='Données projet'!$A$62,'Données projet'!$B$62,AI69+AH70-AQ69)))</f>
        <v>207.39999999999995</v>
      </c>
      <c r="AJ70" s="13">
        <f>AI70*VLOOKUP('Données projet'!$B$10,Paramètres!$A$1:$I$89,3,0)*VLOOKUP('Données projet'!$B$10,Paramètres!$A$1:$I$89,5,0)</f>
        <v>168.24287999999996</v>
      </c>
      <c r="AK70" s="13">
        <f t="shared" si="89"/>
        <v>42.696249507583119</v>
      </c>
      <c r="AL70" s="20">
        <f t="shared" si="58"/>
        <v>367.38565055904047</v>
      </c>
      <c r="AM70" s="59">
        <f t="shared" si="59"/>
        <v>660.71898389237379</v>
      </c>
      <c r="AN70" s="59">
        <f ca="1">AVERAGE(OFFSET($AM$3,0,0,'Données projet'!$E$10+1,1))-AVERAGE(OFFSET($H$3,0,0,'Données projet'!$E$10+1,1))</f>
        <v>145.3656871223958</v>
      </c>
      <c r="AO70" s="59">
        <f t="shared" si="90"/>
        <v>180.54762778843178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0</v>
      </c>
      <c r="AV70" s="21">
        <f>EXP(-LN(2)/25)*AV69+(1-EXP(-LN(2)/25))/(LN(2)/25)*Calculateur!AQ70*Calculateur!AS70*VLOOKUP('Données projet'!$B$10,Paramètres!$A$1:$I$89,3,0)*0.475*44/12</f>
        <v>1.9935953186329449</v>
      </c>
      <c r="AW70" s="21">
        <f>EXP(-LN(2)/2)*AW69+(1-EXP(-LN(2)/2))/(LN(2)/2)*AQ70*AT70*VLOOKUP('Données projet'!$B$10,Paramètres!$A$1:$I$89,3,0)*0.475*44/12</f>
        <v>2.201658706825366E-5</v>
      </c>
      <c r="AX70" s="21">
        <f t="shared" si="60"/>
        <v>1.9936173352200133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5.2</v>
      </c>
      <c r="BD70" s="12">
        <f>IF('Données projet'!$A$88&gt;35,BD69+BC70-BL69,IF(A70&lt;'Données projet'!$A$88,$BA$205^A70,IF(A70='Données projet'!$A$88,'Données projet'!$B$88,BD69+BC70-BL69)))</f>
        <v>170.39999999999989</v>
      </c>
      <c r="BE70" s="13">
        <f>BD70*VLOOKUP('Données projet'!$B$11,Paramètres!$A$1:$I$89,3,0)*VLOOKUP('Données projet'!$B$11,Paramètres!$A$1:$I$89,5,0)</f>
        <v>154.17791999999992</v>
      </c>
      <c r="BF70" s="13">
        <f t="shared" si="91"/>
        <v>39.526509568829233</v>
      </c>
      <c r="BG70" s="20">
        <f t="shared" si="61"/>
        <v>337.36854816571076</v>
      </c>
      <c r="BH70" s="59">
        <f t="shared" si="62"/>
        <v>630.70188149904402</v>
      </c>
      <c r="BI70" s="59">
        <f ca="1">AVERAGE(OFFSET($BH$3,0,0,'Données projet'!$E$11+1,1))-AVERAGE(OFFSET($H$3,0,0,'Données projet'!$E$11+1,1))</f>
        <v>138.8931001150624</v>
      </c>
      <c r="BJ70" s="59">
        <f t="shared" si="92"/>
        <v>48.964659354096625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>
        <f>EXP(-LN(2)/35)*BP69+(1-EXP(-LN(2)/35))/(LN(2)/35)*BL70*BM70*VLOOKUP('Données projet'!$B$11,Paramètres!$A$1:$I$89,3,0)*0.475*44/12</f>
        <v>0</v>
      </c>
      <c r="BQ70" s="21">
        <f>EXP(-LN(2)/25)*BQ69+(1-EXP(-LN(2)/25))/(LN(2)/25)*Calculateur!BL70*Calculateur!BN70*VLOOKUP('Données projet'!$B$11,Paramètres!$A$1:$I$89,3,0)*0.475*44/12</f>
        <v>0</v>
      </c>
      <c r="BR70" s="21">
        <f>EXP(-LN(2)/2)*BR69+(1-EXP(-LN(2)/2))/(LN(2)/2)*BL70*BO70*VLOOKUP('Données projet'!$B$11,Paramètres!$A$1:$I$89,3,0)*0.475*44/12</f>
        <v>0</v>
      </c>
      <c r="BS70" s="22">
        <f t="shared" si="63"/>
        <v>0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5.2</v>
      </c>
      <c r="BY70" s="12">
        <f>IF('Données projet'!$A$114&gt;35,BY69+BX70-CG69,IF(A70&lt;'Données projet'!$A$114,$BV$205^A70,IF(A70='Données projet'!$A$114,'Données projet'!$B$114,BY69+BX70-CG69)))</f>
        <v>170.39999999999998</v>
      </c>
      <c r="BZ70" s="13">
        <f>BY70*VLOOKUP('Données projet'!$B$12,Paramètres!$A$1:$I$89,3,0)*VLOOKUP('Données projet'!$B$12,Paramètres!$A$1:$I$89,5,0)</f>
        <v>164.81087999999997</v>
      </c>
      <c r="CA70" s="13">
        <f t="shared" si="93"/>
        <v>41.9257448429683</v>
      </c>
      <c r="CB70" s="20">
        <f t="shared" si="64"/>
        <v>360.06628826816973</v>
      </c>
      <c r="CC70" s="59">
        <f t="shared" si="65"/>
        <v>653.39962160150299</v>
      </c>
      <c r="CD70" s="59">
        <f ca="1">AVERAGE(OFFSET($CC$3,0,0,'Données projet'!$E$12+1,1))-AVERAGE(OFFSET($H$3,0,0,'Données projet'!$E$12+1,1))</f>
        <v>154.93882427988234</v>
      </c>
      <c r="CE70" s="59">
        <f t="shared" si="94"/>
        <v>56.347130462109817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>
        <f>EXP(-LN(2)/35)*CK69+(1-EXP(-LN(2)/35))/(LN(2)/35)*CG70*CH70*VLOOKUP('Données projet'!$B$12,Paramètres!$A$1:$I$89,3,0)*0.475*44/12</f>
        <v>0</v>
      </c>
      <c r="CL70" s="21">
        <f>EXP(-LN(2)/25)*CL69+(1-EXP(-LN(2)/25))/(LN(2)/25)*Calculateur!CG70*Calculateur!CI70*VLOOKUP('Données projet'!$B$12,Paramètres!$A$1:$I$89,3,0)*0.475*44/12</f>
        <v>0</v>
      </c>
      <c r="CM70" s="21">
        <f>EXP(-LN(2)/2)*CM69+(1-EXP(-LN(2)/2))/(LN(2)/2)*CG70*CJ70*VLOOKUP('Données projet'!$B$12,Paramètres!$A$1:$I$89,3,0)*0.475*44/12</f>
        <v>0</v>
      </c>
      <c r="CN70" s="22">
        <f t="shared" si="66"/>
        <v>0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60.465600000000066</v>
      </c>
      <c r="D71" s="11">
        <f t="shared" si="86"/>
        <v>17.285934288248221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600.18728222507445</v>
      </c>
      <c r="H71" s="67">
        <f t="shared" si="56"/>
        <v>428.75058888536569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0</v>
      </c>
      <c r="O71" s="13">
        <f>N71*VLOOKUP('Données projet'!$B$9,Paramètres!$A$1:$I$89,3,0)*VLOOKUP('Données projet'!$B$9,Paramètres!$A$1:$I$89,5,0)</f>
        <v>0</v>
      </c>
      <c r="P71" s="13" t="e">
        <f t="shared" si="87"/>
        <v>#NUM!</v>
      </c>
      <c r="Q71" s="20" t="e">
        <f t="shared" si="54"/>
        <v>#NUM!</v>
      </c>
      <c r="R71" s="59" t="e">
        <f t="shared" si="55"/>
        <v>#NUM!</v>
      </c>
      <c r="S71" s="59">
        <f ca="1">AVERAGE(OFFSET($R$3,0,0,'Données projet'!$E$9+1,1))-AVERAGE(OFFSET($H$3,0,0,'Données projet'!$E$9+1,1))</f>
        <v>72.647148358003676</v>
      </c>
      <c r="T71" s="59">
        <f t="shared" si="88"/>
        <v>87.231299224620898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0.59954066787491411</v>
      </c>
      <c r="AA71" s="21">
        <f>EXP(-LN(2)/25)*AA70+(1-EXP(-LN(2)/25))/(LN(2)/25)*Calculateur!V71*Calculateur!X71*VLOOKUP('Données projet'!$B$9,Paramètres!$A$1:$I$89,3,0)*0.475*44/12</f>
        <v>1.5799405016972816</v>
      </c>
      <c r="AB71" s="21">
        <f>EXP(-LN(2)/2)*AB70+(1-EXP(-LN(2)/2))/(LN(2)/2)*V71*Y71*VLOOKUP('Données projet'!$B$9,Paramètres!$A$1:$I$89,3,0)*0.475*44/12</f>
        <v>4.3504640889564233E-6</v>
      </c>
      <c r="AC71" s="22">
        <f t="shared" si="57"/>
        <v>2.1794855200362848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3.2</v>
      </c>
      <c r="AI71" s="13">
        <f>IF('Données projet'!$A$62&gt;35,AI70+AH71-AQ70,IF(A71&lt;'Données projet'!$A$62,$AF$205^A71,IF(A71='Données projet'!$A$62,'Données projet'!$B$62,AI70+AH71-AQ70)))</f>
        <v>210.59999999999994</v>
      </c>
      <c r="AJ71" s="13">
        <f>AI71*VLOOKUP('Données projet'!$B$10,Paramètres!$A$1:$I$89,3,0)*VLOOKUP('Données projet'!$B$10,Paramètres!$A$1:$I$89,5,0)</f>
        <v>170.83871999999997</v>
      </c>
      <c r="AK71" s="13">
        <f t="shared" si="89"/>
        <v>43.277815125923688</v>
      </c>
      <c r="AL71" s="20">
        <f t="shared" si="58"/>
        <v>372.91963201098366</v>
      </c>
      <c r="AM71" s="59">
        <f t="shared" si="59"/>
        <v>666.25296534431698</v>
      </c>
      <c r="AN71" s="59">
        <f ca="1">AVERAGE(OFFSET($AM$3,0,0,'Données projet'!$E$10+1,1))-AVERAGE(OFFSET($H$3,0,0,'Données projet'!$E$10+1,1))</f>
        <v>145.3656871223958</v>
      </c>
      <c r="AO71" s="59">
        <f t="shared" si="90"/>
        <v>180.54762778843178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0</v>
      </c>
      <c r="AV71" s="21">
        <f>EXP(-LN(2)/25)*AV70+(1-EXP(-LN(2)/25))/(LN(2)/25)*Calculateur!AQ71*Calculateur!AS71*VLOOKUP('Données projet'!$B$10,Paramètres!$A$1:$I$89,3,0)*0.475*44/12</f>
        <v>1.9390803498063056</v>
      </c>
      <c r="AW71" s="21">
        <f>EXP(-LN(2)/2)*AW70+(1-EXP(-LN(2)/2))/(LN(2)/2)*AQ71*AT71*VLOOKUP('Données projet'!$B$10,Paramètres!$A$1:$I$89,3,0)*0.475*44/12</f>
        <v>1.5568078014546213E-5</v>
      </c>
      <c r="AX71" s="21">
        <f t="shared" si="60"/>
        <v>1.9390959178843201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5.2</v>
      </c>
      <c r="BD71" s="12">
        <f>IF('Données projet'!$A$88&gt;35,BD70+BC71-BL70,IF(A71&lt;'Données projet'!$A$88,$BA$205^A71,IF(A71='Données projet'!$A$88,'Données projet'!$B$88,BD70+BC71-BL70)))</f>
        <v>175.59999999999988</v>
      </c>
      <c r="BE71" s="13">
        <f>BD71*VLOOKUP('Données projet'!$B$11,Paramètres!$A$1:$I$89,3,0)*VLOOKUP('Données projet'!$B$11,Paramètres!$A$1:$I$89,5,0)</f>
        <v>158.88287999999989</v>
      </c>
      <c r="BF71" s="13">
        <f t="shared" si="91"/>
        <v>40.590443217000136</v>
      </c>
      <c r="BG71" s="20">
        <f t="shared" si="61"/>
        <v>347.41603793627502</v>
      </c>
      <c r="BH71" s="59">
        <f t="shared" si="62"/>
        <v>640.74937126960833</v>
      </c>
      <c r="BI71" s="59">
        <f ca="1">AVERAGE(OFFSET($BH$3,0,0,'Données projet'!$E$11+1,1))-AVERAGE(OFFSET($H$3,0,0,'Données projet'!$E$11+1,1))</f>
        <v>138.8931001150624</v>
      </c>
      <c r="BJ71" s="59">
        <f t="shared" si="92"/>
        <v>48.964659354096625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>
        <f>EXP(-LN(2)/35)*BP70+(1-EXP(-LN(2)/35))/(LN(2)/35)*BL71*BM71*VLOOKUP('Données projet'!$B$11,Paramètres!$A$1:$I$89,3,0)*0.475*44/12</f>
        <v>0</v>
      </c>
      <c r="BQ71" s="21">
        <f>EXP(-LN(2)/25)*BQ70+(1-EXP(-LN(2)/25))/(LN(2)/25)*Calculateur!BL71*Calculateur!BN71*VLOOKUP('Données projet'!$B$11,Paramètres!$A$1:$I$89,3,0)*0.475*44/12</f>
        <v>0</v>
      </c>
      <c r="BR71" s="21">
        <f>EXP(-LN(2)/2)*BR70+(1-EXP(-LN(2)/2))/(LN(2)/2)*BL71*BO71*VLOOKUP('Données projet'!$B$11,Paramètres!$A$1:$I$89,3,0)*0.475*44/12</f>
        <v>0</v>
      </c>
      <c r="BS71" s="22">
        <f t="shared" si="63"/>
        <v>0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5.2</v>
      </c>
      <c r="BY71" s="12">
        <f>IF('Données projet'!$A$114&gt;35,BY70+BX71-CG70,IF(A71&lt;'Données projet'!$A$114,$BV$205^A71,IF(A71='Données projet'!$A$114,'Données projet'!$B$114,BY70+BX71-CG70)))</f>
        <v>175.59999999999997</v>
      </c>
      <c r="BZ71" s="13">
        <f>BY71*VLOOKUP('Données projet'!$B$12,Paramètres!$A$1:$I$89,3,0)*VLOOKUP('Données projet'!$B$12,Paramètres!$A$1:$I$89,5,0)</f>
        <v>169.84031999999996</v>
      </c>
      <c r="CA71" s="13">
        <f t="shared" si="93"/>
        <v>43.054258621433497</v>
      </c>
      <c r="CB71" s="20">
        <f t="shared" si="64"/>
        <v>370.7913910989966</v>
      </c>
      <c r="CC71" s="59">
        <f t="shared" si="65"/>
        <v>664.12472443232991</v>
      </c>
      <c r="CD71" s="59">
        <f ca="1">AVERAGE(OFFSET($CC$3,0,0,'Données projet'!$E$12+1,1))-AVERAGE(OFFSET($H$3,0,0,'Données projet'!$E$12+1,1))</f>
        <v>154.93882427988234</v>
      </c>
      <c r="CE71" s="59">
        <f t="shared" si="94"/>
        <v>56.347130462109817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>
        <f>EXP(-LN(2)/35)*CK70+(1-EXP(-LN(2)/35))/(LN(2)/35)*CG71*CH71*VLOOKUP('Données projet'!$B$12,Paramètres!$A$1:$I$89,3,0)*0.475*44/12</f>
        <v>0</v>
      </c>
      <c r="CL71" s="21">
        <f>EXP(-LN(2)/25)*CL70+(1-EXP(-LN(2)/25))/(LN(2)/25)*Calculateur!CG71*Calculateur!CI71*VLOOKUP('Données projet'!$B$12,Paramètres!$A$1:$I$89,3,0)*0.475*44/12</f>
        <v>0</v>
      </c>
      <c r="CM71" s="21">
        <f>EXP(-LN(2)/2)*CM70+(1-EXP(-LN(2)/2))/(LN(2)/2)*CG71*CJ71*VLOOKUP('Données projet'!$B$12,Paramètres!$A$1:$I$89,3,0)*0.475*44/12</f>
        <v>0</v>
      </c>
      <c r="CN71" s="22">
        <f t="shared" si="66"/>
        <v>0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61.354800000000068</v>
      </c>
      <c r="D72" s="11">
        <f t="shared" si="86"/>
        <v>17.510358551572637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608.7836800472279</v>
      </c>
      <c r="H72" s="67">
        <f t="shared" si="56"/>
        <v>430.69015114398906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0</v>
      </c>
      <c r="O72" s="13">
        <f>N72*VLOOKUP('Données projet'!$B$9,Paramètres!$A$1:$I$89,3,0)*VLOOKUP('Données projet'!$B$9,Paramètres!$A$1:$I$89,5,0)</f>
        <v>0</v>
      </c>
      <c r="P72" s="13" t="e">
        <f t="shared" si="87"/>
        <v>#NUM!</v>
      </c>
      <c r="Q72" s="20" t="e">
        <f t="shared" si="54"/>
        <v>#NUM!</v>
      </c>
      <c r="R72" s="59" t="e">
        <f t="shared" si="55"/>
        <v>#NUM!</v>
      </c>
      <c r="S72" s="59">
        <f ca="1">AVERAGE(OFFSET($R$3,0,0,'Données projet'!$E$9+1,1))-AVERAGE(OFFSET($H$3,0,0,'Données projet'!$E$9+1,1))</f>
        <v>72.647148358003676</v>
      </c>
      <c r="T72" s="59">
        <f t="shared" si="88"/>
        <v>87.231299224620898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0.58778404106158622</v>
      </c>
      <c r="AA72" s="21">
        <f>EXP(-LN(2)/25)*AA71+(1-EXP(-LN(2)/25))/(LN(2)/25)*Calculateur!V72*Calculateur!X72*VLOOKUP('Données projet'!$B$9,Paramètres!$A$1:$I$89,3,0)*0.475*44/12</f>
        <v>1.5367369455929094</v>
      </c>
      <c r="AB72" s="21">
        <f>EXP(-LN(2)/2)*AB71+(1-EXP(-LN(2)/2))/(LN(2)/2)*V72*Y72*VLOOKUP('Données projet'!$B$9,Paramètres!$A$1:$I$89,3,0)*0.475*44/12</f>
        <v>3.0762426586096425E-6</v>
      </c>
      <c r="AC72" s="22">
        <f t="shared" si="57"/>
        <v>2.1245240628971542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3.2</v>
      </c>
      <c r="AI72" s="13">
        <f>IF('Données projet'!$A$62&gt;35,AI71+AH72-AQ71,IF(A72&lt;'Données projet'!$A$62,$AF$205^A72,IF(A72='Données projet'!$A$62,'Données projet'!$B$62,AI71+AH72-AQ71)))</f>
        <v>213.79999999999993</v>
      </c>
      <c r="AJ72" s="13">
        <f>AI72*VLOOKUP('Données projet'!$B$10,Paramètres!$A$1:$I$89,3,0)*VLOOKUP('Données projet'!$B$10,Paramètres!$A$1:$I$89,5,0)</f>
        <v>173.43455999999995</v>
      </c>
      <c r="AK72" s="13">
        <f t="shared" si="89"/>
        <v>43.858353019120436</v>
      </c>
      <c r="AL72" s="20">
        <f t="shared" si="58"/>
        <v>378.45182350830129</v>
      </c>
      <c r="AM72" s="59">
        <f t="shared" si="59"/>
        <v>671.7851568416346</v>
      </c>
      <c r="AN72" s="59">
        <f ca="1">AVERAGE(OFFSET($AM$3,0,0,'Données projet'!$E$10+1,1))-AVERAGE(OFFSET($H$3,0,0,'Données projet'!$E$10+1,1))</f>
        <v>145.3656871223958</v>
      </c>
      <c r="AO72" s="59">
        <f t="shared" si="90"/>
        <v>180.54762778843178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0</v>
      </c>
      <c r="AV72" s="21">
        <f>EXP(-LN(2)/25)*AV71+(1-EXP(-LN(2)/25))/(LN(2)/25)*Calculateur!AQ72*Calculateur!AS72*VLOOKUP('Données projet'!$B$10,Paramètres!$A$1:$I$89,3,0)*0.475*44/12</f>
        <v>1.8860560956690484</v>
      </c>
      <c r="AW72" s="21">
        <f>EXP(-LN(2)/2)*AW71+(1-EXP(-LN(2)/2))/(LN(2)/2)*AQ72*AT72*VLOOKUP('Données projet'!$B$10,Paramètres!$A$1:$I$89,3,0)*0.475*44/12</f>
        <v>1.100829353412683E-5</v>
      </c>
      <c r="AX72" s="21">
        <f t="shared" si="60"/>
        <v>1.8860671039625825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5.2</v>
      </c>
      <c r="BD72" s="12">
        <f>IF('Données projet'!$A$88&gt;35,BD71+BC72-BL71,IF(A72&lt;'Données projet'!$A$88,$BA$205^A72,IF(A72='Données projet'!$A$88,'Données projet'!$B$88,BD71+BC72-BL71)))</f>
        <v>180.79999999999987</v>
      </c>
      <c r="BE72" s="13">
        <f>BD72*VLOOKUP('Données projet'!$B$11,Paramètres!$A$1:$I$89,3,0)*VLOOKUP('Données projet'!$B$11,Paramètres!$A$1:$I$89,5,0)</f>
        <v>163.58783999999989</v>
      </c>
      <c r="BF72" s="13">
        <f t="shared" si="91"/>
        <v>41.650715313623969</v>
      </c>
      <c r="BG72" s="20">
        <f t="shared" si="61"/>
        <v>357.45715050456153</v>
      </c>
      <c r="BH72" s="59">
        <f t="shared" si="62"/>
        <v>650.79048383789484</v>
      </c>
      <c r="BI72" s="59">
        <f ca="1">AVERAGE(OFFSET($BH$3,0,0,'Données projet'!$E$11+1,1))-AVERAGE(OFFSET($H$3,0,0,'Données projet'!$E$11+1,1))</f>
        <v>138.8931001150624</v>
      </c>
      <c r="BJ72" s="59">
        <f t="shared" si="92"/>
        <v>48.964659354096625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>
        <f>EXP(-LN(2)/35)*BP71+(1-EXP(-LN(2)/35))/(LN(2)/35)*BL72*BM72*VLOOKUP('Données projet'!$B$11,Paramètres!$A$1:$I$89,3,0)*0.475*44/12</f>
        <v>0</v>
      </c>
      <c r="BQ72" s="21">
        <f>EXP(-LN(2)/25)*BQ71+(1-EXP(-LN(2)/25))/(LN(2)/25)*Calculateur!BL72*Calculateur!BN72*VLOOKUP('Données projet'!$B$11,Paramètres!$A$1:$I$89,3,0)*0.475*44/12</f>
        <v>0</v>
      </c>
      <c r="BR72" s="21">
        <f>EXP(-LN(2)/2)*BR71+(1-EXP(-LN(2)/2))/(LN(2)/2)*BL72*BO72*VLOOKUP('Données projet'!$B$11,Paramètres!$A$1:$I$89,3,0)*0.475*44/12</f>
        <v>0</v>
      </c>
      <c r="BS72" s="22">
        <f t="shared" si="63"/>
        <v>0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5.2</v>
      </c>
      <c r="BY72" s="12">
        <f>IF('Données projet'!$A$114&gt;35,BY71+BX72-CG71,IF(A72&lt;'Données projet'!$A$114,$BV$205^A72,IF(A72='Données projet'!$A$114,'Données projet'!$B$114,BY71+BX72-CG71)))</f>
        <v>180.79999999999995</v>
      </c>
      <c r="BZ72" s="13">
        <f>BY72*VLOOKUP('Données projet'!$B$12,Paramètres!$A$1:$I$89,3,0)*VLOOKUP('Données projet'!$B$12,Paramètres!$A$1:$I$89,5,0)</f>
        <v>174.86975999999996</v>
      </c>
      <c r="CA72" s="13">
        <f t="shared" si="93"/>
        <v>44.178888594382762</v>
      </c>
      <c r="CB72" s="20">
        <f t="shared" si="64"/>
        <v>381.5097296352165</v>
      </c>
      <c r="CC72" s="59">
        <f t="shared" si="65"/>
        <v>674.84306296854982</v>
      </c>
      <c r="CD72" s="59">
        <f ca="1">AVERAGE(OFFSET($CC$3,0,0,'Données projet'!$E$12+1,1))-AVERAGE(OFFSET($H$3,0,0,'Données projet'!$E$12+1,1))</f>
        <v>154.93882427988234</v>
      </c>
      <c r="CE72" s="59">
        <f t="shared" si="94"/>
        <v>56.347130462109817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>
        <f>EXP(-LN(2)/35)*CK71+(1-EXP(-LN(2)/35))/(LN(2)/35)*CG72*CH72*VLOOKUP('Données projet'!$B$12,Paramètres!$A$1:$I$89,3,0)*0.475*44/12</f>
        <v>0</v>
      </c>
      <c r="CL72" s="21">
        <f>EXP(-LN(2)/25)*CL71+(1-EXP(-LN(2)/25))/(LN(2)/25)*Calculateur!CG72*Calculateur!CI72*VLOOKUP('Données projet'!$B$12,Paramètres!$A$1:$I$89,3,0)*0.475*44/12</f>
        <v>0</v>
      </c>
      <c r="CM72" s="21">
        <f>EXP(-LN(2)/2)*CM71+(1-EXP(-LN(2)/2))/(LN(2)/2)*CG72*CJ72*VLOOKUP('Données projet'!$B$12,Paramètres!$A$1:$I$89,3,0)*0.475*44/12</f>
        <v>0</v>
      </c>
      <c r="CN72" s="22">
        <f t="shared" si="66"/>
        <v>0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62.244000000000071</v>
      </c>
      <c r="D73" s="11">
        <f t="shared" si="86"/>
        <v>17.734404526076464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617.3771577451522</v>
      </c>
      <c r="H73" s="67">
        <f t="shared" si="56"/>
        <v>432.62905454958332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0</v>
      </c>
      <c r="O73" s="13">
        <f>N73*VLOOKUP('Données projet'!$B$9,Paramètres!$A$1:$I$89,3,0)*VLOOKUP('Données projet'!$B$9,Paramètres!$A$1:$I$89,5,0)</f>
        <v>0</v>
      </c>
      <c r="P73" s="13" t="e">
        <f t="shared" si="87"/>
        <v>#NUM!</v>
      </c>
      <c r="Q73" s="20" t="e">
        <f t="shared" si="54"/>
        <v>#NUM!</v>
      </c>
      <c r="R73" s="59" t="e">
        <f t="shared" si="55"/>
        <v>#NUM!</v>
      </c>
      <c r="S73" s="59">
        <f ca="1">AVERAGE(OFFSET($R$3,0,0,'Données projet'!$E$9+1,1))-AVERAGE(OFFSET($H$3,0,0,'Données projet'!$E$9+1,1))</f>
        <v>72.647148358003676</v>
      </c>
      <c r="T73" s="59">
        <f t="shared" si="88"/>
        <v>87.231299224620898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0.57625795452923334</v>
      </c>
      <c r="AA73" s="21">
        <f>EXP(-LN(2)/25)*AA72+(1-EXP(-LN(2)/25))/(LN(2)/25)*Calculateur!V73*Calculateur!X73*VLOOKUP('Données projet'!$B$9,Paramètres!$A$1:$I$89,3,0)*0.475*44/12</f>
        <v>1.4947147930021876</v>
      </c>
      <c r="AB73" s="21">
        <f>EXP(-LN(2)/2)*AB72+(1-EXP(-LN(2)/2))/(LN(2)/2)*V73*Y73*VLOOKUP('Données projet'!$B$9,Paramètres!$A$1:$I$89,3,0)*0.475*44/12</f>
        <v>2.1752320444782116E-6</v>
      </c>
      <c r="AC73" s="22">
        <f t="shared" si="57"/>
        <v>2.0709749227634653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217</v>
      </c>
      <c r="AG73" s="12">
        <f>VLOOKUP(A73,'Données projet'!$A$61:$I$81,9,0)</f>
        <v>3.2</v>
      </c>
      <c r="AH73" s="12">
        <f t="array" ref="AH73">INDEX(AG:AG,MIN(IF(ISNUMBER(AG73:AG269),ROW(AG73:AG269),"")))</f>
        <v>3.2</v>
      </c>
      <c r="AI73" s="13">
        <f>IF('Données projet'!$A$62&gt;35,AI72+AH73-AQ72,IF(A73&lt;'Données projet'!$A$62,$AF$205^A73,IF(A73='Données projet'!$A$62,'Données projet'!$B$62,AI72+AH73-AQ72)))</f>
        <v>216.99999999999991</v>
      </c>
      <c r="AJ73" s="13">
        <f>AI73*VLOOKUP('Données projet'!$B$10,Paramètres!$A$1:$I$89,3,0)*VLOOKUP('Données projet'!$B$10,Paramètres!$A$1:$I$89,5,0)</f>
        <v>176.03039999999996</v>
      </c>
      <c r="AK73" s="13">
        <f t="shared" si="89"/>
        <v>44.437880346232944</v>
      </c>
      <c r="AL73" s="20">
        <f t="shared" si="58"/>
        <v>383.98225493635567</v>
      </c>
      <c r="AM73" s="59">
        <f t="shared" si="59"/>
        <v>677.31558826968899</v>
      </c>
      <c r="AN73" s="59">
        <f ca="1">AVERAGE(OFFSET($AM$3,0,0,'Données projet'!$E$10+1,1))-AVERAGE(OFFSET($H$3,0,0,'Données projet'!$E$10+1,1))</f>
        <v>145.3656871223958</v>
      </c>
      <c r="AO73" s="59">
        <f t="shared" si="90"/>
        <v>180.54762778843178</v>
      </c>
      <c r="AP73" s="15">
        <f>IF(ISNA(VLOOKUP(A73,'Données projet'!$A$61:$I$81,3,0)),0,VLOOKUP(A73,'Données projet'!$A$61:$I$81,3,0))</f>
        <v>6</v>
      </c>
      <c r="AQ73" s="15">
        <f>IF(ISNA(VLOOKUP(A73,'Données projet'!$A$61:$I$81,4,0)),0,VLOOKUP(A73,'Données projet'!$A$61:$I$81,4,0))</f>
        <v>16</v>
      </c>
      <c r="AR73" s="16">
        <f>IF(ISNA(VLOOKUP(A73,'Données projet'!$A$61:$I$81,5,0)),0%,VLOOKUP(A73,'Données projet'!$A$61:$I$81,5,0)*VLOOKUP('Données projet'!$B$10,Paramètres!$A$1:$I$89,7,0))</f>
        <v>0</v>
      </c>
      <c r="AS73" s="16">
        <f>IF(ISNA(VLOOKUP(A73,'Données projet'!$A$61:$I$81,6,0)),0%,VLOOKUP(A73,'Données projet'!$A$61:$I$81,6,0)*VLOOKUP('Données projet'!$B$10,Paramètres!$A$1:$I$89,7,0))</f>
        <v>0</v>
      </c>
      <c r="AT73" s="16">
        <f>IF(ISNA(VLOOKUP(A73,'Données projet'!$A$61:$I$81,7,0)),0%,VLOOKUP(A73,'Données projet'!$A$61:$I$81,7,0))</f>
        <v>0</v>
      </c>
      <c r="AU73" s="21">
        <f>EXP(-LN(2)/35)*AU72+(1-EXP(-LN(2)/35))/(LN(2)/35)*AQ73*AR73*VLOOKUP('Données projet'!$B$10,Paramètres!$A$1:$I$89,3,0)*0.475*44/12</f>
        <v>0</v>
      </c>
      <c r="AV73" s="21">
        <f>EXP(-LN(2)/25)*AV72+(1-EXP(-LN(2)/25))/(LN(2)/25)*Calculateur!AQ73*Calculateur!AS73*VLOOKUP('Données projet'!$B$10,Paramètres!$A$1:$I$89,3,0)*0.475*44/12</f>
        <v>1.8344817925495989</v>
      </c>
      <c r="AW73" s="21">
        <f>EXP(-LN(2)/2)*AW72+(1-EXP(-LN(2)/2))/(LN(2)/2)*AQ73*AT73*VLOOKUP('Données projet'!$B$10,Paramètres!$A$1:$I$89,3,0)*0.475*44/12</f>
        <v>7.7840390072731064E-6</v>
      </c>
      <c r="AX73" s="21">
        <f t="shared" si="60"/>
        <v>1.8344895765886062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>
        <f>VLOOKUP(A73,'Données projet'!$A$87:$I$107,2,0)</f>
        <v>186</v>
      </c>
      <c r="BB73" s="12">
        <f>VLOOKUP(A73,'Données projet'!$A$87:$I$107,9,0)</f>
        <v>5.2</v>
      </c>
      <c r="BC73" s="12">
        <f t="array" ref="BC73">INDEX(BB:BB,MIN(IF(ISNUMBER(BB73:BB269),ROW(BB73:BB269),"")))</f>
        <v>5.2</v>
      </c>
      <c r="BD73" s="12">
        <f>IF('Données projet'!$A$88&gt;35,BD72+BC73-BL72,IF(A73&lt;'Données projet'!$A$88,$BA$205^A73,IF(A73='Données projet'!$A$88,'Données projet'!$B$88,BD72+BC73-BL72)))</f>
        <v>185.99999999999986</v>
      </c>
      <c r="BE73" s="13">
        <f>BD73*VLOOKUP('Données projet'!$B$11,Paramètres!$A$1:$I$89,3,0)*VLOOKUP('Données projet'!$B$11,Paramètres!$A$1:$I$89,5,0)</f>
        <v>168.29279999999986</v>
      </c>
      <c r="BF73" s="13">
        <f t="shared" si="91"/>
        <v>42.707443263135069</v>
      </c>
      <c r="BG73" s="20">
        <f t="shared" si="61"/>
        <v>367.49209034995994</v>
      </c>
      <c r="BH73" s="59">
        <f t="shared" si="62"/>
        <v>660.82542368329325</v>
      </c>
      <c r="BI73" s="59">
        <f ca="1">AVERAGE(OFFSET($BH$3,0,0,'Données projet'!$E$11+1,1))-AVERAGE(OFFSET($H$3,0,0,'Données projet'!$E$11+1,1))</f>
        <v>138.8931001150624</v>
      </c>
      <c r="BJ73" s="59">
        <f t="shared" si="92"/>
        <v>48.964659354096625</v>
      </c>
      <c r="BK73" s="15">
        <f>IF(ISNA(VLOOKUP(A73,'Données projet'!$A$87:$I$107,3,0)),0,VLOOKUP(A73,'Données projet'!$A$87:$I$107,3,0))</f>
        <v>4</v>
      </c>
      <c r="BL73" s="15">
        <f>IF(ISNA(VLOOKUP(A73,'Données projet'!$A$87:$I$107,4,0)),0,VLOOKUP(A73,'Données projet'!$A$87:$I$107,4,0))</f>
        <v>28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>
        <f>EXP(-LN(2)/35)*BP72+(1-EXP(-LN(2)/35))/(LN(2)/35)*BL73*BM73*VLOOKUP('Données projet'!$B$11,Paramètres!$A$1:$I$89,3,0)*0.475*44/12</f>
        <v>0</v>
      </c>
      <c r="BQ73" s="21">
        <f>EXP(-LN(2)/25)*BQ72+(1-EXP(-LN(2)/25))/(LN(2)/25)*Calculateur!BL73*Calculateur!BN73*VLOOKUP('Données projet'!$B$11,Paramètres!$A$1:$I$89,3,0)*0.475*44/12</f>
        <v>0</v>
      </c>
      <c r="BR73" s="21">
        <f>EXP(-LN(2)/2)*BR72+(1-EXP(-LN(2)/2))/(LN(2)/2)*BL73*BO73*VLOOKUP('Données projet'!$B$11,Paramètres!$A$1:$I$89,3,0)*0.475*44/12</f>
        <v>0</v>
      </c>
      <c r="BS73" s="22">
        <f t="shared" si="63"/>
        <v>0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>
        <f>VLOOKUP(A73,'Données projet'!$A$113:$I$133,2,0)</f>
        <v>186</v>
      </c>
      <c r="BW73" s="12">
        <f>VLOOKUP(A73,'Données projet'!$A$113:$I$133,9,0)</f>
        <v>5.2</v>
      </c>
      <c r="BX73" s="12">
        <f t="array" ref="BX73">INDEX(BW:BW,MIN(IF(ISNUMBER(BW73:BW269),ROW(BW73:BW269),"")))</f>
        <v>5.2</v>
      </c>
      <c r="BY73" s="12">
        <f>IF('Données projet'!$A$114&gt;35,BY72+BX73-CG72,IF(A73&lt;'Données projet'!$A$114,$BV$205^A73,IF(A73='Données projet'!$A$114,'Données projet'!$B$114,BY72+BX73-CG72)))</f>
        <v>185.99999999999994</v>
      </c>
      <c r="BZ73" s="13">
        <f>BY73*VLOOKUP('Données projet'!$B$12,Paramètres!$A$1:$I$89,3,0)*VLOOKUP('Données projet'!$B$12,Paramètres!$A$1:$I$89,5,0)</f>
        <v>179.89919999999995</v>
      </c>
      <c r="CA73" s="13">
        <f t="shared" si="93"/>
        <v>45.299759292628586</v>
      </c>
      <c r="CB73" s="20">
        <f t="shared" si="64"/>
        <v>392.22152076799466</v>
      </c>
      <c r="CC73" s="59">
        <f t="shared" si="65"/>
        <v>685.55485410132792</v>
      </c>
      <c r="CD73" s="59">
        <f ca="1">AVERAGE(OFFSET($CC$3,0,0,'Données projet'!$E$12+1,1))-AVERAGE(OFFSET($H$3,0,0,'Données projet'!$E$12+1,1))</f>
        <v>154.93882427988234</v>
      </c>
      <c r="CE73" s="59">
        <f t="shared" si="94"/>
        <v>56.347130462109817</v>
      </c>
      <c r="CF73" s="15">
        <f>IF(ISNA(VLOOKUP(A73,'Données projet'!$A$113:$I$133,3,0)),0,VLOOKUP(A73,'Données projet'!$A$113:$I$133,3,0))</f>
        <v>4</v>
      </c>
      <c r="CG73" s="15">
        <f>IF(ISNA(VLOOKUP(A73,'Données projet'!$A$113:$I$133,4,0)),0,VLOOKUP(A73,'Données projet'!$A$113:$I$133,4,0))</f>
        <v>28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>
        <f>EXP(-LN(2)/35)*CK72+(1-EXP(-LN(2)/35))/(LN(2)/35)*CG73*CH73*VLOOKUP('Données projet'!$B$12,Paramètres!$A$1:$I$89,3,0)*0.475*44/12</f>
        <v>0</v>
      </c>
      <c r="CL73" s="21">
        <f>EXP(-LN(2)/25)*CL72+(1-EXP(-LN(2)/25))/(LN(2)/25)*Calculateur!CG73*Calculateur!CI73*VLOOKUP('Données projet'!$B$12,Paramètres!$A$1:$I$89,3,0)*0.475*44/12</f>
        <v>0</v>
      </c>
      <c r="CM73" s="21">
        <f>EXP(-LN(2)/2)*CM72+(1-EXP(-LN(2)/2))/(LN(2)/2)*CG73*CJ73*VLOOKUP('Données projet'!$B$12,Paramètres!$A$1:$I$89,3,0)*0.475*44/12</f>
        <v>0</v>
      </c>
      <c r="CN73" s="22">
        <f t="shared" si="66"/>
        <v>0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63.133200000000073</v>
      </c>
      <c r="D74" s="11">
        <f t="shared" si="86"/>
        <v>17.958078240325332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625.96776185514352</v>
      </c>
      <c r="H74" s="67">
        <f t="shared" si="56"/>
        <v>434.56730960190009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0</v>
      </c>
      <c r="O74" s="13">
        <f>N74*VLOOKUP('Données projet'!$B$9,Paramètres!$A$1:$I$89,3,0)*VLOOKUP('Données projet'!$B$9,Paramètres!$A$1:$I$89,5,0)</f>
        <v>0</v>
      </c>
      <c r="P74" s="13" t="e">
        <f t="shared" si="87"/>
        <v>#NUM!</v>
      </c>
      <c r="Q74" s="20" t="e">
        <f t="shared" si="54"/>
        <v>#NUM!</v>
      </c>
      <c r="R74" s="59" t="e">
        <f t="shared" si="55"/>
        <v>#NUM!</v>
      </c>
      <c r="S74" s="59">
        <f ca="1">AVERAGE(OFFSET($R$3,0,0,'Données projet'!$E$9+1,1))-AVERAGE(OFFSET($H$3,0,0,'Données projet'!$E$9+1,1))</f>
        <v>72.647148358003676</v>
      </c>
      <c r="T74" s="59">
        <f t="shared" si="88"/>
        <v>87.231299224620898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0.56495788752356135</v>
      </c>
      <c r="AA74" s="21">
        <f>EXP(-LN(2)/25)*AA73+(1-EXP(-LN(2)/25))/(LN(2)/25)*Calculateur!V74*Calculateur!X74*VLOOKUP('Données projet'!$B$9,Paramètres!$A$1:$I$89,3,0)*0.475*44/12</f>
        <v>1.453841738383908</v>
      </c>
      <c r="AB74" s="21">
        <f>EXP(-LN(2)/2)*AB73+(1-EXP(-LN(2)/2))/(LN(2)/2)*V74*Y74*VLOOKUP('Données projet'!$B$9,Paramètres!$A$1:$I$89,3,0)*0.475*44/12</f>
        <v>1.5381213293048212E-6</v>
      </c>
      <c r="AC74" s="22">
        <f t="shared" si="57"/>
        <v>2.0188011640287988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2.5</v>
      </c>
      <c r="AI74" s="13">
        <f>IF('Données projet'!$A$62&gt;35,AI73+AH74-AQ73,IF(A74&lt;'Données projet'!$A$62,$AF$205^A74,IF(A74='Données projet'!$A$62,'Données projet'!$B$62,AI73+AH74-AQ73)))</f>
        <v>203.49999999999991</v>
      </c>
      <c r="AJ74" s="13">
        <f>AI74*VLOOKUP('Données projet'!$B$10,Paramètres!$A$1:$I$89,3,0)*VLOOKUP('Données projet'!$B$10,Paramètres!$A$1:$I$89,5,0)</f>
        <v>165.07919999999996</v>
      </c>
      <c r="AK74" s="13">
        <f t="shared" si="89"/>
        <v>41.986051122111817</v>
      </c>
      <c r="AL74" s="20">
        <f t="shared" si="58"/>
        <v>360.6386457043447</v>
      </c>
      <c r="AM74" s="59">
        <f t="shared" si="59"/>
        <v>653.97197903767801</v>
      </c>
      <c r="AN74" s="59">
        <f ca="1">AVERAGE(OFFSET($AM$3,0,0,'Données projet'!$E$10+1,1))-AVERAGE(OFFSET($H$3,0,0,'Données projet'!$E$10+1,1))</f>
        <v>145.3656871223958</v>
      </c>
      <c r="AO74" s="59">
        <f t="shared" si="90"/>
        <v>180.54762778843178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0</v>
      </c>
      <c r="AV74" s="21">
        <f>EXP(-LN(2)/25)*AV73+(1-EXP(-LN(2)/25))/(LN(2)/25)*Calculateur!AQ74*Calculateur!AS74*VLOOKUP('Données projet'!$B$10,Paramètres!$A$1:$I$89,3,0)*0.475*44/12</f>
        <v>1.7843177914611255</v>
      </c>
      <c r="AW74" s="21">
        <f>EXP(-LN(2)/2)*AW73+(1-EXP(-LN(2)/2))/(LN(2)/2)*AQ74*AT74*VLOOKUP('Données projet'!$B$10,Paramètres!$A$1:$I$89,3,0)*0.475*44/12</f>
        <v>5.5041467670634151E-6</v>
      </c>
      <c r="AX74" s="21">
        <f t="shared" si="60"/>
        <v>1.7843232956078925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4.8</v>
      </c>
      <c r="BD74" s="12">
        <f>IF('Données projet'!$A$88&gt;35,BD73+BC74-BL73,IF(A74&lt;'Données projet'!$A$88,$BA$205^A74,IF(A74='Données projet'!$A$88,'Données projet'!$B$88,BD73+BC74-BL73)))</f>
        <v>162.79999999999987</v>
      </c>
      <c r="BE74" s="13">
        <f>BD74*VLOOKUP('Données projet'!$B$11,Paramètres!$A$1:$I$89,3,0)*VLOOKUP('Données projet'!$B$11,Paramètres!$A$1:$I$89,5,0)</f>
        <v>147.30143999999987</v>
      </c>
      <c r="BF74" s="13">
        <f t="shared" si="91"/>
        <v>37.964681731408312</v>
      </c>
      <c r="BG74" s="20">
        <f t="shared" si="61"/>
        <v>322.6718286822026</v>
      </c>
      <c r="BH74" s="59">
        <f t="shared" si="62"/>
        <v>616.00516201553592</v>
      </c>
      <c r="BI74" s="59">
        <f ca="1">AVERAGE(OFFSET($BH$3,0,0,'Données projet'!$E$11+1,1))-AVERAGE(OFFSET($H$3,0,0,'Données projet'!$E$11+1,1))</f>
        <v>138.8931001150624</v>
      </c>
      <c r="BJ74" s="59">
        <f t="shared" si="92"/>
        <v>48.964659354096625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>
        <f>EXP(-LN(2)/35)*BP73+(1-EXP(-LN(2)/35))/(LN(2)/35)*BL74*BM74*VLOOKUP('Données projet'!$B$11,Paramètres!$A$1:$I$89,3,0)*0.475*44/12</f>
        <v>0</v>
      </c>
      <c r="BQ74" s="21">
        <f>EXP(-LN(2)/25)*BQ73+(1-EXP(-LN(2)/25))/(LN(2)/25)*Calculateur!BL74*Calculateur!BN74*VLOOKUP('Données projet'!$B$11,Paramètres!$A$1:$I$89,3,0)*0.475*44/12</f>
        <v>0</v>
      </c>
      <c r="BR74" s="21">
        <f>EXP(-LN(2)/2)*BR73+(1-EXP(-LN(2)/2))/(LN(2)/2)*BL74*BO74*VLOOKUP('Données projet'!$B$11,Paramètres!$A$1:$I$89,3,0)*0.475*44/12</f>
        <v>0</v>
      </c>
      <c r="BS74" s="22">
        <f t="shared" si="63"/>
        <v>0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4.8</v>
      </c>
      <c r="BY74" s="12">
        <f>IF('Données projet'!$A$114&gt;35,BY73+BX74-CG73,IF(A74&lt;'Données projet'!$A$114,$BV$205^A74,IF(A74='Données projet'!$A$114,'Données projet'!$B$114,BY73+BX74-CG73)))</f>
        <v>162.79999999999995</v>
      </c>
      <c r="BZ74" s="13">
        <f>BY74*VLOOKUP('Données projet'!$B$12,Paramètres!$A$1:$I$89,3,0)*VLOOKUP('Données projet'!$B$12,Paramètres!$A$1:$I$89,5,0)</f>
        <v>157.46015999999995</v>
      </c>
      <c r="CA74" s="13">
        <f t="shared" si="93"/>
        <v>40.269114998475459</v>
      </c>
      <c r="CB74" s="20">
        <f t="shared" si="64"/>
        <v>344.37848728901128</v>
      </c>
      <c r="CC74" s="59">
        <f t="shared" si="65"/>
        <v>637.71182062234459</v>
      </c>
      <c r="CD74" s="59">
        <f ca="1">AVERAGE(OFFSET($CC$3,0,0,'Données projet'!$E$12+1,1))-AVERAGE(OFFSET($H$3,0,0,'Données projet'!$E$12+1,1))</f>
        <v>154.93882427988234</v>
      </c>
      <c r="CE74" s="59">
        <f t="shared" si="94"/>
        <v>56.347130462109817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>
        <f>EXP(-LN(2)/35)*CK73+(1-EXP(-LN(2)/35))/(LN(2)/35)*CG74*CH74*VLOOKUP('Données projet'!$B$12,Paramètres!$A$1:$I$89,3,0)*0.475*44/12</f>
        <v>0</v>
      </c>
      <c r="CL74" s="21">
        <f>EXP(-LN(2)/25)*CL73+(1-EXP(-LN(2)/25))/(LN(2)/25)*Calculateur!CG74*Calculateur!CI74*VLOOKUP('Données projet'!$B$12,Paramètres!$A$1:$I$89,3,0)*0.475*44/12</f>
        <v>0</v>
      </c>
      <c r="CM74" s="21">
        <f>EXP(-LN(2)/2)*CM73+(1-EXP(-LN(2)/2))/(LN(2)/2)*CG74*CJ74*VLOOKUP('Données projet'!$B$12,Paramètres!$A$1:$I$89,3,0)*0.475*44/12</f>
        <v>0</v>
      </c>
      <c r="CN74" s="22">
        <f t="shared" si="66"/>
        <v>0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64.022400000000076</v>
      </c>
      <c r="D75" s="11">
        <f t="shared" si="86"/>
        <v>18.181385543312256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634.55553752732339</v>
      </c>
      <c r="H75" s="67">
        <f t="shared" si="56"/>
        <v>436.50492648793568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0</v>
      </c>
      <c r="O75" s="13">
        <f>N75*VLOOKUP('Données projet'!$B$9,Paramètres!$A$1:$I$89,3,0)*VLOOKUP('Données projet'!$B$9,Paramètres!$A$1:$I$89,5,0)</f>
        <v>0</v>
      </c>
      <c r="P75" s="13" t="e">
        <f t="shared" si="87"/>
        <v>#NUM!</v>
      </c>
      <c r="Q75" s="20" t="e">
        <f t="shared" si="54"/>
        <v>#NUM!</v>
      </c>
      <c r="R75" s="59" t="e">
        <f t="shared" si="55"/>
        <v>#NUM!</v>
      </c>
      <c r="S75" s="59">
        <f ca="1">AVERAGE(OFFSET($R$3,0,0,'Données projet'!$E$9+1,1))-AVERAGE(OFFSET($H$3,0,0,'Données projet'!$E$9+1,1))</f>
        <v>72.647148358003676</v>
      </c>
      <c r="T75" s="59">
        <f t="shared" si="88"/>
        <v>87.231299224620898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0.55387940793951029</v>
      </c>
      <c r="AA75" s="21">
        <f>EXP(-LN(2)/25)*AA74+(1-EXP(-LN(2)/25))/(LN(2)/25)*Calculateur!V75*Calculateur!X75*VLOOKUP('Données projet'!$B$9,Paramètres!$A$1:$I$89,3,0)*0.475*44/12</f>
        <v>1.4140863595935858</v>
      </c>
      <c r="AB75" s="21">
        <f>EXP(-LN(2)/2)*AB74+(1-EXP(-LN(2)/2))/(LN(2)/2)*V75*Y75*VLOOKUP('Données projet'!$B$9,Paramètres!$A$1:$I$89,3,0)*0.475*44/12</f>
        <v>1.0876160222391058E-6</v>
      </c>
      <c r="AC75" s="22">
        <f t="shared" si="57"/>
        <v>1.9679668551491183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2.5</v>
      </c>
      <c r="AI75" s="13">
        <f>IF('Données projet'!$A$62&gt;35,AI74+AH75-AQ74,IF(A75&lt;'Données projet'!$A$62,$AF$205^A75,IF(A75='Données projet'!$A$62,'Données projet'!$B$62,AI74+AH75-AQ74)))</f>
        <v>205.99999999999991</v>
      </c>
      <c r="AJ75" s="13">
        <f>AI75*VLOOKUP('Données projet'!$B$10,Paramètres!$A$1:$I$89,3,0)*VLOOKUP('Données projet'!$B$10,Paramètres!$A$1:$I$89,5,0)</f>
        <v>167.10719999999995</v>
      </c>
      <c r="AK75" s="13">
        <f t="shared" si="89"/>
        <v>42.44148687166966</v>
      </c>
      <c r="AL75" s="20">
        <f t="shared" si="58"/>
        <v>364.96396296815789</v>
      </c>
      <c r="AM75" s="59">
        <f t="shared" si="59"/>
        <v>658.2972963014912</v>
      </c>
      <c r="AN75" s="59">
        <f ca="1">AVERAGE(OFFSET($AM$3,0,0,'Données projet'!$E$10+1,1))-AVERAGE(OFFSET($H$3,0,0,'Données projet'!$E$10+1,1))</f>
        <v>145.3656871223958</v>
      </c>
      <c r="AO75" s="59">
        <f t="shared" si="90"/>
        <v>180.54762778843178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0</v>
      </c>
      <c r="AV75" s="21">
        <f>EXP(-LN(2)/25)*AV74+(1-EXP(-LN(2)/25))/(LN(2)/25)*Calculateur!AQ75*Calculateur!AS75*VLOOKUP('Données projet'!$B$10,Paramètres!$A$1:$I$89,3,0)*0.475*44/12</f>
        <v>1.7355255276204264</v>
      </c>
      <c r="AW75" s="21">
        <f>EXP(-LN(2)/2)*AW74+(1-EXP(-LN(2)/2))/(LN(2)/2)*AQ75*AT75*VLOOKUP('Données projet'!$B$10,Paramètres!$A$1:$I$89,3,0)*0.475*44/12</f>
        <v>3.8920195036365532E-6</v>
      </c>
      <c r="AX75" s="21">
        <f t="shared" si="60"/>
        <v>1.73552941963993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4.8</v>
      </c>
      <c r="BD75" s="12">
        <f>IF('Données projet'!$A$88&gt;35,BD74+BC75-BL74,IF(A75&lt;'Données projet'!$A$88,$BA$205^A75,IF(A75='Données projet'!$A$88,'Données projet'!$B$88,BD74+BC75-BL74)))</f>
        <v>167.59999999999988</v>
      </c>
      <c r="BE75" s="13">
        <f>BD75*VLOOKUP('Données projet'!$B$11,Paramètres!$A$1:$I$89,3,0)*VLOOKUP('Données projet'!$B$11,Paramètres!$A$1:$I$89,5,0)</f>
        <v>151.6444799999999</v>
      </c>
      <c r="BF75" s="13">
        <f t="shared" si="91"/>
        <v>38.952062117783541</v>
      </c>
      <c r="BG75" s="20">
        <f t="shared" si="61"/>
        <v>331.95564418847277</v>
      </c>
      <c r="BH75" s="59">
        <f t="shared" si="62"/>
        <v>625.28897752180615</v>
      </c>
      <c r="BI75" s="59">
        <f ca="1">AVERAGE(OFFSET($BH$3,0,0,'Données projet'!$E$11+1,1))-AVERAGE(OFFSET($H$3,0,0,'Données projet'!$E$11+1,1))</f>
        <v>138.8931001150624</v>
      </c>
      <c r="BJ75" s="59">
        <f t="shared" si="92"/>
        <v>48.964659354096625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>
        <f>EXP(-LN(2)/35)*BP74+(1-EXP(-LN(2)/35))/(LN(2)/35)*BL75*BM75*VLOOKUP('Données projet'!$B$11,Paramètres!$A$1:$I$89,3,0)*0.475*44/12</f>
        <v>0</v>
      </c>
      <c r="BQ75" s="21">
        <f>EXP(-LN(2)/25)*BQ74+(1-EXP(-LN(2)/25))/(LN(2)/25)*Calculateur!BL75*Calculateur!BN75*VLOOKUP('Données projet'!$B$11,Paramètres!$A$1:$I$89,3,0)*0.475*44/12</f>
        <v>0</v>
      </c>
      <c r="BR75" s="21">
        <f>EXP(-LN(2)/2)*BR74+(1-EXP(-LN(2)/2))/(LN(2)/2)*BL75*BO75*VLOOKUP('Données projet'!$B$11,Paramètres!$A$1:$I$89,3,0)*0.475*44/12</f>
        <v>0</v>
      </c>
      <c r="BS75" s="22">
        <f t="shared" si="63"/>
        <v>0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4.8</v>
      </c>
      <c r="BY75" s="12">
        <f>IF('Données projet'!$A$114&gt;35,BY74+BX75-CG74,IF(A75&lt;'Données projet'!$A$114,$BV$205^A75,IF(A75='Données projet'!$A$114,'Données projet'!$B$114,BY74+BX75-CG74)))</f>
        <v>167.59999999999997</v>
      </c>
      <c r="BZ75" s="13">
        <f>BY75*VLOOKUP('Données projet'!$B$12,Paramètres!$A$1:$I$89,3,0)*VLOOKUP('Données projet'!$B$12,Paramètres!$A$1:$I$89,5,0)</f>
        <v>162.10271999999998</v>
      </c>
      <c r="CA75" s="13">
        <f t="shared" si="93"/>
        <v>41.316428778358635</v>
      </c>
      <c r="CB75" s="20">
        <f t="shared" si="64"/>
        <v>354.28835078897458</v>
      </c>
      <c r="CC75" s="59">
        <f t="shared" si="65"/>
        <v>647.6216841223079</v>
      </c>
      <c r="CD75" s="59">
        <f ca="1">AVERAGE(OFFSET($CC$3,0,0,'Données projet'!$E$12+1,1))-AVERAGE(OFFSET($H$3,0,0,'Données projet'!$E$12+1,1))</f>
        <v>154.93882427988234</v>
      </c>
      <c r="CE75" s="59">
        <f t="shared" si="94"/>
        <v>56.347130462109817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>
        <f>EXP(-LN(2)/35)*CK74+(1-EXP(-LN(2)/35))/(LN(2)/35)*CG75*CH75*VLOOKUP('Données projet'!$B$12,Paramètres!$A$1:$I$89,3,0)*0.475*44/12</f>
        <v>0</v>
      </c>
      <c r="CL75" s="21">
        <f>EXP(-LN(2)/25)*CL74+(1-EXP(-LN(2)/25))/(LN(2)/25)*Calculateur!CG75*Calculateur!CI75*VLOOKUP('Données projet'!$B$12,Paramètres!$A$1:$I$89,3,0)*0.475*44/12</f>
        <v>0</v>
      </c>
      <c r="CM75" s="21">
        <f>EXP(-LN(2)/2)*CM74+(1-EXP(-LN(2)/2))/(LN(2)/2)*CG75*CJ75*VLOOKUP('Données projet'!$B$12,Paramètres!$A$1:$I$89,3,0)*0.475*44/12</f>
        <v>0</v>
      </c>
      <c r="CN75" s="22">
        <f t="shared" si="66"/>
        <v>0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64.911600000000078</v>
      </c>
      <c r="D76" s="11">
        <f t="shared" si="86"/>
        <v>18.404332112224722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643.14052858559501</v>
      </c>
      <c r="H76" s="67">
        <f t="shared" si="56"/>
        <v>438.44191509545817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0</v>
      </c>
      <c r="O76" s="13">
        <f>N76*VLOOKUP('Données projet'!$B$9,Paramètres!$A$1:$I$89,3,0)*VLOOKUP('Données projet'!$B$9,Paramètres!$A$1:$I$89,5,0)</f>
        <v>0</v>
      </c>
      <c r="P76" s="13" t="e">
        <f t="shared" si="87"/>
        <v>#NUM!</v>
      </c>
      <c r="Q76" s="20" t="e">
        <f t="shared" si="54"/>
        <v>#NUM!</v>
      </c>
      <c r="R76" s="59" t="e">
        <f t="shared" si="55"/>
        <v>#NUM!</v>
      </c>
      <c r="S76" s="59">
        <f ca="1">AVERAGE(OFFSET($R$3,0,0,'Données projet'!$E$9+1,1))-AVERAGE(OFFSET($H$3,0,0,'Données projet'!$E$9+1,1))</f>
        <v>72.647148358003676</v>
      </c>
      <c r="T76" s="59">
        <f t="shared" si="88"/>
        <v>87.231299224620898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0.54301817058289714</v>
      </c>
      <c r="AA76" s="21">
        <f>EXP(-LN(2)/25)*AA75+(1-EXP(-LN(2)/25))/(LN(2)/25)*Calculateur!V76*Calculateur!X76*VLOOKUP('Données projet'!$B$9,Paramètres!$A$1:$I$89,3,0)*0.475*44/12</f>
        <v>1.3754180937269294</v>
      </c>
      <c r="AB76" s="21">
        <f>EXP(-LN(2)/2)*AB75+(1-EXP(-LN(2)/2))/(LN(2)/2)*V76*Y76*VLOOKUP('Données projet'!$B$9,Paramètres!$A$1:$I$89,3,0)*0.475*44/12</f>
        <v>7.6906066465241062E-7</v>
      </c>
      <c r="AC76" s="22">
        <f t="shared" si="57"/>
        <v>1.9184370333704912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2.5</v>
      </c>
      <c r="AI76" s="13">
        <f>IF('Données projet'!$A$62&gt;35,AI75+AH76-AQ75,IF(A76&lt;'Données projet'!$A$62,$AF$205^A76,IF(A76='Données projet'!$A$62,'Données projet'!$B$62,AI75+AH76-AQ75)))</f>
        <v>208.49999999999991</v>
      </c>
      <c r="AJ76" s="13">
        <f>AI76*VLOOKUP('Données projet'!$B$10,Paramètres!$A$1:$I$89,3,0)*VLOOKUP('Données projet'!$B$10,Paramètres!$A$1:$I$89,5,0)</f>
        <v>169.13519999999994</v>
      </c>
      <c r="AK76" s="13">
        <f t="shared" si="89"/>
        <v>42.896279700467929</v>
      </c>
      <c r="AL76" s="20">
        <f t="shared" si="58"/>
        <v>369.28816047831486</v>
      </c>
      <c r="AM76" s="59">
        <f t="shared" si="59"/>
        <v>662.62149381164818</v>
      </c>
      <c r="AN76" s="59">
        <f ca="1">AVERAGE(OFFSET($AM$3,0,0,'Données projet'!$E$10+1,1))-AVERAGE(OFFSET($H$3,0,0,'Données projet'!$E$10+1,1))</f>
        <v>145.3656871223958</v>
      </c>
      <c r="AO76" s="59">
        <f t="shared" si="90"/>
        <v>180.54762778843178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0</v>
      </c>
      <c r="AV76" s="21">
        <f>EXP(-LN(2)/25)*AV75+(1-EXP(-LN(2)/25))/(LN(2)/25)*Calculateur!AQ76*Calculateur!AS76*VLOOKUP('Données projet'!$B$10,Paramètres!$A$1:$I$89,3,0)*0.475*44/12</f>
        <v>1.688067490800325</v>
      </c>
      <c r="AW76" s="21">
        <f>EXP(-LN(2)/2)*AW75+(1-EXP(-LN(2)/2))/(LN(2)/2)*AQ76*AT76*VLOOKUP('Données projet'!$B$10,Paramètres!$A$1:$I$89,3,0)*0.475*44/12</f>
        <v>2.7520733835317076E-6</v>
      </c>
      <c r="AX76" s="21">
        <f t="shared" si="60"/>
        <v>1.6880702428737087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4.8</v>
      </c>
      <c r="BD76" s="12">
        <f>IF('Données projet'!$A$88&gt;35,BD75+BC76-BL75,IF(A76&lt;'Données projet'!$A$88,$BA$205^A76,IF(A76='Données projet'!$A$88,'Données projet'!$B$88,BD75+BC76-BL75)))</f>
        <v>172.39999999999989</v>
      </c>
      <c r="BE76" s="13">
        <f>BD76*VLOOKUP('Données projet'!$B$11,Paramètres!$A$1:$I$89,3,0)*VLOOKUP('Données projet'!$B$11,Paramètres!$A$1:$I$89,5,0)</f>
        <v>155.9875199999999</v>
      </c>
      <c r="BF76" s="13">
        <f t="shared" si="91"/>
        <v>39.936155927663087</v>
      </c>
      <c r="BG76" s="20">
        <f t="shared" si="61"/>
        <v>341.23373557401305</v>
      </c>
      <c r="BH76" s="59">
        <f t="shared" si="62"/>
        <v>634.56706890734631</v>
      </c>
      <c r="BI76" s="59">
        <f ca="1">AVERAGE(OFFSET($BH$3,0,0,'Données projet'!$E$11+1,1))-AVERAGE(OFFSET($H$3,0,0,'Données projet'!$E$11+1,1))</f>
        <v>138.8931001150624</v>
      </c>
      <c r="BJ76" s="59">
        <f t="shared" si="92"/>
        <v>48.964659354096625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>
        <f>EXP(-LN(2)/35)*BP75+(1-EXP(-LN(2)/35))/(LN(2)/35)*BL76*BM76*VLOOKUP('Données projet'!$B$11,Paramètres!$A$1:$I$89,3,0)*0.475*44/12</f>
        <v>0</v>
      </c>
      <c r="BQ76" s="21">
        <f>EXP(-LN(2)/25)*BQ75+(1-EXP(-LN(2)/25))/(LN(2)/25)*Calculateur!BL76*Calculateur!BN76*VLOOKUP('Données projet'!$B$11,Paramètres!$A$1:$I$89,3,0)*0.475*44/12</f>
        <v>0</v>
      </c>
      <c r="BR76" s="21">
        <f>EXP(-LN(2)/2)*BR75+(1-EXP(-LN(2)/2))/(LN(2)/2)*BL76*BO76*VLOOKUP('Données projet'!$B$11,Paramètres!$A$1:$I$89,3,0)*0.475*44/12</f>
        <v>0</v>
      </c>
      <c r="BS76" s="22">
        <f t="shared" si="63"/>
        <v>0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4.8</v>
      </c>
      <c r="BY76" s="12">
        <f>IF('Données projet'!$A$114&gt;35,BY75+BX76-CG75,IF(A76&lt;'Données projet'!$A$114,$BV$205^A76,IF(A76='Données projet'!$A$114,'Données projet'!$B$114,BY75+BX76-CG75)))</f>
        <v>172.39999999999998</v>
      </c>
      <c r="BZ76" s="13">
        <f>BY76*VLOOKUP('Données projet'!$B$12,Paramètres!$A$1:$I$89,3,0)*VLOOKUP('Données projet'!$B$12,Paramètres!$A$1:$I$89,5,0)</f>
        <v>166.74527999999998</v>
      </c>
      <c r="CA76" s="13">
        <f t="shared" si="93"/>
        <v>42.3602564885365</v>
      </c>
      <c r="CB76" s="20">
        <f t="shared" si="64"/>
        <v>364.19214271753435</v>
      </c>
      <c r="CC76" s="59">
        <f t="shared" si="65"/>
        <v>657.52547605086761</v>
      </c>
      <c r="CD76" s="59">
        <f ca="1">AVERAGE(OFFSET($CC$3,0,0,'Données projet'!$E$12+1,1))-AVERAGE(OFFSET($H$3,0,0,'Données projet'!$E$12+1,1))</f>
        <v>154.93882427988234</v>
      </c>
      <c r="CE76" s="59">
        <f t="shared" si="94"/>
        <v>56.347130462109817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>
        <f>EXP(-LN(2)/35)*CK75+(1-EXP(-LN(2)/35))/(LN(2)/35)*CG76*CH76*VLOOKUP('Données projet'!$B$12,Paramètres!$A$1:$I$89,3,0)*0.475*44/12</f>
        <v>0</v>
      </c>
      <c r="CL76" s="21">
        <f>EXP(-LN(2)/25)*CL75+(1-EXP(-LN(2)/25))/(LN(2)/25)*Calculateur!CG76*Calculateur!CI76*VLOOKUP('Données projet'!$B$12,Paramètres!$A$1:$I$89,3,0)*0.475*44/12</f>
        <v>0</v>
      </c>
      <c r="CM76" s="21">
        <f>EXP(-LN(2)/2)*CM75+(1-EXP(-LN(2)/2))/(LN(2)/2)*CG76*CJ76*VLOOKUP('Données projet'!$B$12,Paramètres!$A$1:$I$89,3,0)*0.475*44/12</f>
        <v>0</v>
      </c>
      <c r="CN76" s="22">
        <f t="shared" si="66"/>
        <v>0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65.800800000000081</v>
      </c>
      <c r="D77" s="11">
        <f t="shared" si="86"/>
        <v>18.626923459774314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651.72277758422342</v>
      </c>
      <c r="H77" s="67">
        <f t="shared" si="56"/>
        <v>440.37828502577372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0</v>
      </c>
      <c r="O77" s="13">
        <f>N77*VLOOKUP('Données projet'!$B$9,Paramètres!$A$1:$I$89,3,0)*VLOOKUP('Données projet'!$B$9,Paramètres!$A$1:$I$89,5,0)</f>
        <v>0</v>
      </c>
      <c r="P77" s="13" t="e">
        <f t="shared" si="87"/>
        <v>#NUM!</v>
      </c>
      <c r="Q77" s="20" t="e">
        <f t="shared" si="54"/>
        <v>#NUM!</v>
      </c>
      <c r="R77" s="59" t="e">
        <f t="shared" si="55"/>
        <v>#NUM!</v>
      </c>
      <c r="S77" s="59">
        <f ca="1">AVERAGE(OFFSET($R$3,0,0,'Données projet'!$E$9+1,1))-AVERAGE(OFFSET($H$3,0,0,'Données projet'!$E$9+1,1))</f>
        <v>72.647148358003676</v>
      </c>
      <c r="T77" s="59">
        <f t="shared" si="88"/>
        <v>87.231299224620898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0.53236991546614643</v>
      </c>
      <c r="AA77" s="21">
        <f>EXP(-LN(2)/25)*AA76+(1-EXP(-LN(2)/25))/(LN(2)/25)*Calculateur!V77*Calculateur!X77*VLOOKUP('Données projet'!$B$9,Paramètres!$A$1:$I$89,3,0)*0.475*44/12</f>
        <v>1.3378072136238726</v>
      </c>
      <c r="AB77" s="21">
        <f>EXP(-LN(2)/2)*AB76+(1-EXP(-LN(2)/2))/(LN(2)/2)*V77*Y77*VLOOKUP('Données projet'!$B$9,Paramètres!$A$1:$I$89,3,0)*0.475*44/12</f>
        <v>5.4380801111955291E-7</v>
      </c>
      <c r="AC77" s="22">
        <f t="shared" si="57"/>
        <v>1.8701776728980302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2.5</v>
      </c>
      <c r="AI77" s="13">
        <f>IF('Données projet'!$A$62&gt;35,AI76+AH77-AQ76,IF(A77&lt;'Données projet'!$A$62,$AF$205^A77,IF(A77='Données projet'!$A$62,'Données projet'!$B$62,AI76+AH77-AQ76)))</f>
        <v>210.99999999999991</v>
      </c>
      <c r="AJ77" s="13">
        <f>AI77*VLOOKUP('Données projet'!$B$10,Paramètres!$A$1:$I$89,3,0)*VLOOKUP('Données projet'!$B$10,Paramètres!$A$1:$I$89,5,0)</f>
        <v>171.16319999999993</v>
      </c>
      <c r="AK77" s="13">
        <f t="shared" si="89"/>
        <v>43.350438209113896</v>
      </c>
      <c r="AL77" s="20">
        <f t="shared" si="58"/>
        <v>373.61125321420656</v>
      </c>
      <c r="AM77" s="59">
        <f t="shared" si="59"/>
        <v>666.94458654753987</v>
      </c>
      <c r="AN77" s="59">
        <f ca="1">AVERAGE(OFFSET($AM$3,0,0,'Données projet'!$E$10+1,1))-AVERAGE(OFFSET($H$3,0,0,'Données projet'!$E$10+1,1))</f>
        <v>145.3656871223958</v>
      </c>
      <c r="AO77" s="59">
        <f t="shared" si="90"/>
        <v>180.54762778843178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0</v>
      </c>
      <c r="AV77" s="21">
        <f>EXP(-LN(2)/25)*AV76+(1-EXP(-LN(2)/25))/(LN(2)/25)*Calculateur!AQ77*Calculateur!AS77*VLOOKUP('Données projet'!$B$10,Paramètres!$A$1:$I$89,3,0)*0.475*44/12</f>
        <v>1.6419071964927789</v>
      </c>
      <c r="AW77" s="21">
        <f>EXP(-LN(2)/2)*AW76+(1-EXP(-LN(2)/2))/(LN(2)/2)*AQ77*AT77*VLOOKUP('Données projet'!$B$10,Paramètres!$A$1:$I$89,3,0)*0.475*44/12</f>
        <v>1.9460097518182766E-6</v>
      </c>
      <c r="AX77" s="21">
        <f t="shared" si="60"/>
        <v>1.6419091425025307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4.8</v>
      </c>
      <c r="BD77" s="12">
        <f>IF('Données projet'!$A$88&gt;35,BD76+BC77-BL76,IF(A77&lt;'Données projet'!$A$88,$BA$205^A77,IF(A77='Données projet'!$A$88,'Données projet'!$B$88,BD76+BC77-BL76)))</f>
        <v>177.1999999999999</v>
      </c>
      <c r="BE77" s="13">
        <f>BD77*VLOOKUP('Données projet'!$B$11,Paramètres!$A$1:$I$89,3,0)*VLOOKUP('Données projet'!$B$11,Paramètres!$A$1:$I$89,5,0)</f>
        <v>160.33055999999991</v>
      </c>
      <c r="BF77" s="13">
        <f t="shared" si="91"/>
        <v>40.917065179252795</v>
      </c>
      <c r="BG77" s="20">
        <f t="shared" si="61"/>
        <v>350.50628052053179</v>
      </c>
      <c r="BH77" s="59">
        <f t="shared" si="62"/>
        <v>643.8396138538651</v>
      </c>
      <c r="BI77" s="59">
        <f ca="1">AVERAGE(OFFSET($BH$3,0,0,'Données projet'!$E$11+1,1))-AVERAGE(OFFSET($H$3,0,0,'Données projet'!$E$11+1,1))</f>
        <v>138.8931001150624</v>
      </c>
      <c r="BJ77" s="59">
        <f t="shared" si="92"/>
        <v>48.964659354096625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>
        <f>EXP(-LN(2)/35)*BP76+(1-EXP(-LN(2)/35))/(LN(2)/35)*BL77*BM77*VLOOKUP('Données projet'!$B$11,Paramètres!$A$1:$I$89,3,0)*0.475*44/12</f>
        <v>0</v>
      </c>
      <c r="BQ77" s="21">
        <f>EXP(-LN(2)/25)*BQ76+(1-EXP(-LN(2)/25))/(LN(2)/25)*Calculateur!BL77*Calculateur!BN77*VLOOKUP('Données projet'!$B$11,Paramètres!$A$1:$I$89,3,0)*0.475*44/12</f>
        <v>0</v>
      </c>
      <c r="BR77" s="21">
        <f>EXP(-LN(2)/2)*BR76+(1-EXP(-LN(2)/2))/(LN(2)/2)*BL77*BO77*VLOOKUP('Données projet'!$B$11,Paramètres!$A$1:$I$89,3,0)*0.475*44/12</f>
        <v>0</v>
      </c>
      <c r="BS77" s="22">
        <f t="shared" si="63"/>
        <v>0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4.8</v>
      </c>
      <c r="BY77" s="12">
        <f>IF('Données projet'!$A$114&gt;35,BY76+BX77-CG76,IF(A77&lt;'Données projet'!$A$114,$BV$205^A77,IF(A77='Données projet'!$A$114,'Données projet'!$B$114,BY76+BX77-CG76)))</f>
        <v>177.2</v>
      </c>
      <c r="BZ77" s="13">
        <f>BY77*VLOOKUP('Données projet'!$B$12,Paramètres!$A$1:$I$89,3,0)*VLOOKUP('Données projet'!$B$12,Paramètres!$A$1:$I$89,5,0)</f>
        <v>171.38783999999998</v>
      </c>
      <c r="CA77" s="13">
        <f t="shared" si="93"/>
        <v>43.400706339658406</v>
      </c>
      <c r="CB77" s="20">
        <f t="shared" si="64"/>
        <v>374.09005154157165</v>
      </c>
      <c r="CC77" s="59">
        <f t="shared" si="65"/>
        <v>667.42338487490497</v>
      </c>
      <c r="CD77" s="59">
        <f ca="1">AVERAGE(OFFSET($CC$3,0,0,'Données projet'!$E$12+1,1))-AVERAGE(OFFSET($H$3,0,0,'Données projet'!$E$12+1,1))</f>
        <v>154.93882427988234</v>
      </c>
      <c r="CE77" s="59">
        <f t="shared" si="94"/>
        <v>56.347130462109817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>
        <f>EXP(-LN(2)/35)*CK76+(1-EXP(-LN(2)/35))/(LN(2)/35)*CG77*CH77*VLOOKUP('Données projet'!$B$12,Paramètres!$A$1:$I$89,3,0)*0.475*44/12</f>
        <v>0</v>
      </c>
      <c r="CL77" s="21">
        <f>EXP(-LN(2)/25)*CL76+(1-EXP(-LN(2)/25))/(LN(2)/25)*Calculateur!CG77*Calculateur!CI77*VLOOKUP('Données projet'!$B$12,Paramètres!$A$1:$I$89,3,0)*0.475*44/12</f>
        <v>0</v>
      </c>
      <c r="CM77" s="21">
        <f>EXP(-LN(2)/2)*CM76+(1-EXP(-LN(2)/2))/(LN(2)/2)*CG77*CJ77*VLOOKUP('Données projet'!$B$12,Paramètres!$A$1:$I$89,3,0)*0.475*44/12</f>
        <v>0</v>
      </c>
      <c r="CN77" s="22">
        <f t="shared" si="66"/>
        <v>0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66.690000000000083</v>
      </c>
      <c r="D78" s="11">
        <f t="shared" si="86"/>
        <v>18.849164941118655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660.30232586126749</v>
      </c>
      <c r="H78" s="67">
        <f t="shared" si="56"/>
        <v>442.31404560578176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0</v>
      </c>
      <c r="O78" s="13">
        <f>N78*VLOOKUP('Données projet'!$B$9,Paramètres!$A$1:$I$89,3,0)*VLOOKUP('Données projet'!$B$9,Paramètres!$A$1:$I$89,5,0)</f>
        <v>0</v>
      </c>
      <c r="P78" s="13" t="e">
        <f t="shared" si="87"/>
        <v>#NUM!</v>
      </c>
      <c r="Q78" s="20" t="e">
        <f t="shared" si="54"/>
        <v>#NUM!</v>
      </c>
      <c r="R78" s="59" t="e">
        <f t="shared" si="55"/>
        <v>#NUM!</v>
      </c>
      <c r="S78" s="59">
        <f ca="1">AVERAGE(OFFSET($R$3,0,0,'Données projet'!$E$9+1,1))-AVERAGE(OFFSET($H$3,0,0,'Données projet'!$E$9+1,1))</f>
        <v>72.647148358003676</v>
      </c>
      <c r="T78" s="59">
        <f t="shared" si="88"/>
        <v>87.231299224620898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0.52193046613744087</v>
      </c>
      <c r="AA78" s="21">
        <f>EXP(-LN(2)/25)*AA77+(1-EXP(-LN(2)/25))/(LN(2)/25)*Calculateur!V78*Calculateur!X78*VLOOKUP('Données projet'!$B$9,Paramètres!$A$1:$I$89,3,0)*0.475*44/12</f>
        <v>1.3012248050151041</v>
      </c>
      <c r="AB78" s="21">
        <f>EXP(-LN(2)/2)*AB77+(1-EXP(-LN(2)/2))/(LN(2)/2)*V78*Y78*VLOOKUP('Données projet'!$B$9,Paramètres!$A$1:$I$89,3,0)*0.475*44/12</f>
        <v>3.8453033232620531E-7</v>
      </c>
      <c r="AC78" s="22">
        <f t="shared" si="57"/>
        <v>1.8231556556828772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 t="e">
        <f>VLOOKUP(A78,'Données projet'!$A$61:$I$81,2,0)</f>
        <v>#N/A</v>
      </c>
      <c r="AG78" s="12" t="e">
        <f>VLOOKUP(A78,'Données projet'!$A$61:$I$81,9,0)</f>
        <v>#N/A</v>
      </c>
      <c r="AH78" s="12">
        <f t="array" ref="AH78">INDEX(AG:AG,MIN(IF(ISNUMBER(AG78:AG274),ROW(AG78:AG274),"")))</f>
        <v>2.5</v>
      </c>
      <c r="AI78" s="13">
        <f>IF('Données projet'!$A$62&gt;35,AI77+AH78-AQ77,IF(A78&lt;'Données projet'!$A$62,$AF$205^A78,IF(A78='Données projet'!$A$62,'Données projet'!$B$62,AI77+AH78-AQ77)))</f>
        <v>213.49999999999991</v>
      </c>
      <c r="AJ78" s="13">
        <f>AI78*VLOOKUP('Données projet'!$B$10,Paramètres!$A$1:$I$89,3,0)*VLOOKUP('Données projet'!$B$10,Paramètres!$A$1:$I$89,5,0)</f>
        <v>173.19119999999992</v>
      </c>
      <c r="AK78" s="13">
        <f t="shared" si="89"/>
        <v>43.803970782681198</v>
      </c>
      <c r="AL78" s="20">
        <f t="shared" si="58"/>
        <v>377.93325577983632</v>
      </c>
      <c r="AM78" s="59">
        <f t="shared" si="59"/>
        <v>671.26658911316963</v>
      </c>
      <c r="AN78" s="59">
        <f ca="1">AVERAGE(OFFSET($AM$3,0,0,'Données projet'!$E$10+1,1))-AVERAGE(OFFSET($H$3,0,0,'Données projet'!$E$10+1,1))</f>
        <v>145.3656871223958</v>
      </c>
      <c r="AO78" s="59">
        <f t="shared" si="90"/>
        <v>180.54762778843178</v>
      </c>
      <c r="AP78" s="15">
        <f>IF(ISNA(VLOOKUP(A78,'Données projet'!$A$61:$I$81,3,0)),0,VLOOKUP(A78,'Données projet'!$A$61:$I$81,3,0))</f>
        <v>0</v>
      </c>
      <c r="AQ78" s="15">
        <f>IF(ISNA(VLOOKUP(A78,'Données projet'!$A$61:$I$81,4,0)),0,VLOOKUP(A78,'Données projet'!$A$61:$I$81,4,0))</f>
        <v>0</v>
      </c>
      <c r="AR78" s="16">
        <f>IF(ISNA(VLOOKUP(A78,'Données projet'!$A$61:$I$81,5,0)),0%,VLOOKUP(A78,'Données projet'!$A$61:$I$81,5,0)*VLOOKUP('Données projet'!$B$10,Paramètres!$A$1:$I$89,7,0))</f>
        <v>0</v>
      </c>
      <c r="AS78" s="16">
        <f>IF(ISNA(VLOOKUP(A78,'Données projet'!$A$61:$I$81,6,0)),0%,VLOOKUP(A78,'Données projet'!$A$61:$I$81,6,0)*VLOOKUP('Données projet'!$B$10,Paramètres!$A$1:$I$89,7,0))</f>
        <v>0</v>
      </c>
      <c r="AT78" s="16">
        <f>IF(ISNA(VLOOKUP(A78,'Données projet'!$A$61:$I$81,7,0)),0%,VLOOKUP(A78,'Données projet'!$A$61:$I$81,7,0))</f>
        <v>0</v>
      </c>
      <c r="AU78" s="21">
        <f>EXP(-LN(2)/35)*AU77+(1-EXP(-LN(2)/35))/(LN(2)/35)*AQ78*AR78*VLOOKUP('Données projet'!$B$10,Paramètres!$A$1:$I$89,3,0)*0.475*44/12</f>
        <v>0</v>
      </c>
      <c r="AV78" s="21">
        <f>EXP(-LN(2)/25)*AV77+(1-EXP(-LN(2)/25))/(LN(2)/25)*Calculateur!AQ78*Calculateur!AS78*VLOOKUP('Données projet'!$B$10,Paramètres!$A$1:$I$89,3,0)*0.475*44/12</f>
        <v>1.597009157860537</v>
      </c>
      <c r="AW78" s="21">
        <f>EXP(-LN(2)/2)*AW77+(1-EXP(-LN(2)/2))/(LN(2)/2)*AQ78*AT78*VLOOKUP('Données projet'!$B$10,Paramètres!$A$1:$I$89,3,0)*0.475*44/12</f>
        <v>1.3760366917658538E-6</v>
      </c>
      <c r="AX78" s="21">
        <f t="shared" si="60"/>
        <v>1.5970105338972287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4.8</v>
      </c>
      <c r="BD78" s="12">
        <f>IF('Données projet'!$A$88&gt;35,BD77+BC78-BL77,IF(A78&lt;'Données projet'!$A$88,$BA$205^A78,IF(A78='Données projet'!$A$88,'Données projet'!$B$88,BD77+BC78-BL77)))</f>
        <v>181.99999999999991</v>
      </c>
      <c r="BE78" s="13">
        <f>BD78*VLOOKUP('Données projet'!$B$11,Paramètres!$A$1:$I$89,3,0)*VLOOKUP('Données projet'!$B$11,Paramètres!$A$1:$I$89,5,0)</f>
        <v>164.67359999999991</v>
      </c>
      <c r="BF78" s="13">
        <f t="shared" si="91"/>
        <v>41.894886049196984</v>
      </c>
      <c r="BG78" s="20">
        <f t="shared" si="61"/>
        <v>359.77344653568457</v>
      </c>
      <c r="BH78" s="59">
        <f t="shared" si="62"/>
        <v>653.10677986901783</v>
      </c>
      <c r="BI78" s="59">
        <f ca="1">AVERAGE(OFFSET($BH$3,0,0,'Données projet'!$E$11+1,1))-AVERAGE(OFFSET($H$3,0,0,'Données projet'!$E$11+1,1))</f>
        <v>138.8931001150624</v>
      </c>
      <c r="BJ78" s="59">
        <f t="shared" si="92"/>
        <v>48.964659354096625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>
        <f>EXP(-LN(2)/35)*BP77+(1-EXP(-LN(2)/35))/(LN(2)/35)*BL78*BM78*VLOOKUP('Données projet'!$B$11,Paramètres!$A$1:$I$89,3,0)*0.475*44/12</f>
        <v>0</v>
      </c>
      <c r="BQ78" s="21">
        <f>EXP(-LN(2)/25)*BQ77+(1-EXP(-LN(2)/25))/(LN(2)/25)*Calculateur!BL78*Calculateur!BN78*VLOOKUP('Données projet'!$B$11,Paramètres!$A$1:$I$89,3,0)*0.475*44/12</f>
        <v>0</v>
      </c>
      <c r="BR78" s="21">
        <f>EXP(-LN(2)/2)*BR77+(1-EXP(-LN(2)/2))/(LN(2)/2)*BL78*BO78*VLOOKUP('Données projet'!$B$11,Paramètres!$A$1:$I$89,3,0)*0.475*44/12</f>
        <v>0</v>
      </c>
      <c r="BS78" s="22">
        <f t="shared" si="63"/>
        <v>0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4.8</v>
      </c>
      <c r="BY78" s="12">
        <f>IF('Données projet'!$A$114&gt;35,BY77+BX78-CG77,IF(A78&lt;'Données projet'!$A$114,$BV$205^A78,IF(A78='Données projet'!$A$114,'Données projet'!$B$114,BY77+BX78-CG77)))</f>
        <v>182</v>
      </c>
      <c r="BZ78" s="13">
        <f>BY78*VLOOKUP('Données projet'!$B$12,Paramètres!$A$1:$I$89,3,0)*VLOOKUP('Données projet'!$B$12,Paramètres!$A$1:$I$89,5,0)</f>
        <v>176.03040000000001</v>
      </c>
      <c r="CA78" s="13">
        <f t="shared" si="93"/>
        <v>44.437880346232944</v>
      </c>
      <c r="CB78" s="20">
        <f t="shared" si="64"/>
        <v>383.98225493635573</v>
      </c>
      <c r="CC78" s="59">
        <f t="shared" si="65"/>
        <v>677.31558826968899</v>
      </c>
      <c r="CD78" s="59">
        <f ca="1">AVERAGE(OFFSET($CC$3,0,0,'Données projet'!$E$12+1,1))-AVERAGE(OFFSET($H$3,0,0,'Données projet'!$E$12+1,1))</f>
        <v>154.93882427988234</v>
      </c>
      <c r="CE78" s="59">
        <f t="shared" si="94"/>
        <v>56.347130462109817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>
        <f>EXP(-LN(2)/35)*CK77+(1-EXP(-LN(2)/35))/(LN(2)/35)*CG78*CH78*VLOOKUP('Données projet'!$B$12,Paramètres!$A$1:$I$89,3,0)*0.475*44/12</f>
        <v>0</v>
      </c>
      <c r="CL78" s="21">
        <f>EXP(-LN(2)/25)*CL77+(1-EXP(-LN(2)/25))/(LN(2)/25)*Calculateur!CG78*Calculateur!CI78*VLOOKUP('Données projet'!$B$12,Paramètres!$A$1:$I$89,3,0)*0.475*44/12</f>
        <v>0</v>
      </c>
      <c r="CM78" s="21">
        <f>EXP(-LN(2)/2)*CM77+(1-EXP(-LN(2)/2))/(LN(2)/2)*CG78*CJ78*VLOOKUP('Données projet'!$B$12,Paramètres!$A$1:$I$89,3,0)*0.475*44/12</f>
        <v>0</v>
      </c>
      <c r="CN78" s="22">
        <f t="shared" si="66"/>
        <v>0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67.579200000000085</v>
      </c>
      <c r="D79" s="11">
        <f t="shared" si="86"/>
        <v>19.071061760403854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668.87921358908307</v>
      </c>
      <c r="H79" s="67">
        <f t="shared" si="56"/>
        <v>444.24920589937017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0</v>
      </c>
      <c r="O79" s="13">
        <f>N79*VLOOKUP('Données projet'!$B$9,Paramètres!$A$1:$I$89,3,0)*VLOOKUP('Données projet'!$B$9,Paramètres!$A$1:$I$89,5,0)</f>
        <v>0</v>
      </c>
      <c r="P79" s="13" t="e">
        <f t="shared" si="87"/>
        <v>#NUM!</v>
      </c>
      <c r="Q79" s="20" t="e">
        <f t="shared" si="54"/>
        <v>#NUM!</v>
      </c>
      <c r="R79" s="59" t="e">
        <f t="shared" si="55"/>
        <v>#NUM!</v>
      </c>
      <c r="S79" s="59">
        <f ca="1">AVERAGE(OFFSET($R$3,0,0,'Données projet'!$E$9+1,1))-AVERAGE(OFFSET($H$3,0,0,'Données projet'!$E$9+1,1))</f>
        <v>72.647148358003676</v>
      </c>
      <c r="T79" s="59">
        <f t="shared" si="88"/>
        <v>87.231299224620898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0.51169572804263597</v>
      </c>
      <c r="AA79" s="21">
        <f>EXP(-LN(2)/25)*AA78+(1-EXP(-LN(2)/25))/(LN(2)/25)*Calculateur!V79*Calculateur!X79*VLOOKUP('Données projet'!$B$9,Paramètres!$A$1:$I$89,3,0)*0.475*44/12</f>
        <v>1.2656427442935276</v>
      </c>
      <c r="AB79" s="21">
        <f>EXP(-LN(2)/2)*AB78+(1-EXP(-LN(2)/2))/(LN(2)/2)*V79*Y79*VLOOKUP('Données projet'!$B$9,Paramètres!$A$1:$I$89,3,0)*0.475*44/12</f>
        <v>2.7190400555977646E-7</v>
      </c>
      <c r="AC79" s="22">
        <f t="shared" si="57"/>
        <v>1.7773387442401691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2.5</v>
      </c>
      <c r="AI79" s="13">
        <f>IF('Données projet'!$A$62&gt;35,AI78+AH79-AQ78,IF(A79&lt;'Données projet'!$A$62,$AF$205^A79,IF(A79='Données projet'!$A$62,'Données projet'!$B$62,AI78+AH79-AQ78)))</f>
        <v>215.99999999999991</v>
      </c>
      <c r="AJ79" s="13">
        <f>AI79*VLOOKUP('Données projet'!$B$10,Paramètres!$A$1:$I$89,3,0)*VLOOKUP('Données projet'!$B$10,Paramètres!$A$1:$I$89,5,0)</f>
        <v>175.21919999999994</v>
      </c>
      <c r="AK79" s="13">
        <f t="shared" si="89"/>
        <v>44.256885598570207</v>
      </c>
      <c r="AL79" s="20">
        <f t="shared" si="58"/>
        <v>382.25418241750964</v>
      </c>
      <c r="AM79" s="59">
        <f t="shared" si="59"/>
        <v>675.58751575084295</v>
      </c>
      <c r="AN79" s="59">
        <f ca="1">AVERAGE(OFFSET($AM$3,0,0,'Données projet'!$E$10+1,1))-AVERAGE(OFFSET($H$3,0,0,'Données projet'!$E$10+1,1))</f>
        <v>145.3656871223958</v>
      </c>
      <c r="AO79" s="59">
        <f t="shared" si="90"/>
        <v>180.54762778843178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0</v>
      </c>
      <c r="AV79" s="21">
        <f>EXP(-LN(2)/25)*AV78+(1-EXP(-LN(2)/25))/(LN(2)/25)*Calculateur!AQ79*Calculateur!AS79*VLOOKUP('Données projet'!$B$10,Paramètres!$A$1:$I$89,3,0)*0.475*44/12</f>
        <v>1.553338858455779</v>
      </c>
      <c r="AW79" s="21">
        <f>EXP(-LN(2)/2)*AW78+(1-EXP(-LN(2)/2))/(LN(2)/2)*AQ79*AT79*VLOOKUP('Données projet'!$B$10,Paramètres!$A$1:$I$89,3,0)*0.475*44/12</f>
        <v>9.730048759091383E-7</v>
      </c>
      <c r="AX79" s="21">
        <f t="shared" si="60"/>
        <v>1.553339831460655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4.8</v>
      </c>
      <c r="BD79" s="12">
        <f>IF('Données projet'!$A$88&gt;35,BD78+BC79-BL78,IF(A79&lt;'Données projet'!$A$88,$BA$205^A79,IF(A79='Données projet'!$A$88,'Données projet'!$B$88,BD78+BC79-BL78)))</f>
        <v>186.79999999999993</v>
      </c>
      <c r="BE79" s="13">
        <f>BD79*VLOOKUP('Données projet'!$B$11,Paramètres!$A$1:$I$89,3,0)*VLOOKUP('Données projet'!$B$11,Paramètres!$A$1:$I$89,5,0)</f>
        <v>169.01663999999994</v>
      </c>
      <c r="BF79" s="13">
        <f t="shared" si="91"/>
        <v>42.869709352189666</v>
      </c>
      <c r="BG79" s="20">
        <f t="shared" si="61"/>
        <v>369.03539178839679</v>
      </c>
      <c r="BH79" s="59">
        <f t="shared" si="62"/>
        <v>662.36872512173011</v>
      </c>
      <c r="BI79" s="59">
        <f ca="1">AVERAGE(OFFSET($BH$3,0,0,'Données projet'!$E$11+1,1))-AVERAGE(OFFSET($H$3,0,0,'Données projet'!$E$11+1,1))</f>
        <v>138.8931001150624</v>
      </c>
      <c r="BJ79" s="59">
        <f t="shared" si="92"/>
        <v>48.964659354096625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>
        <f>EXP(-LN(2)/35)*BP78+(1-EXP(-LN(2)/35))/(LN(2)/35)*BL79*BM79*VLOOKUP('Données projet'!$B$11,Paramètres!$A$1:$I$89,3,0)*0.475*44/12</f>
        <v>0</v>
      </c>
      <c r="BQ79" s="21">
        <f>EXP(-LN(2)/25)*BQ78+(1-EXP(-LN(2)/25))/(LN(2)/25)*Calculateur!BL79*Calculateur!BN79*VLOOKUP('Données projet'!$B$11,Paramètres!$A$1:$I$89,3,0)*0.475*44/12</f>
        <v>0</v>
      </c>
      <c r="BR79" s="21">
        <f>EXP(-LN(2)/2)*BR78+(1-EXP(-LN(2)/2))/(LN(2)/2)*BL79*BO79*VLOOKUP('Données projet'!$B$11,Paramètres!$A$1:$I$89,3,0)*0.475*44/12</f>
        <v>0</v>
      </c>
      <c r="BS79" s="22">
        <f t="shared" si="63"/>
        <v>0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4.8</v>
      </c>
      <c r="BY79" s="12">
        <f>IF('Données projet'!$A$114&gt;35,BY78+BX79-CG78,IF(A79&lt;'Données projet'!$A$114,$BV$205^A79,IF(A79='Données projet'!$A$114,'Données projet'!$B$114,BY78+BX79-CG78)))</f>
        <v>186.8</v>
      </c>
      <c r="BZ79" s="13">
        <f>BY79*VLOOKUP('Données projet'!$B$12,Paramètres!$A$1:$I$89,3,0)*VLOOKUP('Données projet'!$B$12,Paramètres!$A$1:$I$89,5,0)</f>
        <v>180.67296000000002</v>
      </c>
      <c r="CA79" s="13">
        <f t="shared" si="93"/>
        <v>45.471874835351194</v>
      </c>
      <c r="CB79" s="20">
        <f t="shared" si="64"/>
        <v>393.86892067157004</v>
      </c>
      <c r="CC79" s="59">
        <f t="shared" si="65"/>
        <v>687.20225400490335</v>
      </c>
      <c r="CD79" s="59">
        <f ca="1">AVERAGE(OFFSET($CC$3,0,0,'Données projet'!$E$12+1,1))-AVERAGE(OFFSET($H$3,0,0,'Données projet'!$E$12+1,1))</f>
        <v>154.93882427988234</v>
      </c>
      <c r="CE79" s="59">
        <f t="shared" si="94"/>
        <v>56.347130462109817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>
        <f>EXP(-LN(2)/35)*CK78+(1-EXP(-LN(2)/35))/(LN(2)/35)*CG79*CH79*VLOOKUP('Données projet'!$B$12,Paramètres!$A$1:$I$89,3,0)*0.475*44/12</f>
        <v>0</v>
      </c>
      <c r="CL79" s="21">
        <f>EXP(-LN(2)/25)*CL78+(1-EXP(-LN(2)/25))/(LN(2)/25)*Calculateur!CG79*Calculateur!CI79*VLOOKUP('Données projet'!$B$12,Paramètres!$A$1:$I$89,3,0)*0.475*44/12</f>
        <v>0</v>
      </c>
      <c r="CM79" s="21">
        <f>EXP(-LN(2)/2)*CM78+(1-EXP(-LN(2)/2))/(LN(2)/2)*CG79*CJ79*VLOOKUP('Données projet'!$B$12,Paramètres!$A$1:$I$89,3,0)*0.475*44/12</f>
        <v>0</v>
      </c>
      <c r="CN79" s="22">
        <f t="shared" si="66"/>
        <v>0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68.468400000000088</v>
      </c>
      <c r="D80" s="11">
        <f t="shared" si="86"/>
        <v>19.292618976952753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677.45347982209216</v>
      </c>
      <c r="H80" s="67">
        <f t="shared" si="56"/>
        <v>446.18377471819281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0</v>
      </c>
      <c r="O80" s="13">
        <f>N80*VLOOKUP('Données projet'!$B$9,Paramètres!$A$1:$I$89,3,0)*VLOOKUP('Données projet'!$B$9,Paramètres!$A$1:$I$89,5,0)</f>
        <v>0</v>
      </c>
      <c r="P80" s="13" t="e">
        <f t="shared" si="87"/>
        <v>#NUM!</v>
      </c>
      <c r="Q80" s="20" t="e">
        <f t="shared" si="54"/>
        <v>#NUM!</v>
      </c>
      <c r="R80" s="59" t="e">
        <f t="shared" si="55"/>
        <v>#NUM!</v>
      </c>
      <c r="S80" s="59">
        <f ca="1">AVERAGE(OFFSET($R$3,0,0,'Données projet'!$E$9+1,1))-AVERAGE(OFFSET($H$3,0,0,'Données projet'!$E$9+1,1))</f>
        <v>72.647148358003676</v>
      </c>
      <c r="T80" s="59">
        <f t="shared" si="88"/>
        <v>87.231299224620898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0.50166168691929636</v>
      </c>
      <c r="AA80" s="21">
        <f>EXP(-LN(2)/25)*AA79+(1-EXP(-LN(2)/25))/(LN(2)/25)*Calculateur!V80*Calculateur!X80*VLOOKUP('Données projet'!$B$9,Paramètres!$A$1:$I$89,3,0)*0.475*44/12</f>
        <v>1.2310336768935619</v>
      </c>
      <c r="AB80" s="21">
        <f>EXP(-LN(2)/2)*AB79+(1-EXP(-LN(2)/2))/(LN(2)/2)*V80*Y80*VLOOKUP('Données projet'!$B$9,Paramètres!$A$1:$I$89,3,0)*0.475*44/12</f>
        <v>1.9226516616310265E-7</v>
      </c>
      <c r="AC80" s="22">
        <f t="shared" si="57"/>
        <v>1.7326955560780244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2.5</v>
      </c>
      <c r="AI80" s="13">
        <f>IF('Données projet'!$A$62&gt;35,AI79+AH80-AQ79,IF(A80&lt;'Données projet'!$A$62,$AF$205^A80,IF(A80='Données projet'!$A$62,'Données projet'!$B$62,AI79+AH80-AQ79)))</f>
        <v>218.49999999999991</v>
      </c>
      <c r="AJ80" s="13">
        <f>AI80*VLOOKUP('Données projet'!$B$10,Paramètres!$A$1:$I$89,3,0)*VLOOKUP('Données projet'!$B$10,Paramètres!$A$1:$I$89,5,0)</f>
        <v>177.24719999999994</v>
      </c>
      <c r="AK80" s="13">
        <f t="shared" si="89"/>
        <v>44.709190633994481</v>
      </c>
      <c r="AL80" s="20">
        <f t="shared" si="58"/>
        <v>386.57404702087359</v>
      </c>
      <c r="AM80" s="59">
        <f t="shared" si="59"/>
        <v>679.90738035420691</v>
      </c>
      <c r="AN80" s="59">
        <f ca="1">AVERAGE(OFFSET($AM$3,0,0,'Données projet'!$E$10+1,1))-AVERAGE(OFFSET($H$3,0,0,'Données projet'!$E$10+1,1))</f>
        <v>145.3656871223958</v>
      </c>
      <c r="AO80" s="59">
        <f t="shared" si="90"/>
        <v>180.54762778843178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0</v>
      </c>
      <c r="AV80" s="21">
        <f>EXP(-LN(2)/25)*AV79+(1-EXP(-LN(2)/25))/(LN(2)/25)*Calculateur!AQ80*Calculateur!AS80*VLOOKUP('Données projet'!$B$10,Paramètres!$A$1:$I$89,3,0)*0.475*44/12</f>
        <v>1.5108627256847653</v>
      </c>
      <c r="AW80" s="21">
        <f>EXP(-LN(2)/2)*AW79+(1-EXP(-LN(2)/2))/(LN(2)/2)*AQ80*AT80*VLOOKUP('Données projet'!$B$10,Paramètres!$A$1:$I$89,3,0)*0.475*44/12</f>
        <v>6.8801834588292689E-7</v>
      </c>
      <c r="AX80" s="21">
        <f t="shared" si="60"/>
        <v>1.5108634137031112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4.8</v>
      </c>
      <c r="BD80" s="12">
        <f>IF('Données projet'!$A$88&gt;35,BD79+BC80-BL79,IF(A80&lt;'Données projet'!$A$88,$BA$205^A80,IF(A80='Données projet'!$A$88,'Données projet'!$B$88,BD79+BC80-BL79)))</f>
        <v>191.59999999999994</v>
      </c>
      <c r="BE80" s="13">
        <f>BD80*VLOOKUP('Données projet'!$B$11,Paramètres!$A$1:$I$89,3,0)*VLOOKUP('Données projet'!$B$11,Paramètres!$A$1:$I$89,5,0)</f>
        <v>173.35967999999994</v>
      </c>
      <c r="BF80" s="13">
        <f t="shared" si="91"/>
        <v>43.841620969901918</v>
      </c>
      <c r="BG80" s="20">
        <f t="shared" si="61"/>
        <v>378.29226585591238</v>
      </c>
      <c r="BH80" s="59">
        <f t="shared" si="62"/>
        <v>671.62559918924569</v>
      </c>
      <c r="BI80" s="59">
        <f ca="1">AVERAGE(OFFSET($BH$3,0,0,'Données projet'!$E$11+1,1))-AVERAGE(OFFSET($H$3,0,0,'Données projet'!$E$11+1,1))</f>
        <v>138.8931001150624</v>
      </c>
      <c r="BJ80" s="59">
        <f t="shared" si="92"/>
        <v>48.964659354096625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>
        <f>EXP(-LN(2)/35)*BP79+(1-EXP(-LN(2)/35))/(LN(2)/35)*BL80*BM80*VLOOKUP('Données projet'!$B$11,Paramètres!$A$1:$I$89,3,0)*0.475*44/12</f>
        <v>0</v>
      </c>
      <c r="BQ80" s="21">
        <f>EXP(-LN(2)/25)*BQ79+(1-EXP(-LN(2)/25))/(LN(2)/25)*Calculateur!BL80*Calculateur!BN80*VLOOKUP('Données projet'!$B$11,Paramètres!$A$1:$I$89,3,0)*0.475*44/12</f>
        <v>0</v>
      </c>
      <c r="BR80" s="21">
        <f>EXP(-LN(2)/2)*BR79+(1-EXP(-LN(2)/2))/(LN(2)/2)*BL80*BO80*VLOOKUP('Données projet'!$B$11,Paramètres!$A$1:$I$89,3,0)*0.475*44/12</f>
        <v>0</v>
      </c>
      <c r="BS80" s="22">
        <f t="shared" si="63"/>
        <v>0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4.8</v>
      </c>
      <c r="BY80" s="12">
        <f>IF('Données projet'!$A$114&gt;35,BY79+BX80-CG79,IF(A80&lt;'Données projet'!$A$114,$BV$205^A80,IF(A80='Données projet'!$A$114,'Données projet'!$B$114,BY79+BX80-CG79)))</f>
        <v>191.60000000000002</v>
      </c>
      <c r="BZ80" s="13">
        <f>BY80*VLOOKUP('Données projet'!$B$12,Paramètres!$A$1:$I$89,3,0)*VLOOKUP('Données projet'!$B$12,Paramètres!$A$1:$I$89,5,0)</f>
        <v>185.31552000000002</v>
      </c>
      <c r="CA80" s="13">
        <f t="shared" si="93"/>
        <v>46.502780901649913</v>
      </c>
      <c r="CB80" s="20">
        <f t="shared" si="64"/>
        <v>403.75020740370695</v>
      </c>
      <c r="CC80" s="59">
        <f t="shared" si="65"/>
        <v>697.08354073704027</v>
      </c>
      <c r="CD80" s="59">
        <f ca="1">AVERAGE(OFFSET($CC$3,0,0,'Données projet'!$E$12+1,1))-AVERAGE(OFFSET($H$3,0,0,'Données projet'!$E$12+1,1))</f>
        <v>154.93882427988234</v>
      </c>
      <c r="CE80" s="59">
        <f t="shared" si="94"/>
        <v>56.347130462109817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>
        <f>EXP(-LN(2)/35)*CK79+(1-EXP(-LN(2)/35))/(LN(2)/35)*CG80*CH80*VLOOKUP('Données projet'!$B$12,Paramètres!$A$1:$I$89,3,0)*0.475*44/12</f>
        <v>0</v>
      </c>
      <c r="CL80" s="21">
        <f>EXP(-LN(2)/25)*CL79+(1-EXP(-LN(2)/25))/(LN(2)/25)*Calculateur!CG80*Calculateur!CI80*VLOOKUP('Données projet'!$B$12,Paramètres!$A$1:$I$89,3,0)*0.475*44/12</f>
        <v>0</v>
      </c>
      <c r="CM80" s="21">
        <f>EXP(-LN(2)/2)*CM79+(1-EXP(-LN(2)/2))/(LN(2)/2)*CG80*CJ80*VLOOKUP('Données projet'!$B$12,Paramètres!$A$1:$I$89,3,0)*0.475*44/12</f>
        <v>0</v>
      </c>
      <c r="CN80" s="22">
        <f t="shared" si="66"/>
        <v>0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69.35760000000009</v>
      </c>
      <c r="D81" s="11">
        <f t="shared" si="86"/>
        <v>19.51384151112245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686.02516254199861</v>
      </c>
      <c r="H81" s="67">
        <f t="shared" si="56"/>
        <v>448.11776063187176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0</v>
      </c>
      <c r="O81" s="13">
        <f>N81*VLOOKUP('Données projet'!$B$9,Paramètres!$A$1:$I$89,3,0)*VLOOKUP('Données projet'!$B$9,Paramètres!$A$1:$I$89,5,0)</f>
        <v>0</v>
      </c>
      <c r="P81" s="13" t="e">
        <f t="shared" si="87"/>
        <v>#NUM!</v>
      </c>
      <c r="Q81" s="20" t="e">
        <f t="shared" si="54"/>
        <v>#NUM!</v>
      </c>
      <c r="R81" s="59" t="e">
        <f t="shared" si="55"/>
        <v>#NUM!</v>
      </c>
      <c r="S81" s="59">
        <f ca="1">AVERAGE(OFFSET($R$3,0,0,'Données projet'!$E$9+1,1))-AVERAGE(OFFSET($H$3,0,0,'Données projet'!$E$9+1,1))</f>
        <v>72.647148358003676</v>
      </c>
      <c r="T81" s="59">
        <f t="shared" si="88"/>
        <v>87.231299224620898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0.49182440722222465</v>
      </c>
      <c r="AA81" s="21">
        <f>EXP(-LN(2)/25)*AA80+(1-EXP(-LN(2)/25))/(LN(2)/25)*Calculateur!V81*Calculateur!X81*VLOOKUP('Données projet'!$B$9,Paramètres!$A$1:$I$89,3,0)*0.475*44/12</f>
        <v>1.1973709962616599</v>
      </c>
      <c r="AB81" s="21">
        <f>EXP(-LN(2)/2)*AB80+(1-EXP(-LN(2)/2))/(LN(2)/2)*V81*Y81*VLOOKUP('Données projet'!$B$9,Paramètres!$A$1:$I$89,3,0)*0.475*44/12</f>
        <v>1.3595200277988823E-7</v>
      </c>
      <c r="AC81" s="22">
        <f t="shared" si="57"/>
        <v>1.6891955394358873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2.5</v>
      </c>
      <c r="AI81" s="13">
        <f>IF('Données projet'!$A$62&gt;35,AI80+AH81-AQ80,IF(A81&lt;'Données projet'!$A$62,$AF$205^A81,IF(A81='Données projet'!$A$62,'Données projet'!$B$62,AI80+AH81-AQ80)))</f>
        <v>220.99999999999991</v>
      </c>
      <c r="AJ81" s="13">
        <f>AI81*VLOOKUP('Données projet'!$B$10,Paramètres!$A$1:$I$89,3,0)*VLOOKUP('Données projet'!$B$10,Paramètres!$A$1:$I$89,5,0)</f>
        <v>179.27519999999996</v>
      </c>
      <c r="AK81" s="13">
        <f t="shared" si="89"/>
        <v>45.160893673114614</v>
      </c>
      <c r="AL81" s="20">
        <f t="shared" si="58"/>
        <v>390.89286314734119</v>
      </c>
      <c r="AM81" s="59">
        <f t="shared" si="59"/>
        <v>684.2261964806745</v>
      </c>
      <c r="AN81" s="59">
        <f ca="1">AVERAGE(OFFSET($AM$3,0,0,'Données projet'!$E$10+1,1))-AVERAGE(OFFSET($H$3,0,0,'Données projet'!$E$10+1,1))</f>
        <v>145.3656871223958</v>
      </c>
      <c r="AO81" s="59">
        <f t="shared" si="90"/>
        <v>180.54762778843178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0</v>
      </c>
      <c r="AV81" s="21">
        <f>EXP(-LN(2)/25)*AV80+(1-EXP(-LN(2)/25))/(LN(2)/25)*Calculateur!AQ81*Calculateur!AS81*VLOOKUP('Données projet'!$B$10,Paramètres!$A$1:$I$89,3,0)*0.475*44/12</f>
        <v>1.4695481049980978</v>
      </c>
      <c r="AW81" s="21">
        <f>EXP(-LN(2)/2)*AW80+(1-EXP(-LN(2)/2))/(LN(2)/2)*AQ81*AT81*VLOOKUP('Données projet'!$B$10,Paramètres!$A$1:$I$89,3,0)*0.475*44/12</f>
        <v>4.8650243795456915E-7</v>
      </c>
      <c r="AX81" s="21">
        <f t="shared" si="60"/>
        <v>1.4695485915005357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4.8</v>
      </c>
      <c r="BD81" s="12">
        <f>IF('Données projet'!$A$88&gt;35,BD80+BC81-BL80,IF(A81&lt;'Données projet'!$A$88,$BA$205^A81,IF(A81='Données projet'!$A$88,'Données projet'!$B$88,BD80+BC81-BL80)))</f>
        <v>196.39999999999995</v>
      </c>
      <c r="BE81" s="13">
        <f>BD81*VLOOKUP('Données projet'!$B$11,Paramètres!$A$1:$I$89,3,0)*VLOOKUP('Données projet'!$B$11,Paramètres!$A$1:$I$89,5,0)</f>
        <v>177.70271999999994</v>
      </c>
      <c r="BF81" s="13">
        <f t="shared" si="91"/>
        <v>44.810702235717677</v>
      </c>
      <c r="BG81" s="20">
        <f t="shared" si="61"/>
        <v>387.54421039387483</v>
      </c>
      <c r="BH81" s="59">
        <f t="shared" si="62"/>
        <v>680.87754372720815</v>
      </c>
      <c r="BI81" s="59">
        <f ca="1">AVERAGE(OFFSET($BH$3,0,0,'Données projet'!$E$11+1,1))-AVERAGE(OFFSET($H$3,0,0,'Données projet'!$E$11+1,1))</f>
        <v>138.8931001150624</v>
      </c>
      <c r="BJ81" s="59">
        <f t="shared" si="92"/>
        <v>48.964659354096625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>
        <f>EXP(-LN(2)/35)*BP80+(1-EXP(-LN(2)/35))/(LN(2)/35)*BL81*BM81*VLOOKUP('Données projet'!$B$11,Paramètres!$A$1:$I$89,3,0)*0.475*44/12</f>
        <v>0</v>
      </c>
      <c r="BQ81" s="21">
        <f>EXP(-LN(2)/25)*BQ80+(1-EXP(-LN(2)/25))/(LN(2)/25)*Calculateur!BL81*Calculateur!BN81*VLOOKUP('Données projet'!$B$11,Paramètres!$A$1:$I$89,3,0)*0.475*44/12</f>
        <v>0</v>
      </c>
      <c r="BR81" s="21">
        <f>EXP(-LN(2)/2)*BR80+(1-EXP(-LN(2)/2))/(LN(2)/2)*BL81*BO81*VLOOKUP('Données projet'!$B$11,Paramètres!$A$1:$I$89,3,0)*0.475*44/12</f>
        <v>0</v>
      </c>
      <c r="BS81" s="22">
        <f t="shared" si="63"/>
        <v>0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4.8</v>
      </c>
      <c r="BY81" s="12">
        <f>IF('Données projet'!$A$114&gt;35,BY80+BX81-CG80,IF(A81&lt;'Données projet'!$A$114,$BV$205^A81,IF(A81='Données projet'!$A$114,'Données projet'!$B$114,BY80+BX81-CG80)))</f>
        <v>196.40000000000003</v>
      </c>
      <c r="BZ81" s="13">
        <f>BY81*VLOOKUP('Données projet'!$B$12,Paramètres!$A$1:$I$89,3,0)*VLOOKUP('Données projet'!$B$12,Paramètres!$A$1:$I$89,5,0)</f>
        <v>189.95808000000002</v>
      </c>
      <c r="CA81" s="13">
        <f t="shared" si="93"/>
        <v>47.530684815400313</v>
      </c>
      <c r="CB81" s="20">
        <f t="shared" si="64"/>
        <v>413.6262653868223</v>
      </c>
      <c r="CC81" s="59">
        <f t="shared" si="65"/>
        <v>706.95959872015555</v>
      </c>
      <c r="CD81" s="59">
        <f ca="1">AVERAGE(OFFSET($CC$3,0,0,'Données projet'!$E$12+1,1))-AVERAGE(OFFSET($H$3,0,0,'Données projet'!$E$12+1,1))</f>
        <v>154.93882427988234</v>
      </c>
      <c r="CE81" s="59">
        <f t="shared" si="94"/>
        <v>56.347130462109817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>
        <f>EXP(-LN(2)/35)*CK80+(1-EXP(-LN(2)/35))/(LN(2)/35)*CG81*CH81*VLOOKUP('Données projet'!$B$12,Paramètres!$A$1:$I$89,3,0)*0.475*44/12</f>
        <v>0</v>
      </c>
      <c r="CL81" s="21">
        <f>EXP(-LN(2)/25)*CL80+(1-EXP(-LN(2)/25))/(LN(2)/25)*Calculateur!CG81*Calculateur!CI81*VLOOKUP('Données projet'!$B$12,Paramètres!$A$1:$I$89,3,0)*0.475*44/12</f>
        <v>0</v>
      </c>
      <c r="CM81" s="21">
        <f>EXP(-LN(2)/2)*CM80+(1-EXP(-LN(2)/2))/(LN(2)/2)*CG81*CJ81*VLOOKUP('Données projet'!$B$12,Paramètres!$A$1:$I$89,3,0)*0.475*44/12</f>
        <v>0</v>
      </c>
      <c r="CN81" s="22">
        <f t="shared" si="66"/>
        <v>0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70.246800000000093</v>
      </c>
      <c r="D82" s="11">
        <f t="shared" si="86"/>
        <v>19.734734149853086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694.59429870062104</v>
      </c>
      <c r="H82" s="67">
        <f t="shared" si="56"/>
        <v>450.05117197766094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0</v>
      </c>
      <c r="O82" s="13">
        <f>N82*VLOOKUP('Données projet'!$B$9,Paramètres!$A$1:$I$89,3,0)*VLOOKUP('Données projet'!$B$9,Paramètres!$A$1:$I$89,5,0)</f>
        <v>0</v>
      </c>
      <c r="P82" s="13" t="e">
        <f t="shared" si="87"/>
        <v>#NUM!</v>
      </c>
      <c r="Q82" s="20" t="e">
        <f t="shared" si="54"/>
        <v>#NUM!</v>
      </c>
      <c r="R82" s="59" t="e">
        <f t="shared" si="55"/>
        <v>#NUM!</v>
      </c>
      <c r="S82" s="59">
        <f ca="1">AVERAGE(OFFSET($R$3,0,0,'Données projet'!$E$9+1,1))-AVERAGE(OFFSET($H$3,0,0,'Données projet'!$E$9+1,1))</f>
        <v>72.647148358003676</v>
      </c>
      <c r="T82" s="59">
        <f t="shared" si="88"/>
        <v>87.231299224620898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0.48218003057986436</v>
      </c>
      <c r="AA82" s="21">
        <f>EXP(-LN(2)/25)*AA81+(1-EXP(-LN(2)/25))/(LN(2)/25)*Calculateur!V82*Calculateur!X82*VLOOKUP('Données projet'!$B$9,Paramètres!$A$1:$I$89,3,0)*0.475*44/12</f>
        <v>1.1646288234018807</v>
      </c>
      <c r="AB82" s="21">
        <f>EXP(-LN(2)/2)*AB81+(1-EXP(-LN(2)/2))/(LN(2)/2)*V82*Y82*VLOOKUP('Données projet'!$B$9,Paramètres!$A$1:$I$89,3,0)*0.475*44/12</f>
        <v>9.6132583081551327E-8</v>
      </c>
      <c r="AC82" s="22">
        <f t="shared" si="57"/>
        <v>1.6468089501143279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2.5</v>
      </c>
      <c r="AI82" s="13">
        <f>IF('Données projet'!$A$62&gt;35,AI81+AH82-AQ81,IF(A82&lt;'Données projet'!$A$62,$AF$205^A82,IF(A82='Données projet'!$A$62,'Données projet'!$B$62,AI81+AH82-AQ81)))</f>
        <v>223.49999999999991</v>
      </c>
      <c r="AJ82" s="13">
        <f>AI82*VLOOKUP('Données projet'!$B$10,Paramètres!$A$1:$I$89,3,0)*VLOOKUP('Données projet'!$B$10,Paramètres!$A$1:$I$89,5,0)</f>
        <v>181.30319999999995</v>
      </c>
      <c r="AK82" s="13">
        <f t="shared" si="89"/>
        <v>45.612002313840037</v>
      </c>
      <c r="AL82" s="20">
        <f t="shared" si="58"/>
        <v>395.21064402993801</v>
      </c>
      <c r="AM82" s="59">
        <f t="shared" si="59"/>
        <v>688.54397736327132</v>
      </c>
      <c r="AN82" s="59">
        <f ca="1">AVERAGE(OFFSET($AM$3,0,0,'Données projet'!$E$10+1,1))-AVERAGE(OFFSET($H$3,0,0,'Données projet'!$E$10+1,1))</f>
        <v>145.3656871223958</v>
      </c>
      <c r="AO82" s="59">
        <f t="shared" si="90"/>
        <v>180.54762778843178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0</v>
      </c>
      <c r="AV82" s="21">
        <f>EXP(-LN(2)/25)*AV81+(1-EXP(-LN(2)/25))/(LN(2)/25)*Calculateur!AQ82*Calculateur!AS82*VLOOKUP('Données projet'!$B$10,Paramètres!$A$1:$I$89,3,0)*0.475*44/12</f>
        <v>1.4293632347867486</v>
      </c>
      <c r="AW82" s="21">
        <f>EXP(-LN(2)/2)*AW81+(1-EXP(-LN(2)/2))/(LN(2)/2)*AQ82*AT82*VLOOKUP('Données projet'!$B$10,Paramètres!$A$1:$I$89,3,0)*0.475*44/12</f>
        <v>3.4400917294146344E-7</v>
      </c>
      <c r="AX82" s="21">
        <f t="shared" si="60"/>
        <v>1.4293635787959216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4.8</v>
      </c>
      <c r="BD82" s="12">
        <f>IF('Données projet'!$A$88&gt;35,BD81+BC82-BL81,IF(A82&lt;'Données projet'!$A$88,$BA$205^A82,IF(A82='Données projet'!$A$88,'Données projet'!$B$88,BD81+BC82-BL81)))</f>
        <v>201.19999999999996</v>
      </c>
      <c r="BE82" s="13">
        <f>BD82*VLOOKUP('Données projet'!$B$11,Paramètres!$A$1:$I$89,3,0)*VLOOKUP('Données projet'!$B$11,Paramètres!$A$1:$I$89,5,0)</f>
        <v>182.04575999999994</v>
      </c>
      <c r="BF82" s="13">
        <f t="shared" si="91"/>
        <v>45.777030280798314</v>
      </c>
      <c r="BG82" s="20">
        <f t="shared" si="61"/>
        <v>396.79135973905687</v>
      </c>
      <c r="BH82" s="59">
        <f t="shared" si="62"/>
        <v>690.12469307239019</v>
      </c>
      <c r="BI82" s="59">
        <f ca="1">AVERAGE(OFFSET($BH$3,0,0,'Données projet'!$E$11+1,1))-AVERAGE(OFFSET($H$3,0,0,'Données projet'!$E$11+1,1))</f>
        <v>138.8931001150624</v>
      </c>
      <c r="BJ82" s="59">
        <f t="shared" si="92"/>
        <v>48.964659354096625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>
        <f>EXP(-LN(2)/35)*BP81+(1-EXP(-LN(2)/35))/(LN(2)/35)*BL82*BM82*VLOOKUP('Données projet'!$B$11,Paramètres!$A$1:$I$89,3,0)*0.475*44/12</f>
        <v>0</v>
      </c>
      <c r="BQ82" s="21">
        <f>EXP(-LN(2)/25)*BQ81+(1-EXP(-LN(2)/25))/(LN(2)/25)*Calculateur!BL82*Calculateur!BN82*VLOOKUP('Données projet'!$B$11,Paramètres!$A$1:$I$89,3,0)*0.475*44/12</f>
        <v>0</v>
      </c>
      <c r="BR82" s="21">
        <f>EXP(-LN(2)/2)*BR81+(1-EXP(-LN(2)/2))/(LN(2)/2)*BL82*BO82*VLOOKUP('Données projet'!$B$11,Paramètres!$A$1:$I$89,3,0)*0.475*44/12</f>
        <v>0</v>
      </c>
      <c r="BS82" s="22">
        <f t="shared" si="63"/>
        <v>0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4.8</v>
      </c>
      <c r="BY82" s="12">
        <f>IF('Données projet'!$A$114&gt;35,BY81+BX82-CG81,IF(A82&lt;'Données projet'!$A$114,$BV$205^A82,IF(A82='Données projet'!$A$114,'Données projet'!$B$114,BY81+BX82-CG81)))</f>
        <v>201.20000000000005</v>
      </c>
      <c r="BZ82" s="13">
        <f>BY82*VLOOKUP('Données projet'!$B$12,Paramètres!$A$1:$I$89,3,0)*VLOOKUP('Données projet'!$B$12,Paramètres!$A$1:$I$89,5,0)</f>
        <v>194.60064000000006</v>
      </c>
      <c r="CA82" s="13">
        <f t="shared" si="93"/>
        <v>48.555668389578749</v>
      </c>
      <c r="CB82" s="20">
        <f t="shared" si="64"/>
        <v>423.4972371118497</v>
      </c>
      <c r="CC82" s="59">
        <f t="shared" si="65"/>
        <v>716.83057044518296</v>
      </c>
      <c r="CD82" s="59">
        <f ca="1">AVERAGE(OFFSET($CC$3,0,0,'Données projet'!$E$12+1,1))-AVERAGE(OFFSET($H$3,0,0,'Données projet'!$E$12+1,1))</f>
        <v>154.93882427988234</v>
      </c>
      <c r="CE82" s="59">
        <f t="shared" si="94"/>
        <v>56.347130462109817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>
        <f>EXP(-LN(2)/35)*CK81+(1-EXP(-LN(2)/35))/(LN(2)/35)*CG82*CH82*VLOOKUP('Données projet'!$B$12,Paramètres!$A$1:$I$89,3,0)*0.475*44/12</f>
        <v>0</v>
      </c>
      <c r="CL82" s="21">
        <f>EXP(-LN(2)/25)*CL81+(1-EXP(-LN(2)/25))/(LN(2)/25)*Calculateur!CG82*Calculateur!CI82*VLOOKUP('Données projet'!$B$12,Paramètres!$A$1:$I$89,3,0)*0.475*44/12</f>
        <v>0</v>
      </c>
      <c r="CM82" s="21">
        <f>EXP(-LN(2)/2)*CM81+(1-EXP(-LN(2)/2))/(LN(2)/2)*CG82*CJ82*VLOOKUP('Données projet'!$B$12,Paramètres!$A$1:$I$89,3,0)*0.475*44/12</f>
        <v>0</v>
      </c>
      <c r="CN82" s="22">
        <f t="shared" si="66"/>
        <v>0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71.136000000000095</v>
      </c>
      <c r="D83" s="11">
        <f t="shared" si="86"/>
        <v>19.955301551927505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703.16092426049374</v>
      </c>
      <c r="H83" s="67">
        <f t="shared" si="56"/>
        <v>451.98401686960722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0</v>
      </c>
      <c r="O83" s="13">
        <f>N83*VLOOKUP('Données projet'!$B$9,Paramètres!$A$1:$I$89,3,0)*VLOOKUP('Données projet'!$B$9,Paramètres!$A$1:$I$89,5,0)</f>
        <v>0</v>
      </c>
      <c r="P83" s="13" t="e">
        <f t="shared" si="87"/>
        <v>#NUM!</v>
      </c>
      <c r="Q83" s="20" t="e">
        <f t="shared" si="54"/>
        <v>#NUM!</v>
      </c>
      <c r="R83" s="59" t="e">
        <f t="shared" si="55"/>
        <v>#NUM!</v>
      </c>
      <c r="S83" s="59">
        <f ca="1">AVERAGE(OFFSET($R$3,0,0,'Données projet'!$E$9+1,1))-AVERAGE(OFFSET($H$3,0,0,'Données projet'!$E$9+1,1))</f>
        <v>72.647148358003676</v>
      </c>
      <c r="T83" s="59">
        <f t="shared" si="88"/>
        <v>87.231299224620898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0.47272477428097182</v>
      </c>
      <c r="AA83" s="21">
        <f>EXP(-LN(2)/25)*AA82+(1-EXP(-LN(2)/25))/(LN(2)/25)*Calculateur!V83*Calculateur!X83*VLOOKUP('Données projet'!$B$9,Paramètres!$A$1:$I$89,3,0)*0.475*44/12</f>
        <v>1.1327819869807882</v>
      </c>
      <c r="AB83" s="21">
        <f>EXP(-LN(2)/2)*AB82+(1-EXP(-LN(2)/2))/(LN(2)/2)*V83*Y83*VLOOKUP('Données projet'!$B$9,Paramètres!$A$1:$I$89,3,0)*0.475*44/12</f>
        <v>6.7976001389944114E-8</v>
      </c>
      <c r="AC83" s="22">
        <f t="shared" si="57"/>
        <v>1.6055068292377614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226</v>
      </c>
      <c r="AG83" s="12">
        <f>VLOOKUP(A83,'Données projet'!$A$61:$I$81,9,0)</f>
        <v>2.5</v>
      </c>
      <c r="AH83" s="12">
        <f t="array" ref="AH83">INDEX(AG:AG,MIN(IF(ISNUMBER(AG83:AG279),ROW(AG83:AG279),"")))</f>
        <v>2.5</v>
      </c>
      <c r="AI83" s="13">
        <f>IF('Données projet'!$A$62&gt;35,AI82+AH83-AQ82,IF(A83&lt;'Données projet'!$A$62,$AF$205^A83,IF(A83='Données projet'!$A$62,'Données projet'!$B$62,AI82+AH83-AQ82)))</f>
        <v>225.99999999999991</v>
      </c>
      <c r="AJ83" s="13">
        <f>AI83*VLOOKUP('Données projet'!$B$10,Paramètres!$A$1:$I$89,3,0)*VLOOKUP('Données projet'!$B$10,Paramètres!$A$1:$I$89,5,0)</f>
        <v>183.33119999999994</v>
      </c>
      <c r="AK83" s="13">
        <f t="shared" si="89"/>
        <v>46.062523974317784</v>
      </c>
      <c r="AL83" s="20">
        <f t="shared" si="58"/>
        <v>399.52740258860331</v>
      </c>
      <c r="AM83" s="59">
        <f t="shared" si="59"/>
        <v>692.86073592193657</v>
      </c>
      <c r="AN83" s="59">
        <f ca="1">AVERAGE(OFFSET($AM$3,0,0,'Données projet'!$E$10+1,1))-AVERAGE(OFFSET($H$3,0,0,'Données projet'!$E$10+1,1))</f>
        <v>145.3656871223958</v>
      </c>
      <c r="AO83" s="59">
        <f t="shared" si="90"/>
        <v>180.54762778843178</v>
      </c>
      <c r="AP83" s="15">
        <f>IF(ISNA(VLOOKUP(A83,'Données projet'!$A$61:$I$81,3,0)),0,VLOOKUP(A83,'Données projet'!$A$61:$I$81,3,0))</f>
        <v>7</v>
      </c>
      <c r="AQ83" s="15">
        <f>IF(ISNA(VLOOKUP(A83,'Données projet'!$A$61:$I$81,4,0)),0,VLOOKUP(A83,'Données projet'!$A$61:$I$81,4,0))</f>
        <v>226</v>
      </c>
      <c r="AR83" s="16">
        <f>IF(ISNA(VLOOKUP(A83,'Données projet'!$A$61:$I$81,5,0)),0%,VLOOKUP(A83,'Données projet'!$A$61:$I$81,5,0)*VLOOKUP('Données projet'!$B$10,Paramètres!$A$1:$I$89,7,0))</f>
        <v>0</v>
      </c>
      <c r="AS83" s="16">
        <f>IF(ISNA(VLOOKUP(A83,'Données projet'!$A$61:$I$81,6,0)),0%,VLOOKUP(A83,'Données projet'!$A$61:$I$81,6,0)*VLOOKUP('Données projet'!$B$10,Paramètres!$A$1:$I$89,7,0))</f>
        <v>0</v>
      </c>
      <c r="AT83" s="16">
        <f>IF(ISNA(VLOOKUP(A83,'Données projet'!$A$61:$I$81,7,0)),0%,VLOOKUP(A83,'Données projet'!$A$61:$I$81,7,0))</f>
        <v>0</v>
      </c>
      <c r="AU83" s="21">
        <f>EXP(-LN(2)/35)*AU82+(1-EXP(-LN(2)/35))/(LN(2)/35)*AQ83*AR83*VLOOKUP('Données projet'!$B$10,Paramètres!$A$1:$I$89,3,0)*0.475*44/12</f>
        <v>0</v>
      </c>
      <c r="AV83" s="21">
        <f>EXP(-LN(2)/25)*AV82+(1-EXP(-LN(2)/25))/(LN(2)/25)*Calculateur!AQ83*Calculateur!AS83*VLOOKUP('Données projet'!$B$10,Paramètres!$A$1:$I$89,3,0)*0.475*44/12</f>
        <v>1.3902772219645594</v>
      </c>
      <c r="AW83" s="21">
        <f>EXP(-LN(2)/2)*AW82+(1-EXP(-LN(2)/2))/(LN(2)/2)*AQ83*AT83*VLOOKUP('Données projet'!$B$10,Paramètres!$A$1:$I$89,3,0)*0.475*44/12</f>
        <v>2.4325121897728457E-7</v>
      </c>
      <c r="AX83" s="21">
        <f t="shared" si="60"/>
        <v>1.3902774652157783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>
        <f>VLOOKUP(A83,'Données projet'!$A$87:$I$107,2,0)</f>
        <v>206</v>
      </c>
      <c r="BB83" s="12">
        <f>VLOOKUP(A83,'Données projet'!$A$87:$I$107,9,0)</f>
        <v>4.8</v>
      </c>
      <c r="BC83" s="12">
        <f t="array" ref="BC83">INDEX(BB:BB,MIN(IF(ISNUMBER(BB83:BB279),ROW(BB83:BB279),"")))</f>
        <v>4.8</v>
      </c>
      <c r="BD83" s="12">
        <f>IF('Données projet'!$A$88&gt;35,BD82+BC83-BL82,IF(A83&lt;'Données projet'!$A$88,$BA$205^A83,IF(A83='Données projet'!$A$88,'Données projet'!$B$88,BD82+BC83-BL82)))</f>
        <v>205.99999999999997</v>
      </c>
      <c r="BE83" s="13">
        <f>BD83*VLOOKUP('Données projet'!$B$11,Paramètres!$A$1:$I$89,3,0)*VLOOKUP('Données projet'!$B$11,Paramètres!$A$1:$I$89,5,0)</f>
        <v>186.38879999999997</v>
      </c>
      <c r="BF83" s="13">
        <f t="shared" si="91"/>
        <v>46.740678346193498</v>
      </c>
      <c r="BG83" s="20">
        <f t="shared" si="61"/>
        <v>406.0338414529536</v>
      </c>
      <c r="BH83" s="59">
        <f t="shared" si="62"/>
        <v>699.36717478628691</v>
      </c>
      <c r="BI83" s="59">
        <f ca="1">AVERAGE(OFFSET($BH$3,0,0,'Données projet'!$E$11+1,1))-AVERAGE(OFFSET($H$3,0,0,'Données projet'!$E$11+1,1))</f>
        <v>138.8931001150624</v>
      </c>
      <c r="BJ83" s="59">
        <f t="shared" si="92"/>
        <v>48.964659354096625</v>
      </c>
      <c r="BK83" s="15">
        <f>IF(ISNA(VLOOKUP(A83,'Données projet'!$A$87:$I$107,3,0)),0,VLOOKUP(A83,'Données projet'!$A$87:$I$107,3,0))</f>
        <v>5</v>
      </c>
      <c r="BL83" s="21">
        <f>IF(ISNA(VLOOKUP(A83,'Données projet'!$A$87:$I$107,4,0)),0,VLOOKUP(A83,'Données projet'!$A$87:$I$107,4,0))</f>
        <v>28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>
        <f>EXP(-LN(2)/35)*BP82+(1-EXP(-LN(2)/35))/(LN(2)/35)*BL83*BM83*VLOOKUP('Données projet'!$B$11,Paramètres!$A$1:$I$89,3,0)*0.475*44/12</f>
        <v>0</v>
      </c>
      <c r="BQ83" s="21">
        <f>EXP(-LN(2)/25)*BQ82+(1-EXP(-LN(2)/25))/(LN(2)/25)*Calculateur!BL83*Calculateur!BN83*VLOOKUP('Données projet'!$B$11,Paramètres!$A$1:$I$89,3,0)*0.475*44/12</f>
        <v>0</v>
      </c>
      <c r="BR83" s="21">
        <f>EXP(-LN(2)/2)*BR82+(1-EXP(-LN(2)/2))/(LN(2)/2)*BL83*BO83*VLOOKUP('Données projet'!$B$11,Paramètres!$A$1:$I$89,3,0)*0.475*44/12</f>
        <v>0</v>
      </c>
      <c r="BS83" s="22">
        <f t="shared" si="63"/>
        <v>0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>
        <f>VLOOKUP(A83,'Données projet'!$A$113:$I$133,2,0)</f>
        <v>206</v>
      </c>
      <c r="BW83" s="12">
        <f>VLOOKUP(A83,'Données projet'!$A$113:$I$133,9,0)</f>
        <v>4.8</v>
      </c>
      <c r="BX83" s="12">
        <f t="array" ref="BX83">INDEX(BW:BW,MIN(IF(ISNUMBER(BW83:BW279),ROW(BW83:BW279),"")))</f>
        <v>4.8</v>
      </c>
      <c r="BY83" s="12">
        <f>IF('Données projet'!$A$114&gt;35,BY82+BX83-CG82,IF(A83&lt;'Données projet'!$A$114,$BV$205^A83,IF(A83='Données projet'!$A$114,'Données projet'!$B$114,BY82+BX83-CG82)))</f>
        <v>206.00000000000006</v>
      </c>
      <c r="BZ83" s="13">
        <f>BY83*VLOOKUP('Données projet'!$B$12,Paramètres!$A$1:$I$89,3,0)*VLOOKUP('Données projet'!$B$12,Paramètres!$A$1:$I$89,5,0)</f>
        <v>199.24320000000006</v>
      </c>
      <c r="CA83" s="13">
        <f t="shared" si="93"/>
        <v>49.577809310922277</v>
      </c>
      <c r="CB83" s="20">
        <f t="shared" si="64"/>
        <v>433.36325788318965</v>
      </c>
      <c r="CC83" s="59">
        <f t="shared" si="65"/>
        <v>726.69659121652296</v>
      </c>
      <c r="CD83" s="59">
        <f ca="1">AVERAGE(OFFSET($CC$3,0,0,'Données projet'!$E$12+1,1))-AVERAGE(OFFSET($H$3,0,0,'Données projet'!$E$12+1,1))</f>
        <v>154.93882427988234</v>
      </c>
      <c r="CE83" s="59">
        <f t="shared" si="94"/>
        <v>56.347130462109817</v>
      </c>
      <c r="CF83" s="15">
        <f>IF(ISNA(VLOOKUP(A83,'Données projet'!$A$113:$I$133,3,0)),0,VLOOKUP(A83,'Données projet'!$A$113:$I$133,3,0))</f>
        <v>5</v>
      </c>
      <c r="CG83" s="15">
        <f>IF(ISNA(VLOOKUP(A83,'Données projet'!$A$113:$I$133,4,0)),0,VLOOKUP(A83,'Données projet'!$A$113:$I$133,4,0))</f>
        <v>28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>
        <f>EXP(-LN(2)/35)*CK82+(1-EXP(-LN(2)/35))/(LN(2)/35)*CG83*CH83*VLOOKUP('Données projet'!$B$12,Paramètres!$A$1:$I$89,3,0)*0.475*44/12</f>
        <v>0</v>
      </c>
      <c r="CL83" s="21">
        <f>EXP(-LN(2)/25)*CL82+(1-EXP(-LN(2)/25))/(LN(2)/25)*Calculateur!CG83*Calculateur!CI83*VLOOKUP('Données projet'!$B$12,Paramètres!$A$1:$I$89,3,0)*0.475*44/12</f>
        <v>0</v>
      </c>
      <c r="CM83" s="21">
        <f>EXP(-LN(2)/2)*CM82+(1-EXP(-LN(2)/2))/(LN(2)/2)*CG83*CJ83*VLOOKUP('Données projet'!$B$12,Paramètres!$A$1:$I$89,3,0)*0.475*44/12</f>
        <v>0</v>
      </c>
      <c r="CN83" s="22">
        <f t="shared" si="66"/>
        <v>0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72.025200000000098</v>
      </c>
      <c r="D84" s="11">
        <f t="shared" si="86"/>
        <v>20.175548252960489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711.72507423337993</v>
      </c>
      <c r="H84" s="67">
        <f t="shared" si="56"/>
        <v>453.91630320723971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0</v>
      </c>
      <c r="O84" s="13">
        <f>N84*VLOOKUP('Données projet'!$B$9,Paramètres!$A$1:$I$89,3,0)*VLOOKUP('Données projet'!$B$9,Paramètres!$A$1:$I$89,5,0)</f>
        <v>0</v>
      </c>
      <c r="P84" s="13" t="e">
        <f t="shared" si="87"/>
        <v>#NUM!</v>
      </c>
      <c r="Q84" s="20" t="e">
        <f t="shared" si="54"/>
        <v>#NUM!</v>
      </c>
      <c r="R84" s="59" t="e">
        <f t="shared" si="55"/>
        <v>#NUM!</v>
      </c>
      <c r="S84" s="59">
        <f ca="1">AVERAGE(OFFSET($R$3,0,0,'Données projet'!$E$9+1,1))-AVERAGE(OFFSET($H$3,0,0,'Données projet'!$E$9+1,1))</f>
        <v>72.647148358003676</v>
      </c>
      <c r="T84" s="59">
        <f t="shared" si="88"/>
        <v>87.231299224620898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0.4634549297909637</v>
      </c>
      <c r="AA84" s="21">
        <f>EXP(-LN(2)/25)*AA83+(1-EXP(-LN(2)/25))/(LN(2)/25)*Calculateur!V84*Calculateur!X84*VLOOKUP('Données projet'!$B$9,Paramètres!$A$1:$I$89,3,0)*0.475*44/12</f>
        <v>1.1018060039763828</v>
      </c>
      <c r="AB84" s="21">
        <f>EXP(-LN(2)/2)*AB83+(1-EXP(-LN(2)/2))/(LN(2)/2)*V84*Y84*VLOOKUP('Données projet'!$B$9,Paramètres!$A$1:$I$89,3,0)*0.475*44/12</f>
        <v>4.8066291540775664E-8</v>
      </c>
      <c r="AC84" s="22">
        <f t="shared" si="57"/>
        <v>1.565260981833638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-8.5265128291212022E-14</v>
      </c>
      <c r="AJ84" s="13">
        <f>AI84*VLOOKUP('Données projet'!$B$10,Paramètres!$A$1:$I$89,3,0)*VLOOKUP('Données projet'!$B$10,Paramètres!$A$1:$I$89,5,0)</f>
        <v>-6.9167072069831198E-14</v>
      </c>
      <c r="AK84" s="13" t="e">
        <f t="shared" si="89"/>
        <v>#NUM!</v>
      </c>
      <c r="AL84" s="20" t="e">
        <f t="shared" si="58"/>
        <v>#NUM!</v>
      </c>
      <c r="AM84" s="59" t="e">
        <f t="shared" si="59"/>
        <v>#NUM!</v>
      </c>
      <c r="AN84" s="59">
        <f ca="1">AVERAGE(OFFSET($AM$3,0,0,'Données projet'!$E$10+1,1))-AVERAGE(OFFSET($H$3,0,0,'Données projet'!$E$10+1,1))</f>
        <v>145.3656871223958</v>
      </c>
      <c r="AO84" s="59">
        <f t="shared" si="90"/>
        <v>180.54762778843178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0</v>
      </c>
      <c r="AV84" s="21">
        <f>EXP(-LN(2)/25)*AV83+(1-EXP(-LN(2)/25))/(LN(2)/25)*Calculateur!AQ84*Calculateur!AS84*VLOOKUP('Données projet'!$B$10,Paramètres!$A$1:$I$89,3,0)*0.475*44/12</f>
        <v>1.352260018218437</v>
      </c>
      <c r="AW84" s="21">
        <f>EXP(-LN(2)/2)*AW83+(1-EXP(-LN(2)/2))/(LN(2)/2)*AQ84*AT84*VLOOKUP('Données projet'!$B$10,Paramètres!$A$1:$I$89,3,0)*0.475*44/12</f>
        <v>1.7200458647073172E-7</v>
      </c>
      <c r="AX84" s="21">
        <f t="shared" si="60"/>
        <v>1.3522601902230236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4.3</v>
      </c>
      <c r="BD84" s="12">
        <f>IF('Données projet'!$A$88&gt;35,BD83+BC84-BL83,IF(A84&lt;'Données projet'!$A$88,$BA$205^A84,IF(A84='Données projet'!$A$88,'Données projet'!$B$88,BD83+BC84-BL83)))</f>
        <v>182.29999999999998</v>
      </c>
      <c r="BE84" s="13">
        <f>BD84*VLOOKUP('Données projet'!$B$11,Paramètres!$A$1:$I$89,3,0)*VLOOKUP('Données projet'!$B$11,Paramètres!$A$1:$I$89,5,0)</f>
        <v>164.94503999999998</v>
      </c>
      <c r="BF84" s="13">
        <f t="shared" si="91"/>
        <v>41.955899409919233</v>
      </c>
      <c r="BG84" s="20">
        <f t="shared" si="61"/>
        <v>360.35246947227597</v>
      </c>
      <c r="BH84" s="59">
        <f t="shared" si="62"/>
        <v>653.68580280560923</v>
      </c>
      <c r="BI84" s="59">
        <f ca="1">AVERAGE(OFFSET($BH$3,0,0,'Données projet'!$E$11+1,1))-AVERAGE(OFFSET($H$3,0,0,'Données projet'!$E$11+1,1))</f>
        <v>138.8931001150624</v>
      </c>
      <c r="BJ84" s="59">
        <f t="shared" si="92"/>
        <v>48.964659354096625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>
        <f>EXP(-LN(2)/35)*BP83+(1-EXP(-LN(2)/35))/(LN(2)/35)*BL84*BM84*VLOOKUP('Données projet'!$B$11,Paramètres!$A$1:$I$89,3,0)*0.475*44/12</f>
        <v>0</v>
      </c>
      <c r="BQ84" s="21">
        <f>EXP(-LN(2)/25)*BQ83+(1-EXP(-LN(2)/25))/(LN(2)/25)*Calculateur!BL84*Calculateur!BN84*VLOOKUP('Données projet'!$B$11,Paramètres!$A$1:$I$89,3,0)*0.475*44/12</f>
        <v>0</v>
      </c>
      <c r="BR84" s="21">
        <f>EXP(-LN(2)/2)*BR83+(1-EXP(-LN(2)/2))/(LN(2)/2)*BL84*BO84*VLOOKUP('Données projet'!$B$11,Paramètres!$A$1:$I$89,3,0)*0.475*44/12</f>
        <v>0</v>
      </c>
      <c r="BS84" s="22">
        <f t="shared" si="63"/>
        <v>0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4.3</v>
      </c>
      <c r="BY84" s="12">
        <f>IF('Données projet'!$A$114&gt;35,BY83+BX84-CG83,IF(A84&lt;'Données projet'!$A$114,$BV$205^A84,IF(A84='Données projet'!$A$114,'Données projet'!$B$114,BY83+BX84-CG83)))</f>
        <v>182.30000000000007</v>
      </c>
      <c r="BZ84" s="13">
        <f>BY84*VLOOKUP('Données projet'!$B$12,Paramètres!$A$1:$I$89,3,0)*VLOOKUP('Données projet'!$B$12,Paramètres!$A$1:$I$89,5,0)</f>
        <v>176.32056000000006</v>
      </c>
      <c r="CA84" s="13">
        <f t="shared" si="93"/>
        <v>44.502597181125708</v>
      </c>
      <c r="CB84" s="20">
        <f t="shared" si="64"/>
        <v>384.60033209046077</v>
      </c>
      <c r="CC84" s="59">
        <f t="shared" si="65"/>
        <v>677.93366542379408</v>
      </c>
      <c r="CD84" s="59">
        <f ca="1">AVERAGE(OFFSET($CC$3,0,0,'Données projet'!$E$12+1,1))-AVERAGE(OFFSET($H$3,0,0,'Données projet'!$E$12+1,1))</f>
        <v>154.93882427988234</v>
      </c>
      <c r="CE84" s="59">
        <f t="shared" si="94"/>
        <v>56.347130462109817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>
        <f>EXP(-LN(2)/35)*CK83+(1-EXP(-LN(2)/35))/(LN(2)/35)*CG84*CH84*VLOOKUP('Données projet'!$B$12,Paramètres!$A$1:$I$89,3,0)*0.475*44/12</f>
        <v>0</v>
      </c>
      <c r="CL84" s="21">
        <f>EXP(-LN(2)/25)*CL83+(1-EXP(-LN(2)/25))/(LN(2)/25)*Calculateur!CG84*Calculateur!CI84*VLOOKUP('Données projet'!$B$12,Paramètres!$A$1:$I$89,3,0)*0.475*44/12</f>
        <v>0</v>
      </c>
      <c r="CM84" s="21">
        <f>EXP(-LN(2)/2)*CM83+(1-EXP(-LN(2)/2))/(LN(2)/2)*CG84*CJ84*VLOOKUP('Données projet'!$B$12,Paramètres!$A$1:$I$89,3,0)*0.475*44/12</f>
        <v>0</v>
      </c>
      <c r="CN84" s="22">
        <f t="shared" si="66"/>
        <v>0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72.9144000000001</v>
      </c>
      <c r="D85" s="11">
        <f t="shared" si="86"/>
        <v>20.395478670134686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720.28678271683009</v>
      </c>
      <c r="H85" s="67">
        <f t="shared" si="56"/>
        <v>455.84803868381812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0</v>
      </c>
      <c r="O85" s="13">
        <f>N85*VLOOKUP('Données projet'!$B$9,Paramètres!$A$1:$I$89,3,0)*VLOOKUP('Données projet'!$B$9,Paramètres!$A$1:$I$89,5,0)</f>
        <v>0</v>
      </c>
      <c r="P85" s="13" t="e">
        <f t="shared" si="87"/>
        <v>#NUM!</v>
      </c>
      <c r="Q85" s="20" t="e">
        <f t="shared" si="54"/>
        <v>#NUM!</v>
      </c>
      <c r="R85" s="59" t="e">
        <f t="shared" si="55"/>
        <v>#NUM!</v>
      </c>
      <c r="S85" s="59">
        <f ca="1">AVERAGE(OFFSET($R$3,0,0,'Données projet'!$E$9+1,1))-AVERAGE(OFFSET($H$3,0,0,'Données projet'!$E$9+1,1))</f>
        <v>72.647148358003676</v>
      </c>
      <c r="T85" s="59">
        <f t="shared" si="88"/>
        <v>87.231299224620898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0.45436686129735776</v>
      </c>
      <c r="AA85" s="21">
        <f>EXP(-LN(2)/25)*AA84+(1-EXP(-LN(2)/25))/(LN(2)/25)*Calculateur!V85*Calculateur!X85*VLOOKUP('Données projet'!$B$9,Paramètres!$A$1:$I$89,3,0)*0.475*44/12</f>
        <v>1.0716770608561892</v>
      </c>
      <c r="AB85" s="21">
        <f>EXP(-LN(2)/2)*AB84+(1-EXP(-LN(2)/2))/(LN(2)/2)*V85*Y85*VLOOKUP('Données projet'!$B$9,Paramètres!$A$1:$I$89,3,0)*0.475*44/12</f>
        <v>3.3988000694972057E-8</v>
      </c>
      <c r="AC85" s="22">
        <f t="shared" si="57"/>
        <v>1.5260439561415475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-8.5265128291212022E-14</v>
      </c>
      <c r="AJ85" s="13">
        <f>AI85*VLOOKUP('Données projet'!$B$10,Paramètres!$A$1:$I$89,3,0)*VLOOKUP('Données projet'!$B$10,Paramètres!$A$1:$I$89,5,0)</f>
        <v>-6.9167072069831198E-14</v>
      </c>
      <c r="AK85" s="13" t="e">
        <f t="shared" si="89"/>
        <v>#NUM!</v>
      </c>
      <c r="AL85" s="20" t="e">
        <f t="shared" si="58"/>
        <v>#NUM!</v>
      </c>
      <c r="AM85" s="59" t="e">
        <f t="shared" si="59"/>
        <v>#NUM!</v>
      </c>
      <c r="AN85" s="59">
        <f ca="1">AVERAGE(OFFSET($AM$3,0,0,'Données projet'!$E$10+1,1))-AVERAGE(OFFSET($H$3,0,0,'Données projet'!$E$10+1,1))</f>
        <v>145.3656871223958</v>
      </c>
      <c r="AO85" s="59">
        <f t="shared" si="90"/>
        <v>180.54762778843178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0</v>
      </c>
      <c r="AV85" s="21">
        <f>EXP(-LN(2)/25)*AV84+(1-EXP(-LN(2)/25))/(LN(2)/25)*Calculateur!AQ85*Calculateur!AS85*VLOOKUP('Données projet'!$B$10,Paramètres!$A$1:$I$89,3,0)*0.475*44/12</f>
        <v>1.3152823969079901</v>
      </c>
      <c r="AW85" s="21">
        <f>EXP(-LN(2)/2)*AW84+(1-EXP(-LN(2)/2))/(LN(2)/2)*AQ85*AT85*VLOOKUP('Données projet'!$B$10,Paramètres!$A$1:$I$89,3,0)*0.475*44/12</f>
        <v>1.2162560948864229E-7</v>
      </c>
      <c r="AX85" s="21">
        <f t="shared" si="60"/>
        <v>1.3152825185335997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4.3</v>
      </c>
      <c r="BD85" s="12">
        <f>IF('Données projet'!$A$88&gt;35,BD84+BC85-BL84,IF(A85&lt;'Données projet'!$A$88,$BA$205^A85,IF(A85='Données projet'!$A$88,'Données projet'!$B$88,BD84+BC85-BL84)))</f>
        <v>186.6</v>
      </c>
      <c r="BE85" s="13">
        <f>BD85*VLOOKUP('Données projet'!$B$11,Paramètres!$A$1:$I$89,3,0)*VLOOKUP('Données projet'!$B$11,Paramètres!$A$1:$I$89,5,0)</f>
        <v>168.83568</v>
      </c>
      <c r="BF85" s="13">
        <f t="shared" si="91"/>
        <v>42.829150426593394</v>
      </c>
      <c r="BG85" s="20">
        <f t="shared" si="61"/>
        <v>368.6495796596501</v>
      </c>
      <c r="BH85" s="59">
        <f t="shared" si="62"/>
        <v>661.98291299298342</v>
      </c>
      <c r="BI85" s="59">
        <f ca="1">AVERAGE(OFFSET($BH$3,0,0,'Données projet'!$E$11+1,1))-AVERAGE(OFFSET($H$3,0,0,'Données projet'!$E$11+1,1))</f>
        <v>138.8931001150624</v>
      </c>
      <c r="BJ85" s="59">
        <f t="shared" si="92"/>
        <v>48.964659354096625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>
        <f>EXP(-LN(2)/35)*BP84+(1-EXP(-LN(2)/35))/(LN(2)/35)*BL85*BM85*VLOOKUP('Données projet'!$B$11,Paramètres!$A$1:$I$89,3,0)*0.475*44/12</f>
        <v>0</v>
      </c>
      <c r="BQ85" s="21">
        <f>EXP(-LN(2)/25)*BQ84+(1-EXP(-LN(2)/25))/(LN(2)/25)*Calculateur!BL85*Calculateur!BN85*VLOOKUP('Données projet'!$B$11,Paramètres!$A$1:$I$89,3,0)*0.475*44/12</f>
        <v>0</v>
      </c>
      <c r="BR85" s="21">
        <f>EXP(-LN(2)/2)*BR84+(1-EXP(-LN(2)/2))/(LN(2)/2)*BL85*BO85*VLOOKUP('Données projet'!$B$11,Paramètres!$A$1:$I$89,3,0)*0.475*44/12</f>
        <v>0</v>
      </c>
      <c r="BS85" s="22">
        <f t="shared" si="63"/>
        <v>0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4.3</v>
      </c>
      <c r="BY85" s="12">
        <f>IF('Données projet'!$A$114&gt;35,BY84+BX85-CG84,IF(A85&lt;'Données projet'!$A$114,$BV$205^A85,IF(A85='Données projet'!$A$114,'Données projet'!$B$114,BY84+BX85-CG84)))</f>
        <v>186.60000000000008</v>
      </c>
      <c r="BZ85" s="13">
        <f>BY85*VLOOKUP('Données projet'!$B$12,Paramètres!$A$1:$I$89,3,0)*VLOOKUP('Données projet'!$B$12,Paramètres!$A$1:$I$89,5,0)</f>
        <v>180.47952000000009</v>
      </c>
      <c r="CA85" s="13">
        <f t="shared" si="93"/>
        <v>45.428854007451079</v>
      </c>
      <c r="CB85" s="20">
        <f t="shared" si="64"/>
        <v>393.45708472964412</v>
      </c>
      <c r="CC85" s="59">
        <f t="shared" si="65"/>
        <v>686.79041806297744</v>
      </c>
      <c r="CD85" s="59">
        <f ca="1">AVERAGE(OFFSET($CC$3,0,0,'Données projet'!$E$12+1,1))-AVERAGE(OFFSET($H$3,0,0,'Données projet'!$E$12+1,1))</f>
        <v>154.93882427988234</v>
      </c>
      <c r="CE85" s="59">
        <f t="shared" si="94"/>
        <v>56.347130462109817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>
        <f>EXP(-LN(2)/35)*CK84+(1-EXP(-LN(2)/35))/(LN(2)/35)*CG85*CH85*VLOOKUP('Données projet'!$B$12,Paramètres!$A$1:$I$89,3,0)*0.475*44/12</f>
        <v>0</v>
      </c>
      <c r="CL85" s="21">
        <f>EXP(-LN(2)/25)*CL84+(1-EXP(-LN(2)/25))/(LN(2)/25)*Calculateur!CG85*Calculateur!CI85*VLOOKUP('Données projet'!$B$12,Paramètres!$A$1:$I$89,3,0)*0.475*44/12</f>
        <v>0</v>
      </c>
      <c r="CM85" s="21">
        <f>EXP(-LN(2)/2)*CM84+(1-EXP(-LN(2)/2))/(LN(2)/2)*CG85*CJ85*VLOOKUP('Données projet'!$B$12,Paramètres!$A$1:$I$89,3,0)*0.475*44/12</f>
        <v>0</v>
      </c>
      <c r="CN85" s="22">
        <f t="shared" si="66"/>
        <v>0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73.803600000000102</v>
      </c>
      <c r="D86" s="11">
        <f t="shared" si="86"/>
        <v>20.615097106698798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728.8460829289038</v>
      </c>
      <c r="H86" s="67">
        <f t="shared" si="56"/>
        <v>457.77923079416723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0</v>
      </c>
      <c r="O86" s="13">
        <f>N86*VLOOKUP('Données projet'!$B$9,Paramètres!$A$1:$I$89,3,0)*VLOOKUP('Données projet'!$B$9,Paramètres!$A$1:$I$89,5,0)</f>
        <v>0</v>
      </c>
      <c r="P86" s="13" t="e">
        <f t="shared" si="87"/>
        <v>#NUM!</v>
      </c>
      <c r="Q86" s="20" t="e">
        <f t="shared" si="54"/>
        <v>#NUM!</v>
      </c>
      <c r="R86" s="59" t="e">
        <f t="shared" si="55"/>
        <v>#NUM!</v>
      </c>
      <c r="S86" s="59">
        <f ca="1">AVERAGE(OFFSET($R$3,0,0,'Données projet'!$E$9+1,1))-AVERAGE(OFFSET($H$3,0,0,'Données projet'!$E$9+1,1))</f>
        <v>72.647148358003676</v>
      </c>
      <c r="T86" s="59">
        <f t="shared" si="88"/>
        <v>87.231299224620898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0.44545700428373702</v>
      </c>
      <c r="AA86" s="21">
        <f>EXP(-LN(2)/25)*AA85+(1-EXP(-LN(2)/25))/(LN(2)/25)*Calculateur!V86*Calculateur!X86*VLOOKUP('Données projet'!$B$9,Paramètres!$A$1:$I$89,3,0)*0.475*44/12</f>
        <v>1.0423719952700294</v>
      </c>
      <c r="AB86" s="21">
        <f>EXP(-LN(2)/2)*AB85+(1-EXP(-LN(2)/2))/(LN(2)/2)*V86*Y86*VLOOKUP('Données projet'!$B$9,Paramètres!$A$1:$I$89,3,0)*0.475*44/12</f>
        <v>2.4033145770387832E-8</v>
      </c>
      <c r="AC86" s="22">
        <f t="shared" si="57"/>
        <v>1.487829023586912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-8.5265128291212022E-14</v>
      </c>
      <c r="AJ86" s="13">
        <f>AI86*VLOOKUP('Données projet'!$B$10,Paramètres!$A$1:$I$89,3,0)*VLOOKUP('Données projet'!$B$10,Paramètres!$A$1:$I$89,5,0)</f>
        <v>-6.9167072069831198E-14</v>
      </c>
      <c r="AK86" s="13" t="e">
        <f t="shared" si="89"/>
        <v>#NUM!</v>
      </c>
      <c r="AL86" s="20" t="e">
        <f t="shared" si="58"/>
        <v>#NUM!</v>
      </c>
      <c r="AM86" s="59" t="e">
        <f t="shared" si="59"/>
        <v>#NUM!</v>
      </c>
      <c r="AN86" s="59">
        <f ca="1">AVERAGE(OFFSET($AM$3,0,0,'Données projet'!$E$10+1,1))-AVERAGE(OFFSET($H$3,0,0,'Données projet'!$E$10+1,1))</f>
        <v>145.3656871223958</v>
      </c>
      <c r="AO86" s="59">
        <f t="shared" si="90"/>
        <v>180.54762778843178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0</v>
      </c>
      <c r="AV86" s="21">
        <f>EXP(-LN(2)/25)*AV85+(1-EXP(-LN(2)/25))/(LN(2)/25)*Calculateur!AQ86*Calculateur!AS86*VLOOKUP('Données projet'!$B$10,Paramètres!$A$1:$I$89,3,0)*0.475*44/12</f>
        <v>1.279315930596846</v>
      </c>
      <c r="AW86" s="21">
        <f>EXP(-LN(2)/2)*AW85+(1-EXP(-LN(2)/2))/(LN(2)/2)*AQ86*AT86*VLOOKUP('Données projet'!$B$10,Paramètres!$A$1:$I$89,3,0)*0.475*44/12</f>
        <v>8.6002293235365861E-8</v>
      </c>
      <c r="AX86" s="21">
        <f t="shared" si="60"/>
        <v>1.2793160165991393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4.3</v>
      </c>
      <c r="BD86" s="12">
        <f>IF('Données projet'!$A$88&gt;35,BD85+BC86-BL85,IF(A86&lt;'Données projet'!$A$88,$BA$205^A86,IF(A86='Données projet'!$A$88,'Données projet'!$B$88,BD85+BC86-BL85)))</f>
        <v>190.9</v>
      </c>
      <c r="BE86" s="13">
        <f>BD86*VLOOKUP('Données projet'!$B$11,Paramètres!$A$1:$I$89,3,0)*VLOOKUP('Données projet'!$B$11,Paramètres!$A$1:$I$89,5,0)</f>
        <v>172.72631999999999</v>
      </c>
      <c r="BF86" s="13">
        <f t="shared" si="91"/>
        <v>43.700062028669137</v>
      </c>
      <c r="BG86" s="20">
        <f t="shared" si="61"/>
        <v>376.94261536659877</v>
      </c>
      <c r="BH86" s="59">
        <f t="shared" si="62"/>
        <v>670.27594869993209</v>
      </c>
      <c r="BI86" s="59">
        <f ca="1">AVERAGE(OFFSET($BH$3,0,0,'Données projet'!$E$11+1,1))-AVERAGE(OFFSET($H$3,0,0,'Données projet'!$E$11+1,1))</f>
        <v>138.8931001150624</v>
      </c>
      <c r="BJ86" s="59">
        <f t="shared" si="92"/>
        <v>48.964659354096625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>
        <f>EXP(-LN(2)/35)*BP85+(1-EXP(-LN(2)/35))/(LN(2)/35)*BL86*BM86*VLOOKUP('Données projet'!$B$11,Paramètres!$A$1:$I$89,3,0)*0.475*44/12</f>
        <v>0</v>
      </c>
      <c r="BQ86" s="21">
        <f>EXP(-LN(2)/25)*BQ85+(1-EXP(-LN(2)/25))/(LN(2)/25)*Calculateur!BL86*Calculateur!BN86*VLOOKUP('Données projet'!$B$11,Paramètres!$A$1:$I$89,3,0)*0.475*44/12</f>
        <v>0</v>
      </c>
      <c r="BR86" s="21">
        <f>EXP(-LN(2)/2)*BR85+(1-EXP(-LN(2)/2))/(LN(2)/2)*BL86*BO86*VLOOKUP('Données projet'!$B$11,Paramètres!$A$1:$I$89,3,0)*0.475*44/12</f>
        <v>0</v>
      </c>
      <c r="BS86" s="22">
        <f t="shared" si="63"/>
        <v>0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4.3</v>
      </c>
      <c r="BY86" s="12">
        <f>IF('Données projet'!$A$114&gt;35,BY85+BX86-CG85,IF(A86&lt;'Données projet'!$A$114,$BV$205^A86,IF(A86='Données projet'!$A$114,'Données projet'!$B$114,BY85+BX86-CG85)))</f>
        <v>190.90000000000009</v>
      </c>
      <c r="BZ86" s="13">
        <f>BY86*VLOOKUP('Données projet'!$B$12,Paramètres!$A$1:$I$89,3,0)*VLOOKUP('Données projet'!$B$12,Paramètres!$A$1:$I$89,5,0)</f>
        <v>184.6384800000001</v>
      </c>
      <c r="CA86" s="13">
        <f t="shared" si="93"/>
        <v>46.352629418123904</v>
      </c>
      <c r="CB86" s="20">
        <f t="shared" si="64"/>
        <v>402.3095155698993</v>
      </c>
      <c r="CC86" s="59">
        <f t="shared" si="65"/>
        <v>695.64284890323256</v>
      </c>
      <c r="CD86" s="59">
        <f ca="1">AVERAGE(OFFSET($CC$3,0,0,'Données projet'!$E$12+1,1))-AVERAGE(OFFSET($H$3,0,0,'Données projet'!$E$12+1,1))</f>
        <v>154.93882427988234</v>
      </c>
      <c r="CE86" s="59">
        <f t="shared" si="94"/>
        <v>56.347130462109817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>
        <f>EXP(-LN(2)/35)*CK85+(1-EXP(-LN(2)/35))/(LN(2)/35)*CG86*CH86*VLOOKUP('Données projet'!$B$12,Paramètres!$A$1:$I$89,3,0)*0.475*44/12</f>
        <v>0</v>
      </c>
      <c r="CL86" s="21">
        <f>EXP(-LN(2)/25)*CL85+(1-EXP(-LN(2)/25))/(LN(2)/25)*Calculateur!CG86*Calculateur!CI86*VLOOKUP('Données projet'!$B$12,Paramètres!$A$1:$I$89,3,0)*0.475*44/12</f>
        <v>0</v>
      </c>
      <c r="CM86" s="21">
        <f>EXP(-LN(2)/2)*CM85+(1-EXP(-LN(2)/2))/(LN(2)/2)*CG86*CJ86*VLOOKUP('Données projet'!$B$12,Paramètres!$A$1:$I$89,3,0)*0.475*44/12</f>
        <v>0</v>
      </c>
      <c r="CN86" s="22">
        <f t="shared" si="66"/>
        <v>0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74.692800000000105</v>
      </c>
      <c r="D87" s="11">
        <f t="shared" si="86"/>
        <v>20.834407756242857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737.40300724117378</v>
      </c>
      <c r="H87" s="67">
        <f t="shared" si="56"/>
        <v>459.70988684212313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0</v>
      </c>
      <c r="O87" s="13">
        <f>N87*VLOOKUP('Données projet'!$B$9,Paramètres!$A$1:$I$89,3,0)*VLOOKUP('Données projet'!$B$9,Paramètres!$A$1:$I$89,5,0)</f>
        <v>0</v>
      </c>
      <c r="P87" s="13" t="e">
        <f t="shared" si="87"/>
        <v>#NUM!</v>
      </c>
      <c r="Q87" s="20" t="e">
        <f t="shared" si="54"/>
        <v>#NUM!</v>
      </c>
      <c r="R87" s="59" t="e">
        <f t="shared" si="55"/>
        <v>#NUM!</v>
      </c>
      <c r="S87" s="59">
        <f ca="1">AVERAGE(OFFSET($R$3,0,0,'Données projet'!$E$9+1,1))-AVERAGE(OFFSET($H$3,0,0,'Données projet'!$E$9+1,1))</f>
        <v>72.647148358003676</v>
      </c>
      <c r="T87" s="59">
        <f t="shared" si="88"/>
        <v>87.231299224620898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0.43672186413167724</v>
      </c>
      <c r="AA87" s="21">
        <f>EXP(-LN(2)/25)*AA86+(1-EXP(-LN(2)/25))/(LN(2)/25)*Calculateur!V87*Calculateur!X87*VLOOKUP('Données projet'!$B$9,Paramètres!$A$1:$I$89,3,0)*0.475*44/12</f>
        <v>1.0138682782434096</v>
      </c>
      <c r="AB87" s="21">
        <f>EXP(-LN(2)/2)*AB86+(1-EXP(-LN(2)/2))/(LN(2)/2)*V87*Y87*VLOOKUP('Données projet'!$B$9,Paramètres!$A$1:$I$89,3,0)*0.475*44/12</f>
        <v>1.6994000347486028E-8</v>
      </c>
      <c r="AC87" s="22">
        <f t="shared" si="57"/>
        <v>1.4505901593690873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-8.5265128291212022E-14</v>
      </c>
      <c r="AJ87" s="13">
        <f>AI87*VLOOKUP('Données projet'!$B$10,Paramètres!$A$1:$I$89,3,0)*VLOOKUP('Données projet'!$B$10,Paramètres!$A$1:$I$89,5,0)</f>
        <v>-6.9167072069831198E-14</v>
      </c>
      <c r="AK87" s="13" t="e">
        <f t="shared" si="89"/>
        <v>#NUM!</v>
      </c>
      <c r="AL87" s="20" t="e">
        <f t="shared" si="58"/>
        <v>#NUM!</v>
      </c>
      <c r="AM87" s="59" t="e">
        <f t="shared" si="59"/>
        <v>#NUM!</v>
      </c>
      <c r="AN87" s="59">
        <f ca="1">AVERAGE(OFFSET($AM$3,0,0,'Données projet'!$E$10+1,1))-AVERAGE(OFFSET($H$3,0,0,'Données projet'!$E$10+1,1))</f>
        <v>145.3656871223958</v>
      </c>
      <c r="AO87" s="59">
        <f t="shared" si="90"/>
        <v>180.54762778843178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0</v>
      </c>
      <c r="AV87" s="21">
        <f>EXP(-LN(2)/25)*AV86+(1-EXP(-LN(2)/25))/(LN(2)/25)*Calculateur!AQ87*Calculateur!AS87*VLOOKUP('Données projet'!$B$10,Paramètres!$A$1:$I$89,3,0)*0.475*44/12</f>
        <v>1.2443329691983744</v>
      </c>
      <c r="AW87" s="21">
        <f>EXP(-LN(2)/2)*AW86+(1-EXP(-LN(2)/2))/(LN(2)/2)*AQ87*AT87*VLOOKUP('Données projet'!$B$10,Paramètres!$A$1:$I$89,3,0)*0.475*44/12</f>
        <v>6.0812804744321144E-8</v>
      </c>
      <c r="AX87" s="21">
        <f t="shared" si="60"/>
        <v>1.2443330300111792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4.3</v>
      </c>
      <c r="BD87" s="12">
        <f>IF('Données projet'!$A$88&gt;35,BD86+BC87-BL86,IF(A87&lt;'Données projet'!$A$88,$BA$205^A87,IF(A87='Données projet'!$A$88,'Données projet'!$B$88,BD86+BC87-BL86)))</f>
        <v>195.20000000000002</v>
      </c>
      <c r="BE87" s="13">
        <f>BD87*VLOOKUP('Données projet'!$B$11,Paramètres!$A$1:$I$89,3,0)*VLOOKUP('Données projet'!$B$11,Paramètres!$A$1:$I$89,5,0)</f>
        <v>176.61696000000001</v>
      </c>
      <c r="BF87" s="13">
        <f t="shared" si="91"/>
        <v>44.56869297787356</v>
      </c>
      <c r="BG87" s="20">
        <f t="shared" si="61"/>
        <v>385.23167893646314</v>
      </c>
      <c r="BH87" s="59">
        <f t="shared" si="62"/>
        <v>678.5650122697964</v>
      </c>
      <c r="BI87" s="59">
        <f ca="1">AVERAGE(OFFSET($BH$3,0,0,'Données projet'!$E$11+1,1))-AVERAGE(OFFSET($H$3,0,0,'Données projet'!$E$11+1,1))</f>
        <v>138.8931001150624</v>
      </c>
      <c r="BJ87" s="59">
        <f t="shared" si="92"/>
        <v>48.964659354096625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>
        <f>EXP(-LN(2)/35)*BP86+(1-EXP(-LN(2)/35))/(LN(2)/35)*BL87*BM87*VLOOKUP('Données projet'!$B$11,Paramètres!$A$1:$I$89,3,0)*0.475*44/12</f>
        <v>0</v>
      </c>
      <c r="BQ87" s="21">
        <f>EXP(-LN(2)/25)*BQ86+(1-EXP(-LN(2)/25))/(LN(2)/25)*Calculateur!BL87*Calculateur!BN87*VLOOKUP('Données projet'!$B$11,Paramètres!$A$1:$I$89,3,0)*0.475*44/12</f>
        <v>0</v>
      </c>
      <c r="BR87" s="21">
        <f>EXP(-LN(2)/2)*BR86+(1-EXP(-LN(2)/2))/(LN(2)/2)*BL87*BO87*VLOOKUP('Données projet'!$B$11,Paramètres!$A$1:$I$89,3,0)*0.475*44/12</f>
        <v>0</v>
      </c>
      <c r="BS87" s="22">
        <f t="shared" si="63"/>
        <v>0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4.3</v>
      </c>
      <c r="BY87" s="12">
        <f>IF('Données projet'!$A$114&gt;35,BY86+BX87-CG86,IF(A87&lt;'Données projet'!$A$114,$BV$205^A87,IF(A87='Données projet'!$A$114,'Données projet'!$B$114,BY86+BX87-CG86)))</f>
        <v>195.2000000000001</v>
      </c>
      <c r="BZ87" s="13">
        <f>BY87*VLOOKUP('Données projet'!$B$12,Paramètres!$A$1:$I$89,3,0)*VLOOKUP('Données projet'!$B$12,Paramètres!$A$1:$I$89,5,0)</f>
        <v>188.79744000000011</v>
      </c>
      <c r="CA87" s="13">
        <f t="shared" si="93"/>
        <v>47.27398574167259</v>
      </c>
      <c r="CB87" s="20">
        <f t="shared" si="64"/>
        <v>411.1577331667466</v>
      </c>
      <c r="CC87" s="59">
        <f t="shared" si="65"/>
        <v>704.49106650007991</v>
      </c>
      <c r="CD87" s="59">
        <f ca="1">AVERAGE(OFFSET($CC$3,0,0,'Données projet'!$E$12+1,1))-AVERAGE(OFFSET($H$3,0,0,'Données projet'!$E$12+1,1))</f>
        <v>154.93882427988234</v>
      </c>
      <c r="CE87" s="59">
        <f t="shared" si="94"/>
        <v>56.347130462109817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>
        <f>EXP(-LN(2)/35)*CK86+(1-EXP(-LN(2)/35))/(LN(2)/35)*CG87*CH87*VLOOKUP('Données projet'!$B$12,Paramètres!$A$1:$I$89,3,0)*0.475*44/12</f>
        <v>0</v>
      </c>
      <c r="CL87" s="21">
        <f>EXP(-LN(2)/25)*CL86+(1-EXP(-LN(2)/25))/(LN(2)/25)*Calculateur!CG87*Calculateur!CI87*VLOOKUP('Données projet'!$B$12,Paramètres!$A$1:$I$89,3,0)*0.475*44/12</f>
        <v>0</v>
      </c>
      <c r="CM87" s="21">
        <f>EXP(-LN(2)/2)*CM86+(1-EXP(-LN(2)/2))/(LN(2)/2)*CG87*CJ87*VLOOKUP('Données projet'!$B$12,Paramètres!$A$1:$I$89,3,0)*0.475*44/12</f>
        <v>0</v>
      </c>
      <c r="CN87" s="22">
        <f t="shared" si="66"/>
        <v>0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75.582000000000107</v>
      </c>
      <c r="D88" s="11">
        <f t="shared" si="86"/>
        <v>21.053414706764155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745.95758721011009</v>
      </c>
      <c r="H88" s="67">
        <f t="shared" si="56"/>
        <v>461.64001394761442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0</v>
      </c>
      <c r="O88" s="13">
        <f>N88*VLOOKUP('Données projet'!$B$9,Paramètres!$A$1:$I$89,3,0)*VLOOKUP('Données projet'!$B$9,Paramètres!$A$1:$I$89,5,0)</f>
        <v>0</v>
      </c>
      <c r="P88" s="13" t="e">
        <f t="shared" si="87"/>
        <v>#NUM!</v>
      </c>
      <c r="Q88" s="20" t="e">
        <f t="shared" si="54"/>
        <v>#NUM!</v>
      </c>
      <c r="R88" s="59" t="e">
        <f t="shared" si="55"/>
        <v>#NUM!</v>
      </c>
      <c r="S88" s="59">
        <f ca="1">AVERAGE(OFFSET($R$3,0,0,'Données projet'!$E$9+1,1))-AVERAGE(OFFSET($H$3,0,0,'Données projet'!$E$9+1,1))</f>
        <v>72.647148358003676</v>
      </c>
      <c r="T88" s="59">
        <f t="shared" si="88"/>
        <v>87.231299224620898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0.42815801475008991</v>
      </c>
      <c r="AA88" s="21">
        <f>EXP(-LN(2)/25)*AA87+(1-EXP(-LN(2)/25))/(LN(2)/25)*Calculateur!V88*Calculateur!X88*VLOOKUP('Données projet'!$B$9,Paramètres!$A$1:$I$89,3,0)*0.475*44/12</f>
        <v>0.98614399685782805</v>
      </c>
      <c r="AB88" s="21">
        <f>EXP(-LN(2)/2)*AB87+(1-EXP(-LN(2)/2))/(LN(2)/2)*V88*Y88*VLOOKUP('Données projet'!$B$9,Paramètres!$A$1:$I$89,3,0)*0.475*44/12</f>
        <v>1.2016572885193916E-8</v>
      </c>
      <c r="AC88" s="22">
        <f t="shared" si="57"/>
        <v>1.4143020236244908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-8.5265128291212022E-14</v>
      </c>
      <c r="AJ88" s="13">
        <f>AI88*VLOOKUP('Données projet'!$B$10,Paramètres!$A$1:$I$89,3,0)*VLOOKUP('Données projet'!$B$10,Paramètres!$A$1:$I$89,5,0)</f>
        <v>-6.9167072069831198E-14</v>
      </c>
      <c r="AK88" s="13" t="e">
        <f t="shared" si="89"/>
        <v>#NUM!</v>
      </c>
      <c r="AL88" s="20" t="e">
        <f t="shared" si="58"/>
        <v>#NUM!</v>
      </c>
      <c r="AM88" s="59" t="e">
        <f t="shared" si="59"/>
        <v>#NUM!</v>
      </c>
      <c r="AN88" s="59">
        <f ca="1">AVERAGE(OFFSET($AM$3,0,0,'Données projet'!$E$10+1,1))-AVERAGE(OFFSET($H$3,0,0,'Données projet'!$E$10+1,1))</f>
        <v>145.3656871223958</v>
      </c>
      <c r="AO88" s="59">
        <f t="shared" si="90"/>
        <v>180.54762778843178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0</v>
      </c>
      <c r="AV88" s="21">
        <f>EXP(-LN(2)/25)*AV87+(1-EXP(-LN(2)/25))/(LN(2)/25)*Calculateur!AQ88*Calculateur!AS88*VLOOKUP('Données projet'!$B$10,Paramètres!$A$1:$I$89,3,0)*0.475*44/12</f>
        <v>1.2103066187190179</v>
      </c>
      <c r="AW88" s="21">
        <f>EXP(-LN(2)/2)*AW87+(1-EXP(-LN(2)/2))/(LN(2)/2)*AQ88*AT88*VLOOKUP('Données projet'!$B$10,Paramètres!$A$1:$I$89,3,0)*0.475*44/12</f>
        <v>4.3001146617682931E-8</v>
      </c>
      <c r="AX88" s="21">
        <f t="shared" si="60"/>
        <v>1.2103066617201645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4.3</v>
      </c>
      <c r="BD88" s="12">
        <f>IF('Données projet'!$A$88&gt;35,BD87+BC88-BL87,IF(A88&lt;'Données projet'!$A$88,$BA$205^A88,IF(A88='Données projet'!$A$88,'Données projet'!$B$88,BD87+BC88-BL87)))</f>
        <v>199.50000000000003</v>
      </c>
      <c r="BE88" s="13">
        <f>BD88*VLOOKUP('Données projet'!$B$11,Paramètres!$A$1:$I$89,3,0)*VLOOKUP('Données projet'!$B$11,Paramètres!$A$1:$I$89,5,0)</f>
        <v>180.50760000000002</v>
      </c>
      <c r="BF88" s="13">
        <f t="shared" si="91"/>
        <v>45.435099299216873</v>
      </c>
      <c r="BG88" s="20">
        <f t="shared" si="61"/>
        <v>393.51686794613602</v>
      </c>
      <c r="BH88" s="59">
        <f t="shared" si="62"/>
        <v>686.85020127946927</v>
      </c>
      <c r="BI88" s="59">
        <f ca="1">AVERAGE(OFFSET($BH$3,0,0,'Données projet'!$E$11+1,1))-AVERAGE(OFFSET($H$3,0,0,'Données projet'!$E$11+1,1))</f>
        <v>138.8931001150624</v>
      </c>
      <c r="BJ88" s="59">
        <f t="shared" si="92"/>
        <v>48.964659354096625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>
        <f>EXP(-LN(2)/35)*BP87+(1-EXP(-LN(2)/35))/(LN(2)/35)*BL88*BM88*VLOOKUP('Données projet'!$B$11,Paramètres!$A$1:$I$89,3,0)*0.475*44/12</f>
        <v>0</v>
      </c>
      <c r="BQ88" s="21">
        <f>EXP(-LN(2)/25)*BQ87+(1-EXP(-LN(2)/25))/(LN(2)/25)*Calculateur!BL88*Calculateur!BN88*VLOOKUP('Données projet'!$B$11,Paramètres!$A$1:$I$89,3,0)*0.475*44/12</f>
        <v>0</v>
      </c>
      <c r="BR88" s="21">
        <f>EXP(-LN(2)/2)*BR87+(1-EXP(-LN(2)/2))/(LN(2)/2)*BL88*BO88*VLOOKUP('Données projet'!$B$11,Paramètres!$A$1:$I$89,3,0)*0.475*44/12</f>
        <v>0</v>
      </c>
      <c r="BS88" s="22">
        <f t="shared" si="63"/>
        <v>0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4.3</v>
      </c>
      <c r="BY88" s="12">
        <f>IF('Données projet'!$A$114&gt;35,BY87+BX88-CG87,IF(A88&lt;'Données projet'!$A$114,$BV$205^A88,IF(A88='Données projet'!$A$114,'Données projet'!$B$114,BY87+BX88-CG87)))</f>
        <v>199.50000000000011</v>
      </c>
      <c r="BZ88" s="13">
        <f>BY88*VLOOKUP('Données projet'!$B$12,Paramètres!$A$1:$I$89,3,0)*VLOOKUP('Données projet'!$B$12,Paramètres!$A$1:$I$89,5,0)</f>
        <v>192.95640000000012</v>
      </c>
      <c r="CA88" s="13">
        <f t="shared" si="93"/>
        <v>48.192982403791724</v>
      </c>
      <c r="CB88" s="20">
        <f t="shared" si="64"/>
        <v>420.00184101993744</v>
      </c>
      <c r="CC88" s="59">
        <f t="shared" si="65"/>
        <v>713.33517435327076</v>
      </c>
      <c r="CD88" s="59">
        <f ca="1">AVERAGE(OFFSET($CC$3,0,0,'Données projet'!$E$12+1,1))-AVERAGE(OFFSET($H$3,0,0,'Données projet'!$E$12+1,1))</f>
        <v>154.93882427988234</v>
      </c>
      <c r="CE88" s="59">
        <f t="shared" si="94"/>
        <v>56.347130462109817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>
        <f>EXP(-LN(2)/35)*CK87+(1-EXP(-LN(2)/35))/(LN(2)/35)*CG88*CH88*VLOOKUP('Données projet'!$B$12,Paramètres!$A$1:$I$89,3,0)*0.475*44/12</f>
        <v>0</v>
      </c>
      <c r="CL88" s="21">
        <f>EXP(-LN(2)/25)*CL87+(1-EXP(-LN(2)/25))/(LN(2)/25)*Calculateur!CG88*Calculateur!CI88*VLOOKUP('Données projet'!$B$12,Paramètres!$A$1:$I$89,3,0)*0.475*44/12</f>
        <v>0</v>
      </c>
      <c r="CM88" s="21">
        <f>EXP(-LN(2)/2)*CM87+(1-EXP(-LN(2)/2))/(LN(2)/2)*CG88*CJ88*VLOOKUP('Données projet'!$B$12,Paramètres!$A$1:$I$89,3,0)*0.475*44/12</f>
        <v>0</v>
      </c>
      <c r="CN88" s="22">
        <f t="shared" si="66"/>
        <v>0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76.47120000000011</v>
      </c>
      <c r="D89" s="11">
        <f t="shared" si="86"/>
        <v>21.272121944536373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754.50985360694824</v>
      </c>
      <c r="H89" s="67">
        <f t="shared" si="56"/>
        <v>463.56961905340103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0</v>
      </c>
      <c r="O89" s="13">
        <f>N89*VLOOKUP('Données projet'!$B$9,Paramètres!$A$1:$I$89,3,0)*VLOOKUP('Données projet'!$B$9,Paramètres!$A$1:$I$89,5,0)</f>
        <v>0</v>
      </c>
      <c r="P89" s="13" t="e">
        <f t="shared" si="87"/>
        <v>#NUM!</v>
      </c>
      <c r="Q89" s="20" t="e">
        <f t="shared" si="54"/>
        <v>#NUM!</v>
      </c>
      <c r="R89" s="59" t="e">
        <f t="shared" si="55"/>
        <v>#NUM!</v>
      </c>
      <c r="S89" s="59">
        <f ca="1">AVERAGE(OFFSET($R$3,0,0,'Données projet'!$E$9+1,1))-AVERAGE(OFFSET($H$3,0,0,'Données projet'!$E$9+1,1))</f>
        <v>72.647148358003676</v>
      </c>
      <c r="T89" s="59">
        <f t="shared" si="88"/>
        <v>87.231299224620898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0.41976209723144314</v>
      </c>
      <c r="AA89" s="21">
        <f>EXP(-LN(2)/25)*AA88+(1-EXP(-LN(2)/25))/(LN(2)/25)*Calculateur!V89*Calculateur!X89*VLOOKUP('Données projet'!$B$9,Paramètres!$A$1:$I$89,3,0)*0.475*44/12</f>
        <v>0.95917783740469187</v>
      </c>
      <c r="AB89" s="21">
        <f>EXP(-LN(2)/2)*AB88+(1-EXP(-LN(2)/2))/(LN(2)/2)*V89*Y89*VLOOKUP('Données projet'!$B$9,Paramètres!$A$1:$I$89,3,0)*0.475*44/12</f>
        <v>8.4970001737430142E-9</v>
      </c>
      <c r="AC89" s="22">
        <f t="shared" si="57"/>
        <v>1.3789399431331353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-8.5265128291212022E-14</v>
      </c>
      <c r="AJ89" s="13">
        <f>AI89*VLOOKUP('Données projet'!$B$10,Paramètres!$A$1:$I$89,3,0)*VLOOKUP('Données projet'!$B$10,Paramètres!$A$1:$I$89,5,0)</f>
        <v>-6.9167072069831198E-14</v>
      </c>
      <c r="AK89" s="13" t="e">
        <f t="shared" si="89"/>
        <v>#NUM!</v>
      </c>
      <c r="AL89" s="20" t="e">
        <f t="shared" si="58"/>
        <v>#NUM!</v>
      </c>
      <c r="AM89" s="59" t="e">
        <f t="shared" si="59"/>
        <v>#NUM!</v>
      </c>
      <c r="AN89" s="59">
        <f ca="1">AVERAGE(OFFSET($AM$3,0,0,'Données projet'!$E$10+1,1))-AVERAGE(OFFSET($H$3,0,0,'Données projet'!$E$10+1,1))</f>
        <v>145.3656871223958</v>
      </c>
      <c r="AO89" s="59">
        <f t="shared" si="90"/>
        <v>180.54762778843178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0</v>
      </c>
      <c r="AV89" s="21">
        <f>EXP(-LN(2)/25)*AV88+(1-EXP(-LN(2)/25))/(LN(2)/25)*Calculateur!AQ89*Calculateur!AS89*VLOOKUP('Données projet'!$B$10,Paramètres!$A$1:$I$89,3,0)*0.475*44/12</f>
        <v>1.1772107205828874</v>
      </c>
      <c r="AW89" s="21">
        <f>EXP(-LN(2)/2)*AW88+(1-EXP(-LN(2)/2))/(LN(2)/2)*AQ89*AT89*VLOOKUP('Données projet'!$B$10,Paramètres!$A$1:$I$89,3,0)*0.475*44/12</f>
        <v>3.0406402372160572E-8</v>
      </c>
      <c r="AX89" s="21">
        <f t="shared" si="60"/>
        <v>1.1772107509892897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4.3</v>
      </c>
      <c r="BD89" s="12">
        <f>IF('Données projet'!$A$88&gt;35,BD88+BC89-BL88,IF(A89&lt;'Données projet'!$A$88,$BA$205^A89,IF(A89='Données projet'!$A$88,'Données projet'!$B$88,BD88+BC89-BL88)))</f>
        <v>203.80000000000004</v>
      </c>
      <c r="BE89" s="13">
        <f>BD89*VLOOKUP('Données projet'!$B$11,Paramètres!$A$1:$I$89,3,0)*VLOOKUP('Données projet'!$B$11,Paramètres!$A$1:$I$89,5,0)</f>
        <v>184.39824000000004</v>
      </c>
      <c r="BF89" s="13">
        <f t="shared" si="91"/>
        <v>46.299334464645916</v>
      </c>
      <c r="BG89" s="20">
        <f t="shared" si="61"/>
        <v>401.79827552592502</v>
      </c>
      <c r="BH89" s="59">
        <f t="shared" si="62"/>
        <v>695.13160885925834</v>
      </c>
      <c r="BI89" s="59">
        <f ca="1">AVERAGE(OFFSET($BH$3,0,0,'Données projet'!$E$11+1,1))-AVERAGE(OFFSET($H$3,0,0,'Données projet'!$E$11+1,1))</f>
        <v>138.8931001150624</v>
      </c>
      <c r="BJ89" s="59">
        <f t="shared" si="92"/>
        <v>48.964659354096625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>
        <f>EXP(-LN(2)/35)*BP88+(1-EXP(-LN(2)/35))/(LN(2)/35)*BL89*BM89*VLOOKUP('Données projet'!$B$11,Paramètres!$A$1:$I$89,3,0)*0.475*44/12</f>
        <v>0</v>
      </c>
      <c r="BQ89" s="21">
        <f>EXP(-LN(2)/25)*BQ88+(1-EXP(-LN(2)/25))/(LN(2)/25)*Calculateur!BL89*Calculateur!BN89*VLOOKUP('Données projet'!$B$11,Paramètres!$A$1:$I$89,3,0)*0.475*44/12</f>
        <v>0</v>
      </c>
      <c r="BR89" s="21">
        <f>EXP(-LN(2)/2)*BR88+(1-EXP(-LN(2)/2))/(LN(2)/2)*BL89*BO89*VLOOKUP('Données projet'!$B$11,Paramètres!$A$1:$I$89,3,0)*0.475*44/12</f>
        <v>0</v>
      </c>
      <c r="BS89" s="22">
        <f t="shared" si="63"/>
        <v>0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4.3</v>
      </c>
      <c r="BY89" s="12">
        <f>IF('Données projet'!$A$114&gt;35,BY88+BX89-CG88,IF(A89&lt;'Données projet'!$A$114,$BV$205^A89,IF(A89='Données projet'!$A$114,'Données projet'!$B$114,BY88+BX89-CG88)))</f>
        <v>203.80000000000013</v>
      </c>
      <c r="BZ89" s="13">
        <f>BY89*VLOOKUP('Données projet'!$B$12,Paramètres!$A$1:$I$89,3,0)*VLOOKUP('Données projet'!$B$12,Paramètres!$A$1:$I$89,5,0)</f>
        <v>197.11536000000012</v>
      </c>
      <c r="CA89" s="13">
        <f t="shared" si="93"/>
        <v>49.109676122143078</v>
      </c>
      <c r="CB89" s="20">
        <f t="shared" si="64"/>
        <v>428.8419379127327</v>
      </c>
      <c r="CC89" s="59">
        <f t="shared" si="65"/>
        <v>722.17527124606602</v>
      </c>
      <c r="CD89" s="59">
        <f ca="1">AVERAGE(OFFSET($CC$3,0,0,'Données projet'!$E$12+1,1))-AVERAGE(OFFSET($H$3,0,0,'Données projet'!$E$12+1,1))</f>
        <v>154.93882427988234</v>
      </c>
      <c r="CE89" s="59">
        <f t="shared" si="94"/>
        <v>56.347130462109817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>
        <f>EXP(-LN(2)/35)*CK88+(1-EXP(-LN(2)/35))/(LN(2)/35)*CG89*CH89*VLOOKUP('Données projet'!$B$12,Paramètres!$A$1:$I$89,3,0)*0.475*44/12</f>
        <v>0</v>
      </c>
      <c r="CL89" s="21">
        <f>EXP(-LN(2)/25)*CL88+(1-EXP(-LN(2)/25))/(LN(2)/25)*Calculateur!CG89*Calculateur!CI89*VLOOKUP('Données projet'!$B$12,Paramètres!$A$1:$I$89,3,0)*0.475*44/12</f>
        <v>0</v>
      </c>
      <c r="CM89" s="21">
        <f>EXP(-LN(2)/2)*CM88+(1-EXP(-LN(2)/2))/(LN(2)/2)*CG89*CJ89*VLOOKUP('Données projet'!$B$12,Paramètres!$A$1:$I$89,3,0)*0.475*44/12</f>
        <v>0</v>
      </c>
      <c r="CN89" s="22">
        <f t="shared" si="66"/>
        <v>0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77.360400000000112</v>
      </c>
      <c r="D90" s="11">
        <f t="shared" si="86"/>
        <v>21.490533357793517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763.05983644612627</v>
      </c>
      <c r="H90" s="67">
        <f t="shared" si="56"/>
        <v>465.49870893149051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0</v>
      </c>
      <c r="O90" s="13">
        <f>N90*VLOOKUP('Données projet'!$B$9,Paramètres!$A$1:$I$89,3,0)*VLOOKUP('Données projet'!$B$9,Paramètres!$A$1:$I$89,5,0)</f>
        <v>0</v>
      </c>
      <c r="P90" s="13" t="e">
        <f t="shared" si="87"/>
        <v>#NUM!</v>
      </c>
      <c r="Q90" s="20" t="e">
        <f t="shared" si="54"/>
        <v>#NUM!</v>
      </c>
      <c r="R90" s="59" t="e">
        <f t="shared" si="55"/>
        <v>#NUM!</v>
      </c>
      <c r="S90" s="59">
        <f ca="1">AVERAGE(OFFSET($R$3,0,0,'Données projet'!$E$9+1,1))-AVERAGE(OFFSET($H$3,0,0,'Données projet'!$E$9+1,1))</f>
        <v>72.647148358003676</v>
      </c>
      <c r="T90" s="59">
        <f t="shared" si="88"/>
        <v>87.231299224620898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0.41153081853433304</v>
      </c>
      <c r="AA90" s="21">
        <f>EXP(-LN(2)/25)*AA89+(1-EXP(-LN(2)/25))/(LN(2)/25)*Calculateur!V90*Calculateur!X90*VLOOKUP('Données projet'!$B$9,Paramètres!$A$1:$I$89,3,0)*0.475*44/12</f>
        <v>0.93294906899989039</v>
      </c>
      <c r="AB90" s="21">
        <f>EXP(-LN(2)/2)*AB89+(1-EXP(-LN(2)/2))/(LN(2)/2)*V90*Y90*VLOOKUP('Données projet'!$B$9,Paramètres!$A$1:$I$89,3,0)*0.475*44/12</f>
        <v>6.0082864425969579E-9</v>
      </c>
      <c r="AC90" s="22">
        <f t="shared" si="57"/>
        <v>1.34447989354251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-8.5265128291212022E-14</v>
      </c>
      <c r="AJ90" s="13">
        <f>AI90*VLOOKUP('Données projet'!$B$10,Paramètres!$A$1:$I$89,3,0)*VLOOKUP('Données projet'!$B$10,Paramètres!$A$1:$I$89,5,0)</f>
        <v>-6.9167072069831198E-14</v>
      </c>
      <c r="AK90" s="13" t="e">
        <f t="shared" si="89"/>
        <v>#NUM!</v>
      </c>
      <c r="AL90" s="20" t="e">
        <f t="shared" si="58"/>
        <v>#NUM!</v>
      </c>
      <c r="AM90" s="59" t="e">
        <f t="shared" si="59"/>
        <v>#NUM!</v>
      </c>
      <c r="AN90" s="59">
        <f ca="1">AVERAGE(OFFSET($AM$3,0,0,'Données projet'!$E$10+1,1))-AVERAGE(OFFSET($H$3,0,0,'Données projet'!$E$10+1,1))</f>
        <v>145.3656871223958</v>
      </c>
      <c r="AO90" s="59">
        <f t="shared" si="90"/>
        <v>180.54762778843178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0</v>
      </c>
      <c r="AV90" s="21">
        <f>EXP(-LN(2)/25)*AV89+(1-EXP(-LN(2)/25))/(LN(2)/25)*Calculateur!AQ90*Calculateur!AS90*VLOOKUP('Données projet'!$B$10,Paramètres!$A$1:$I$89,3,0)*0.475*44/12</f>
        <v>1.145019831521727</v>
      </c>
      <c r="AW90" s="21">
        <f>EXP(-LN(2)/2)*AW89+(1-EXP(-LN(2)/2))/(LN(2)/2)*AQ90*AT90*VLOOKUP('Données projet'!$B$10,Paramètres!$A$1:$I$89,3,0)*0.475*44/12</f>
        <v>2.1500573308841465E-8</v>
      </c>
      <c r="AX90" s="21">
        <f t="shared" si="60"/>
        <v>1.1450198530223004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4.3</v>
      </c>
      <c r="BD90" s="12">
        <f>IF('Données projet'!$A$88&gt;35,BD89+BC90-BL89,IF(A90&lt;'Données projet'!$A$88,$BA$205^A90,IF(A90='Données projet'!$A$88,'Données projet'!$B$88,BD89+BC90-BL89)))</f>
        <v>208.10000000000005</v>
      </c>
      <c r="BE90" s="13">
        <f>BD90*VLOOKUP('Données projet'!$B$11,Paramètres!$A$1:$I$89,3,0)*VLOOKUP('Données projet'!$B$11,Paramètres!$A$1:$I$89,5,0)</f>
        <v>188.28888000000003</v>
      </c>
      <c r="BF90" s="13">
        <f t="shared" si="91"/>
        <v>47.161449560760389</v>
      </c>
      <c r="BG90" s="20">
        <f t="shared" si="61"/>
        <v>410.07599065165772</v>
      </c>
      <c r="BH90" s="59">
        <f t="shared" si="62"/>
        <v>703.40932398499103</v>
      </c>
      <c r="BI90" s="59">
        <f ca="1">AVERAGE(OFFSET($BH$3,0,0,'Données projet'!$E$11+1,1))-AVERAGE(OFFSET($H$3,0,0,'Données projet'!$E$11+1,1))</f>
        <v>138.8931001150624</v>
      </c>
      <c r="BJ90" s="59">
        <f t="shared" si="92"/>
        <v>48.964659354096625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>
        <f>EXP(-LN(2)/35)*BP89+(1-EXP(-LN(2)/35))/(LN(2)/35)*BL90*BM90*VLOOKUP('Données projet'!$B$11,Paramètres!$A$1:$I$89,3,0)*0.475*44/12</f>
        <v>0</v>
      </c>
      <c r="BQ90" s="21">
        <f>EXP(-LN(2)/25)*BQ89+(1-EXP(-LN(2)/25))/(LN(2)/25)*Calculateur!BL90*Calculateur!BN90*VLOOKUP('Données projet'!$B$11,Paramètres!$A$1:$I$89,3,0)*0.475*44/12</f>
        <v>0</v>
      </c>
      <c r="BR90" s="21">
        <f>EXP(-LN(2)/2)*BR89+(1-EXP(-LN(2)/2))/(LN(2)/2)*BL90*BO90*VLOOKUP('Données projet'!$B$11,Paramètres!$A$1:$I$89,3,0)*0.475*44/12</f>
        <v>0</v>
      </c>
      <c r="BS90" s="22">
        <f t="shared" si="63"/>
        <v>0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4.3</v>
      </c>
      <c r="BY90" s="12">
        <f>IF('Données projet'!$A$114&gt;35,BY89+BX90-CG89,IF(A90&lt;'Données projet'!$A$114,$BV$205^A90,IF(A90='Données projet'!$A$114,'Données projet'!$B$114,BY89+BX90-CG89)))</f>
        <v>208.10000000000014</v>
      </c>
      <c r="BZ90" s="13">
        <f>BY90*VLOOKUP('Données projet'!$B$12,Paramètres!$A$1:$I$89,3,0)*VLOOKUP('Données projet'!$B$12,Paramètres!$A$1:$I$89,5,0)</f>
        <v>201.27432000000013</v>
      </c>
      <c r="CA90" s="13">
        <f t="shared" si="93"/>
        <v>50.024121084251973</v>
      </c>
      <c r="CB90" s="20">
        <f t="shared" si="64"/>
        <v>437.678118221739</v>
      </c>
      <c r="CC90" s="59">
        <f t="shared" si="65"/>
        <v>731.01145155507231</v>
      </c>
      <c r="CD90" s="59">
        <f ca="1">AVERAGE(OFFSET($CC$3,0,0,'Données projet'!$E$12+1,1))-AVERAGE(OFFSET($H$3,0,0,'Données projet'!$E$12+1,1))</f>
        <v>154.93882427988234</v>
      </c>
      <c r="CE90" s="59">
        <f t="shared" si="94"/>
        <v>56.347130462109817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>
        <f>EXP(-LN(2)/35)*CK89+(1-EXP(-LN(2)/35))/(LN(2)/35)*CG90*CH90*VLOOKUP('Données projet'!$B$12,Paramètres!$A$1:$I$89,3,0)*0.475*44/12</f>
        <v>0</v>
      </c>
      <c r="CL90" s="21">
        <f>EXP(-LN(2)/25)*CL89+(1-EXP(-LN(2)/25))/(LN(2)/25)*Calculateur!CG90*Calculateur!CI90*VLOOKUP('Données projet'!$B$12,Paramètres!$A$1:$I$89,3,0)*0.475*44/12</f>
        <v>0</v>
      </c>
      <c r="CM90" s="21">
        <f>EXP(-LN(2)/2)*CM89+(1-EXP(-LN(2)/2))/(LN(2)/2)*CG90*CJ90*VLOOKUP('Données projet'!$B$12,Paramètres!$A$1:$I$89,3,0)*0.475*44/12</f>
        <v>0</v>
      </c>
      <c r="CN90" s="22">
        <f t="shared" si="66"/>
        <v>0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78.249600000000115</v>
      </c>
      <c r="D91" s="11">
        <f t="shared" si="86"/>
        <v>21.70865274023982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771.60756501237847</v>
      </c>
      <c r="H91" s="67">
        <f t="shared" si="56"/>
        <v>467.42729018925121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0</v>
      </c>
      <c r="O91" s="13">
        <f>N91*VLOOKUP('Données projet'!$B$9,Paramètres!$A$1:$I$89,3,0)*VLOOKUP('Données projet'!$B$9,Paramètres!$A$1:$I$89,5,0)</f>
        <v>0</v>
      </c>
      <c r="P91" s="13" t="e">
        <f t="shared" si="87"/>
        <v>#NUM!</v>
      </c>
      <c r="Q91" s="20" t="e">
        <f t="shared" si="54"/>
        <v>#NUM!</v>
      </c>
      <c r="R91" s="59" t="e">
        <f t="shared" si="55"/>
        <v>#NUM!</v>
      </c>
      <c r="S91" s="59">
        <f ca="1">AVERAGE(OFFSET($R$3,0,0,'Données projet'!$E$9+1,1))-AVERAGE(OFFSET($H$3,0,0,'Données projet'!$E$9+1,1))</f>
        <v>72.647148358003676</v>
      </c>
      <c r="T91" s="59">
        <f t="shared" si="88"/>
        <v>87.231299224620898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0.40346095019188899</v>
      </c>
      <c r="AA91" s="21">
        <f>EXP(-LN(2)/25)*AA90+(1-EXP(-LN(2)/25))/(LN(2)/25)*Calculateur!V91*Calculateur!X91*VLOOKUP('Données projet'!$B$9,Paramètres!$A$1:$I$89,3,0)*0.475*44/12</f>
        <v>0.90743752764642915</v>
      </c>
      <c r="AB91" s="21">
        <f>EXP(-LN(2)/2)*AB90+(1-EXP(-LN(2)/2))/(LN(2)/2)*V91*Y91*VLOOKUP('Données projet'!$B$9,Paramètres!$A$1:$I$89,3,0)*0.475*44/12</f>
        <v>4.2485000868715071E-9</v>
      </c>
      <c r="AC91" s="22">
        <f t="shared" si="57"/>
        <v>1.3108984820868181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-8.5265128291212022E-14</v>
      </c>
      <c r="AJ91" s="13">
        <f>AI91*VLOOKUP('Données projet'!$B$10,Paramètres!$A$1:$I$89,3,0)*VLOOKUP('Données projet'!$B$10,Paramètres!$A$1:$I$89,5,0)</f>
        <v>-6.9167072069831198E-14</v>
      </c>
      <c r="AK91" s="13" t="e">
        <f t="shared" si="89"/>
        <v>#NUM!</v>
      </c>
      <c r="AL91" s="20" t="e">
        <f t="shared" si="58"/>
        <v>#NUM!</v>
      </c>
      <c r="AM91" s="59" t="e">
        <f t="shared" si="59"/>
        <v>#NUM!</v>
      </c>
      <c r="AN91" s="59">
        <f ca="1">AVERAGE(OFFSET($AM$3,0,0,'Données projet'!$E$10+1,1))-AVERAGE(OFFSET($H$3,0,0,'Données projet'!$E$10+1,1))</f>
        <v>145.3656871223958</v>
      </c>
      <c r="AO91" s="59">
        <f t="shared" si="90"/>
        <v>180.54762778843178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0</v>
      </c>
      <c r="AV91" s="21">
        <f>EXP(-LN(2)/25)*AV90+(1-EXP(-LN(2)/25))/(LN(2)/25)*Calculateur!AQ91*Calculateur!AS91*VLOOKUP('Données projet'!$B$10,Paramètres!$A$1:$I$89,3,0)*0.475*44/12</f>
        <v>1.1137092040147893</v>
      </c>
      <c r="AW91" s="21">
        <f>EXP(-LN(2)/2)*AW90+(1-EXP(-LN(2)/2))/(LN(2)/2)*AQ91*AT91*VLOOKUP('Données projet'!$B$10,Paramètres!$A$1:$I$89,3,0)*0.475*44/12</f>
        <v>1.5203201186080286E-8</v>
      </c>
      <c r="AX91" s="21">
        <f t="shared" si="60"/>
        <v>1.1137092192179905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4.3</v>
      </c>
      <c r="BD91" s="12">
        <f>IF('Données projet'!$A$88&gt;35,BD90+BC91-BL90,IF(A91&lt;'Données projet'!$A$88,$BA$205^A91,IF(A91='Données projet'!$A$88,'Données projet'!$B$88,BD90+BC91-BL90)))</f>
        <v>212.40000000000006</v>
      </c>
      <c r="BE91" s="13">
        <f>BD91*VLOOKUP('Données projet'!$B$11,Paramètres!$A$1:$I$89,3,0)*VLOOKUP('Données projet'!$B$11,Paramètres!$A$1:$I$89,5,0)</f>
        <v>192.17952000000005</v>
      </c>
      <c r="BF91" s="13">
        <f t="shared" si="91"/>
        <v>48.021493442275357</v>
      </c>
      <c r="BG91" s="20">
        <f t="shared" si="61"/>
        <v>418.35009841196302</v>
      </c>
      <c r="BH91" s="59">
        <f t="shared" si="62"/>
        <v>711.68343174529628</v>
      </c>
      <c r="BI91" s="59">
        <f ca="1">AVERAGE(OFFSET($BH$3,0,0,'Données projet'!$E$11+1,1))-AVERAGE(OFFSET($H$3,0,0,'Données projet'!$E$11+1,1))</f>
        <v>138.8931001150624</v>
      </c>
      <c r="BJ91" s="59">
        <f t="shared" si="92"/>
        <v>48.964659354096625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>
        <f>EXP(-LN(2)/35)*BP90+(1-EXP(-LN(2)/35))/(LN(2)/35)*BL91*BM91*VLOOKUP('Données projet'!$B$11,Paramètres!$A$1:$I$89,3,0)*0.475*44/12</f>
        <v>0</v>
      </c>
      <c r="BQ91" s="21">
        <f>EXP(-LN(2)/25)*BQ90+(1-EXP(-LN(2)/25))/(LN(2)/25)*Calculateur!BL91*Calculateur!BN91*VLOOKUP('Données projet'!$B$11,Paramètres!$A$1:$I$89,3,0)*0.475*44/12</f>
        <v>0</v>
      </c>
      <c r="BR91" s="21">
        <f>EXP(-LN(2)/2)*BR90+(1-EXP(-LN(2)/2))/(LN(2)/2)*BL91*BO91*VLOOKUP('Données projet'!$B$11,Paramètres!$A$1:$I$89,3,0)*0.475*44/12</f>
        <v>0</v>
      </c>
      <c r="BS91" s="22">
        <f t="shared" si="63"/>
        <v>0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4.3</v>
      </c>
      <c r="BY91" s="12">
        <f>IF('Données projet'!$A$114&gt;35,BY90+BX91-CG90,IF(A91&lt;'Données projet'!$A$114,$BV$205^A91,IF(A91='Données projet'!$A$114,'Données projet'!$B$114,BY90+BX91-CG90)))</f>
        <v>212.40000000000015</v>
      </c>
      <c r="BZ91" s="13">
        <f>BY91*VLOOKUP('Données projet'!$B$12,Paramètres!$A$1:$I$89,3,0)*VLOOKUP('Données projet'!$B$12,Paramètres!$A$1:$I$89,5,0)</f>
        <v>205.43328000000017</v>
      </c>
      <c r="CA91" s="13">
        <f t="shared" si="93"/>
        <v>50.93636911028532</v>
      </c>
      <c r="CB91" s="20">
        <f t="shared" si="64"/>
        <v>446.51047220041386</v>
      </c>
      <c r="CC91" s="59">
        <f t="shared" si="65"/>
        <v>739.84380553374717</v>
      </c>
      <c r="CD91" s="59">
        <f ca="1">AVERAGE(OFFSET($CC$3,0,0,'Données projet'!$E$12+1,1))-AVERAGE(OFFSET($H$3,0,0,'Données projet'!$E$12+1,1))</f>
        <v>154.93882427988234</v>
      </c>
      <c r="CE91" s="59">
        <f t="shared" si="94"/>
        <v>56.347130462109817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>
        <f>EXP(-LN(2)/35)*CK90+(1-EXP(-LN(2)/35))/(LN(2)/35)*CG91*CH91*VLOOKUP('Données projet'!$B$12,Paramètres!$A$1:$I$89,3,0)*0.475*44/12</f>
        <v>0</v>
      </c>
      <c r="CL91" s="21">
        <f>EXP(-LN(2)/25)*CL90+(1-EXP(-LN(2)/25))/(LN(2)/25)*Calculateur!CG91*Calculateur!CI91*VLOOKUP('Données projet'!$B$12,Paramètres!$A$1:$I$89,3,0)*0.475*44/12</f>
        <v>0</v>
      </c>
      <c r="CM91" s="21">
        <f>EXP(-LN(2)/2)*CM90+(1-EXP(-LN(2)/2))/(LN(2)/2)*CG91*CJ91*VLOOKUP('Données projet'!$B$12,Paramètres!$A$1:$I$89,3,0)*0.475*44/12</f>
        <v>0</v>
      </c>
      <c r="CN91" s="22">
        <f t="shared" si="66"/>
        <v>0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79.138800000000117</v>
      </c>
      <c r="D92" s="11">
        <f t="shared" si="86"/>
        <v>21.926483794395363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780.15306788656164</v>
      </c>
      <c r="H92" s="67">
        <f t="shared" si="56"/>
        <v>469.35536927523879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0</v>
      </c>
      <c r="O92" s="13">
        <f>N92*VLOOKUP('Données projet'!$B$9,Paramètres!$A$1:$I$89,3,0)*VLOOKUP('Données projet'!$B$9,Paramètres!$A$1:$I$89,5,0)</f>
        <v>0</v>
      </c>
      <c r="P92" s="13" t="e">
        <f t="shared" si="87"/>
        <v>#NUM!</v>
      </c>
      <c r="Q92" s="20" t="e">
        <f t="shared" si="54"/>
        <v>#NUM!</v>
      </c>
      <c r="R92" s="59" t="e">
        <f t="shared" si="55"/>
        <v>#NUM!</v>
      </c>
      <c r="S92" s="59">
        <f ca="1">AVERAGE(OFFSET($R$3,0,0,'Données projet'!$E$9+1,1))-AVERAGE(OFFSET($H$3,0,0,'Données projet'!$E$9+1,1))</f>
        <v>72.647148358003676</v>
      </c>
      <c r="T92" s="59">
        <f t="shared" si="88"/>
        <v>87.231299224620898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0.3955493270455066</v>
      </c>
      <c r="AA92" s="21">
        <f>EXP(-LN(2)/25)*AA91+(1-EXP(-LN(2)/25))/(LN(2)/25)*Calculateur!V92*Calculateur!X92*VLOOKUP('Données projet'!$B$9,Paramètres!$A$1:$I$89,3,0)*0.475*44/12</f>
        <v>0.88262360073287194</v>
      </c>
      <c r="AB92" s="21">
        <f>EXP(-LN(2)/2)*AB91+(1-EXP(-LN(2)/2))/(LN(2)/2)*V92*Y92*VLOOKUP('Données projet'!$B$9,Paramètres!$A$1:$I$89,3,0)*0.475*44/12</f>
        <v>3.004143221298479E-9</v>
      </c>
      <c r="AC92" s="22">
        <f t="shared" si="57"/>
        <v>1.2781729307825218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-8.5265128291212022E-14</v>
      </c>
      <c r="AJ92" s="13">
        <f>AI92*VLOOKUP('Données projet'!$B$10,Paramètres!$A$1:$I$89,3,0)*VLOOKUP('Données projet'!$B$10,Paramètres!$A$1:$I$89,5,0)</f>
        <v>-6.9167072069831198E-14</v>
      </c>
      <c r="AK92" s="13" t="e">
        <f t="shared" si="89"/>
        <v>#NUM!</v>
      </c>
      <c r="AL92" s="20" t="e">
        <f t="shared" si="58"/>
        <v>#NUM!</v>
      </c>
      <c r="AM92" s="59" t="e">
        <f t="shared" si="59"/>
        <v>#NUM!</v>
      </c>
      <c r="AN92" s="59">
        <f ca="1">AVERAGE(OFFSET($AM$3,0,0,'Données projet'!$E$10+1,1))-AVERAGE(OFFSET($H$3,0,0,'Données projet'!$E$10+1,1))</f>
        <v>145.3656871223958</v>
      </c>
      <c r="AO92" s="59">
        <f t="shared" si="90"/>
        <v>180.54762778843178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0</v>
      </c>
      <c r="AV92" s="21">
        <f>EXP(-LN(2)/25)*AV91+(1-EXP(-LN(2)/25))/(LN(2)/25)*Calculateur!AQ92*Calculateur!AS92*VLOOKUP('Données projet'!$B$10,Paramètres!$A$1:$I$89,3,0)*0.475*44/12</f>
        <v>1.0832547672635833</v>
      </c>
      <c r="AW92" s="21">
        <f>EXP(-LN(2)/2)*AW91+(1-EXP(-LN(2)/2))/(LN(2)/2)*AQ92*AT92*VLOOKUP('Données projet'!$B$10,Paramètres!$A$1:$I$89,3,0)*0.475*44/12</f>
        <v>1.0750286654420733E-8</v>
      </c>
      <c r="AX92" s="21">
        <f t="shared" si="60"/>
        <v>1.0832547780138699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4.3</v>
      </c>
      <c r="BD92" s="12">
        <f>IF('Données projet'!$A$88&gt;35,BD91+BC92-BL91,IF(A92&lt;'Données projet'!$A$88,$BA$205^A92,IF(A92='Données projet'!$A$88,'Données projet'!$B$88,BD91+BC92-BL91)))</f>
        <v>216.70000000000007</v>
      </c>
      <c r="BE92" s="13">
        <f>BD92*VLOOKUP('Données projet'!$B$11,Paramètres!$A$1:$I$89,3,0)*VLOOKUP('Données projet'!$B$11,Paramètres!$A$1:$I$89,5,0)</f>
        <v>196.07016000000007</v>
      </c>
      <c r="BF92" s="13">
        <f t="shared" si="91"/>
        <v>48.879512872705831</v>
      </c>
      <c r="BG92" s="20">
        <f t="shared" si="61"/>
        <v>426.62068025329609</v>
      </c>
      <c r="BH92" s="59">
        <f t="shared" si="62"/>
        <v>719.95401358662934</v>
      </c>
      <c r="BI92" s="59">
        <f ca="1">AVERAGE(OFFSET($BH$3,0,0,'Données projet'!$E$11+1,1))-AVERAGE(OFFSET($H$3,0,0,'Données projet'!$E$11+1,1))</f>
        <v>138.8931001150624</v>
      </c>
      <c r="BJ92" s="59">
        <f t="shared" si="92"/>
        <v>48.964659354096625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>
        <f>EXP(-LN(2)/35)*BP91+(1-EXP(-LN(2)/35))/(LN(2)/35)*BL92*BM92*VLOOKUP('Données projet'!$B$11,Paramètres!$A$1:$I$89,3,0)*0.475*44/12</f>
        <v>0</v>
      </c>
      <c r="BQ92" s="21">
        <f>EXP(-LN(2)/25)*BQ91+(1-EXP(-LN(2)/25))/(LN(2)/25)*Calculateur!BL92*Calculateur!BN92*VLOOKUP('Données projet'!$B$11,Paramètres!$A$1:$I$89,3,0)*0.475*44/12</f>
        <v>0</v>
      </c>
      <c r="BR92" s="21">
        <f>EXP(-LN(2)/2)*BR91+(1-EXP(-LN(2)/2))/(LN(2)/2)*BL92*BO92*VLOOKUP('Données projet'!$B$11,Paramètres!$A$1:$I$89,3,0)*0.475*44/12</f>
        <v>0</v>
      </c>
      <c r="BS92" s="22">
        <f t="shared" si="63"/>
        <v>0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4.3</v>
      </c>
      <c r="BY92" s="12">
        <f>IF('Données projet'!$A$114&gt;35,BY91+BX92-CG91,IF(A92&lt;'Données projet'!$A$114,$BV$205^A92,IF(A92='Données projet'!$A$114,'Données projet'!$B$114,BY91+BX92-CG91)))</f>
        <v>216.70000000000016</v>
      </c>
      <c r="BZ92" s="13">
        <f>BY92*VLOOKUP('Données projet'!$B$12,Paramètres!$A$1:$I$89,3,0)*VLOOKUP('Données projet'!$B$12,Paramètres!$A$1:$I$89,5,0)</f>
        <v>209.59224000000017</v>
      </c>
      <c r="CA92" s="13">
        <f t="shared" si="93"/>
        <v>51.846469802275266</v>
      </c>
      <c r="CB92" s="20">
        <f t="shared" si="64"/>
        <v>455.33908623896303</v>
      </c>
      <c r="CC92" s="59">
        <f t="shared" si="65"/>
        <v>748.67241957229635</v>
      </c>
      <c r="CD92" s="59">
        <f ca="1">AVERAGE(OFFSET($CC$3,0,0,'Données projet'!$E$12+1,1))-AVERAGE(OFFSET($H$3,0,0,'Données projet'!$E$12+1,1))</f>
        <v>154.93882427988234</v>
      </c>
      <c r="CE92" s="59">
        <f t="shared" si="94"/>
        <v>56.347130462109817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>
        <f>EXP(-LN(2)/35)*CK91+(1-EXP(-LN(2)/35))/(LN(2)/35)*CG92*CH92*VLOOKUP('Données projet'!$B$12,Paramètres!$A$1:$I$89,3,0)*0.475*44/12</f>
        <v>0</v>
      </c>
      <c r="CL92" s="21">
        <f>EXP(-LN(2)/25)*CL91+(1-EXP(-LN(2)/25))/(LN(2)/25)*Calculateur!CG92*Calculateur!CI92*VLOOKUP('Données projet'!$B$12,Paramètres!$A$1:$I$89,3,0)*0.475*44/12</f>
        <v>0</v>
      </c>
      <c r="CM92" s="21">
        <f>EXP(-LN(2)/2)*CM91+(1-EXP(-LN(2)/2))/(LN(2)/2)*CG92*CJ92*VLOOKUP('Données projet'!$B$12,Paramètres!$A$1:$I$89,3,0)*0.475*44/12</f>
        <v>0</v>
      </c>
      <c r="CN92" s="22">
        <f t="shared" si="66"/>
        <v>0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80.028000000000119</v>
      </c>
      <c r="D93" s="11">
        <f t="shared" si="86"/>
        <v>22.144030134787187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788.69637297028794</v>
      </c>
      <c r="H93" s="67">
        <f t="shared" si="56"/>
        <v>471.2829524847545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0</v>
      </c>
      <c r="O93" s="13">
        <f>N93*VLOOKUP('Données projet'!$B$9,Paramètres!$A$1:$I$89,3,0)*VLOOKUP('Données projet'!$B$9,Paramètres!$A$1:$I$89,5,0)</f>
        <v>0</v>
      </c>
      <c r="P93" s="13" t="e">
        <f t="shared" si="87"/>
        <v>#NUM!</v>
      </c>
      <c r="Q93" s="20" t="e">
        <f t="shared" si="54"/>
        <v>#NUM!</v>
      </c>
      <c r="R93" s="59" t="e">
        <f t="shared" si="55"/>
        <v>#NUM!</v>
      </c>
      <c r="S93" s="59">
        <f ca="1">AVERAGE(OFFSET($R$3,0,0,'Données projet'!$E$9+1,1))-AVERAGE(OFFSET($H$3,0,0,'Données projet'!$E$9+1,1))</f>
        <v>72.647148358003676</v>
      </c>
      <c r="T93" s="59">
        <f t="shared" si="88"/>
        <v>87.231299224620898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0.38779284600341113</v>
      </c>
      <c r="AA93" s="21">
        <f>EXP(-LN(2)/25)*AA92+(1-EXP(-LN(2)/25))/(LN(2)/25)*Calculateur!V93*Calculateur!X93*VLOOKUP('Données projet'!$B$9,Paramètres!$A$1:$I$89,3,0)*0.475*44/12</f>
        <v>0.85848821195567371</v>
      </c>
      <c r="AB93" s="21">
        <f>EXP(-LN(2)/2)*AB92+(1-EXP(-LN(2)/2))/(LN(2)/2)*V93*Y93*VLOOKUP('Données projet'!$B$9,Paramètres!$A$1:$I$89,3,0)*0.475*44/12</f>
        <v>2.1242500434357536E-9</v>
      </c>
      <c r="AC93" s="22">
        <f t="shared" si="57"/>
        <v>1.2462810600833349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-8.5265128291212022E-14</v>
      </c>
      <c r="AJ93" s="13">
        <f>AI93*VLOOKUP('Données projet'!$B$10,Paramètres!$A$1:$I$89,3,0)*VLOOKUP('Données projet'!$B$10,Paramètres!$A$1:$I$89,5,0)</f>
        <v>-6.9167072069831198E-14</v>
      </c>
      <c r="AK93" s="13" t="e">
        <f t="shared" si="89"/>
        <v>#NUM!</v>
      </c>
      <c r="AL93" s="20" t="e">
        <f t="shared" si="58"/>
        <v>#NUM!</v>
      </c>
      <c r="AM93" s="59" t="e">
        <f t="shared" si="59"/>
        <v>#NUM!</v>
      </c>
      <c r="AN93" s="59">
        <f ca="1">AVERAGE(OFFSET($AM$3,0,0,'Données projet'!$E$10+1,1))-AVERAGE(OFFSET($H$3,0,0,'Données projet'!$E$10+1,1))</f>
        <v>145.3656871223958</v>
      </c>
      <c r="AO93" s="59">
        <f t="shared" si="90"/>
        <v>180.54762778843178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0</v>
      </c>
      <c r="AV93" s="21">
        <f>EXP(-LN(2)/25)*AV92+(1-EXP(-LN(2)/25))/(LN(2)/25)*Calculateur!AQ93*Calculateur!AS93*VLOOKUP('Données projet'!$B$10,Paramètres!$A$1:$I$89,3,0)*0.475*44/12</f>
        <v>1.0536331086868682</v>
      </c>
      <c r="AW93" s="21">
        <f>EXP(-LN(2)/2)*AW92+(1-EXP(-LN(2)/2))/(LN(2)/2)*AQ93*AT93*VLOOKUP('Données projet'!$B$10,Paramètres!$A$1:$I$89,3,0)*0.475*44/12</f>
        <v>7.6016005930401429E-9</v>
      </c>
      <c r="AX93" s="21">
        <f t="shared" si="60"/>
        <v>1.0536331162884689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>
        <f>VLOOKUP(A93,'Données projet'!$A$87:$I$107,2,0)</f>
        <v>221</v>
      </c>
      <c r="BB93" s="12">
        <f>VLOOKUP(A93,'Données projet'!$A$87:$I$107,9,0)</f>
        <v>4.3</v>
      </c>
      <c r="BC93" s="12">
        <f t="array" ref="BC93">INDEX(BB:BB,MIN(IF(ISNUMBER(BB93:BB289),ROW(BB93:BB289),"")))</f>
        <v>4.3</v>
      </c>
      <c r="BD93" s="12">
        <f>IF('Données projet'!$A$88&gt;35,BD92+BC93-BL92,IF(A93&lt;'Données projet'!$A$88,$BA$205^A93,IF(A93='Données projet'!$A$88,'Données projet'!$B$88,BD92+BC93-BL92)))</f>
        <v>221.00000000000009</v>
      </c>
      <c r="BE93" s="13">
        <f>BD93*VLOOKUP('Données projet'!$B$11,Paramètres!$A$1:$I$89,3,0)*VLOOKUP('Données projet'!$B$11,Paramètres!$A$1:$I$89,5,0)</f>
        <v>199.96080000000006</v>
      </c>
      <c r="BF93" s="13">
        <f t="shared" si="91"/>
        <v>49.735552653569265</v>
      </c>
      <c r="BG93" s="20">
        <f t="shared" si="61"/>
        <v>434.88781420496662</v>
      </c>
      <c r="BH93" s="59">
        <f t="shared" si="62"/>
        <v>728.22114753829987</v>
      </c>
      <c r="BI93" s="59">
        <f ca="1">AVERAGE(OFFSET($BH$3,0,0,'Données projet'!$E$11+1,1))-AVERAGE(OFFSET($H$3,0,0,'Données projet'!$E$11+1,1))</f>
        <v>138.8931001150624</v>
      </c>
      <c r="BJ93" s="59">
        <f t="shared" si="92"/>
        <v>48.964659354096625</v>
      </c>
      <c r="BK93" s="15">
        <f>IF(ISNA(VLOOKUP(A93,'Données projet'!$A$87:$I$107,3,0)),0,VLOOKUP(A93,'Données projet'!$A$87:$I$107,3,0))</f>
        <v>6</v>
      </c>
      <c r="BL93" s="15">
        <f>IF(ISNA(VLOOKUP(A93,'Données projet'!$A$87:$I$107,4,0)),0,VLOOKUP(A93,'Données projet'!$A$87:$I$107,4,0))</f>
        <v>28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>
        <f>EXP(-LN(2)/35)*BP92+(1-EXP(-LN(2)/35))/(LN(2)/35)*BL93*BM93*VLOOKUP('Données projet'!$B$11,Paramètres!$A$1:$I$89,3,0)*0.475*44/12</f>
        <v>0</v>
      </c>
      <c r="BQ93" s="21">
        <f>EXP(-LN(2)/25)*BQ92+(1-EXP(-LN(2)/25))/(LN(2)/25)*Calculateur!BL93*Calculateur!BN93*VLOOKUP('Données projet'!$B$11,Paramètres!$A$1:$I$89,3,0)*0.475*44/12</f>
        <v>0</v>
      </c>
      <c r="BR93" s="21">
        <f>EXP(-LN(2)/2)*BR92+(1-EXP(-LN(2)/2))/(LN(2)/2)*BL93*BO93*VLOOKUP('Données projet'!$B$11,Paramètres!$A$1:$I$89,3,0)*0.475*44/12</f>
        <v>0</v>
      </c>
      <c r="BS93" s="22">
        <f t="shared" si="63"/>
        <v>0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>
        <f>VLOOKUP(A93,'Données projet'!$A$113:$I$133,2,0)</f>
        <v>221</v>
      </c>
      <c r="BW93" s="12">
        <f>VLOOKUP(A93,'Données projet'!$A$113:$I$133,9,0)</f>
        <v>4.3</v>
      </c>
      <c r="BX93" s="12">
        <f t="array" ref="BX93">INDEX(BW:BW,MIN(IF(ISNUMBER(BW93:BW289),ROW(BW93:BW289),"")))</f>
        <v>4.3</v>
      </c>
      <c r="BY93" s="12">
        <f>IF('Données projet'!$A$114&gt;35,BY92+BX93-CG92,IF(A93&lt;'Données projet'!$A$114,$BV$205^A93,IF(A93='Données projet'!$A$114,'Données projet'!$B$114,BY92+BX93-CG92)))</f>
        <v>221.00000000000017</v>
      </c>
      <c r="BZ93" s="13">
        <f>BY93*VLOOKUP('Données projet'!$B$12,Paramètres!$A$1:$I$89,3,0)*VLOOKUP('Données projet'!$B$12,Paramètres!$A$1:$I$89,5,0)</f>
        <v>213.75120000000015</v>
      </c>
      <c r="CA93" s="13">
        <f t="shared" si="93"/>
        <v>52.75447068116425</v>
      </c>
      <c r="CB93" s="20">
        <f t="shared" si="64"/>
        <v>464.16404310302801</v>
      </c>
      <c r="CC93" s="59">
        <f t="shared" si="65"/>
        <v>757.49737643636126</v>
      </c>
      <c r="CD93" s="59">
        <f ca="1">AVERAGE(OFFSET($CC$3,0,0,'Données projet'!$E$12+1,1))-AVERAGE(OFFSET($H$3,0,0,'Données projet'!$E$12+1,1))</f>
        <v>154.93882427988234</v>
      </c>
      <c r="CE93" s="59">
        <f t="shared" si="94"/>
        <v>56.347130462109817</v>
      </c>
      <c r="CF93" s="15">
        <f>IF(ISNA(VLOOKUP(A93,'Données projet'!$A$113:$I$133,3,0)),0,VLOOKUP(A93,'Données projet'!$A$113:$I$133,3,0))</f>
        <v>6</v>
      </c>
      <c r="CG93" s="15">
        <f>IF(ISNA(VLOOKUP(A93,'Données projet'!$A$113:$I$133,4,0)),0,VLOOKUP(A93,'Données projet'!$A$113:$I$133,4,0))</f>
        <v>28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>
        <f>EXP(-LN(2)/35)*CK92+(1-EXP(-LN(2)/35))/(LN(2)/35)*CG93*CH93*VLOOKUP('Données projet'!$B$12,Paramètres!$A$1:$I$89,3,0)*0.475*44/12</f>
        <v>0</v>
      </c>
      <c r="CL93" s="21">
        <f>EXP(-LN(2)/25)*CL92+(1-EXP(-LN(2)/25))/(LN(2)/25)*Calculateur!CG93*Calculateur!CI93*VLOOKUP('Données projet'!$B$12,Paramètres!$A$1:$I$89,3,0)*0.475*44/12</f>
        <v>0</v>
      </c>
      <c r="CM93" s="21">
        <f>EXP(-LN(2)/2)*CM92+(1-EXP(-LN(2)/2))/(LN(2)/2)*CG93*CJ93*VLOOKUP('Données projet'!$B$12,Paramètres!$A$1:$I$89,3,0)*0.475*44/12</f>
        <v>0</v>
      </c>
      <c r="CN93" s="22">
        <f t="shared" si="66"/>
        <v>0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80.917200000000122</v>
      </c>
      <c r="D94" s="11">
        <f t="shared" si="86"/>
        <v>22.361295290994477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797.23750750943202</v>
      </c>
      <c r="H94" s="67">
        <f t="shared" si="56"/>
        <v>473.21004596514888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0</v>
      </c>
      <c r="O94" s="13">
        <f>N94*VLOOKUP('Données projet'!$B$9,Paramètres!$A$1:$I$89,3,0)*VLOOKUP('Données projet'!$B$9,Paramètres!$A$1:$I$89,5,0)</f>
        <v>0</v>
      </c>
      <c r="P94" s="13" t="e">
        <f t="shared" si="87"/>
        <v>#NUM!</v>
      </c>
      <c r="Q94" s="20" t="e">
        <f t="shared" si="54"/>
        <v>#NUM!</v>
      </c>
      <c r="R94" s="59" t="e">
        <f t="shared" si="55"/>
        <v>#NUM!</v>
      </c>
      <c r="S94" s="59">
        <f ca="1">AVERAGE(OFFSET($R$3,0,0,'Données projet'!$E$9+1,1))-AVERAGE(OFFSET($H$3,0,0,'Données projet'!$E$9+1,1))</f>
        <v>72.647148358003676</v>
      </c>
      <c r="T94" s="59">
        <f t="shared" si="88"/>
        <v>87.231299224620898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0.38018846482356489</v>
      </c>
      <c r="AA94" s="21">
        <f>EXP(-LN(2)/25)*AA93+(1-EXP(-LN(2)/25))/(LN(2)/25)*Calculateur!V94*Calculateur!X94*VLOOKUP('Données projet'!$B$9,Paramètres!$A$1:$I$89,3,0)*0.475*44/12</f>
        <v>0.83501280665381283</v>
      </c>
      <c r="AB94" s="21">
        <f>EXP(-LN(2)/2)*AB93+(1-EXP(-LN(2)/2))/(LN(2)/2)*V94*Y94*VLOOKUP('Données projet'!$B$9,Paramètres!$A$1:$I$89,3,0)*0.475*44/12</f>
        <v>1.5020716106492395E-9</v>
      </c>
      <c r="AC94" s="22">
        <f t="shared" si="57"/>
        <v>1.2152012729794492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-8.5265128291212022E-14</v>
      </c>
      <c r="AJ94" s="13">
        <f>AI94*VLOOKUP('Données projet'!$B$10,Paramètres!$A$1:$I$89,3,0)*VLOOKUP('Données projet'!$B$10,Paramètres!$A$1:$I$89,5,0)</f>
        <v>-6.9167072069831198E-14</v>
      </c>
      <c r="AK94" s="13" t="e">
        <f t="shared" si="89"/>
        <v>#NUM!</v>
      </c>
      <c r="AL94" s="20" t="e">
        <f t="shared" si="58"/>
        <v>#NUM!</v>
      </c>
      <c r="AM94" s="59" t="e">
        <f t="shared" si="59"/>
        <v>#NUM!</v>
      </c>
      <c r="AN94" s="59">
        <f ca="1">AVERAGE(OFFSET($AM$3,0,0,'Données projet'!$E$10+1,1))-AVERAGE(OFFSET($H$3,0,0,'Données projet'!$E$10+1,1))</f>
        <v>145.3656871223958</v>
      </c>
      <c r="AO94" s="59">
        <f t="shared" si="90"/>
        <v>180.54762778843178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0</v>
      </c>
      <c r="AV94" s="21">
        <f>EXP(-LN(2)/25)*AV93+(1-EXP(-LN(2)/25))/(LN(2)/25)*Calculateur!AQ94*Calculateur!AS94*VLOOKUP('Données projet'!$B$10,Paramètres!$A$1:$I$89,3,0)*0.475*44/12</f>
        <v>1.0248214559216686</v>
      </c>
      <c r="AW94" s="21">
        <f>EXP(-LN(2)/2)*AW93+(1-EXP(-LN(2)/2))/(LN(2)/2)*AQ94*AT94*VLOOKUP('Données projet'!$B$10,Paramètres!$A$1:$I$89,3,0)*0.475*44/12</f>
        <v>5.3751433272103663E-9</v>
      </c>
      <c r="AX94" s="21">
        <f t="shared" si="60"/>
        <v>1.0248214612968118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3.7</v>
      </c>
      <c r="BD94" s="12">
        <f>IF('Données projet'!$A$88&gt;35,BD93+BC94-BL93,IF(A94&lt;'Données projet'!$A$88,$BA$205^A94,IF(A94='Données projet'!$A$88,'Données projet'!$B$88,BD93+BC94-BL93)))</f>
        <v>196.70000000000007</v>
      </c>
      <c r="BE94" s="13">
        <f>BD94*VLOOKUP('Données projet'!$B$11,Paramètres!$A$1:$I$89,3,0)*VLOOKUP('Données projet'!$B$11,Paramètres!$A$1:$I$89,5,0)</f>
        <v>177.97416000000007</v>
      </c>
      <c r="BF94" s="13">
        <f t="shared" si="91"/>
        <v>44.871177620414102</v>
      </c>
      <c r="BG94" s="20">
        <f t="shared" si="61"/>
        <v>388.12229635555462</v>
      </c>
      <c r="BH94" s="59">
        <f t="shared" si="62"/>
        <v>681.45562968888794</v>
      </c>
      <c r="BI94" s="59">
        <f ca="1">AVERAGE(OFFSET($BH$3,0,0,'Données projet'!$E$11+1,1))-AVERAGE(OFFSET($H$3,0,0,'Données projet'!$E$11+1,1))</f>
        <v>138.8931001150624</v>
      </c>
      <c r="BJ94" s="59">
        <f t="shared" si="92"/>
        <v>48.964659354096625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>
        <f>EXP(-LN(2)/35)*BP93+(1-EXP(-LN(2)/35))/(LN(2)/35)*BL94*BM94*VLOOKUP('Données projet'!$B$11,Paramètres!$A$1:$I$89,3,0)*0.475*44/12</f>
        <v>0</v>
      </c>
      <c r="BQ94" s="21">
        <f>EXP(-LN(2)/25)*BQ93+(1-EXP(-LN(2)/25))/(LN(2)/25)*Calculateur!BL94*Calculateur!BN94*VLOOKUP('Données projet'!$B$11,Paramètres!$A$1:$I$89,3,0)*0.475*44/12</f>
        <v>0</v>
      </c>
      <c r="BR94" s="21">
        <f>EXP(-LN(2)/2)*BR93+(1-EXP(-LN(2)/2))/(LN(2)/2)*BL94*BO94*VLOOKUP('Données projet'!$B$11,Paramètres!$A$1:$I$89,3,0)*0.475*44/12</f>
        <v>0</v>
      </c>
      <c r="BS94" s="22">
        <f t="shared" si="63"/>
        <v>0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3.7</v>
      </c>
      <c r="BY94" s="12">
        <f>IF('Données projet'!$A$114&gt;35,BY93+BX94-CG93,IF(A94&lt;'Données projet'!$A$114,$BV$205^A94,IF(A94='Données projet'!$A$114,'Données projet'!$B$114,BY93+BX94-CG93)))</f>
        <v>196.70000000000016</v>
      </c>
      <c r="BZ94" s="13">
        <f>BY94*VLOOKUP('Données projet'!$B$12,Paramètres!$A$1:$I$89,3,0)*VLOOKUP('Données projet'!$B$12,Paramètres!$A$1:$I$89,5,0)</f>
        <v>190.24824000000015</v>
      </c>
      <c r="CA94" s="13">
        <f t="shared" si="93"/>
        <v>47.59483101944722</v>
      </c>
      <c r="CB94" s="20">
        <f t="shared" si="64"/>
        <v>414.24334869220411</v>
      </c>
      <c r="CC94" s="59">
        <f t="shared" si="65"/>
        <v>707.57668202553737</v>
      </c>
      <c r="CD94" s="59">
        <f ca="1">AVERAGE(OFFSET($CC$3,0,0,'Données projet'!$E$12+1,1))-AVERAGE(OFFSET($H$3,0,0,'Données projet'!$E$12+1,1))</f>
        <v>154.93882427988234</v>
      </c>
      <c r="CE94" s="59">
        <f t="shared" si="94"/>
        <v>56.347130462109817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>
        <f>EXP(-LN(2)/35)*CK93+(1-EXP(-LN(2)/35))/(LN(2)/35)*CG94*CH94*VLOOKUP('Données projet'!$B$12,Paramètres!$A$1:$I$89,3,0)*0.475*44/12</f>
        <v>0</v>
      </c>
      <c r="CL94" s="21">
        <f>EXP(-LN(2)/25)*CL93+(1-EXP(-LN(2)/25))/(LN(2)/25)*Calculateur!CG94*Calculateur!CI94*VLOOKUP('Données projet'!$B$12,Paramètres!$A$1:$I$89,3,0)*0.475*44/12</f>
        <v>0</v>
      </c>
      <c r="CM94" s="21">
        <f>EXP(-LN(2)/2)*CM93+(1-EXP(-LN(2)/2))/(LN(2)/2)*CG94*CJ94*VLOOKUP('Données projet'!$B$12,Paramètres!$A$1:$I$89,3,0)*0.475*44/12</f>
        <v>0</v>
      </c>
      <c r="CN94" s="22">
        <f t="shared" si="66"/>
        <v>0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81.806400000000124</v>
      </c>
      <c r="D95" s="11">
        <f t="shared" si="86"/>
        <v>22.578282710556053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805.77649811657409</v>
      </c>
      <c r="H95" s="67">
        <f t="shared" si="56"/>
        <v>475.1366557208853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0</v>
      </c>
      <c r="O95" s="13">
        <f>N95*VLOOKUP('Données projet'!$B$9,Paramètres!$A$1:$I$89,3,0)*VLOOKUP('Données projet'!$B$9,Paramètres!$A$1:$I$89,5,0)</f>
        <v>0</v>
      </c>
      <c r="P95" s="13" t="e">
        <f t="shared" si="87"/>
        <v>#NUM!</v>
      </c>
      <c r="Q95" s="20" t="e">
        <f t="shared" si="54"/>
        <v>#NUM!</v>
      </c>
      <c r="R95" s="59" t="e">
        <f t="shared" si="55"/>
        <v>#NUM!</v>
      </c>
      <c r="S95" s="59">
        <f ca="1">AVERAGE(OFFSET($R$3,0,0,'Données projet'!$E$9+1,1))-AVERAGE(OFFSET($H$3,0,0,'Données projet'!$E$9+1,1))</f>
        <v>72.647148358003676</v>
      </c>
      <c r="T95" s="59">
        <f t="shared" si="88"/>
        <v>87.231299224620898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0.37273320092044088</v>
      </c>
      <c r="AA95" s="21">
        <f>EXP(-LN(2)/25)*AA94+(1-EXP(-LN(2)/25))/(LN(2)/25)*Calculateur!V95*Calculateur!X95*VLOOKUP('Données projet'!$B$9,Paramètres!$A$1:$I$89,3,0)*0.475*44/12</f>
        <v>0.81217933754444926</v>
      </c>
      <c r="AB95" s="21">
        <f>EXP(-LN(2)/2)*AB94+(1-EXP(-LN(2)/2))/(LN(2)/2)*V95*Y95*VLOOKUP('Données projet'!$B$9,Paramètres!$A$1:$I$89,3,0)*0.475*44/12</f>
        <v>1.0621250217178768E-9</v>
      </c>
      <c r="AC95" s="22">
        <f t="shared" si="57"/>
        <v>1.1849125395270153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-8.5265128291212022E-14</v>
      </c>
      <c r="AJ95" s="13">
        <f>AI95*VLOOKUP('Données projet'!$B$10,Paramètres!$A$1:$I$89,3,0)*VLOOKUP('Données projet'!$B$10,Paramètres!$A$1:$I$89,5,0)</f>
        <v>-6.9167072069831198E-14</v>
      </c>
      <c r="AK95" s="13" t="e">
        <f t="shared" si="89"/>
        <v>#NUM!</v>
      </c>
      <c r="AL95" s="20" t="e">
        <f t="shared" si="58"/>
        <v>#NUM!</v>
      </c>
      <c r="AM95" s="59" t="e">
        <f t="shared" si="59"/>
        <v>#NUM!</v>
      </c>
      <c r="AN95" s="59">
        <f ca="1">AVERAGE(OFFSET($AM$3,0,0,'Données projet'!$E$10+1,1))-AVERAGE(OFFSET($H$3,0,0,'Données projet'!$E$10+1,1))</f>
        <v>145.3656871223958</v>
      </c>
      <c r="AO95" s="59">
        <f t="shared" si="90"/>
        <v>180.54762778843178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0</v>
      </c>
      <c r="AV95" s="21">
        <f>EXP(-LN(2)/25)*AV94+(1-EXP(-LN(2)/25))/(LN(2)/25)*Calculateur!AQ95*Calculateur!AS95*VLOOKUP('Données projet'!$B$10,Paramètres!$A$1:$I$89,3,0)*0.475*44/12</f>
        <v>0.99679765931647246</v>
      </c>
      <c r="AW95" s="21">
        <f>EXP(-LN(2)/2)*AW94+(1-EXP(-LN(2)/2))/(LN(2)/2)*AQ95*AT95*VLOOKUP('Données projet'!$B$10,Paramètres!$A$1:$I$89,3,0)*0.475*44/12</f>
        <v>3.8008002965200715E-9</v>
      </c>
      <c r="AX95" s="21">
        <f t="shared" si="60"/>
        <v>0.9967976631172728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3.7</v>
      </c>
      <c r="BD95" s="12">
        <f>IF('Données projet'!$A$88&gt;35,BD94+BC95-BL94,IF(A95&lt;'Données projet'!$A$88,$BA$205^A95,IF(A95='Données projet'!$A$88,'Données projet'!$B$88,BD94+BC95-BL94)))</f>
        <v>200.40000000000006</v>
      </c>
      <c r="BE95" s="13">
        <f>BD95*VLOOKUP('Données projet'!$B$11,Paramètres!$A$1:$I$89,3,0)*VLOOKUP('Données projet'!$B$11,Paramètres!$A$1:$I$89,5,0)</f>
        <v>181.32192000000006</v>
      </c>
      <c r="BF95" s="13">
        <f t="shared" si="91"/>
        <v>45.616163648177974</v>
      </c>
      <c r="BG95" s="20">
        <f t="shared" si="61"/>
        <v>395.25049568724336</v>
      </c>
      <c r="BH95" s="59">
        <f t="shared" si="62"/>
        <v>688.58382902057667</v>
      </c>
      <c r="BI95" s="59">
        <f ca="1">AVERAGE(OFFSET($BH$3,0,0,'Données projet'!$E$11+1,1))-AVERAGE(OFFSET($H$3,0,0,'Données projet'!$E$11+1,1))</f>
        <v>138.8931001150624</v>
      </c>
      <c r="BJ95" s="59">
        <f t="shared" si="92"/>
        <v>48.964659354096625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>
        <f>EXP(-LN(2)/35)*BP94+(1-EXP(-LN(2)/35))/(LN(2)/35)*BL95*BM95*VLOOKUP('Données projet'!$B$11,Paramètres!$A$1:$I$89,3,0)*0.475*44/12</f>
        <v>0</v>
      </c>
      <c r="BQ95" s="21">
        <f>EXP(-LN(2)/25)*BQ94+(1-EXP(-LN(2)/25))/(LN(2)/25)*Calculateur!BL95*Calculateur!BN95*VLOOKUP('Données projet'!$B$11,Paramètres!$A$1:$I$89,3,0)*0.475*44/12</f>
        <v>0</v>
      </c>
      <c r="BR95" s="21">
        <f>EXP(-LN(2)/2)*BR94+(1-EXP(-LN(2)/2))/(LN(2)/2)*BL95*BO95*VLOOKUP('Données projet'!$B$11,Paramètres!$A$1:$I$89,3,0)*0.475*44/12</f>
        <v>0</v>
      </c>
      <c r="BS95" s="22">
        <f t="shared" si="63"/>
        <v>0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3.7</v>
      </c>
      <c r="BY95" s="12">
        <f>IF('Données projet'!$A$114&gt;35,BY94+BX95-CG94,IF(A95&lt;'Données projet'!$A$114,$BV$205^A95,IF(A95='Données projet'!$A$114,'Données projet'!$B$114,BY94+BX95-CG94)))</f>
        <v>200.40000000000015</v>
      </c>
      <c r="BZ95" s="13">
        <f>BY95*VLOOKUP('Données projet'!$B$12,Paramètres!$A$1:$I$89,3,0)*VLOOKUP('Données projet'!$B$12,Paramètres!$A$1:$I$89,5,0)</f>
        <v>193.82688000000016</v>
      </c>
      <c r="CA95" s="13">
        <f t="shared" si="93"/>
        <v>48.385037249451258</v>
      </c>
      <c r="CB95" s="20">
        <f t="shared" si="64"/>
        <v>421.8524225427945</v>
      </c>
      <c r="CC95" s="59">
        <f t="shared" si="65"/>
        <v>715.18575587612781</v>
      </c>
      <c r="CD95" s="59">
        <f ca="1">AVERAGE(OFFSET($CC$3,0,0,'Données projet'!$E$12+1,1))-AVERAGE(OFFSET($H$3,0,0,'Données projet'!$E$12+1,1))</f>
        <v>154.93882427988234</v>
      </c>
      <c r="CE95" s="59">
        <f t="shared" si="94"/>
        <v>56.347130462109817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>
        <f>EXP(-LN(2)/35)*CK94+(1-EXP(-LN(2)/35))/(LN(2)/35)*CG95*CH95*VLOOKUP('Données projet'!$B$12,Paramètres!$A$1:$I$89,3,0)*0.475*44/12</f>
        <v>0</v>
      </c>
      <c r="CL95" s="21">
        <f>EXP(-LN(2)/25)*CL94+(1-EXP(-LN(2)/25))/(LN(2)/25)*Calculateur!CG95*Calculateur!CI95*VLOOKUP('Données projet'!$B$12,Paramètres!$A$1:$I$89,3,0)*0.475*44/12</f>
        <v>0</v>
      </c>
      <c r="CM95" s="21">
        <f>EXP(-LN(2)/2)*CM94+(1-EXP(-LN(2)/2))/(LN(2)/2)*CG95*CJ95*VLOOKUP('Données projet'!$B$12,Paramètres!$A$1:$I$89,3,0)*0.475*44/12</f>
        <v>0</v>
      </c>
      <c r="CN95" s="22">
        <f t="shared" si="66"/>
        <v>0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82.695600000000127</v>
      </c>
      <c r="D96" s="11">
        <f t="shared" si="86"/>
        <v>22.794995761747877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814.31337079244076</v>
      </c>
      <c r="H96" s="67">
        <f t="shared" si="56"/>
        <v>477.06278761837774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0</v>
      </c>
      <c r="O96" s="13">
        <f>N96*VLOOKUP('Données projet'!$B$9,Paramètres!$A$1:$I$89,3,0)*VLOOKUP('Données projet'!$B$9,Paramètres!$A$1:$I$89,5,0)</f>
        <v>0</v>
      </c>
      <c r="P96" s="13" t="e">
        <f t="shared" si="87"/>
        <v>#NUM!</v>
      </c>
      <c r="Q96" s="20" t="e">
        <f t="shared" si="54"/>
        <v>#NUM!</v>
      </c>
      <c r="R96" s="59" t="e">
        <f t="shared" si="55"/>
        <v>#NUM!</v>
      </c>
      <c r="S96" s="59">
        <f ca="1">AVERAGE(OFFSET($R$3,0,0,'Données projet'!$E$9+1,1))-AVERAGE(OFFSET($H$3,0,0,'Données projet'!$E$9+1,1))</f>
        <v>72.647148358003676</v>
      </c>
      <c r="T96" s="59">
        <f t="shared" si="88"/>
        <v>87.231299224620898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0.36542413019519515</v>
      </c>
      <c r="AA96" s="21">
        <f>EXP(-LN(2)/25)*AA95+(1-EXP(-LN(2)/25))/(LN(2)/25)*Calculateur!V96*Calculateur!X96*VLOOKUP('Données projet'!$B$9,Paramètres!$A$1:$I$89,3,0)*0.475*44/12</f>
        <v>0.78997025084864125</v>
      </c>
      <c r="AB96" s="21">
        <f>EXP(-LN(2)/2)*AB95+(1-EXP(-LN(2)/2))/(LN(2)/2)*V96*Y96*VLOOKUP('Données projet'!$B$9,Paramètres!$A$1:$I$89,3,0)*0.475*44/12</f>
        <v>7.5103580532461974E-10</v>
      </c>
      <c r="AC96" s="22">
        <f t="shared" si="57"/>
        <v>1.1553943817948722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-8.5265128291212022E-14</v>
      </c>
      <c r="AJ96" s="13">
        <f>AI96*VLOOKUP('Données projet'!$B$10,Paramètres!$A$1:$I$89,3,0)*VLOOKUP('Données projet'!$B$10,Paramètres!$A$1:$I$89,5,0)</f>
        <v>-6.9167072069831198E-14</v>
      </c>
      <c r="AK96" s="13" t="e">
        <f t="shared" si="89"/>
        <v>#NUM!</v>
      </c>
      <c r="AL96" s="20" t="e">
        <f t="shared" si="58"/>
        <v>#NUM!</v>
      </c>
      <c r="AM96" s="59" t="e">
        <f t="shared" si="59"/>
        <v>#NUM!</v>
      </c>
      <c r="AN96" s="59">
        <f ca="1">AVERAGE(OFFSET($AM$3,0,0,'Données projet'!$E$10+1,1))-AVERAGE(OFFSET($H$3,0,0,'Données projet'!$E$10+1,1))</f>
        <v>145.3656871223958</v>
      </c>
      <c r="AO96" s="59">
        <f t="shared" si="90"/>
        <v>180.54762778843178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0</v>
      </c>
      <c r="AV96" s="21">
        <f>EXP(-LN(2)/25)*AV95+(1-EXP(-LN(2)/25))/(LN(2)/25)*Calculateur!AQ96*Calculateur!AS96*VLOOKUP('Données projet'!$B$10,Paramètres!$A$1:$I$89,3,0)*0.475*44/12</f>
        <v>0.96954017490315281</v>
      </c>
      <c r="AW96" s="21">
        <f>EXP(-LN(2)/2)*AW95+(1-EXP(-LN(2)/2))/(LN(2)/2)*AQ96*AT96*VLOOKUP('Données projet'!$B$10,Paramètres!$A$1:$I$89,3,0)*0.475*44/12</f>
        <v>2.6875716636051832E-9</v>
      </c>
      <c r="AX96" s="21">
        <f t="shared" si="60"/>
        <v>0.96954017759072442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3.7</v>
      </c>
      <c r="BD96" s="12">
        <f>IF('Données projet'!$A$88&gt;35,BD95+BC96-BL95,IF(A96&lt;'Données projet'!$A$88,$BA$205^A96,IF(A96='Données projet'!$A$88,'Données projet'!$B$88,BD95+BC96-BL95)))</f>
        <v>204.10000000000005</v>
      </c>
      <c r="BE96" s="13">
        <f>BD96*VLOOKUP('Données projet'!$B$11,Paramètres!$A$1:$I$89,3,0)*VLOOKUP('Données projet'!$B$11,Paramètres!$A$1:$I$89,5,0)</f>
        <v>184.66968000000006</v>
      </c>
      <c r="BF96" s="13">
        <f t="shared" si="91"/>
        <v>46.359550248246585</v>
      </c>
      <c r="BG96" s="20">
        <f t="shared" si="61"/>
        <v>402.37590934902954</v>
      </c>
      <c r="BH96" s="59">
        <f t="shared" si="62"/>
        <v>695.70924268236286</v>
      </c>
      <c r="BI96" s="59">
        <f ca="1">AVERAGE(OFFSET($BH$3,0,0,'Données projet'!$E$11+1,1))-AVERAGE(OFFSET($H$3,0,0,'Données projet'!$E$11+1,1))</f>
        <v>138.8931001150624</v>
      </c>
      <c r="BJ96" s="59">
        <f t="shared" si="92"/>
        <v>48.964659354096625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>
        <f>EXP(-LN(2)/35)*BP95+(1-EXP(-LN(2)/35))/(LN(2)/35)*BL96*BM96*VLOOKUP('Données projet'!$B$11,Paramètres!$A$1:$I$89,3,0)*0.475*44/12</f>
        <v>0</v>
      </c>
      <c r="BQ96" s="21">
        <f>EXP(-LN(2)/25)*BQ95+(1-EXP(-LN(2)/25))/(LN(2)/25)*Calculateur!BL96*Calculateur!BN96*VLOOKUP('Données projet'!$B$11,Paramètres!$A$1:$I$89,3,0)*0.475*44/12</f>
        <v>0</v>
      </c>
      <c r="BR96" s="21">
        <f>EXP(-LN(2)/2)*BR95+(1-EXP(-LN(2)/2))/(LN(2)/2)*BL96*BO96*VLOOKUP('Données projet'!$B$11,Paramètres!$A$1:$I$89,3,0)*0.475*44/12</f>
        <v>0</v>
      </c>
      <c r="BS96" s="22">
        <f t="shared" si="63"/>
        <v>0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3.7</v>
      </c>
      <c r="BY96" s="12">
        <f>IF('Données projet'!$A$114&gt;35,BY95+BX96-CG95,IF(A96&lt;'Données projet'!$A$114,$BV$205^A96,IF(A96='Données projet'!$A$114,'Données projet'!$B$114,BY95+BX96-CG95)))</f>
        <v>204.10000000000014</v>
      </c>
      <c r="BZ96" s="13">
        <f>BY96*VLOOKUP('Données projet'!$B$12,Paramètres!$A$1:$I$89,3,0)*VLOOKUP('Données projet'!$B$12,Paramètres!$A$1:$I$89,5,0)</f>
        <v>197.40552000000014</v>
      </c>
      <c r="CA96" s="13">
        <f t="shared" si="93"/>
        <v>49.173546967464326</v>
      </c>
      <c r="CB96" s="20">
        <f t="shared" si="64"/>
        <v>429.45854163500059</v>
      </c>
      <c r="CC96" s="59">
        <f t="shared" si="65"/>
        <v>722.7918749683339</v>
      </c>
      <c r="CD96" s="59">
        <f ca="1">AVERAGE(OFFSET($CC$3,0,0,'Données projet'!$E$12+1,1))-AVERAGE(OFFSET($H$3,0,0,'Données projet'!$E$12+1,1))</f>
        <v>154.93882427988234</v>
      </c>
      <c r="CE96" s="59">
        <f t="shared" si="94"/>
        <v>56.347130462109817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>
        <f>EXP(-LN(2)/35)*CK95+(1-EXP(-LN(2)/35))/(LN(2)/35)*CG96*CH96*VLOOKUP('Données projet'!$B$12,Paramètres!$A$1:$I$89,3,0)*0.475*44/12</f>
        <v>0</v>
      </c>
      <c r="CL96" s="21">
        <f>EXP(-LN(2)/25)*CL95+(1-EXP(-LN(2)/25))/(LN(2)/25)*Calculateur!CG96*Calculateur!CI96*VLOOKUP('Données projet'!$B$12,Paramètres!$A$1:$I$89,3,0)*0.475*44/12</f>
        <v>0</v>
      </c>
      <c r="CM96" s="21">
        <f>EXP(-LN(2)/2)*CM95+(1-EXP(-LN(2)/2))/(LN(2)/2)*CG96*CJ96*VLOOKUP('Données projet'!$B$12,Paramètres!$A$1:$I$89,3,0)*0.475*44/12</f>
        <v>0</v>
      </c>
      <c r="CN96" s="22">
        <f t="shared" si="66"/>
        <v>0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83.584800000000129</v>
      </c>
      <c r="D97" s="11">
        <f t="shared" si="86"/>
        <v>23.011437736237649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822.84815094639691</v>
      </c>
      <c r="H97" s="67">
        <f t="shared" si="56"/>
        <v>478.98844739061411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0</v>
      </c>
      <c r="O97" s="13">
        <f>N97*VLOOKUP('Données projet'!$B$9,Paramètres!$A$1:$I$89,3,0)*VLOOKUP('Données projet'!$B$9,Paramètres!$A$1:$I$89,5,0)</f>
        <v>0</v>
      </c>
      <c r="P97" s="13" t="e">
        <f t="shared" si="87"/>
        <v>#NUM!</v>
      </c>
      <c r="Q97" s="20" t="e">
        <f t="shared" si="54"/>
        <v>#NUM!</v>
      </c>
      <c r="R97" s="59" t="e">
        <f t="shared" si="55"/>
        <v>#NUM!</v>
      </c>
      <c r="S97" s="59">
        <f ca="1">AVERAGE(OFFSET($R$3,0,0,'Données projet'!$E$9+1,1))-AVERAGE(OFFSET($H$3,0,0,'Données projet'!$E$9+1,1))</f>
        <v>72.647148358003676</v>
      </c>
      <c r="T97" s="59">
        <f t="shared" si="88"/>
        <v>87.231299224620898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0.35825838588877856</v>
      </c>
      <c r="AA97" s="21">
        <f>EXP(-LN(2)/25)*AA96+(1-EXP(-LN(2)/25))/(LN(2)/25)*Calculateur!V97*Calculateur!X97*VLOOKUP('Données projet'!$B$9,Paramètres!$A$1:$I$89,3,0)*0.475*44/12</f>
        <v>0.76836847279645515</v>
      </c>
      <c r="AB97" s="21">
        <f>EXP(-LN(2)/2)*AB96+(1-EXP(-LN(2)/2))/(LN(2)/2)*V97*Y97*VLOOKUP('Données projet'!$B$9,Paramètres!$A$1:$I$89,3,0)*0.475*44/12</f>
        <v>5.3106251085893839E-10</v>
      </c>
      <c r="AC97" s="22">
        <f t="shared" si="57"/>
        <v>1.1266268592162962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-8.5265128291212022E-14</v>
      </c>
      <c r="AJ97" s="13">
        <f>AI97*VLOOKUP('Données projet'!$B$10,Paramètres!$A$1:$I$89,3,0)*VLOOKUP('Données projet'!$B$10,Paramètres!$A$1:$I$89,5,0)</f>
        <v>-6.9167072069831198E-14</v>
      </c>
      <c r="AK97" s="13" t="e">
        <f t="shared" si="89"/>
        <v>#NUM!</v>
      </c>
      <c r="AL97" s="20" t="e">
        <f t="shared" si="58"/>
        <v>#NUM!</v>
      </c>
      <c r="AM97" s="59" t="e">
        <f t="shared" si="59"/>
        <v>#NUM!</v>
      </c>
      <c r="AN97" s="59">
        <f ca="1">AVERAGE(OFFSET($AM$3,0,0,'Données projet'!$E$10+1,1))-AVERAGE(OFFSET($H$3,0,0,'Données projet'!$E$10+1,1))</f>
        <v>145.3656871223958</v>
      </c>
      <c r="AO97" s="59">
        <f t="shared" si="90"/>
        <v>180.54762778843178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0</v>
      </c>
      <c r="AV97" s="21">
        <f>EXP(-LN(2)/25)*AV96+(1-EXP(-LN(2)/25))/(LN(2)/25)*Calculateur!AQ97*Calculateur!AS97*VLOOKUP('Données projet'!$B$10,Paramètres!$A$1:$I$89,3,0)*0.475*44/12</f>
        <v>0.94302804783452421</v>
      </c>
      <c r="AW97" s="21">
        <f>EXP(-LN(2)/2)*AW96+(1-EXP(-LN(2)/2))/(LN(2)/2)*AQ97*AT97*VLOOKUP('Données projet'!$B$10,Paramètres!$A$1:$I$89,3,0)*0.475*44/12</f>
        <v>1.9004001482600357E-9</v>
      </c>
      <c r="AX97" s="21">
        <f t="shared" si="60"/>
        <v>0.94302804973492438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3.7</v>
      </c>
      <c r="BD97" s="12">
        <f>IF('Données projet'!$A$88&gt;35,BD96+BC97-BL96,IF(A97&lt;'Données projet'!$A$88,$BA$205^A97,IF(A97='Données projet'!$A$88,'Données projet'!$B$88,BD96+BC97-BL96)))</f>
        <v>207.80000000000004</v>
      </c>
      <c r="BE97" s="13">
        <f>BD97*VLOOKUP('Données projet'!$B$11,Paramètres!$A$1:$I$89,3,0)*VLOOKUP('Données projet'!$B$11,Paramètres!$A$1:$I$89,5,0)</f>
        <v>188.01744000000002</v>
      </c>
      <c r="BF97" s="13">
        <f t="shared" si="91"/>
        <v>47.101369760097391</v>
      </c>
      <c r="BG97" s="20">
        <f t="shared" si="61"/>
        <v>409.49859366550299</v>
      </c>
      <c r="BH97" s="59">
        <f t="shared" si="62"/>
        <v>702.83192699883625</v>
      </c>
      <c r="BI97" s="59">
        <f ca="1">AVERAGE(OFFSET($BH$3,0,0,'Données projet'!$E$11+1,1))-AVERAGE(OFFSET($H$3,0,0,'Données projet'!$E$11+1,1))</f>
        <v>138.8931001150624</v>
      </c>
      <c r="BJ97" s="59">
        <f t="shared" si="92"/>
        <v>48.964659354096625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>
        <f>EXP(-LN(2)/35)*BP96+(1-EXP(-LN(2)/35))/(LN(2)/35)*BL97*BM97*VLOOKUP('Données projet'!$B$11,Paramètres!$A$1:$I$89,3,0)*0.475*44/12</f>
        <v>0</v>
      </c>
      <c r="BQ97" s="21">
        <f>EXP(-LN(2)/25)*BQ96+(1-EXP(-LN(2)/25))/(LN(2)/25)*Calculateur!BL97*Calculateur!BN97*VLOOKUP('Données projet'!$B$11,Paramètres!$A$1:$I$89,3,0)*0.475*44/12</f>
        <v>0</v>
      </c>
      <c r="BR97" s="21">
        <f>EXP(-LN(2)/2)*BR96+(1-EXP(-LN(2)/2))/(LN(2)/2)*BL97*BO97*VLOOKUP('Données projet'!$B$11,Paramètres!$A$1:$I$89,3,0)*0.475*44/12</f>
        <v>0</v>
      </c>
      <c r="BS97" s="22">
        <f t="shared" si="63"/>
        <v>0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3.7</v>
      </c>
      <c r="BY97" s="12">
        <f>IF('Données projet'!$A$114&gt;35,BY96+BX97-CG96,IF(A97&lt;'Données projet'!$A$114,$BV$205^A97,IF(A97='Données projet'!$A$114,'Données projet'!$B$114,BY96+BX97-CG96)))</f>
        <v>207.80000000000013</v>
      </c>
      <c r="BZ97" s="13">
        <f>BY97*VLOOKUP('Données projet'!$B$12,Paramètres!$A$1:$I$89,3,0)*VLOOKUP('Données projet'!$B$12,Paramètres!$A$1:$I$89,5,0)</f>
        <v>200.98416000000012</v>
      </c>
      <c r="CA97" s="13">
        <f t="shared" si="93"/>
        <v>49.960394475950601</v>
      </c>
      <c r="CB97" s="20">
        <f t="shared" si="64"/>
        <v>437.06176571228087</v>
      </c>
      <c r="CC97" s="59">
        <f t="shared" si="65"/>
        <v>730.39509904561419</v>
      </c>
      <c r="CD97" s="59">
        <f ca="1">AVERAGE(OFFSET($CC$3,0,0,'Données projet'!$E$12+1,1))-AVERAGE(OFFSET($H$3,0,0,'Données projet'!$E$12+1,1))</f>
        <v>154.93882427988234</v>
      </c>
      <c r="CE97" s="59">
        <f t="shared" si="94"/>
        <v>56.347130462109817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>
        <f>EXP(-LN(2)/35)*CK96+(1-EXP(-LN(2)/35))/(LN(2)/35)*CG97*CH97*VLOOKUP('Données projet'!$B$12,Paramètres!$A$1:$I$89,3,0)*0.475*44/12</f>
        <v>0</v>
      </c>
      <c r="CL97" s="21">
        <f>EXP(-LN(2)/25)*CL96+(1-EXP(-LN(2)/25))/(LN(2)/25)*Calculateur!CG97*Calculateur!CI97*VLOOKUP('Données projet'!$B$12,Paramètres!$A$1:$I$89,3,0)*0.475*44/12</f>
        <v>0</v>
      </c>
      <c r="CM97" s="21">
        <f>EXP(-LN(2)/2)*CM96+(1-EXP(-LN(2)/2))/(LN(2)/2)*CG97*CJ97*VLOOKUP('Données projet'!$B$12,Paramètres!$A$1:$I$89,3,0)*0.475*44/12</f>
        <v>0</v>
      </c>
      <c r="CN97" s="22">
        <f t="shared" si="66"/>
        <v>0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84.474000000000132</v>
      </c>
      <c r="D98" s="11">
        <f t="shared" si="86"/>
        <v>23.227611851623202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831.38086341603992</v>
      </c>
      <c r="H98" s="67">
        <f t="shared" si="56"/>
        <v>480.91364064157727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0</v>
      </c>
      <c r="O98" s="13">
        <f>N98*VLOOKUP('Données projet'!$B$9,Paramètres!$A$1:$I$89,3,0)*VLOOKUP('Données projet'!$B$9,Paramètres!$A$1:$I$89,5,0)</f>
        <v>0</v>
      </c>
      <c r="P98" s="13" t="e">
        <f t="shared" si="87"/>
        <v>#NUM!</v>
      </c>
      <c r="Q98" s="20" t="e">
        <f t="shared" si="54"/>
        <v>#NUM!</v>
      </c>
      <c r="R98" s="59" t="e">
        <f t="shared" si="55"/>
        <v>#NUM!</v>
      </c>
      <c r="S98" s="59">
        <f ca="1">AVERAGE(OFFSET($R$3,0,0,'Données projet'!$E$9+1,1))-AVERAGE(OFFSET($H$3,0,0,'Données projet'!$E$9+1,1))</f>
        <v>72.647148358003676</v>
      </c>
      <c r="T98" s="59">
        <f t="shared" si="88"/>
        <v>87.231299224620898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0.35123315745753836</v>
      </c>
      <c r="AA98" s="21">
        <f>EXP(-LN(2)/25)*AA97+(1-EXP(-LN(2)/25))/(LN(2)/25)*Calculateur!V98*Calculateur!X98*VLOOKUP('Données projet'!$B$9,Paramètres!$A$1:$I$89,3,0)*0.475*44/12</f>
        <v>0.74735739650109423</v>
      </c>
      <c r="AB98" s="21">
        <f>EXP(-LN(2)/2)*AB97+(1-EXP(-LN(2)/2))/(LN(2)/2)*V98*Y98*VLOOKUP('Données projet'!$B$9,Paramètres!$A$1:$I$89,3,0)*0.475*44/12</f>
        <v>3.7551790266230987E-10</v>
      </c>
      <c r="AC98" s="22">
        <f t="shared" si="57"/>
        <v>1.0985905543341503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-8.5265128291212022E-14</v>
      </c>
      <c r="AJ98" s="13">
        <f>AI98*VLOOKUP('Données projet'!$B$10,Paramètres!$A$1:$I$89,3,0)*VLOOKUP('Données projet'!$B$10,Paramètres!$A$1:$I$89,5,0)</f>
        <v>-6.9167072069831198E-14</v>
      </c>
      <c r="AK98" s="13" t="e">
        <f t="shared" si="89"/>
        <v>#NUM!</v>
      </c>
      <c r="AL98" s="20" t="e">
        <f t="shared" si="58"/>
        <v>#NUM!</v>
      </c>
      <c r="AM98" s="59" t="e">
        <f t="shared" si="59"/>
        <v>#NUM!</v>
      </c>
      <c r="AN98" s="59">
        <f ca="1">AVERAGE(OFFSET($AM$3,0,0,'Données projet'!$E$10+1,1))-AVERAGE(OFFSET($H$3,0,0,'Données projet'!$E$10+1,1))</f>
        <v>145.3656871223958</v>
      </c>
      <c r="AO98" s="59">
        <f t="shared" si="90"/>
        <v>180.54762778843178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0</v>
      </c>
      <c r="AV98" s="21">
        <f>EXP(-LN(2)/25)*AV97+(1-EXP(-LN(2)/25))/(LN(2)/25)*Calculateur!AQ98*Calculateur!AS98*VLOOKUP('Données projet'!$B$10,Paramètres!$A$1:$I$89,3,0)*0.475*44/12</f>
        <v>0.91724089627479943</v>
      </c>
      <c r="AW98" s="21">
        <f>EXP(-LN(2)/2)*AW97+(1-EXP(-LN(2)/2))/(LN(2)/2)*AQ98*AT98*VLOOKUP('Données projet'!$B$10,Paramètres!$A$1:$I$89,3,0)*0.475*44/12</f>
        <v>1.3437858318025916E-9</v>
      </c>
      <c r="AX98" s="21">
        <f t="shared" si="60"/>
        <v>0.91724089761858529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3.7</v>
      </c>
      <c r="BD98" s="12">
        <f>IF('Données projet'!$A$88&gt;35,BD97+BC98-BL97,IF(A98&lt;'Données projet'!$A$88,$BA$205^A98,IF(A98='Données projet'!$A$88,'Données projet'!$B$88,BD97+BC98-BL97)))</f>
        <v>211.50000000000003</v>
      </c>
      <c r="BE98" s="13">
        <f>BD98*VLOOKUP('Données projet'!$B$11,Paramètres!$A$1:$I$89,3,0)*VLOOKUP('Données projet'!$B$11,Paramètres!$A$1:$I$89,5,0)</f>
        <v>191.36520000000002</v>
      </c>
      <c r="BF98" s="13">
        <f t="shared" si="91"/>
        <v>47.841653305605021</v>
      </c>
      <c r="BG98" s="20">
        <f t="shared" si="61"/>
        <v>416.61860284059543</v>
      </c>
      <c r="BH98" s="59">
        <f t="shared" si="62"/>
        <v>709.95193617392874</v>
      </c>
      <c r="BI98" s="59">
        <f ca="1">AVERAGE(OFFSET($BH$3,0,0,'Données projet'!$E$11+1,1))-AVERAGE(OFFSET($H$3,0,0,'Données projet'!$E$11+1,1))</f>
        <v>138.8931001150624</v>
      </c>
      <c r="BJ98" s="59">
        <f t="shared" si="92"/>
        <v>48.964659354096625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>
        <f>EXP(-LN(2)/35)*BP97+(1-EXP(-LN(2)/35))/(LN(2)/35)*BL98*BM98*VLOOKUP('Données projet'!$B$11,Paramètres!$A$1:$I$89,3,0)*0.475*44/12</f>
        <v>0</v>
      </c>
      <c r="BQ98" s="21">
        <f>EXP(-LN(2)/25)*BQ97+(1-EXP(-LN(2)/25))/(LN(2)/25)*Calculateur!BL98*Calculateur!BN98*VLOOKUP('Données projet'!$B$11,Paramètres!$A$1:$I$89,3,0)*0.475*44/12</f>
        <v>0</v>
      </c>
      <c r="BR98" s="21">
        <f>EXP(-LN(2)/2)*BR97+(1-EXP(-LN(2)/2))/(LN(2)/2)*BL98*BO98*VLOOKUP('Données projet'!$B$11,Paramètres!$A$1:$I$89,3,0)*0.475*44/12</f>
        <v>0</v>
      </c>
      <c r="BS98" s="22">
        <f t="shared" si="63"/>
        <v>0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3.7</v>
      </c>
      <c r="BY98" s="12">
        <f>IF('Données projet'!$A$114&gt;35,BY97+BX98-CG97,IF(A98&lt;'Données projet'!$A$114,$BV$205^A98,IF(A98='Données projet'!$A$114,'Données projet'!$B$114,BY97+BX98-CG97)))</f>
        <v>211.50000000000011</v>
      </c>
      <c r="BZ98" s="13">
        <f>BY98*VLOOKUP('Données projet'!$B$12,Paramètres!$A$1:$I$89,3,0)*VLOOKUP('Données projet'!$B$12,Paramètres!$A$1:$I$89,5,0)</f>
        <v>204.56280000000012</v>
      </c>
      <c r="CA98" s="13">
        <f t="shared" si="93"/>
        <v>50.745612785863763</v>
      </c>
      <c r="CB98" s="20">
        <f t="shared" si="64"/>
        <v>444.66215226871287</v>
      </c>
      <c r="CC98" s="59">
        <f t="shared" si="65"/>
        <v>737.99548560204619</v>
      </c>
      <c r="CD98" s="59">
        <f ca="1">AVERAGE(OFFSET($CC$3,0,0,'Données projet'!$E$12+1,1))-AVERAGE(OFFSET($H$3,0,0,'Données projet'!$E$12+1,1))</f>
        <v>154.93882427988234</v>
      </c>
      <c r="CE98" s="59">
        <f t="shared" si="94"/>
        <v>56.347130462109817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>
        <f>EXP(-LN(2)/35)*CK97+(1-EXP(-LN(2)/35))/(LN(2)/35)*CG98*CH98*VLOOKUP('Données projet'!$B$12,Paramètres!$A$1:$I$89,3,0)*0.475*44/12</f>
        <v>0</v>
      </c>
      <c r="CL98" s="21">
        <f>EXP(-LN(2)/25)*CL97+(1-EXP(-LN(2)/25))/(LN(2)/25)*Calculateur!CG98*Calculateur!CI98*VLOOKUP('Données projet'!$B$12,Paramètres!$A$1:$I$89,3,0)*0.475*44/12</f>
        <v>0</v>
      </c>
      <c r="CM98" s="21">
        <f>EXP(-LN(2)/2)*CM97+(1-EXP(-LN(2)/2))/(LN(2)/2)*CG98*CJ98*VLOOKUP('Données projet'!$B$12,Paramètres!$A$1:$I$89,3,0)*0.475*44/12</f>
        <v>0</v>
      </c>
      <c r="CN98" s="22">
        <f t="shared" si="66"/>
        <v>0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85.363200000000134</v>
      </c>
      <c r="D99" s="11">
        <f t="shared" si="86"/>
        <v>23.443521253861071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839.91153248594617</v>
      </c>
      <c r="H99" s="67">
        <f t="shared" si="56"/>
        <v>482.83837285047491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0</v>
      </c>
      <c r="O99" s="13">
        <f>N99*VLOOKUP('Données projet'!$B$9,Paramètres!$A$1:$I$89,3,0)*VLOOKUP('Données projet'!$B$9,Paramètres!$A$1:$I$89,5,0)</f>
        <v>0</v>
      </c>
      <c r="P99" s="13" t="e">
        <f t="shared" si="87"/>
        <v>#NUM!</v>
      </c>
      <c r="Q99" s="20" t="e">
        <f t="shared" ref="Q99:Q130" si="107">(O99+P99)*0.475*44/12</f>
        <v>#NUM!</v>
      </c>
      <c r="R99" s="59" t="e">
        <f t="shared" si="55"/>
        <v>#NUM!</v>
      </c>
      <c r="S99" s="59">
        <f ca="1">AVERAGE(OFFSET($R$3,0,0,'Données projet'!$E$9+1,1))-AVERAGE(OFFSET($H$3,0,0,'Données projet'!$E$9+1,1))</f>
        <v>72.647148358003676</v>
      </c>
      <c r="T99" s="59">
        <f t="shared" si="88"/>
        <v>87.231299224620898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0.34434568947086852</v>
      </c>
      <c r="AA99" s="21">
        <f>EXP(-LN(2)/25)*AA98+(1-EXP(-LN(2)/25))/(LN(2)/25)*Calculateur!V99*Calculateur!X99*VLOOKUP('Données projet'!$B$9,Paramètres!$A$1:$I$89,3,0)*0.475*44/12</f>
        <v>0.72692086919195442</v>
      </c>
      <c r="AB99" s="21">
        <f>EXP(-LN(2)/2)*AB98+(1-EXP(-LN(2)/2))/(LN(2)/2)*V99*Y99*VLOOKUP('Données projet'!$B$9,Paramètres!$A$1:$I$89,3,0)*0.475*44/12</f>
        <v>2.655312554294692E-10</v>
      </c>
      <c r="AC99" s="22">
        <f t="shared" si="57"/>
        <v>1.0712665589283541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-8.5265128291212022E-14</v>
      </c>
      <c r="AJ99" s="13">
        <f>AI99*VLOOKUP('Données projet'!$B$10,Paramètres!$A$1:$I$89,3,0)*VLOOKUP('Données projet'!$B$10,Paramètres!$A$1:$I$89,5,0)</f>
        <v>-6.9167072069831198E-14</v>
      </c>
      <c r="AK99" s="13" t="e">
        <f t="shared" si="89"/>
        <v>#NUM!</v>
      </c>
      <c r="AL99" s="20" t="e">
        <f t="shared" si="58"/>
        <v>#NUM!</v>
      </c>
      <c r="AM99" s="59" t="e">
        <f t="shared" si="59"/>
        <v>#NUM!</v>
      </c>
      <c r="AN99" s="59">
        <f ca="1">AVERAGE(OFFSET($AM$3,0,0,'Données projet'!$E$10+1,1))-AVERAGE(OFFSET($H$3,0,0,'Données projet'!$E$10+1,1))</f>
        <v>145.3656871223958</v>
      </c>
      <c r="AO99" s="59">
        <f t="shared" si="90"/>
        <v>180.54762778843178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0</v>
      </c>
      <c r="AV99" s="21">
        <f>EXP(-LN(2)/25)*AV98+(1-EXP(-LN(2)/25))/(LN(2)/25)*Calculateur!AQ99*Calculateur!AS99*VLOOKUP('Données projet'!$B$10,Paramètres!$A$1:$I$89,3,0)*0.475*44/12</f>
        <v>0.89215889573056273</v>
      </c>
      <c r="AW99" s="21">
        <f>EXP(-LN(2)/2)*AW98+(1-EXP(-LN(2)/2))/(LN(2)/2)*AQ99*AT99*VLOOKUP('Données projet'!$B$10,Paramètres!$A$1:$I$89,3,0)*0.475*44/12</f>
        <v>9.5020007413001787E-10</v>
      </c>
      <c r="AX99" s="21">
        <f t="shared" si="60"/>
        <v>0.89215889668076276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3.7</v>
      </c>
      <c r="BD99" s="12">
        <f>IF('Données projet'!$A$88&gt;35,BD98+BC99-BL98,IF(A99&lt;'Données projet'!$A$88,$BA$205^A99,IF(A99='Données projet'!$A$88,'Données projet'!$B$88,BD98+BC99-BL98)))</f>
        <v>215.20000000000002</v>
      </c>
      <c r="BE99" s="13">
        <f>BD99*VLOOKUP('Données projet'!$B$11,Paramètres!$A$1:$I$89,3,0)*VLOOKUP('Données projet'!$B$11,Paramètres!$A$1:$I$89,5,0)</f>
        <v>194.71296000000001</v>
      </c>
      <c r="BF99" s="13">
        <f t="shared" si="91"/>
        <v>48.580430855369244</v>
      </c>
      <c r="BG99" s="20">
        <f t="shared" si="61"/>
        <v>423.73598907310139</v>
      </c>
      <c r="BH99" s="59">
        <f t="shared" si="62"/>
        <v>717.06932240643471</v>
      </c>
      <c r="BI99" s="59">
        <f ca="1">AVERAGE(OFFSET($BH$3,0,0,'Données projet'!$E$11+1,1))-AVERAGE(OFFSET($H$3,0,0,'Données projet'!$E$11+1,1))</f>
        <v>138.8931001150624</v>
      </c>
      <c r="BJ99" s="59">
        <f t="shared" si="92"/>
        <v>48.964659354096625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>
        <f>EXP(-LN(2)/35)*BP98+(1-EXP(-LN(2)/35))/(LN(2)/35)*BL99*BM99*VLOOKUP('Données projet'!$B$11,Paramètres!$A$1:$I$89,3,0)*0.475*44/12</f>
        <v>0</v>
      </c>
      <c r="BQ99" s="21">
        <f>EXP(-LN(2)/25)*BQ98+(1-EXP(-LN(2)/25))/(LN(2)/25)*Calculateur!BL99*Calculateur!BN99*VLOOKUP('Données projet'!$B$11,Paramètres!$A$1:$I$89,3,0)*0.475*44/12</f>
        <v>0</v>
      </c>
      <c r="BR99" s="21">
        <f>EXP(-LN(2)/2)*BR98+(1-EXP(-LN(2)/2))/(LN(2)/2)*BL99*BO99*VLOOKUP('Données projet'!$B$11,Paramètres!$A$1:$I$89,3,0)*0.475*44/12</f>
        <v>0</v>
      </c>
      <c r="BS99" s="22">
        <f t="shared" si="63"/>
        <v>0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3.7</v>
      </c>
      <c r="BY99" s="12">
        <f>IF('Données projet'!$A$114&gt;35,BY98+BX99-CG98,IF(A99&lt;'Données projet'!$A$114,$BV$205^A99,IF(A99='Données projet'!$A$114,'Données projet'!$B$114,BY98+BX99-CG98)))</f>
        <v>215.2000000000001</v>
      </c>
      <c r="BZ99" s="13">
        <f>BY99*VLOOKUP('Données projet'!$B$12,Paramètres!$A$1:$I$89,3,0)*VLOOKUP('Données projet'!$B$12,Paramètres!$A$1:$I$89,5,0)</f>
        <v>208.1414400000001</v>
      </c>
      <c r="CA99" s="13">
        <f t="shared" si="93"/>
        <v>51.529233687000762</v>
      </c>
      <c r="CB99" s="20">
        <f t="shared" si="64"/>
        <v>452.25975667152653</v>
      </c>
      <c r="CC99" s="59">
        <f t="shared" si="65"/>
        <v>745.59309000485985</v>
      </c>
      <c r="CD99" s="59">
        <f ca="1">AVERAGE(OFFSET($CC$3,0,0,'Données projet'!$E$12+1,1))-AVERAGE(OFFSET($H$3,0,0,'Données projet'!$E$12+1,1))</f>
        <v>154.93882427988234</v>
      </c>
      <c r="CE99" s="59">
        <f t="shared" si="94"/>
        <v>56.347130462109817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>
        <f>EXP(-LN(2)/35)*CK98+(1-EXP(-LN(2)/35))/(LN(2)/35)*CG99*CH99*VLOOKUP('Données projet'!$B$12,Paramètres!$A$1:$I$89,3,0)*0.475*44/12</f>
        <v>0</v>
      </c>
      <c r="CL99" s="21">
        <f>EXP(-LN(2)/25)*CL98+(1-EXP(-LN(2)/25))/(LN(2)/25)*Calculateur!CG99*Calculateur!CI99*VLOOKUP('Données projet'!$B$12,Paramètres!$A$1:$I$89,3,0)*0.475*44/12</f>
        <v>0</v>
      </c>
      <c r="CM99" s="21">
        <f>EXP(-LN(2)/2)*CM98+(1-EXP(-LN(2)/2))/(LN(2)/2)*CG99*CJ99*VLOOKUP('Données projet'!$B$12,Paramètres!$A$1:$I$89,3,0)*0.475*44/12</f>
        <v>0</v>
      </c>
      <c r="CN99" s="22">
        <f t="shared" si="66"/>
        <v>0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86.252400000000137</v>
      </c>
      <c r="D100" s="11">
        <f t="shared" si="86"/>
        <v>23.659169019590845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848.44018190561474</v>
      </c>
      <c r="H100" s="67">
        <f t="shared" si="56"/>
        <v>484.76264937578765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0</v>
      </c>
      <c r="O100" s="13">
        <f>N100*VLOOKUP('Données projet'!$B$9,Paramètres!$A$1:$I$89,3,0)*VLOOKUP('Données projet'!$B$9,Paramètres!$A$1:$I$89,5,0)</f>
        <v>0</v>
      </c>
      <c r="P100" s="13" t="e">
        <f t="shared" si="87"/>
        <v>#NUM!</v>
      </c>
      <c r="Q100" s="20" t="e">
        <f t="shared" si="107"/>
        <v>#NUM!</v>
      </c>
      <c r="R100" s="59" t="e">
        <f t="shared" si="55"/>
        <v>#NUM!</v>
      </c>
      <c r="S100" s="59">
        <f ca="1">AVERAGE(OFFSET($R$3,0,0,'Données projet'!$E$9+1,1))-AVERAGE(OFFSET($H$3,0,0,'Données projet'!$E$9+1,1))</f>
        <v>72.647148358003676</v>
      </c>
      <c r="T100" s="59">
        <f t="shared" si="88"/>
        <v>87.231299224620898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0.3375932805304766</v>
      </c>
      <c r="AA100" s="21">
        <f>EXP(-LN(2)/25)*AA99+(1-EXP(-LN(2)/25))/(LN(2)/25)*Calculateur!V100*Calculateur!X100*VLOOKUP('Données projet'!$B$9,Paramètres!$A$1:$I$89,3,0)*0.475*44/12</f>
        <v>0.70704317979679332</v>
      </c>
      <c r="AB100" s="21">
        <f>EXP(-LN(2)/2)*AB99+(1-EXP(-LN(2)/2))/(LN(2)/2)*V100*Y100*VLOOKUP('Données projet'!$B$9,Paramètres!$A$1:$I$89,3,0)*0.475*44/12</f>
        <v>1.8775895133115494E-10</v>
      </c>
      <c r="AC100" s="22">
        <f t="shared" si="57"/>
        <v>1.0446364605150289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-8.5265128291212022E-14</v>
      </c>
      <c r="AJ100" s="13">
        <f>AI100*VLOOKUP('Données projet'!$B$10,Paramètres!$A$1:$I$89,3,0)*VLOOKUP('Données projet'!$B$10,Paramètres!$A$1:$I$89,5,0)</f>
        <v>-6.9167072069831198E-14</v>
      </c>
      <c r="AK100" s="13" t="e">
        <f t="shared" si="89"/>
        <v>#NUM!</v>
      </c>
      <c r="AL100" s="20" t="e">
        <f t="shared" si="58"/>
        <v>#NUM!</v>
      </c>
      <c r="AM100" s="59" t="e">
        <f t="shared" si="59"/>
        <v>#NUM!</v>
      </c>
      <c r="AN100" s="59">
        <f ca="1">AVERAGE(OFFSET($AM$3,0,0,'Données projet'!$E$10+1,1))-AVERAGE(OFFSET($H$3,0,0,'Données projet'!$E$10+1,1))</f>
        <v>145.3656871223958</v>
      </c>
      <c r="AO100" s="59">
        <f t="shared" si="90"/>
        <v>180.54762778843178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0</v>
      </c>
      <c r="AV100" s="21">
        <f>EXP(-LN(2)/25)*AV99+(1-EXP(-LN(2)/25))/(LN(2)/25)*Calculateur!AQ100*Calculateur!AS100*VLOOKUP('Données projet'!$B$10,Paramètres!$A$1:$I$89,3,0)*0.475*44/12</f>
        <v>0.86776276381021322</v>
      </c>
      <c r="AW100" s="21">
        <f>EXP(-LN(2)/2)*AW99+(1-EXP(-LN(2)/2))/(LN(2)/2)*AQ100*AT100*VLOOKUP('Données projet'!$B$10,Paramètres!$A$1:$I$89,3,0)*0.475*44/12</f>
        <v>6.7189291590129579E-10</v>
      </c>
      <c r="AX100" s="21">
        <f t="shared" si="60"/>
        <v>0.8677627644821061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3.7</v>
      </c>
      <c r="BD100" s="12">
        <f>IF('Données projet'!$A$88&gt;35,BD99+BC100-BL99,IF(A100&lt;'Données projet'!$A$88,$BA$205^A100,IF(A100='Données projet'!$A$88,'Données projet'!$B$88,BD99+BC100-BL99)))</f>
        <v>218.9</v>
      </c>
      <c r="BE100" s="13">
        <f>BD100*VLOOKUP('Données projet'!$B$11,Paramètres!$A$1:$I$89,3,0)*VLOOKUP('Données projet'!$B$11,Paramètres!$A$1:$I$89,5,0)</f>
        <v>198.06072</v>
      </c>
      <c r="BF100" s="13">
        <f t="shared" si="91"/>
        <v>49.317731290351951</v>
      </c>
      <c r="BG100" s="20">
        <f t="shared" si="61"/>
        <v>430.85080266402957</v>
      </c>
      <c r="BH100" s="59">
        <f t="shared" si="62"/>
        <v>724.18413599736289</v>
      </c>
      <c r="BI100" s="59">
        <f ca="1">AVERAGE(OFFSET($BH$3,0,0,'Données projet'!$E$11+1,1))-AVERAGE(OFFSET($H$3,0,0,'Données projet'!$E$11+1,1))</f>
        <v>138.8931001150624</v>
      </c>
      <c r="BJ100" s="59">
        <f t="shared" si="92"/>
        <v>48.964659354096625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>
        <f>EXP(-LN(2)/35)*BP99+(1-EXP(-LN(2)/35))/(LN(2)/35)*BL100*BM100*VLOOKUP('Données projet'!$B$11,Paramètres!$A$1:$I$89,3,0)*0.475*44/12</f>
        <v>0</v>
      </c>
      <c r="BQ100" s="21">
        <f>EXP(-LN(2)/25)*BQ99+(1-EXP(-LN(2)/25))/(LN(2)/25)*Calculateur!BL100*Calculateur!BN100*VLOOKUP('Données projet'!$B$11,Paramètres!$A$1:$I$89,3,0)*0.475*44/12</f>
        <v>0</v>
      </c>
      <c r="BR100" s="21">
        <f>EXP(-LN(2)/2)*BR99+(1-EXP(-LN(2)/2))/(LN(2)/2)*BL100*BO100*VLOOKUP('Données projet'!$B$11,Paramètres!$A$1:$I$89,3,0)*0.475*44/12</f>
        <v>0</v>
      </c>
      <c r="BS100" s="22">
        <f t="shared" si="63"/>
        <v>0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3.7</v>
      </c>
      <c r="BY100" s="12">
        <f>IF('Données projet'!$A$114&gt;35,BY99+BX100-CG99,IF(A100&lt;'Données projet'!$A$114,$BV$205^A100,IF(A100='Données projet'!$A$114,'Données projet'!$B$114,BY99+BX100-CG99)))</f>
        <v>218.90000000000009</v>
      </c>
      <c r="BZ100" s="13">
        <f>BY100*VLOOKUP('Données projet'!$B$12,Paramètres!$A$1:$I$89,3,0)*VLOOKUP('Données projet'!$B$12,Paramètres!$A$1:$I$89,5,0)</f>
        <v>211.72008000000008</v>
      </c>
      <c r="CA100" s="13">
        <f t="shared" si="93"/>
        <v>52.31128781338063</v>
      </c>
      <c r="CB100" s="20">
        <f t="shared" si="64"/>
        <v>459.85463227497138</v>
      </c>
      <c r="CC100" s="59">
        <f t="shared" si="65"/>
        <v>753.18796560830469</v>
      </c>
      <c r="CD100" s="59">
        <f ca="1">AVERAGE(OFFSET($CC$3,0,0,'Données projet'!$E$12+1,1))-AVERAGE(OFFSET($H$3,0,0,'Données projet'!$E$12+1,1))</f>
        <v>154.93882427988234</v>
      </c>
      <c r="CE100" s="59">
        <f t="shared" si="94"/>
        <v>56.347130462109817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>
        <f>EXP(-LN(2)/35)*CK99+(1-EXP(-LN(2)/35))/(LN(2)/35)*CG100*CH100*VLOOKUP('Données projet'!$B$12,Paramètres!$A$1:$I$89,3,0)*0.475*44/12</f>
        <v>0</v>
      </c>
      <c r="CL100" s="21">
        <f>EXP(-LN(2)/25)*CL99+(1-EXP(-LN(2)/25))/(LN(2)/25)*Calculateur!CG100*Calculateur!CI100*VLOOKUP('Données projet'!$B$12,Paramètres!$A$1:$I$89,3,0)*0.475*44/12</f>
        <v>0</v>
      </c>
      <c r="CM100" s="21">
        <f>EXP(-LN(2)/2)*CM99+(1-EXP(-LN(2)/2))/(LN(2)/2)*CG100*CJ100*VLOOKUP('Données projet'!$B$12,Paramètres!$A$1:$I$89,3,0)*0.475*44/12</f>
        <v>0</v>
      </c>
      <c r="CN100" s="22">
        <f t="shared" si="66"/>
        <v>0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87.141600000000139</v>
      </c>
      <c r="D101" s="11">
        <f t="shared" si="86"/>
        <v>23.874558158360987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856.96683490664736</v>
      </c>
      <c r="H101" s="67">
        <f t="shared" si="56"/>
        <v>486.68647545914564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0</v>
      </c>
      <c r="O101" s="13">
        <f>N101*VLOOKUP('Données projet'!$B$9,Paramètres!$A$1:$I$89,3,0)*VLOOKUP('Données projet'!$B$9,Paramètres!$A$1:$I$89,5,0)</f>
        <v>0</v>
      </c>
      <c r="P101" s="13" t="e">
        <f t="shared" si="87"/>
        <v>#NUM!</v>
      </c>
      <c r="Q101" s="20" t="e">
        <f t="shared" si="107"/>
        <v>#NUM!</v>
      </c>
      <c r="R101" s="59" t="e">
        <f t="shared" si="55"/>
        <v>#NUM!</v>
      </c>
      <c r="S101" s="59">
        <f ca="1">AVERAGE(OFFSET($R$3,0,0,'Données projet'!$E$9+1,1))-AVERAGE(OFFSET($H$3,0,0,'Données projet'!$E$9+1,1))</f>
        <v>72.647148358003676</v>
      </c>
      <c r="T101" s="59">
        <f t="shared" si="88"/>
        <v>87.231299224620898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0.33097328221084299</v>
      </c>
      <c r="AA101" s="21">
        <f>EXP(-LN(2)/25)*AA100+(1-EXP(-LN(2)/25))/(LN(2)/25)*Calculateur!V101*Calculateur!X101*VLOOKUP('Données projet'!$B$9,Paramètres!$A$1:$I$89,3,0)*0.475*44/12</f>
        <v>0.68770904686346512</v>
      </c>
      <c r="AB101" s="21">
        <f>EXP(-LN(2)/2)*AB100+(1-EXP(-LN(2)/2))/(LN(2)/2)*V101*Y101*VLOOKUP('Données projet'!$B$9,Paramètres!$A$1:$I$89,3,0)*0.475*44/12</f>
        <v>1.327656277147346E-10</v>
      </c>
      <c r="AC101" s="22">
        <f t="shared" si="57"/>
        <v>1.0186823292070737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-8.5265128291212022E-14</v>
      </c>
      <c r="AJ101" s="13">
        <f>AI101*VLOOKUP('Données projet'!$B$10,Paramètres!$A$1:$I$89,3,0)*VLOOKUP('Données projet'!$B$10,Paramètres!$A$1:$I$89,5,0)</f>
        <v>-6.9167072069831198E-14</v>
      </c>
      <c r="AK101" s="13" t="e">
        <f t="shared" si="89"/>
        <v>#NUM!</v>
      </c>
      <c r="AL101" s="20" t="e">
        <f t="shared" si="58"/>
        <v>#NUM!</v>
      </c>
      <c r="AM101" s="59" t="e">
        <f t="shared" si="59"/>
        <v>#NUM!</v>
      </c>
      <c r="AN101" s="59">
        <f ca="1">AVERAGE(OFFSET($AM$3,0,0,'Données projet'!$E$10+1,1))-AVERAGE(OFFSET($H$3,0,0,'Données projet'!$E$10+1,1))</f>
        <v>145.3656871223958</v>
      </c>
      <c r="AO101" s="59">
        <f t="shared" si="90"/>
        <v>180.54762778843178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0</v>
      </c>
      <c r="AV101" s="21">
        <f>EXP(-LN(2)/25)*AV100+(1-EXP(-LN(2)/25))/(LN(2)/25)*Calculateur!AQ101*Calculateur!AS101*VLOOKUP('Données projet'!$B$10,Paramètres!$A$1:$I$89,3,0)*0.475*44/12</f>
        <v>0.84403374540016252</v>
      </c>
      <c r="AW101" s="21">
        <f>EXP(-LN(2)/2)*AW100+(1-EXP(-LN(2)/2))/(LN(2)/2)*AQ101*AT101*VLOOKUP('Données projet'!$B$10,Paramètres!$A$1:$I$89,3,0)*0.475*44/12</f>
        <v>4.7510003706500893E-10</v>
      </c>
      <c r="AX101" s="21">
        <f t="shared" si="60"/>
        <v>0.84403374587526259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3.7</v>
      </c>
      <c r="BD101" s="12">
        <f>IF('Données projet'!$A$88&gt;35,BD100+BC101-BL100,IF(A101&lt;'Données projet'!$A$88,$BA$205^A101,IF(A101='Données projet'!$A$88,'Données projet'!$B$88,BD100+BC101-BL100)))</f>
        <v>222.6</v>
      </c>
      <c r="BE101" s="13">
        <f>BD101*VLOOKUP('Données projet'!$B$11,Paramètres!$A$1:$I$89,3,0)*VLOOKUP('Données projet'!$B$11,Paramètres!$A$1:$I$89,5,0)</f>
        <v>201.40847999999997</v>
      </c>
      <c r="BF101" s="13">
        <f t="shared" si="91"/>
        <v>50.053582459229212</v>
      </c>
      <c r="BG101" s="20">
        <f t="shared" si="61"/>
        <v>437.96309211649077</v>
      </c>
      <c r="BH101" s="59">
        <f t="shared" si="62"/>
        <v>731.29642544982403</v>
      </c>
      <c r="BI101" s="59">
        <f ca="1">AVERAGE(OFFSET($BH$3,0,0,'Données projet'!$E$11+1,1))-AVERAGE(OFFSET($H$3,0,0,'Données projet'!$E$11+1,1))</f>
        <v>138.8931001150624</v>
      </c>
      <c r="BJ101" s="59">
        <f t="shared" si="92"/>
        <v>48.964659354096625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>
        <f>EXP(-LN(2)/35)*BP100+(1-EXP(-LN(2)/35))/(LN(2)/35)*BL101*BM101*VLOOKUP('Données projet'!$B$11,Paramètres!$A$1:$I$89,3,0)*0.475*44/12</f>
        <v>0</v>
      </c>
      <c r="BQ101" s="21">
        <f>EXP(-LN(2)/25)*BQ100+(1-EXP(-LN(2)/25))/(LN(2)/25)*Calculateur!BL101*Calculateur!BN101*VLOOKUP('Données projet'!$B$11,Paramètres!$A$1:$I$89,3,0)*0.475*44/12</f>
        <v>0</v>
      </c>
      <c r="BR101" s="21">
        <f>EXP(-LN(2)/2)*BR100+(1-EXP(-LN(2)/2))/(LN(2)/2)*BL101*BO101*VLOOKUP('Données projet'!$B$11,Paramètres!$A$1:$I$89,3,0)*0.475*44/12</f>
        <v>0</v>
      </c>
      <c r="BS101" s="22">
        <f t="shared" si="63"/>
        <v>0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3.7</v>
      </c>
      <c r="BY101" s="12">
        <f>IF('Données projet'!$A$114&gt;35,BY100+BX101-CG100,IF(A101&lt;'Données projet'!$A$114,$BV$205^A101,IF(A101='Données projet'!$A$114,'Données projet'!$B$114,BY100+BX101-CG100)))</f>
        <v>222.60000000000008</v>
      </c>
      <c r="BZ101" s="13">
        <f>BY101*VLOOKUP('Données projet'!$B$12,Paramètres!$A$1:$I$89,3,0)*VLOOKUP('Données projet'!$B$12,Paramètres!$A$1:$I$89,5,0)</f>
        <v>215.29872000000009</v>
      </c>
      <c r="CA101" s="13">
        <f t="shared" si="93"/>
        <v>53.091804704077127</v>
      </c>
      <c r="CB101" s="20">
        <f t="shared" si="64"/>
        <v>467.44683052626783</v>
      </c>
      <c r="CC101" s="59">
        <f t="shared" si="65"/>
        <v>760.78016385960109</v>
      </c>
      <c r="CD101" s="59">
        <f ca="1">AVERAGE(OFFSET($CC$3,0,0,'Données projet'!$E$12+1,1))-AVERAGE(OFFSET($H$3,0,0,'Données projet'!$E$12+1,1))</f>
        <v>154.93882427988234</v>
      </c>
      <c r="CE101" s="59">
        <f t="shared" si="94"/>
        <v>56.347130462109817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>
        <f>EXP(-LN(2)/35)*CK100+(1-EXP(-LN(2)/35))/(LN(2)/35)*CG101*CH101*VLOOKUP('Données projet'!$B$12,Paramètres!$A$1:$I$89,3,0)*0.475*44/12</f>
        <v>0</v>
      </c>
      <c r="CL101" s="21">
        <f>EXP(-LN(2)/25)*CL100+(1-EXP(-LN(2)/25))/(LN(2)/25)*Calculateur!CG101*Calculateur!CI101*VLOOKUP('Données projet'!$B$12,Paramètres!$A$1:$I$89,3,0)*0.475*44/12</f>
        <v>0</v>
      </c>
      <c r="CM101" s="21">
        <f>EXP(-LN(2)/2)*CM100+(1-EXP(-LN(2)/2))/(LN(2)/2)*CG101*CJ101*VLOOKUP('Données projet'!$B$12,Paramètres!$A$1:$I$89,3,0)*0.475*44/12</f>
        <v>0</v>
      </c>
      <c r="CN101" s="22">
        <f t="shared" si="66"/>
        <v>0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88.030800000000141</v>
      </c>
      <c r="D102" s="11">
        <f t="shared" si="86"/>
        <v>24.089691614761293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865.49151421921113</v>
      </c>
      <c r="H102" s="67">
        <f t="shared" si="56"/>
        <v>488.6098562290428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0</v>
      </c>
      <c r="O102" s="13">
        <f>N102*VLOOKUP('Données projet'!$B$9,Paramètres!$A$1:$I$89,3,0)*VLOOKUP('Données projet'!$B$9,Paramètres!$A$1:$I$89,5,0)</f>
        <v>0</v>
      </c>
      <c r="P102" s="13" t="e">
        <f t="shared" si="87"/>
        <v>#NUM!</v>
      </c>
      <c r="Q102" s="20" t="e">
        <f t="shared" si="107"/>
        <v>#NUM!</v>
      </c>
      <c r="R102" s="59" t="e">
        <f t="shared" si="55"/>
        <v>#NUM!</v>
      </c>
      <c r="S102" s="59">
        <f ca="1">AVERAGE(OFFSET($R$3,0,0,'Données projet'!$E$9+1,1))-AVERAGE(OFFSET($H$3,0,0,'Données projet'!$E$9+1,1))</f>
        <v>72.647148358003676</v>
      </c>
      <c r="T102" s="59">
        <f t="shared" si="88"/>
        <v>87.231299224620898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0.32448309802045711</v>
      </c>
      <c r="AA102" s="21">
        <f>EXP(-LN(2)/25)*AA101+(1-EXP(-LN(2)/25))/(LN(2)/25)*Calculateur!V102*Calculateur!X102*VLOOKUP('Données projet'!$B$9,Paramètres!$A$1:$I$89,3,0)*0.475*44/12</f>
        <v>0.66890360681193672</v>
      </c>
      <c r="AB102" s="21">
        <f>EXP(-LN(2)/2)*AB101+(1-EXP(-LN(2)/2))/(LN(2)/2)*V102*Y102*VLOOKUP('Données projet'!$B$9,Paramètres!$A$1:$I$89,3,0)*0.475*44/12</f>
        <v>9.3879475665577468E-11</v>
      </c>
      <c r="AC102" s="22">
        <f t="shared" si="57"/>
        <v>0.99338670492627335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-8.5265128291212022E-14</v>
      </c>
      <c r="AJ102" s="13">
        <f>AI102*VLOOKUP('Données projet'!$B$10,Paramètres!$A$1:$I$89,3,0)*VLOOKUP('Données projet'!$B$10,Paramètres!$A$1:$I$89,5,0)</f>
        <v>-6.9167072069831198E-14</v>
      </c>
      <c r="AK102" s="13" t="e">
        <f t="shared" si="89"/>
        <v>#NUM!</v>
      </c>
      <c r="AL102" s="20" t="e">
        <f t="shared" si="58"/>
        <v>#NUM!</v>
      </c>
      <c r="AM102" s="59" t="e">
        <f t="shared" si="59"/>
        <v>#NUM!</v>
      </c>
      <c r="AN102" s="59">
        <f ca="1">AVERAGE(OFFSET($AM$3,0,0,'Données projet'!$E$10+1,1))-AVERAGE(OFFSET($H$3,0,0,'Données projet'!$E$10+1,1))</f>
        <v>145.3656871223958</v>
      </c>
      <c r="AO102" s="59">
        <f t="shared" si="90"/>
        <v>180.54762778843178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0</v>
      </c>
      <c r="AV102" s="21">
        <f>EXP(-LN(2)/25)*AV101+(1-EXP(-LN(2)/25))/(LN(2)/25)*Calculateur!AQ102*Calculateur!AS102*VLOOKUP('Données projet'!$B$10,Paramètres!$A$1:$I$89,3,0)*0.475*44/12</f>
        <v>0.82095359824638947</v>
      </c>
      <c r="AW102" s="21">
        <f>EXP(-LN(2)/2)*AW101+(1-EXP(-LN(2)/2))/(LN(2)/2)*AQ102*AT102*VLOOKUP('Données projet'!$B$10,Paramètres!$A$1:$I$89,3,0)*0.475*44/12</f>
        <v>3.359464579506479E-10</v>
      </c>
      <c r="AX102" s="21">
        <f t="shared" si="60"/>
        <v>0.82095359858233596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3.7</v>
      </c>
      <c r="BD102" s="12">
        <f>IF('Données projet'!$A$88&gt;35,BD101+BC102-BL101,IF(A102&lt;'Données projet'!$A$88,$BA$205^A102,IF(A102='Données projet'!$A$88,'Données projet'!$B$88,BD101+BC102-BL101)))</f>
        <v>226.29999999999998</v>
      </c>
      <c r="BE102" s="13">
        <f>BD102*VLOOKUP('Données projet'!$B$11,Paramètres!$A$1:$I$89,3,0)*VLOOKUP('Données projet'!$B$11,Paramètres!$A$1:$I$89,5,0)</f>
        <v>204.75623999999999</v>
      </c>
      <c r="BF102" s="13">
        <f t="shared" si="91"/>
        <v>50.788011231821393</v>
      </c>
      <c r="BG102" s="20">
        <f t="shared" si="61"/>
        <v>445.07290422875553</v>
      </c>
      <c r="BH102" s="59">
        <f t="shared" si="62"/>
        <v>738.40623756208879</v>
      </c>
      <c r="BI102" s="59">
        <f ca="1">AVERAGE(OFFSET($BH$3,0,0,'Données projet'!$E$11+1,1))-AVERAGE(OFFSET($H$3,0,0,'Données projet'!$E$11+1,1))</f>
        <v>138.8931001150624</v>
      </c>
      <c r="BJ102" s="59">
        <f t="shared" si="92"/>
        <v>48.964659354096625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>
        <f>EXP(-LN(2)/35)*BP101+(1-EXP(-LN(2)/35))/(LN(2)/35)*BL102*BM102*VLOOKUP('Données projet'!$B$11,Paramètres!$A$1:$I$89,3,0)*0.475*44/12</f>
        <v>0</v>
      </c>
      <c r="BQ102" s="21">
        <f>EXP(-LN(2)/25)*BQ101+(1-EXP(-LN(2)/25))/(LN(2)/25)*Calculateur!BL102*Calculateur!BN102*VLOOKUP('Données projet'!$B$11,Paramètres!$A$1:$I$89,3,0)*0.475*44/12</f>
        <v>0</v>
      </c>
      <c r="BR102" s="21">
        <f>EXP(-LN(2)/2)*BR101+(1-EXP(-LN(2)/2))/(LN(2)/2)*BL102*BO102*VLOOKUP('Données projet'!$B$11,Paramètres!$A$1:$I$89,3,0)*0.475*44/12</f>
        <v>0</v>
      </c>
      <c r="BS102" s="22">
        <f t="shared" si="63"/>
        <v>0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3.7</v>
      </c>
      <c r="BY102" s="12">
        <f>IF('Données projet'!$A$114&gt;35,BY101+BX102-CG101,IF(A102&lt;'Données projet'!$A$114,$BV$205^A102,IF(A102='Données projet'!$A$114,'Données projet'!$B$114,BY101+BX102-CG101)))</f>
        <v>226.30000000000007</v>
      </c>
      <c r="BZ102" s="13">
        <f>BY102*VLOOKUP('Données projet'!$B$12,Paramètres!$A$1:$I$89,3,0)*VLOOKUP('Données projet'!$B$12,Paramètres!$A$1:$I$89,5,0)</f>
        <v>218.87736000000007</v>
      </c>
      <c r="CA102" s="13">
        <f t="shared" si="93"/>
        <v>53.870812859892553</v>
      </c>
      <c r="CB102" s="20">
        <f t="shared" si="64"/>
        <v>475.03640106431294</v>
      </c>
      <c r="CC102" s="59">
        <f t="shared" si="65"/>
        <v>768.3697343976462</v>
      </c>
      <c r="CD102" s="59">
        <f ca="1">AVERAGE(OFFSET($CC$3,0,0,'Données projet'!$E$12+1,1))-AVERAGE(OFFSET($H$3,0,0,'Données projet'!$E$12+1,1))</f>
        <v>154.93882427988234</v>
      </c>
      <c r="CE102" s="59">
        <f t="shared" si="94"/>
        <v>56.347130462109817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>
        <f>EXP(-LN(2)/35)*CK101+(1-EXP(-LN(2)/35))/(LN(2)/35)*CG102*CH102*VLOOKUP('Données projet'!$B$12,Paramètres!$A$1:$I$89,3,0)*0.475*44/12</f>
        <v>0</v>
      </c>
      <c r="CL102" s="21">
        <f>EXP(-LN(2)/25)*CL101+(1-EXP(-LN(2)/25))/(LN(2)/25)*Calculateur!CG102*Calculateur!CI102*VLOOKUP('Données projet'!$B$12,Paramètres!$A$1:$I$89,3,0)*0.475*44/12</f>
        <v>0</v>
      </c>
      <c r="CM102" s="21">
        <f>EXP(-LN(2)/2)*CM101+(1-EXP(-LN(2)/2))/(LN(2)/2)*CG102*CJ102*VLOOKUP('Données projet'!$B$12,Paramètres!$A$1:$I$89,3,0)*0.475*44/12</f>
        <v>0</v>
      </c>
      <c r="CN102" s="22">
        <f t="shared" si="66"/>
        <v>0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88.920000000000144</v>
      </c>
      <c r="D103" s="11">
        <f t="shared" si="86"/>
        <v>24.304572270466512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874.01424208781282</v>
      </c>
      <c r="H103" s="67">
        <f t="shared" si="56"/>
        <v>490.53279670439605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0</v>
      </c>
      <c r="O103" s="13">
        <f>N103*VLOOKUP('Données projet'!$B$9,Paramètres!$A$1:$I$89,3,0)*VLOOKUP('Données projet'!$B$9,Paramètres!$A$1:$I$89,5,0)</f>
        <v>0</v>
      </c>
      <c r="P103" s="13" t="e">
        <f t="shared" si="87"/>
        <v>#NUM!</v>
      </c>
      <c r="Q103" s="20" t="e">
        <f t="shared" si="107"/>
        <v>#NUM!</v>
      </c>
      <c r="R103" s="59" t="e">
        <f t="shared" si="55"/>
        <v>#NUM!</v>
      </c>
      <c r="S103" s="59">
        <f ca="1">AVERAGE(OFFSET($R$3,0,0,'Données projet'!$E$9+1,1))-AVERAGE(OFFSET($H$3,0,0,'Données projet'!$E$9+1,1))</f>
        <v>72.647148358003676</v>
      </c>
      <c r="T103" s="59">
        <f t="shared" si="88"/>
        <v>87.231299224620898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0.31812018238342321</v>
      </c>
      <c r="AA103" s="21">
        <f>EXP(-LN(2)/25)*AA102+(1-EXP(-LN(2)/25))/(LN(2)/25)*Calculateur!V103*Calculateur!X103*VLOOKUP('Données projet'!$B$9,Paramètres!$A$1:$I$89,3,0)*0.475*44/12</f>
        <v>0.65061240250755248</v>
      </c>
      <c r="AB103" s="21">
        <f>EXP(-LN(2)/2)*AB102+(1-EXP(-LN(2)/2))/(LN(2)/2)*V103*Y103*VLOOKUP('Données projet'!$B$9,Paramètres!$A$1:$I$89,3,0)*0.475*44/12</f>
        <v>6.6382813857367299E-11</v>
      </c>
      <c r="AC103" s="22">
        <f t="shared" si="57"/>
        <v>0.96873258495735848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-8.5265128291212022E-14</v>
      </c>
      <c r="AJ103" s="13">
        <f>AI103*VLOOKUP('Données projet'!$B$10,Paramètres!$A$1:$I$89,3,0)*VLOOKUP('Données projet'!$B$10,Paramètres!$A$1:$I$89,5,0)</f>
        <v>-6.9167072069831198E-14</v>
      </c>
      <c r="AK103" s="13" t="e">
        <f t="shared" si="89"/>
        <v>#NUM!</v>
      </c>
      <c r="AL103" s="20" t="e">
        <f t="shared" si="58"/>
        <v>#NUM!</v>
      </c>
      <c r="AM103" s="59" t="e">
        <f t="shared" si="59"/>
        <v>#NUM!</v>
      </c>
      <c r="AN103" s="59">
        <f ca="1">AVERAGE(OFFSET($AM$3,0,0,'Données projet'!$E$10+1,1))-AVERAGE(OFFSET($H$3,0,0,'Données projet'!$E$10+1,1))</f>
        <v>145.3656871223958</v>
      </c>
      <c r="AO103" s="59">
        <f t="shared" si="90"/>
        <v>180.54762778843178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0</v>
      </c>
      <c r="AV103" s="21">
        <f>EXP(-LN(2)/25)*AV102+(1-EXP(-LN(2)/25))/(LN(2)/25)*Calculateur!AQ103*Calculateur!AS103*VLOOKUP('Données projet'!$B$10,Paramètres!$A$1:$I$89,3,0)*0.475*44/12</f>
        <v>0.79850457893026849</v>
      </c>
      <c r="AW103" s="21">
        <f>EXP(-LN(2)/2)*AW102+(1-EXP(-LN(2)/2))/(LN(2)/2)*AQ103*AT103*VLOOKUP('Données projet'!$B$10,Paramètres!$A$1:$I$89,3,0)*0.475*44/12</f>
        <v>2.3755001853250447E-10</v>
      </c>
      <c r="AX103" s="21">
        <f t="shared" si="60"/>
        <v>0.79850457916781847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>
        <f>VLOOKUP(A103,'Données projet'!$A$87:$I$107,2,0)</f>
        <v>230</v>
      </c>
      <c r="BB103" s="12">
        <f>VLOOKUP(A103,'Données projet'!$A$87:$I$107,9,0)</f>
        <v>3.7</v>
      </c>
      <c r="BC103" s="12">
        <f t="array" ref="BC103">INDEX(BB:BB,MIN(IF(ISNUMBER(BB103:BB299),ROW(BB103:BB299),"")))</f>
        <v>3.7</v>
      </c>
      <c r="BD103" s="12">
        <f>IF('Données projet'!$A$88&gt;35,BD102+BC103-BL102,IF(A103&lt;'Données projet'!$A$88,$BA$205^A103,IF(A103='Données projet'!$A$88,'Données projet'!$B$88,BD102+BC103-BL102)))</f>
        <v>229.99999999999997</v>
      </c>
      <c r="BE103" s="13">
        <f>BD103*VLOOKUP('Données projet'!$B$11,Paramètres!$A$1:$I$89,3,0)*VLOOKUP('Données projet'!$B$11,Paramètres!$A$1:$I$89,5,0)</f>
        <v>208.10399999999998</v>
      </c>
      <c r="BF103" s="13">
        <f t="shared" si="91"/>
        <v>51.52104354893045</v>
      </c>
      <c r="BG103" s="20">
        <f t="shared" si="61"/>
        <v>452.18028418105382</v>
      </c>
      <c r="BH103" s="59">
        <f t="shared" si="62"/>
        <v>745.51361751438708</v>
      </c>
      <c r="BI103" s="59">
        <f ca="1">AVERAGE(OFFSET($BH$3,0,0,'Données projet'!$E$11+1,1))-AVERAGE(OFFSET($H$3,0,0,'Données projet'!$E$11+1,1))</f>
        <v>138.8931001150624</v>
      </c>
      <c r="BJ103" s="59">
        <f t="shared" si="92"/>
        <v>48.964659354096625</v>
      </c>
      <c r="BK103" s="15">
        <f>IF(ISNA(VLOOKUP(A103,'Données projet'!$A$87:$I$107,3,0)),0,VLOOKUP(A103,'Données projet'!$A$87:$I$107,3,0))</f>
        <v>7</v>
      </c>
      <c r="BL103" s="15">
        <f>IF(ISNA(VLOOKUP(A103,'Données projet'!$A$87:$I$107,4,0)),0,VLOOKUP(A103,'Données projet'!$A$87:$I$107,4,0))</f>
        <v>28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>
        <f>EXP(-LN(2)/35)*BP102+(1-EXP(-LN(2)/35))/(LN(2)/35)*BL103*BM103*VLOOKUP('Données projet'!$B$11,Paramètres!$A$1:$I$89,3,0)*0.475*44/12</f>
        <v>0</v>
      </c>
      <c r="BQ103" s="21">
        <f>EXP(-LN(2)/25)*BQ102+(1-EXP(-LN(2)/25))/(LN(2)/25)*Calculateur!BL103*Calculateur!BN103*VLOOKUP('Données projet'!$B$11,Paramètres!$A$1:$I$89,3,0)*0.475*44/12</f>
        <v>0</v>
      </c>
      <c r="BR103" s="21">
        <f>EXP(-LN(2)/2)*BR102+(1-EXP(-LN(2)/2))/(LN(2)/2)*BL103*BO103*VLOOKUP('Données projet'!$B$11,Paramètres!$A$1:$I$89,3,0)*0.475*44/12</f>
        <v>0</v>
      </c>
      <c r="BS103" s="22">
        <f t="shared" si="63"/>
        <v>0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>
        <f>VLOOKUP(A103,'Données projet'!$A$113:$I$133,2,0)</f>
        <v>230</v>
      </c>
      <c r="BW103" s="12">
        <f>VLOOKUP(A103,'Données projet'!$A$113:$I$133,9,0)</f>
        <v>3.7</v>
      </c>
      <c r="BX103" s="12">
        <f t="array" ref="BX103">INDEX(BW:BW,MIN(IF(ISNUMBER(BW103:BW299),ROW(BW103:BW299),"")))</f>
        <v>3.7</v>
      </c>
      <c r="BY103" s="12">
        <f>IF('Données projet'!$A$114&gt;35,BY102+BX103-CG102,IF(A103&lt;'Données projet'!$A$114,$BV$205^A103,IF(A103='Données projet'!$A$114,'Données projet'!$B$114,BY102+BX103-CG102)))</f>
        <v>230.00000000000006</v>
      </c>
      <c r="BZ103" s="13">
        <f>BY103*VLOOKUP('Données projet'!$B$12,Paramètres!$A$1:$I$89,3,0)*VLOOKUP('Données projet'!$B$12,Paramètres!$A$1:$I$89,5,0)</f>
        <v>222.45600000000005</v>
      </c>
      <c r="CA103" s="13">
        <f t="shared" si="93"/>
        <v>54.648339796219865</v>
      </c>
      <c r="CB103" s="20">
        <f t="shared" si="64"/>
        <v>482.62339181174957</v>
      </c>
      <c r="CC103" s="59">
        <f t="shared" si="65"/>
        <v>775.95672514508283</v>
      </c>
      <c r="CD103" s="59">
        <f ca="1">AVERAGE(OFFSET($CC$3,0,0,'Données projet'!$E$12+1,1))-AVERAGE(OFFSET($H$3,0,0,'Données projet'!$E$12+1,1))</f>
        <v>154.93882427988234</v>
      </c>
      <c r="CE103" s="59">
        <f t="shared" si="94"/>
        <v>56.347130462109817</v>
      </c>
      <c r="CF103" s="15">
        <f>IF(ISNA(VLOOKUP(A103,'Données projet'!$A$113:$I$133,3,0)),0,VLOOKUP(A103,'Données projet'!$A$113:$I$133,3,0))</f>
        <v>7</v>
      </c>
      <c r="CG103" s="15">
        <f>IF(ISNA(VLOOKUP(A103,'Données projet'!$A$113:$I$133,4,0)),0,VLOOKUP(A103,'Données projet'!$A$113:$I$133,4,0))</f>
        <v>28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>
        <f>EXP(-LN(2)/35)*CK102+(1-EXP(-LN(2)/35))/(LN(2)/35)*CG103*CH103*VLOOKUP('Données projet'!$B$12,Paramètres!$A$1:$I$89,3,0)*0.475*44/12</f>
        <v>0</v>
      </c>
      <c r="CL103" s="21">
        <f>EXP(-LN(2)/25)*CL102+(1-EXP(-LN(2)/25))/(LN(2)/25)*Calculateur!CG103*Calculateur!CI103*VLOOKUP('Données projet'!$B$12,Paramètres!$A$1:$I$89,3,0)*0.475*44/12</f>
        <v>0</v>
      </c>
      <c r="CM103" s="21">
        <f>EXP(-LN(2)/2)*CM102+(1-EXP(-LN(2)/2))/(LN(2)/2)*CG103*CJ103*VLOOKUP('Données projet'!$B$12,Paramètres!$A$1:$I$89,3,0)*0.475*44/12</f>
        <v>0</v>
      </c>
      <c r="CN103" s="22">
        <f t="shared" si="66"/>
        <v>0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89.809200000000146</v>
      </c>
      <c r="D104" s="11">
        <f t="shared" si="86"/>
        <v>24.519202946196138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882.53504028642749</v>
      </c>
      <c r="H104" s="67">
        <f t="shared" si="56"/>
        <v>492.4553017979585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0</v>
      </c>
      <c r="O104" s="13">
        <f>N104*VLOOKUP('Données projet'!$B$9,Paramètres!$A$1:$I$89,3,0)*VLOOKUP('Données projet'!$B$9,Paramètres!$A$1:$I$89,5,0)</f>
        <v>0</v>
      </c>
      <c r="P104" s="13" t="e">
        <f t="shared" si="87"/>
        <v>#NUM!</v>
      </c>
      <c r="Q104" s="20" t="e">
        <f t="shared" si="107"/>
        <v>#NUM!</v>
      </c>
      <c r="R104" s="59" t="e">
        <f t="shared" si="55"/>
        <v>#NUM!</v>
      </c>
      <c r="S104" s="59">
        <f ca="1">AVERAGE(OFFSET($R$3,0,0,'Données projet'!$E$9+1,1))-AVERAGE(OFFSET($H$3,0,0,'Données projet'!$E$9+1,1))</f>
        <v>72.647148358003676</v>
      </c>
      <c r="T104" s="59">
        <f t="shared" si="88"/>
        <v>87.231299224620898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0.31188203964103628</v>
      </c>
      <c r="AA104" s="21">
        <f>EXP(-LN(2)/25)*AA103+(1-EXP(-LN(2)/25))/(LN(2)/25)*Calculateur!V104*Calculateur!X104*VLOOKUP('Données projet'!$B$9,Paramètres!$A$1:$I$89,3,0)*0.475*44/12</f>
        <v>0.63282137214676415</v>
      </c>
      <c r="AB104" s="21">
        <f>EXP(-LN(2)/2)*AB103+(1-EXP(-LN(2)/2))/(LN(2)/2)*V104*Y104*VLOOKUP('Données projet'!$B$9,Paramètres!$A$1:$I$89,3,0)*0.475*44/12</f>
        <v>4.6939737832788734E-11</v>
      </c>
      <c r="AC104" s="22">
        <f t="shared" si="57"/>
        <v>0.94470341183474016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-8.5265128291212022E-14</v>
      </c>
      <c r="AJ104" s="13">
        <f>AI104*VLOOKUP('Données projet'!$B$10,Paramètres!$A$1:$I$89,3,0)*VLOOKUP('Données projet'!$B$10,Paramètres!$A$1:$I$89,5,0)</f>
        <v>-6.9167072069831198E-14</v>
      </c>
      <c r="AK104" s="13" t="e">
        <f t="shared" si="89"/>
        <v>#NUM!</v>
      </c>
      <c r="AL104" s="20" t="e">
        <f t="shared" si="58"/>
        <v>#NUM!</v>
      </c>
      <c r="AM104" s="59" t="e">
        <f t="shared" si="59"/>
        <v>#NUM!</v>
      </c>
      <c r="AN104" s="59">
        <f ca="1">AVERAGE(OFFSET($AM$3,0,0,'Données projet'!$E$10+1,1))-AVERAGE(OFFSET($H$3,0,0,'Données projet'!$E$10+1,1))</f>
        <v>145.3656871223958</v>
      </c>
      <c r="AO104" s="59">
        <f t="shared" si="90"/>
        <v>180.54762778843178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0</v>
      </c>
      <c r="AV104" s="21">
        <f>EXP(-LN(2)/25)*AV103+(1-EXP(-LN(2)/25))/(LN(2)/25)*Calculateur!AQ104*Calculateur!AS104*VLOOKUP('Données projet'!$B$10,Paramètres!$A$1:$I$89,3,0)*0.475*44/12</f>
        <v>0.77666942922788951</v>
      </c>
      <c r="AW104" s="21">
        <f>EXP(-LN(2)/2)*AW103+(1-EXP(-LN(2)/2))/(LN(2)/2)*AQ104*AT104*VLOOKUP('Données projet'!$B$10,Paramètres!$A$1:$I$89,3,0)*0.475*44/12</f>
        <v>1.6797322897532395E-10</v>
      </c>
      <c r="AX104" s="21">
        <f t="shared" si="60"/>
        <v>0.7766694293958627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3.1</v>
      </c>
      <c r="BD104" s="12">
        <f>IF('Données projet'!$A$88&gt;35,BD103+BC104-BL103,IF(A104&lt;'Données projet'!$A$88,$BA$205^A104,IF(A104='Données projet'!$A$88,'Données projet'!$B$88,BD103+BC104-BL103)))</f>
        <v>205.09999999999997</v>
      </c>
      <c r="BE104" s="13">
        <f>BD104*VLOOKUP('Données projet'!$B$11,Paramètres!$A$1:$I$89,3,0)*VLOOKUP('Données projet'!$B$11,Paramètres!$A$1:$I$89,5,0)</f>
        <v>185.57447999999997</v>
      </c>
      <c r="BF104" s="13">
        <f t="shared" si="91"/>
        <v>46.560195221199436</v>
      </c>
      <c r="BG104" s="20">
        <f t="shared" si="61"/>
        <v>404.30122601025568</v>
      </c>
      <c r="BH104" s="59">
        <f t="shared" si="62"/>
        <v>697.63455934358899</v>
      </c>
      <c r="BI104" s="59">
        <f ca="1">AVERAGE(OFFSET($BH$3,0,0,'Données projet'!$E$11+1,1))-AVERAGE(OFFSET($H$3,0,0,'Données projet'!$E$11+1,1))</f>
        <v>138.8931001150624</v>
      </c>
      <c r="BJ104" s="59">
        <f t="shared" si="92"/>
        <v>48.964659354096625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>
        <f>EXP(-LN(2)/35)*BP103+(1-EXP(-LN(2)/35))/(LN(2)/35)*BL104*BM104*VLOOKUP('Données projet'!$B$11,Paramètres!$A$1:$I$89,3,0)*0.475*44/12</f>
        <v>0</v>
      </c>
      <c r="BQ104" s="21">
        <f>EXP(-LN(2)/25)*BQ103+(1-EXP(-LN(2)/25))/(LN(2)/25)*Calculateur!BL104*Calculateur!BN104*VLOOKUP('Données projet'!$B$11,Paramètres!$A$1:$I$89,3,0)*0.475*44/12</f>
        <v>0</v>
      </c>
      <c r="BR104" s="21">
        <f>EXP(-LN(2)/2)*BR103+(1-EXP(-LN(2)/2))/(LN(2)/2)*BL104*BO104*VLOOKUP('Données projet'!$B$11,Paramètres!$A$1:$I$89,3,0)*0.475*44/12</f>
        <v>0</v>
      </c>
      <c r="BS104" s="22">
        <f t="shared" si="63"/>
        <v>0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3.1</v>
      </c>
      <c r="BY104" s="12">
        <f>IF('Données projet'!$A$114&gt;35,BY103+BX104-CG103,IF(A104&lt;'Données projet'!$A$114,$BV$205^A104,IF(A104='Données projet'!$A$114,'Données projet'!$B$114,BY103+BX104-CG103)))</f>
        <v>205.10000000000005</v>
      </c>
      <c r="BZ104" s="13">
        <f>BY104*VLOOKUP('Données projet'!$B$12,Paramètres!$A$1:$I$89,3,0)*VLOOKUP('Données projet'!$B$12,Paramètres!$A$1:$I$89,5,0)</f>
        <v>198.37272000000007</v>
      </c>
      <c r="CA104" s="13">
        <f t="shared" si="93"/>
        <v>49.386370969173782</v>
      </c>
      <c r="CB104" s="20">
        <f t="shared" si="64"/>
        <v>431.51375010464443</v>
      </c>
      <c r="CC104" s="59">
        <f t="shared" si="65"/>
        <v>724.84708343797774</v>
      </c>
      <c r="CD104" s="59">
        <f ca="1">AVERAGE(OFFSET($CC$3,0,0,'Données projet'!$E$12+1,1))-AVERAGE(OFFSET($H$3,0,0,'Données projet'!$E$12+1,1))</f>
        <v>154.93882427988234</v>
      </c>
      <c r="CE104" s="59">
        <f t="shared" si="94"/>
        <v>56.347130462109817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>
        <f>EXP(-LN(2)/35)*CK103+(1-EXP(-LN(2)/35))/(LN(2)/35)*CG104*CH104*VLOOKUP('Données projet'!$B$12,Paramètres!$A$1:$I$89,3,0)*0.475*44/12</f>
        <v>0</v>
      </c>
      <c r="CL104" s="21">
        <f>EXP(-LN(2)/25)*CL103+(1-EXP(-LN(2)/25))/(LN(2)/25)*Calculateur!CG104*Calculateur!CI104*VLOOKUP('Données projet'!$B$12,Paramètres!$A$1:$I$89,3,0)*0.475*44/12</f>
        <v>0</v>
      </c>
      <c r="CM104" s="21">
        <f>EXP(-LN(2)/2)*CM103+(1-EXP(-LN(2)/2))/(LN(2)/2)*CG104*CJ104*VLOOKUP('Données projet'!$B$12,Paramètres!$A$1:$I$89,3,0)*0.475*44/12</f>
        <v>0</v>
      </c>
      <c r="CN104" s="22">
        <f t="shared" si="66"/>
        <v>0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90.698400000000149</v>
      </c>
      <c r="D105" s="11">
        <f t="shared" si="86"/>
        <v>24.733586403594217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891.05393013300909</v>
      </c>
      <c r="H105" s="67">
        <f t="shared" si="56"/>
        <v>494.37737631959351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0</v>
      </c>
      <c r="O105" s="13">
        <f>N105*VLOOKUP('Données projet'!$B$9,Paramètres!$A$1:$I$89,3,0)*VLOOKUP('Données projet'!$B$9,Paramètres!$A$1:$I$89,5,0)</f>
        <v>0</v>
      </c>
      <c r="P105" s="13" t="e">
        <f t="shared" si="87"/>
        <v>#NUM!</v>
      </c>
      <c r="Q105" s="20" t="e">
        <f t="shared" si="107"/>
        <v>#NUM!</v>
      </c>
      <c r="R105" s="59" t="e">
        <f t="shared" si="55"/>
        <v>#NUM!</v>
      </c>
      <c r="S105" s="59">
        <f ca="1">AVERAGE(OFFSET($R$3,0,0,'Données projet'!$E$9+1,1))-AVERAGE(OFFSET($H$3,0,0,'Données projet'!$E$9+1,1))</f>
        <v>72.647148358003676</v>
      </c>
      <c r="T105" s="59">
        <f t="shared" si="88"/>
        <v>87.231299224620898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0.30576622307293616</v>
      </c>
      <c r="AA105" s="21">
        <f>EXP(-LN(2)/25)*AA104+(1-EXP(-LN(2)/25))/(LN(2)/25)*Calculateur!V105*Calculateur!X105*VLOOKUP('Données projet'!$B$9,Paramètres!$A$1:$I$89,3,0)*0.475*44/12</f>
        <v>0.61551683844678129</v>
      </c>
      <c r="AB105" s="21">
        <f>EXP(-LN(2)/2)*AB104+(1-EXP(-LN(2)/2))/(LN(2)/2)*V105*Y105*VLOOKUP('Données projet'!$B$9,Paramètres!$A$1:$I$89,3,0)*0.475*44/12</f>
        <v>3.3191406928683649E-11</v>
      </c>
      <c r="AC105" s="22">
        <f t="shared" si="57"/>
        <v>0.92128306155290884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-8.5265128291212022E-14</v>
      </c>
      <c r="AJ105" s="13">
        <f>AI105*VLOOKUP('Données projet'!$B$10,Paramètres!$A$1:$I$89,3,0)*VLOOKUP('Données projet'!$B$10,Paramètres!$A$1:$I$89,5,0)</f>
        <v>-6.9167072069831198E-14</v>
      </c>
      <c r="AK105" s="13" t="e">
        <f t="shared" si="89"/>
        <v>#NUM!</v>
      </c>
      <c r="AL105" s="20" t="e">
        <f t="shared" si="58"/>
        <v>#NUM!</v>
      </c>
      <c r="AM105" s="59" t="e">
        <f t="shared" si="59"/>
        <v>#NUM!</v>
      </c>
      <c r="AN105" s="59">
        <f ca="1">AVERAGE(OFFSET($AM$3,0,0,'Données projet'!$E$10+1,1))-AVERAGE(OFFSET($H$3,0,0,'Données projet'!$E$10+1,1))</f>
        <v>145.3656871223958</v>
      </c>
      <c r="AO105" s="59">
        <f t="shared" si="90"/>
        <v>180.54762778843178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0</v>
      </c>
      <c r="AV105" s="21">
        <f>EXP(-LN(2)/25)*AV104+(1-EXP(-LN(2)/25))/(LN(2)/25)*Calculateur!AQ105*Calculateur!AS105*VLOOKUP('Données projet'!$B$10,Paramètres!$A$1:$I$89,3,0)*0.475*44/12</f>
        <v>0.75543136284238266</v>
      </c>
      <c r="AW105" s="21">
        <f>EXP(-LN(2)/2)*AW104+(1-EXP(-LN(2)/2))/(LN(2)/2)*AQ105*AT105*VLOOKUP('Données projet'!$B$10,Paramètres!$A$1:$I$89,3,0)*0.475*44/12</f>
        <v>1.1877500926625223E-10</v>
      </c>
      <c r="AX105" s="21">
        <f t="shared" si="60"/>
        <v>0.75543136296115765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3.1</v>
      </c>
      <c r="BD105" s="12">
        <f>IF('Données projet'!$A$88&gt;35,BD104+BC105-BL104,IF(A105&lt;'Données projet'!$A$88,$BA$205^A105,IF(A105='Données projet'!$A$88,'Données projet'!$B$88,BD104+BC105-BL104)))</f>
        <v>208.19999999999996</v>
      </c>
      <c r="BE105" s="13">
        <f>BD105*VLOOKUP('Données projet'!$B$11,Paramètres!$A$1:$I$89,3,0)*VLOOKUP('Données projet'!$B$11,Paramètres!$A$1:$I$89,5,0)</f>
        <v>188.37935999999996</v>
      </c>
      <c r="BF105" s="13">
        <f t="shared" si="91"/>
        <v>47.181473920005914</v>
      </c>
      <c r="BG105" s="20">
        <f t="shared" si="61"/>
        <v>410.26845241067684</v>
      </c>
      <c r="BH105" s="59">
        <f t="shared" si="62"/>
        <v>703.60178574401016</v>
      </c>
      <c r="BI105" s="59">
        <f ca="1">AVERAGE(OFFSET($BH$3,0,0,'Données projet'!$E$11+1,1))-AVERAGE(OFFSET($H$3,0,0,'Données projet'!$E$11+1,1))</f>
        <v>138.8931001150624</v>
      </c>
      <c r="BJ105" s="59">
        <f t="shared" si="92"/>
        <v>48.964659354096625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>
        <f>EXP(-LN(2)/35)*BP104+(1-EXP(-LN(2)/35))/(LN(2)/35)*BL105*BM105*VLOOKUP('Données projet'!$B$11,Paramètres!$A$1:$I$89,3,0)*0.475*44/12</f>
        <v>0</v>
      </c>
      <c r="BQ105" s="21">
        <f>EXP(-LN(2)/25)*BQ104+(1-EXP(-LN(2)/25))/(LN(2)/25)*Calculateur!BL105*Calculateur!BN105*VLOOKUP('Données projet'!$B$11,Paramètres!$A$1:$I$89,3,0)*0.475*44/12</f>
        <v>0</v>
      </c>
      <c r="BR105" s="21">
        <f>EXP(-LN(2)/2)*BR104+(1-EXP(-LN(2)/2))/(LN(2)/2)*BL105*BO105*VLOOKUP('Données projet'!$B$11,Paramètres!$A$1:$I$89,3,0)*0.475*44/12</f>
        <v>0</v>
      </c>
      <c r="BS105" s="22">
        <f t="shared" si="63"/>
        <v>0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3.1</v>
      </c>
      <c r="BY105" s="12">
        <f>IF('Données projet'!$A$114&gt;35,BY104+BX105-CG104,IF(A105&lt;'Données projet'!$A$114,$BV$205^A105,IF(A105='Données projet'!$A$114,'Données projet'!$B$114,BY104+BX105-CG104)))</f>
        <v>208.20000000000005</v>
      </c>
      <c r="BZ105" s="13">
        <f>BY105*VLOOKUP('Données projet'!$B$12,Paramètres!$A$1:$I$89,3,0)*VLOOKUP('Données projet'!$B$12,Paramètres!$A$1:$I$89,5,0)</f>
        <v>201.37104000000005</v>
      </c>
      <c r="CA105" s="13">
        <f t="shared" si="93"/>
        <v>50.045360910017799</v>
      </c>
      <c r="CB105" s="20">
        <f t="shared" si="64"/>
        <v>437.88356491828108</v>
      </c>
      <c r="CC105" s="59">
        <f t="shared" si="65"/>
        <v>731.21689825161434</v>
      </c>
      <c r="CD105" s="59">
        <f ca="1">AVERAGE(OFFSET($CC$3,0,0,'Données projet'!$E$12+1,1))-AVERAGE(OFFSET($H$3,0,0,'Données projet'!$E$12+1,1))</f>
        <v>154.93882427988234</v>
      </c>
      <c r="CE105" s="59">
        <f t="shared" si="94"/>
        <v>56.347130462109817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>
        <f>EXP(-LN(2)/35)*CK104+(1-EXP(-LN(2)/35))/(LN(2)/35)*CG105*CH105*VLOOKUP('Données projet'!$B$12,Paramètres!$A$1:$I$89,3,0)*0.475*44/12</f>
        <v>0</v>
      </c>
      <c r="CL105" s="21">
        <f>EXP(-LN(2)/25)*CL104+(1-EXP(-LN(2)/25))/(LN(2)/25)*Calculateur!CG105*Calculateur!CI105*VLOOKUP('Données projet'!$B$12,Paramètres!$A$1:$I$89,3,0)*0.475*44/12</f>
        <v>0</v>
      </c>
      <c r="CM105" s="21">
        <f>EXP(-LN(2)/2)*CM104+(1-EXP(-LN(2)/2))/(LN(2)/2)*CG105*CJ105*VLOOKUP('Données projet'!$B$12,Paramètres!$A$1:$I$89,3,0)*0.475*44/12</f>
        <v>0</v>
      </c>
      <c r="CN105" s="22">
        <f t="shared" si="66"/>
        <v>0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91.587600000000151</v>
      </c>
      <c r="D106" s="11">
        <f t="shared" si="86"/>
        <v>24.947725347033305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899.5709325034162</v>
      </c>
      <c r="H106" s="67">
        <f t="shared" si="56"/>
        <v>496.29902497941657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0</v>
      </c>
      <c r="O106" s="13">
        <f>N106*VLOOKUP('Données projet'!$B$9,Paramètres!$A$1:$I$89,3,0)*VLOOKUP('Données projet'!$B$9,Paramètres!$A$1:$I$89,5,0)</f>
        <v>0</v>
      </c>
      <c r="P106" s="13" t="e">
        <f t="shared" si="87"/>
        <v>#NUM!</v>
      </c>
      <c r="Q106" s="20" t="e">
        <f t="shared" si="107"/>
        <v>#NUM!</v>
      </c>
      <c r="R106" s="59" t="e">
        <f t="shared" si="55"/>
        <v>#NUM!</v>
      </c>
      <c r="S106" s="59">
        <f ca="1">AVERAGE(OFFSET($R$3,0,0,'Données projet'!$E$9+1,1))-AVERAGE(OFFSET($H$3,0,0,'Données projet'!$E$9+1,1))</f>
        <v>72.647148358003676</v>
      </c>
      <c r="T106" s="59">
        <f t="shared" si="88"/>
        <v>87.231299224620898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0.29977033393745672</v>
      </c>
      <c r="AA106" s="21">
        <f>EXP(-LN(2)/25)*AA105+(1-EXP(-LN(2)/25))/(LN(2)/25)*Calculateur!V106*Calculateur!X106*VLOOKUP('Données projet'!$B$9,Paramètres!$A$1:$I$89,3,0)*0.475*44/12</f>
        <v>0.59868549813083027</v>
      </c>
      <c r="AB106" s="21">
        <f>EXP(-LN(2)/2)*AB105+(1-EXP(-LN(2)/2))/(LN(2)/2)*V106*Y106*VLOOKUP('Données projet'!$B$9,Paramètres!$A$1:$I$89,3,0)*0.475*44/12</f>
        <v>2.3469868916394367E-11</v>
      </c>
      <c r="AC106" s="22">
        <f t="shared" si="57"/>
        <v>0.89845583209175683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-8.5265128291212022E-14</v>
      </c>
      <c r="AJ106" s="13">
        <f>AI106*VLOOKUP('Données projet'!$B$10,Paramètres!$A$1:$I$89,3,0)*VLOOKUP('Données projet'!$B$10,Paramètres!$A$1:$I$89,5,0)</f>
        <v>-6.9167072069831198E-14</v>
      </c>
      <c r="AK106" s="13" t="e">
        <f t="shared" si="89"/>
        <v>#NUM!</v>
      </c>
      <c r="AL106" s="20" t="e">
        <f t="shared" si="58"/>
        <v>#NUM!</v>
      </c>
      <c r="AM106" s="59" t="e">
        <f t="shared" si="59"/>
        <v>#NUM!</v>
      </c>
      <c r="AN106" s="59">
        <f ca="1">AVERAGE(OFFSET($AM$3,0,0,'Données projet'!$E$10+1,1))-AVERAGE(OFFSET($H$3,0,0,'Données projet'!$E$10+1,1))</f>
        <v>145.3656871223958</v>
      </c>
      <c r="AO106" s="59">
        <f t="shared" si="90"/>
        <v>180.54762778843178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0</v>
      </c>
      <c r="AV106" s="21">
        <f>EXP(-LN(2)/25)*AV105+(1-EXP(-LN(2)/25))/(LN(2)/25)*Calculateur!AQ106*Calculateur!AS106*VLOOKUP('Données projet'!$B$10,Paramètres!$A$1:$I$89,3,0)*0.475*44/12</f>
        <v>0.73477405249904892</v>
      </c>
      <c r="AW106" s="21">
        <f>EXP(-LN(2)/2)*AW105+(1-EXP(-LN(2)/2))/(LN(2)/2)*AQ106*AT106*VLOOKUP('Données projet'!$B$10,Paramètres!$A$1:$I$89,3,0)*0.475*44/12</f>
        <v>8.3986614487661974E-11</v>
      </c>
      <c r="AX106" s="21">
        <f t="shared" si="60"/>
        <v>0.73477405258303552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3.1</v>
      </c>
      <c r="BD106" s="12">
        <f>IF('Données projet'!$A$88&gt;35,BD105+BC106-BL105,IF(A106&lt;'Données projet'!$A$88,$BA$205^A106,IF(A106='Données projet'!$A$88,'Données projet'!$B$88,BD105+BC106-BL105)))</f>
        <v>211.29999999999995</v>
      </c>
      <c r="BE106" s="13">
        <f>BD106*VLOOKUP('Données projet'!$B$11,Paramètres!$A$1:$I$89,3,0)*VLOOKUP('Données projet'!$B$11,Paramètres!$A$1:$I$89,5,0)</f>
        <v>191.18423999999993</v>
      </c>
      <c r="BF106" s="13">
        <f t="shared" si="91"/>
        <v>47.80167674561666</v>
      </c>
      <c r="BG106" s="20">
        <f t="shared" si="61"/>
        <v>416.23380499861554</v>
      </c>
      <c r="BH106" s="59">
        <f t="shared" si="62"/>
        <v>709.56713833194885</v>
      </c>
      <c r="BI106" s="59">
        <f ca="1">AVERAGE(OFFSET($BH$3,0,0,'Données projet'!$E$11+1,1))-AVERAGE(OFFSET($H$3,0,0,'Données projet'!$E$11+1,1))</f>
        <v>138.8931001150624</v>
      </c>
      <c r="BJ106" s="59">
        <f t="shared" si="92"/>
        <v>48.964659354096625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>
        <f>EXP(-LN(2)/35)*BP105+(1-EXP(-LN(2)/35))/(LN(2)/35)*BL106*BM106*VLOOKUP('Données projet'!$B$11,Paramètres!$A$1:$I$89,3,0)*0.475*44/12</f>
        <v>0</v>
      </c>
      <c r="BQ106" s="21">
        <f>EXP(-LN(2)/25)*BQ105+(1-EXP(-LN(2)/25))/(LN(2)/25)*Calculateur!BL106*Calculateur!BN106*VLOOKUP('Données projet'!$B$11,Paramètres!$A$1:$I$89,3,0)*0.475*44/12</f>
        <v>0</v>
      </c>
      <c r="BR106" s="21">
        <f>EXP(-LN(2)/2)*BR105+(1-EXP(-LN(2)/2))/(LN(2)/2)*BL106*BO106*VLOOKUP('Données projet'!$B$11,Paramètres!$A$1:$I$89,3,0)*0.475*44/12</f>
        <v>0</v>
      </c>
      <c r="BS106" s="22">
        <f t="shared" si="63"/>
        <v>0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3.1</v>
      </c>
      <c r="BY106" s="12">
        <f>IF('Données projet'!$A$114&gt;35,BY105+BX106-CG105,IF(A106&lt;'Données projet'!$A$114,$BV$205^A106,IF(A106='Données projet'!$A$114,'Données projet'!$B$114,BY105+BX106-CG105)))</f>
        <v>211.30000000000004</v>
      </c>
      <c r="BZ106" s="13">
        <f>BY106*VLOOKUP('Données projet'!$B$12,Paramètres!$A$1:$I$89,3,0)*VLOOKUP('Données projet'!$B$12,Paramètres!$A$1:$I$89,5,0)</f>
        <v>204.36936000000006</v>
      </c>
      <c r="CA106" s="13">
        <f t="shared" si="93"/>
        <v>50.70320967281247</v>
      </c>
      <c r="CB106" s="20">
        <f t="shared" si="64"/>
        <v>444.25139218014851</v>
      </c>
      <c r="CC106" s="59">
        <f t="shared" si="65"/>
        <v>737.58472551348177</v>
      </c>
      <c r="CD106" s="59">
        <f ca="1">AVERAGE(OFFSET($CC$3,0,0,'Données projet'!$E$12+1,1))-AVERAGE(OFFSET($H$3,0,0,'Données projet'!$E$12+1,1))</f>
        <v>154.93882427988234</v>
      </c>
      <c r="CE106" s="59">
        <f t="shared" si="94"/>
        <v>56.347130462109817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>
        <f>EXP(-LN(2)/35)*CK105+(1-EXP(-LN(2)/35))/(LN(2)/35)*CG106*CH106*VLOOKUP('Données projet'!$B$12,Paramètres!$A$1:$I$89,3,0)*0.475*44/12</f>
        <v>0</v>
      </c>
      <c r="CL106" s="21">
        <f>EXP(-LN(2)/25)*CL105+(1-EXP(-LN(2)/25))/(LN(2)/25)*Calculateur!CG106*Calculateur!CI106*VLOOKUP('Données projet'!$B$12,Paramètres!$A$1:$I$89,3,0)*0.475*44/12</f>
        <v>0</v>
      </c>
      <c r="CM106" s="21">
        <f>EXP(-LN(2)/2)*CM105+(1-EXP(-LN(2)/2))/(LN(2)/2)*CG106*CJ106*VLOOKUP('Données projet'!$B$12,Paramètres!$A$1:$I$89,3,0)*0.475*44/12</f>
        <v>0</v>
      </c>
      <c r="CN106" s="22">
        <f t="shared" si="66"/>
        <v>0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92.476800000000154</v>
      </c>
      <c r="D107" s="11">
        <f t="shared" si="86"/>
        <v>25.161622425346469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908.08606784478104</v>
      </c>
      <c r="H107" s="67">
        <f t="shared" si="56"/>
        <v>498.22025239081199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0</v>
      </c>
      <c r="O107" s="13">
        <f>N107*VLOOKUP('Données projet'!$B$9,Paramètres!$A$1:$I$89,3,0)*VLOOKUP('Données projet'!$B$9,Paramètres!$A$1:$I$89,5,0)</f>
        <v>0</v>
      </c>
      <c r="P107" s="13" t="e">
        <f t="shared" si="87"/>
        <v>#NUM!</v>
      </c>
      <c r="Q107" s="20" t="e">
        <f t="shared" si="107"/>
        <v>#NUM!</v>
      </c>
      <c r="R107" s="59" t="e">
        <f t="shared" si="55"/>
        <v>#NUM!</v>
      </c>
      <c r="S107" s="59">
        <f ca="1">AVERAGE(OFFSET($R$3,0,0,'Données projet'!$E$9+1,1))-AVERAGE(OFFSET($H$3,0,0,'Données projet'!$E$9+1,1))</f>
        <v>72.647148358003676</v>
      </c>
      <c r="T107" s="59">
        <f t="shared" si="88"/>
        <v>87.231299224620898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0.29389202053079277</v>
      </c>
      <c r="AA107" s="21">
        <f>EXP(-LN(2)/25)*AA106+(1-EXP(-LN(2)/25))/(LN(2)/25)*Calculateur!V107*Calculateur!X107*VLOOKUP('Données projet'!$B$9,Paramètres!$A$1:$I$89,3,0)*0.475*44/12</f>
        <v>0.58231441170094067</v>
      </c>
      <c r="AB107" s="21">
        <f>EXP(-LN(2)/2)*AB106+(1-EXP(-LN(2)/2))/(LN(2)/2)*V107*Y107*VLOOKUP('Données projet'!$B$9,Paramètres!$A$1:$I$89,3,0)*0.475*44/12</f>
        <v>1.6595703464341825E-11</v>
      </c>
      <c r="AC107" s="22">
        <f t="shared" si="57"/>
        <v>0.87620643224832917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-8.5265128291212022E-14</v>
      </c>
      <c r="AJ107" s="13">
        <f>AI107*VLOOKUP('Données projet'!$B$10,Paramètres!$A$1:$I$89,3,0)*VLOOKUP('Données projet'!$B$10,Paramètres!$A$1:$I$89,5,0)</f>
        <v>-6.9167072069831198E-14</v>
      </c>
      <c r="AK107" s="13" t="e">
        <f t="shared" si="89"/>
        <v>#NUM!</v>
      </c>
      <c r="AL107" s="20" t="e">
        <f t="shared" si="58"/>
        <v>#NUM!</v>
      </c>
      <c r="AM107" s="59" t="e">
        <f t="shared" si="59"/>
        <v>#NUM!</v>
      </c>
      <c r="AN107" s="59">
        <f ca="1">AVERAGE(OFFSET($AM$3,0,0,'Données projet'!$E$10+1,1))-AVERAGE(OFFSET($H$3,0,0,'Données projet'!$E$10+1,1))</f>
        <v>145.3656871223958</v>
      </c>
      <c r="AO107" s="59">
        <f t="shared" si="90"/>
        <v>180.54762778843178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0</v>
      </c>
      <c r="AV107" s="21">
        <f>EXP(-LN(2)/25)*AV106+(1-EXP(-LN(2)/25))/(LN(2)/25)*Calculateur!AQ107*Calculateur!AS107*VLOOKUP('Données projet'!$B$10,Paramètres!$A$1:$I$89,3,0)*0.475*44/12</f>
        <v>0.71468161739337432</v>
      </c>
      <c r="AW107" s="21">
        <f>EXP(-LN(2)/2)*AW106+(1-EXP(-LN(2)/2))/(LN(2)/2)*AQ107*AT107*VLOOKUP('Données projet'!$B$10,Paramètres!$A$1:$I$89,3,0)*0.475*44/12</f>
        <v>5.9387504633126117E-11</v>
      </c>
      <c r="AX107" s="21">
        <f t="shared" si="60"/>
        <v>0.71468161745276182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3.1</v>
      </c>
      <c r="BD107" s="12">
        <f>IF('Données projet'!$A$88&gt;35,BD106+BC107-BL106,IF(A107&lt;'Données projet'!$A$88,$BA$205^A107,IF(A107='Données projet'!$A$88,'Données projet'!$B$88,BD106+BC107-BL106)))</f>
        <v>214.39999999999995</v>
      </c>
      <c r="BE107" s="13">
        <f>BD107*VLOOKUP('Données projet'!$B$11,Paramètres!$A$1:$I$89,3,0)*VLOOKUP('Données projet'!$B$11,Paramètres!$A$1:$I$89,5,0)</f>
        <v>193.98911999999996</v>
      </c>
      <c r="BF107" s="13">
        <f t="shared" si="91"/>
        <v>48.420821305775434</v>
      </c>
      <c r="BG107" s="20">
        <f t="shared" si="61"/>
        <v>422.19731444089211</v>
      </c>
      <c r="BH107" s="59">
        <f t="shared" si="62"/>
        <v>715.53064777422537</v>
      </c>
      <c r="BI107" s="59">
        <f ca="1">AVERAGE(OFFSET($BH$3,0,0,'Données projet'!$E$11+1,1))-AVERAGE(OFFSET($H$3,0,0,'Données projet'!$E$11+1,1))</f>
        <v>138.8931001150624</v>
      </c>
      <c r="BJ107" s="59">
        <f t="shared" si="92"/>
        <v>48.964659354096625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>
        <f>EXP(-LN(2)/35)*BP106+(1-EXP(-LN(2)/35))/(LN(2)/35)*BL107*BM107*VLOOKUP('Données projet'!$B$11,Paramètres!$A$1:$I$89,3,0)*0.475*44/12</f>
        <v>0</v>
      </c>
      <c r="BQ107" s="21">
        <f>EXP(-LN(2)/25)*BQ106+(1-EXP(-LN(2)/25))/(LN(2)/25)*Calculateur!BL107*Calculateur!BN107*VLOOKUP('Données projet'!$B$11,Paramètres!$A$1:$I$89,3,0)*0.475*44/12</f>
        <v>0</v>
      </c>
      <c r="BR107" s="21">
        <f>EXP(-LN(2)/2)*BR106+(1-EXP(-LN(2)/2))/(LN(2)/2)*BL107*BO107*VLOOKUP('Données projet'!$B$11,Paramètres!$A$1:$I$89,3,0)*0.475*44/12</f>
        <v>0</v>
      </c>
      <c r="BS107" s="22">
        <f t="shared" si="63"/>
        <v>0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3.1</v>
      </c>
      <c r="BY107" s="12">
        <f>IF('Données projet'!$A$114&gt;35,BY106+BX107-CG106,IF(A107&lt;'Données projet'!$A$114,$BV$205^A107,IF(A107='Données projet'!$A$114,'Données projet'!$B$114,BY106+BX107-CG106)))</f>
        <v>214.40000000000003</v>
      </c>
      <c r="BZ107" s="13">
        <f>BY107*VLOOKUP('Données projet'!$B$12,Paramètres!$A$1:$I$89,3,0)*VLOOKUP('Données projet'!$B$12,Paramètres!$A$1:$I$89,5,0)</f>
        <v>207.36768000000004</v>
      </c>
      <c r="CA107" s="13">
        <f t="shared" si="93"/>
        <v>51.359935934080831</v>
      </c>
      <c r="CB107" s="20">
        <f t="shared" si="64"/>
        <v>450.61726441852414</v>
      </c>
      <c r="CC107" s="59">
        <f t="shared" si="65"/>
        <v>743.95059775185746</v>
      </c>
      <c r="CD107" s="59">
        <f ca="1">AVERAGE(OFFSET($CC$3,0,0,'Données projet'!$E$12+1,1))-AVERAGE(OFFSET($H$3,0,0,'Données projet'!$E$12+1,1))</f>
        <v>154.93882427988234</v>
      </c>
      <c r="CE107" s="59">
        <f t="shared" si="94"/>
        <v>56.347130462109817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>
        <f>EXP(-LN(2)/35)*CK106+(1-EXP(-LN(2)/35))/(LN(2)/35)*CG107*CH107*VLOOKUP('Données projet'!$B$12,Paramètres!$A$1:$I$89,3,0)*0.475*44/12</f>
        <v>0</v>
      </c>
      <c r="CL107" s="21">
        <f>EXP(-LN(2)/25)*CL106+(1-EXP(-LN(2)/25))/(LN(2)/25)*Calculateur!CG107*Calculateur!CI107*VLOOKUP('Données projet'!$B$12,Paramètres!$A$1:$I$89,3,0)*0.475*44/12</f>
        <v>0</v>
      </c>
      <c r="CM107" s="21">
        <f>EXP(-LN(2)/2)*CM106+(1-EXP(-LN(2)/2))/(LN(2)/2)*CG107*CJ107*VLOOKUP('Données projet'!$B$12,Paramètres!$A$1:$I$89,3,0)*0.475*44/12</f>
        <v>0</v>
      </c>
      <c r="CN107" s="22">
        <f t="shared" si="66"/>
        <v>0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93.366000000000156</v>
      </c>
      <c r="D108" s="11">
        <f t="shared" si="86"/>
        <v>25.375280233490724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916.59935618835073</v>
      </c>
      <c r="H108" s="67">
        <f t="shared" si="56"/>
        <v>500.14106307332992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0</v>
      </c>
      <c r="O108" s="13">
        <f>N108*VLOOKUP('Données projet'!$B$9,Paramètres!$A$1:$I$89,3,0)*VLOOKUP('Données projet'!$B$9,Paramètres!$A$1:$I$89,5,0)</f>
        <v>0</v>
      </c>
      <c r="P108" s="13" t="e">
        <f t="shared" si="87"/>
        <v>#NUM!</v>
      </c>
      <c r="Q108" s="20" t="e">
        <f t="shared" si="107"/>
        <v>#NUM!</v>
      </c>
      <c r="R108" s="59" t="e">
        <f t="shared" si="55"/>
        <v>#NUM!</v>
      </c>
      <c r="S108" s="59">
        <f ca="1">AVERAGE(OFFSET($R$3,0,0,'Données projet'!$E$9+1,1))-AVERAGE(OFFSET($H$3,0,0,'Données projet'!$E$9+1,1))</f>
        <v>72.647148358003676</v>
      </c>
      <c r="T108" s="59">
        <f t="shared" si="88"/>
        <v>87.231299224620898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0.28812897726461634</v>
      </c>
      <c r="AA108" s="21">
        <f>EXP(-LN(2)/25)*AA107+(1-EXP(-LN(2)/25))/(LN(2)/25)*Calculateur!V108*Calculateur!X108*VLOOKUP('Données projet'!$B$9,Paramètres!$A$1:$I$89,3,0)*0.475*44/12</f>
        <v>0.56639099349039446</v>
      </c>
      <c r="AB108" s="21">
        <f>EXP(-LN(2)/2)*AB107+(1-EXP(-LN(2)/2))/(LN(2)/2)*V108*Y108*VLOOKUP('Données projet'!$B$9,Paramètres!$A$1:$I$89,3,0)*0.475*44/12</f>
        <v>1.1734934458197183E-11</v>
      </c>
      <c r="AC108" s="22">
        <f t="shared" si="57"/>
        <v>0.8545199707667458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-8.5265128291212022E-14</v>
      </c>
      <c r="AJ108" s="13">
        <f>AI108*VLOOKUP('Données projet'!$B$10,Paramètres!$A$1:$I$89,3,0)*VLOOKUP('Données projet'!$B$10,Paramètres!$A$1:$I$89,5,0)</f>
        <v>-6.9167072069831198E-14</v>
      </c>
      <c r="AK108" s="13" t="e">
        <f t="shared" si="89"/>
        <v>#NUM!</v>
      </c>
      <c r="AL108" s="20" t="e">
        <f t="shared" si="58"/>
        <v>#NUM!</v>
      </c>
      <c r="AM108" s="59" t="e">
        <f t="shared" si="59"/>
        <v>#NUM!</v>
      </c>
      <c r="AN108" s="59">
        <f ca="1">AVERAGE(OFFSET($AM$3,0,0,'Données projet'!$E$10+1,1))-AVERAGE(OFFSET($H$3,0,0,'Données projet'!$E$10+1,1))</f>
        <v>145.3656871223958</v>
      </c>
      <c r="AO108" s="59">
        <f t="shared" si="90"/>
        <v>180.54762778843178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0</v>
      </c>
      <c r="AV108" s="21">
        <f>EXP(-LN(2)/25)*AV107+(1-EXP(-LN(2)/25))/(LN(2)/25)*Calculateur!AQ108*Calculateur!AS108*VLOOKUP('Données projet'!$B$10,Paramètres!$A$1:$I$89,3,0)*0.475*44/12</f>
        <v>0.69513861098227969</v>
      </c>
      <c r="AW108" s="21">
        <f>EXP(-LN(2)/2)*AW107+(1-EXP(-LN(2)/2))/(LN(2)/2)*AQ108*AT108*VLOOKUP('Données projet'!$B$10,Paramètres!$A$1:$I$89,3,0)*0.475*44/12</f>
        <v>4.1993307243830987E-11</v>
      </c>
      <c r="AX108" s="21">
        <f t="shared" si="60"/>
        <v>0.69513861102427299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3.1</v>
      </c>
      <c r="BD108" s="12">
        <f>IF('Données projet'!$A$88&gt;35,BD107+BC108-BL107,IF(A108&lt;'Données projet'!$A$88,$BA$205^A108,IF(A108='Données projet'!$A$88,'Données projet'!$B$88,BD107+BC108-BL107)))</f>
        <v>217.49999999999994</v>
      </c>
      <c r="BE108" s="13">
        <f>BD108*VLOOKUP('Données projet'!$B$11,Paramètres!$A$1:$I$89,3,0)*VLOOKUP('Données projet'!$B$11,Paramètres!$A$1:$I$89,5,0)</f>
        <v>196.79399999999995</v>
      </c>
      <c r="BF108" s="13">
        <f t="shared" si="91"/>
        <v>49.038924669809596</v>
      </c>
      <c r="BG108" s="20">
        <f t="shared" si="61"/>
        <v>428.15901046658496</v>
      </c>
      <c r="BH108" s="59">
        <f t="shared" si="62"/>
        <v>721.49234379991822</v>
      </c>
      <c r="BI108" s="59">
        <f ca="1">AVERAGE(OFFSET($BH$3,0,0,'Données projet'!$E$11+1,1))-AVERAGE(OFFSET($H$3,0,0,'Données projet'!$E$11+1,1))</f>
        <v>138.8931001150624</v>
      </c>
      <c r="BJ108" s="59">
        <f t="shared" si="92"/>
        <v>48.964659354096625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>
        <f>EXP(-LN(2)/35)*BP107+(1-EXP(-LN(2)/35))/(LN(2)/35)*BL108*BM108*VLOOKUP('Données projet'!$B$11,Paramètres!$A$1:$I$89,3,0)*0.475*44/12</f>
        <v>0</v>
      </c>
      <c r="BQ108" s="21">
        <f>EXP(-LN(2)/25)*BQ107+(1-EXP(-LN(2)/25))/(LN(2)/25)*Calculateur!BL108*Calculateur!BN108*VLOOKUP('Données projet'!$B$11,Paramètres!$A$1:$I$89,3,0)*0.475*44/12</f>
        <v>0</v>
      </c>
      <c r="BR108" s="21">
        <f>EXP(-LN(2)/2)*BR107+(1-EXP(-LN(2)/2))/(LN(2)/2)*BL108*BO108*VLOOKUP('Données projet'!$B$11,Paramètres!$A$1:$I$89,3,0)*0.475*44/12</f>
        <v>0</v>
      </c>
      <c r="BS108" s="22">
        <f t="shared" si="63"/>
        <v>0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3.1</v>
      </c>
      <c r="BY108" s="12">
        <f>IF('Données projet'!$A$114&gt;35,BY107+BX108-CG107,IF(A108&lt;'Données projet'!$A$114,$BV$205^A108,IF(A108='Données projet'!$A$114,'Données projet'!$B$114,BY107+BX108-CG107)))</f>
        <v>217.50000000000003</v>
      </c>
      <c r="BZ108" s="13">
        <f>BY108*VLOOKUP('Données projet'!$B$12,Paramètres!$A$1:$I$89,3,0)*VLOOKUP('Données projet'!$B$12,Paramètres!$A$1:$I$89,5,0)</f>
        <v>210.36600000000004</v>
      </c>
      <c r="CA108" s="13">
        <f t="shared" si="93"/>
        <v>52.01555779924837</v>
      </c>
      <c r="CB108" s="20">
        <f t="shared" si="64"/>
        <v>456.98121316702435</v>
      </c>
      <c r="CC108" s="59">
        <f t="shared" si="65"/>
        <v>750.31454650035766</v>
      </c>
      <c r="CD108" s="59">
        <f ca="1">AVERAGE(OFFSET($CC$3,0,0,'Données projet'!$E$12+1,1))-AVERAGE(OFFSET($H$3,0,0,'Données projet'!$E$12+1,1))</f>
        <v>154.93882427988234</v>
      </c>
      <c r="CE108" s="59">
        <f t="shared" si="94"/>
        <v>56.347130462109817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>
        <f>EXP(-LN(2)/35)*CK107+(1-EXP(-LN(2)/35))/(LN(2)/35)*CG108*CH108*VLOOKUP('Données projet'!$B$12,Paramètres!$A$1:$I$89,3,0)*0.475*44/12</f>
        <v>0</v>
      </c>
      <c r="CL108" s="21">
        <f>EXP(-LN(2)/25)*CL107+(1-EXP(-LN(2)/25))/(LN(2)/25)*Calculateur!CG108*Calculateur!CI108*VLOOKUP('Données projet'!$B$12,Paramètres!$A$1:$I$89,3,0)*0.475*44/12</f>
        <v>0</v>
      </c>
      <c r="CM108" s="21">
        <f>EXP(-LN(2)/2)*CM107+(1-EXP(-LN(2)/2))/(LN(2)/2)*CG108*CJ108*VLOOKUP('Données projet'!$B$12,Paramètres!$A$1:$I$89,3,0)*0.475*44/12</f>
        <v>0</v>
      </c>
      <c r="CN108" s="22">
        <f t="shared" si="66"/>
        <v>0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94.255200000000158</v>
      </c>
      <c r="D109" s="11">
        <f t="shared" si="86"/>
        <v>25.588701314145272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925.11081716182434</v>
      </c>
      <c r="H109" s="67">
        <f t="shared" si="56"/>
        <v>502.06146145546995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0</v>
      </c>
      <c r="O109" s="13">
        <f>N109*VLOOKUP('Données projet'!$B$9,Paramètres!$A$1:$I$89,3,0)*VLOOKUP('Données projet'!$B$9,Paramètres!$A$1:$I$89,5,0)</f>
        <v>0</v>
      </c>
      <c r="P109" s="13" t="e">
        <f t="shared" si="87"/>
        <v>#NUM!</v>
      </c>
      <c r="Q109" s="20" t="e">
        <f t="shared" si="107"/>
        <v>#NUM!</v>
      </c>
      <c r="R109" s="59" t="e">
        <f t="shared" si="55"/>
        <v>#NUM!</v>
      </c>
      <c r="S109" s="59">
        <f ca="1">AVERAGE(OFFSET($R$3,0,0,'Données projet'!$E$9+1,1))-AVERAGE(OFFSET($H$3,0,0,'Données projet'!$E$9+1,1))</f>
        <v>72.647148358003676</v>
      </c>
      <c r="T109" s="59">
        <f t="shared" si="88"/>
        <v>87.231299224620898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0.28247894376178034</v>
      </c>
      <c r="AA109" s="21">
        <f>EXP(-LN(2)/25)*AA108+(1-EXP(-LN(2)/25))/(LN(2)/25)*Calculateur!V109*Calculateur!X109*VLOOKUP('Données projet'!$B$9,Paramètres!$A$1:$I$89,3,0)*0.475*44/12</f>
        <v>0.55090300198819175</v>
      </c>
      <c r="AB109" s="21">
        <f>EXP(-LN(2)/2)*AB108+(1-EXP(-LN(2)/2))/(LN(2)/2)*V109*Y109*VLOOKUP('Données projet'!$B$9,Paramètres!$A$1:$I$89,3,0)*0.475*44/12</f>
        <v>8.2978517321709124E-12</v>
      </c>
      <c r="AC109" s="22">
        <f t="shared" si="57"/>
        <v>0.83338194575826985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-8.5265128291212022E-14</v>
      </c>
      <c r="AJ109" s="13">
        <f>AI109*VLOOKUP('Données projet'!$B$10,Paramètres!$A$1:$I$89,3,0)*VLOOKUP('Données projet'!$B$10,Paramètres!$A$1:$I$89,5,0)</f>
        <v>-6.9167072069831198E-14</v>
      </c>
      <c r="AK109" s="13" t="e">
        <f t="shared" si="89"/>
        <v>#NUM!</v>
      </c>
      <c r="AL109" s="20" t="e">
        <f t="shared" si="58"/>
        <v>#NUM!</v>
      </c>
      <c r="AM109" s="59" t="e">
        <f t="shared" si="59"/>
        <v>#NUM!</v>
      </c>
      <c r="AN109" s="59">
        <f ca="1">AVERAGE(OFFSET($AM$3,0,0,'Données projet'!$E$10+1,1))-AVERAGE(OFFSET($H$3,0,0,'Données projet'!$E$10+1,1))</f>
        <v>145.3656871223958</v>
      </c>
      <c r="AO109" s="59">
        <f t="shared" si="90"/>
        <v>180.54762778843178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0</v>
      </c>
      <c r="AV109" s="21">
        <f>EXP(-LN(2)/25)*AV108+(1-EXP(-LN(2)/25))/(LN(2)/25)*Calculateur!AQ109*Calculateur!AS109*VLOOKUP('Données projet'!$B$10,Paramètres!$A$1:$I$89,3,0)*0.475*44/12</f>
        <v>0.6761300091092185</v>
      </c>
      <c r="AW109" s="21">
        <f>EXP(-LN(2)/2)*AW108+(1-EXP(-LN(2)/2))/(LN(2)/2)*AQ109*AT109*VLOOKUP('Données projet'!$B$10,Paramètres!$A$1:$I$89,3,0)*0.475*44/12</f>
        <v>2.9693752316563058E-11</v>
      </c>
      <c r="AX109" s="21">
        <f t="shared" si="60"/>
        <v>0.6761300091389123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3.1</v>
      </c>
      <c r="BD109" s="12">
        <f>IF('Données projet'!$A$88&gt;35,BD108+BC109-BL108,IF(A109&lt;'Données projet'!$A$88,$BA$205^A109,IF(A109='Données projet'!$A$88,'Données projet'!$B$88,BD108+BC109-BL108)))</f>
        <v>220.59999999999994</v>
      </c>
      <c r="BE109" s="13">
        <f>BD109*VLOOKUP('Données projet'!$B$11,Paramètres!$A$1:$I$89,3,0)*VLOOKUP('Données projet'!$B$11,Paramètres!$A$1:$I$89,5,0)</f>
        <v>199.59887999999992</v>
      </c>
      <c r="BF109" s="13">
        <f t="shared" si="91"/>
        <v>49.656003392528994</v>
      </c>
      <c r="BG109" s="20">
        <f t="shared" si="61"/>
        <v>434.1189219086545</v>
      </c>
      <c r="BH109" s="59">
        <f t="shared" si="62"/>
        <v>727.45225524198781</v>
      </c>
      <c r="BI109" s="59">
        <f ca="1">AVERAGE(OFFSET($BH$3,0,0,'Données projet'!$E$11+1,1))-AVERAGE(OFFSET($H$3,0,0,'Données projet'!$E$11+1,1))</f>
        <v>138.8931001150624</v>
      </c>
      <c r="BJ109" s="59">
        <f t="shared" si="92"/>
        <v>48.964659354096625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>
        <f>EXP(-LN(2)/35)*BP108+(1-EXP(-LN(2)/35))/(LN(2)/35)*BL109*BM109*VLOOKUP('Données projet'!$B$11,Paramètres!$A$1:$I$89,3,0)*0.475*44/12</f>
        <v>0</v>
      </c>
      <c r="BQ109" s="21">
        <f>EXP(-LN(2)/25)*BQ108+(1-EXP(-LN(2)/25))/(LN(2)/25)*Calculateur!BL109*Calculateur!BN109*VLOOKUP('Données projet'!$B$11,Paramètres!$A$1:$I$89,3,0)*0.475*44/12</f>
        <v>0</v>
      </c>
      <c r="BR109" s="21">
        <f>EXP(-LN(2)/2)*BR108+(1-EXP(-LN(2)/2))/(LN(2)/2)*BL109*BO109*VLOOKUP('Données projet'!$B$11,Paramètres!$A$1:$I$89,3,0)*0.475*44/12</f>
        <v>0</v>
      </c>
      <c r="BS109" s="22">
        <f t="shared" si="63"/>
        <v>0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3.1</v>
      </c>
      <c r="BY109" s="12">
        <f>IF('Données projet'!$A$114&gt;35,BY108+BX109-CG108,IF(A109&lt;'Données projet'!$A$114,$BV$205^A109,IF(A109='Données projet'!$A$114,'Données projet'!$B$114,BY108+BX109-CG108)))</f>
        <v>220.60000000000002</v>
      </c>
      <c r="BZ109" s="13">
        <f>BY109*VLOOKUP('Données projet'!$B$12,Paramètres!$A$1:$I$89,3,0)*VLOOKUP('Données projet'!$B$12,Paramètres!$A$1:$I$89,5,0)</f>
        <v>213.36432000000005</v>
      </c>
      <c r="CA109" s="13">
        <f t="shared" si="93"/>
        <v>52.670092827991724</v>
      </c>
      <c r="CB109" s="20">
        <f t="shared" si="64"/>
        <v>463.34326900875232</v>
      </c>
      <c r="CC109" s="59">
        <f t="shared" si="65"/>
        <v>756.67660234208563</v>
      </c>
      <c r="CD109" s="59">
        <f ca="1">AVERAGE(OFFSET($CC$3,0,0,'Données projet'!$E$12+1,1))-AVERAGE(OFFSET($H$3,0,0,'Données projet'!$E$12+1,1))</f>
        <v>154.93882427988234</v>
      </c>
      <c r="CE109" s="59">
        <f t="shared" si="94"/>
        <v>56.347130462109817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>
        <f>EXP(-LN(2)/35)*CK108+(1-EXP(-LN(2)/35))/(LN(2)/35)*CG109*CH109*VLOOKUP('Données projet'!$B$12,Paramètres!$A$1:$I$89,3,0)*0.475*44/12</f>
        <v>0</v>
      </c>
      <c r="CL109" s="21">
        <f>EXP(-LN(2)/25)*CL108+(1-EXP(-LN(2)/25))/(LN(2)/25)*Calculateur!CG109*Calculateur!CI109*VLOOKUP('Données projet'!$B$12,Paramètres!$A$1:$I$89,3,0)*0.475*44/12</f>
        <v>0</v>
      </c>
      <c r="CM109" s="21">
        <f>EXP(-LN(2)/2)*CM108+(1-EXP(-LN(2)/2))/(LN(2)/2)*CG109*CJ109*VLOOKUP('Données projet'!$B$12,Paramètres!$A$1:$I$89,3,0)*0.475*44/12</f>
        <v>0</v>
      </c>
      <c r="CN109" s="22">
        <f t="shared" si="66"/>
        <v>0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95.144400000000161</v>
      </c>
      <c r="D110" s="11">
        <f t="shared" si="86"/>
        <v>25.801888159247749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933.62047000121208</v>
      </c>
      <c r="H110" s="67">
        <f t="shared" si="56"/>
        <v>503.98145187735673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0</v>
      </c>
      <c r="O110" s="13">
        <f>N110*VLOOKUP('Données projet'!$B$9,Paramètres!$A$1:$I$89,3,0)*VLOOKUP('Données projet'!$B$9,Paramètres!$A$1:$I$89,5,0)</f>
        <v>0</v>
      </c>
      <c r="P110" s="13" t="e">
        <f t="shared" si="87"/>
        <v>#NUM!</v>
      </c>
      <c r="Q110" s="20" t="e">
        <f t="shared" si="107"/>
        <v>#NUM!</v>
      </c>
      <c r="R110" s="59" t="e">
        <f t="shared" si="55"/>
        <v>#NUM!</v>
      </c>
      <c r="S110" s="59">
        <f ca="1">AVERAGE(OFFSET($R$3,0,0,'Données projet'!$E$9+1,1))-AVERAGE(OFFSET($H$3,0,0,'Données projet'!$E$9+1,1))</f>
        <v>72.647148358003676</v>
      </c>
      <c r="T110" s="59">
        <f t="shared" si="88"/>
        <v>87.231299224620898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0.27693970396975481</v>
      </c>
      <c r="AA110" s="21">
        <f>EXP(-LN(2)/25)*AA109+(1-EXP(-LN(2)/25))/(LN(2)/25)*Calculateur!V110*Calculateur!X110*VLOOKUP('Données projet'!$B$9,Paramètres!$A$1:$I$89,3,0)*0.475*44/12</f>
        <v>0.53583853042809493</v>
      </c>
      <c r="AB110" s="21">
        <f>EXP(-LN(2)/2)*AB109+(1-EXP(-LN(2)/2))/(LN(2)/2)*V110*Y110*VLOOKUP('Données projet'!$B$9,Paramètres!$A$1:$I$89,3,0)*0.475*44/12</f>
        <v>5.8674672290985917E-12</v>
      </c>
      <c r="AC110" s="22">
        <f t="shared" si="57"/>
        <v>0.81277823440371721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-8.5265128291212022E-14</v>
      </c>
      <c r="AJ110" s="13">
        <f>AI110*VLOOKUP('Données projet'!$B$10,Paramètres!$A$1:$I$89,3,0)*VLOOKUP('Données projet'!$B$10,Paramètres!$A$1:$I$89,5,0)</f>
        <v>-6.9167072069831198E-14</v>
      </c>
      <c r="AK110" s="13" t="e">
        <f t="shared" si="89"/>
        <v>#NUM!</v>
      </c>
      <c r="AL110" s="20" t="e">
        <f t="shared" si="58"/>
        <v>#NUM!</v>
      </c>
      <c r="AM110" s="59" t="e">
        <f t="shared" si="59"/>
        <v>#NUM!</v>
      </c>
      <c r="AN110" s="59">
        <f ca="1">AVERAGE(OFFSET($AM$3,0,0,'Données projet'!$E$10+1,1))-AVERAGE(OFFSET($H$3,0,0,'Données projet'!$E$10+1,1))</f>
        <v>145.3656871223958</v>
      </c>
      <c r="AO110" s="59">
        <f t="shared" si="90"/>
        <v>180.54762778843178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0</v>
      </c>
      <c r="AV110" s="21">
        <f>EXP(-LN(2)/25)*AV109+(1-EXP(-LN(2)/25))/(LN(2)/25)*Calculateur!AQ110*Calculateur!AS110*VLOOKUP('Données projet'!$B$10,Paramètres!$A$1:$I$89,3,0)*0.475*44/12</f>
        <v>0.65764119845399505</v>
      </c>
      <c r="AW110" s="21">
        <f>EXP(-LN(2)/2)*AW109+(1-EXP(-LN(2)/2))/(LN(2)/2)*AQ110*AT110*VLOOKUP('Données projet'!$B$10,Paramètres!$A$1:$I$89,3,0)*0.475*44/12</f>
        <v>2.0996653621915493E-11</v>
      </c>
      <c r="AX110" s="21">
        <f t="shared" si="60"/>
        <v>0.6576411984749917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3.1</v>
      </c>
      <c r="BD110" s="12">
        <f>IF('Données projet'!$A$88&gt;35,BD109+BC110-BL109,IF(A110&lt;'Données projet'!$A$88,$BA$205^A110,IF(A110='Données projet'!$A$88,'Données projet'!$B$88,BD109+BC110-BL109)))</f>
        <v>223.69999999999993</v>
      </c>
      <c r="BE110" s="13">
        <f>BD110*VLOOKUP('Données projet'!$B$11,Paramètres!$A$1:$I$89,3,0)*VLOOKUP('Données projet'!$B$11,Paramètres!$A$1:$I$89,5,0)</f>
        <v>202.40375999999992</v>
      </c>
      <c r="BF110" s="13">
        <f t="shared" si="91"/>
        <v>50.272073536742994</v>
      </c>
      <c r="BG110" s="20">
        <f t="shared" si="61"/>
        <v>440.0770767431606</v>
      </c>
      <c r="BH110" s="59">
        <f t="shared" si="62"/>
        <v>733.41041007649392</v>
      </c>
      <c r="BI110" s="59">
        <f ca="1">AVERAGE(OFFSET($BH$3,0,0,'Données projet'!$E$11+1,1))-AVERAGE(OFFSET($H$3,0,0,'Données projet'!$E$11+1,1))</f>
        <v>138.8931001150624</v>
      </c>
      <c r="BJ110" s="59">
        <f t="shared" si="92"/>
        <v>48.964659354096625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>
        <f>EXP(-LN(2)/35)*BP109+(1-EXP(-LN(2)/35))/(LN(2)/35)*BL110*BM110*VLOOKUP('Données projet'!$B$11,Paramètres!$A$1:$I$89,3,0)*0.475*44/12</f>
        <v>0</v>
      </c>
      <c r="BQ110" s="21">
        <f>EXP(-LN(2)/25)*BQ109+(1-EXP(-LN(2)/25))/(LN(2)/25)*Calculateur!BL110*Calculateur!BN110*VLOOKUP('Données projet'!$B$11,Paramètres!$A$1:$I$89,3,0)*0.475*44/12</f>
        <v>0</v>
      </c>
      <c r="BR110" s="21">
        <f>EXP(-LN(2)/2)*BR109+(1-EXP(-LN(2)/2))/(LN(2)/2)*BL110*BO110*VLOOKUP('Données projet'!$B$11,Paramètres!$A$1:$I$89,3,0)*0.475*44/12</f>
        <v>0</v>
      </c>
      <c r="BS110" s="22">
        <f t="shared" si="63"/>
        <v>0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3.1</v>
      </c>
      <c r="BY110" s="12">
        <f>IF('Données projet'!$A$114&gt;35,BY109+BX110-CG109,IF(A110&lt;'Données projet'!$A$114,$BV$205^A110,IF(A110='Données projet'!$A$114,'Données projet'!$B$114,BY109+BX110-CG109)))</f>
        <v>223.70000000000002</v>
      </c>
      <c r="BZ110" s="13">
        <f>BY110*VLOOKUP('Données projet'!$B$12,Paramètres!$A$1:$I$89,3,0)*VLOOKUP('Données projet'!$B$12,Paramètres!$A$1:$I$89,5,0)</f>
        <v>216.36264000000003</v>
      </c>
      <c r="CA110" s="13">
        <f t="shared" si="93"/>
        <v>53.323558058123105</v>
      </c>
      <c r="CB110" s="20">
        <f t="shared" si="64"/>
        <v>469.7034616178978</v>
      </c>
      <c r="CC110" s="59">
        <f t="shared" si="65"/>
        <v>763.03679495123106</v>
      </c>
      <c r="CD110" s="59">
        <f ca="1">AVERAGE(OFFSET($CC$3,0,0,'Données projet'!$E$12+1,1))-AVERAGE(OFFSET($H$3,0,0,'Données projet'!$E$12+1,1))</f>
        <v>154.93882427988234</v>
      </c>
      <c r="CE110" s="59">
        <f t="shared" si="94"/>
        <v>56.347130462109817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>
        <f>EXP(-LN(2)/35)*CK109+(1-EXP(-LN(2)/35))/(LN(2)/35)*CG110*CH110*VLOOKUP('Données projet'!$B$12,Paramètres!$A$1:$I$89,3,0)*0.475*44/12</f>
        <v>0</v>
      </c>
      <c r="CL110" s="21">
        <f>EXP(-LN(2)/25)*CL109+(1-EXP(-LN(2)/25))/(LN(2)/25)*Calculateur!CG110*Calculateur!CI110*VLOOKUP('Données projet'!$B$12,Paramètres!$A$1:$I$89,3,0)*0.475*44/12</f>
        <v>0</v>
      </c>
      <c r="CM110" s="21">
        <f>EXP(-LN(2)/2)*CM109+(1-EXP(-LN(2)/2))/(LN(2)/2)*CG110*CJ110*VLOOKUP('Données projet'!$B$12,Paramètres!$A$1:$I$89,3,0)*0.475*44/12</f>
        <v>0</v>
      </c>
      <c r="CN110" s="22">
        <f t="shared" si="66"/>
        <v>0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96.033600000000163</v>
      </c>
      <c r="D111" s="11">
        <f t="shared" si="86"/>
        <v>26.014843211471252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942.12833356223564</v>
      </c>
      <c r="H111" s="67">
        <f t="shared" si="56"/>
        <v>505.90103859331265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0</v>
      </c>
      <c r="O111" s="13">
        <f>N111*VLOOKUP('Données projet'!$B$9,Paramètres!$A$1:$I$89,3,0)*VLOOKUP('Données projet'!$B$9,Paramètres!$A$1:$I$89,5,0)</f>
        <v>0</v>
      </c>
      <c r="P111" s="13" t="e">
        <f t="shared" si="87"/>
        <v>#NUM!</v>
      </c>
      <c r="Q111" s="20" t="e">
        <f t="shared" si="107"/>
        <v>#NUM!</v>
      </c>
      <c r="R111" s="59" t="e">
        <f t="shared" si="55"/>
        <v>#NUM!</v>
      </c>
      <c r="S111" s="59">
        <f ca="1">AVERAGE(OFFSET($R$3,0,0,'Données projet'!$E$9+1,1))-AVERAGE(OFFSET($H$3,0,0,'Données projet'!$E$9+1,1))</f>
        <v>72.647148358003676</v>
      </c>
      <c r="T111" s="59">
        <f t="shared" si="88"/>
        <v>87.231299224620898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0.27150908529144824</v>
      </c>
      <c r="AA111" s="21">
        <f>EXP(-LN(2)/25)*AA110+(1-EXP(-LN(2)/25))/(LN(2)/25)*Calculateur!V111*Calculateur!X111*VLOOKUP('Données projet'!$B$9,Paramètres!$A$1:$I$89,3,0)*0.475*44/12</f>
        <v>0.52118599763501505</v>
      </c>
      <c r="AB111" s="21">
        <f>EXP(-LN(2)/2)*AB110+(1-EXP(-LN(2)/2))/(LN(2)/2)*V111*Y111*VLOOKUP('Données projet'!$B$9,Paramètres!$A$1:$I$89,3,0)*0.475*44/12</f>
        <v>4.1489258660854562E-12</v>
      </c>
      <c r="AC111" s="22">
        <f t="shared" si="57"/>
        <v>0.79269508293061219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-8.5265128291212022E-14</v>
      </c>
      <c r="AJ111" s="13">
        <f>AI111*VLOOKUP('Données projet'!$B$10,Paramètres!$A$1:$I$89,3,0)*VLOOKUP('Données projet'!$B$10,Paramètres!$A$1:$I$89,5,0)</f>
        <v>-6.9167072069831198E-14</v>
      </c>
      <c r="AK111" s="13" t="e">
        <f t="shared" si="89"/>
        <v>#NUM!</v>
      </c>
      <c r="AL111" s="20" t="e">
        <f t="shared" si="58"/>
        <v>#NUM!</v>
      </c>
      <c r="AM111" s="59" t="e">
        <f t="shared" si="59"/>
        <v>#NUM!</v>
      </c>
      <c r="AN111" s="59">
        <f ca="1">AVERAGE(OFFSET($AM$3,0,0,'Données projet'!$E$10+1,1))-AVERAGE(OFFSET($H$3,0,0,'Données projet'!$E$10+1,1))</f>
        <v>145.3656871223958</v>
      </c>
      <c r="AO111" s="59">
        <f t="shared" si="90"/>
        <v>180.54762778843178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0</v>
      </c>
      <c r="AV111" s="21">
        <f>EXP(-LN(2)/25)*AV110+(1-EXP(-LN(2)/25))/(LN(2)/25)*Calculateur!AQ111*Calculateur!AS111*VLOOKUP('Données projet'!$B$10,Paramètres!$A$1:$I$89,3,0)*0.475*44/12</f>
        <v>0.639657965298423</v>
      </c>
      <c r="AW111" s="21">
        <f>EXP(-LN(2)/2)*AW110+(1-EXP(-LN(2)/2))/(LN(2)/2)*AQ111*AT111*VLOOKUP('Données projet'!$B$10,Paramètres!$A$1:$I$89,3,0)*0.475*44/12</f>
        <v>1.4846876158281529E-11</v>
      </c>
      <c r="AX111" s="21">
        <f t="shared" si="60"/>
        <v>0.63965796531326991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3.1</v>
      </c>
      <c r="BD111" s="12">
        <f>IF('Données projet'!$A$88&gt;35,BD110+BC111-BL110,IF(A111&lt;'Données projet'!$A$88,$BA$205^A111,IF(A111='Données projet'!$A$88,'Données projet'!$B$88,BD110+BC111-BL110)))</f>
        <v>226.79999999999993</v>
      </c>
      <c r="BE111" s="13">
        <f>BD111*VLOOKUP('Données projet'!$B$11,Paramètres!$A$1:$I$89,3,0)*VLOOKUP('Données projet'!$B$11,Paramètres!$A$1:$I$89,5,0)</f>
        <v>205.20863999999995</v>
      </c>
      <c r="BF111" s="13">
        <f t="shared" si="91"/>
        <v>50.887150694493549</v>
      </c>
      <c r="BG111" s="20">
        <f t="shared" si="61"/>
        <v>446.03350212624281</v>
      </c>
      <c r="BH111" s="59">
        <f t="shared" si="62"/>
        <v>739.36683545957612</v>
      </c>
      <c r="BI111" s="59">
        <f ca="1">AVERAGE(OFFSET($BH$3,0,0,'Données projet'!$E$11+1,1))-AVERAGE(OFFSET($H$3,0,0,'Données projet'!$E$11+1,1))</f>
        <v>138.8931001150624</v>
      </c>
      <c r="BJ111" s="59">
        <f t="shared" si="92"/>
        <v>48.964659354096625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>
        <f>EXP(-LN(2)/35)*BP110+(1-EXP(-LN(2)/35))/(LN(2)/35)*BL111*BM111*VLOOKUP('Données projet'!$B$11,Paramètres!$A$1:$I$89,3,0)*0.475*44/12</f>
        <v>0</v>
      </c>
      <c r="BQ111" s="21">
        <f>EXP(-LN(2)/25)*BQ110+(1-EXP(-LN(2)/25))/(LN(2)/25)*Calculateur!BL111*Calculateur!BN111*VLOOKUP('Données projet'!$B$11,Paramètres!$A$1:$I$89,3,0)*0.475*44/12</f>
        <v>0</v>
      </c>
      <c r="BR111" s="21">
        <f>EXP(-LN(2)/2)*BR110+(1-EXP(-LN(2)/2))/(LN(2)/2)*BL111*BO111*VLOOKUP('Données projet'!$B$11,Paramètres!$A$1:$I$89,3,0)*0.475*44/12</f>
        <v>0</v>
      </c>
      <c r="BS111" s="22">
        <f t="shared" si="63"/>
        <v>0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3.1</v>
      </c>
      <c r="BY111" s="12">
        <f>IF('Données projet'!$A$114&gt;35,BY110+BX111-CG110,IF(A111&lt;'Données projet'!$A$114,$BV$205^A111,IF(A111='Données projet'!$A$114,'Données projet'!$B$114,BY110+BX111-CG110)))</f>
        <v>226.8</v>
      </c>
      <c r="BZ111" s="13">
        <f>BY111*VLOOKUP('Données projet'!$B$12,Paramètres!$A$1:$I$89,3,0)*VLOOKUP('Données projet'!$B$12,Paramètres!$A$1:$I$89,5,0)</f>
        <v>219.36096000000003</v>
      </c>
      <c r="CA111" s="13">
        <f t="shared" si="93"/>
        <v>53.975970028112116</v>
      </c>
      <c r="CB111" s="20">
        <f t="shared" si="64"/>
        <v>476.06181979896195</v>
      </c>
      <c r="CC111" s="59">
        <f t="shared" si="65"/>
        <v>769.39515313229526</v>
      </c>
      <c r="CD111" s="59">
        <f ca="1">AVERAGE(OFFSET($CC$3,0,0,'Données projet'!$E$12+1,1))-AVERAGE(OFFSET($H$3,0,0,'Données projet'!$E$12+1,1))</f>
        <v>154.93882427988234</v>
      </c>
      <c r="CE111" s="59">
        <f t="shared" si="94"/>
        <v>56.347130462109817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>
        <f>EXP(-LN(2)/35)*CK110+(1-EXP(-LN(2)/35))/(LN(2)/35)*CG111*CH111*VLOOKUP('Données projet'!$B$12,Paramètres!$A$1:$I$89,3,0)*0.475*44/12</f>
        <v>0</v>
      </c>
      <c r="CL111" s="21">
        <f>EXP(-LN(2)/25)*CL110+(1-EXP(-LN(2)/25))/(LN(2)/25)*Calculateur!CG111*Calculateur!CI111*VLOOKUP('Données projet'!$B$12,Paramètres!$A$1:$I$89,3,0)*0.475*44/12</f>
        <v>0</v>
      </c>
      <c r="CM111" s="21">
        <f>EXP(-LN(2)/2)*CM110+(1-EXP(-LN(2)/2))/(LN(2)/2)*CG111*CJ111*VLOOKUP('Données projet'!$B$12,Paramètres!$A$1:$I$89,3,0)*0.475*44/12</f>
        <v>0</v>
      </c>
      <c r="CN111" s="22">
        <f t="shared" si="66"/>
        <v>0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96.922800000000166</v>
      </c>
      <c r="D112" s="11">
        <f t="shared" si="86"/>
        <v>26.227568865645399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950.6344263312991</v>
      </c>
      <c r="H112" s="67">
        <f t="shared" si="56"/>
        <v>507.82022577433264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0</v>
      </c>
      <c r="O112" s="13">
        <f>N112*VLOOKUP('Données projet'!$B$9,Paramètres!$A$1:$I$89,3,0)*VLOOKUP('Données projet'!$B$9,Paramètres!$A$1:$I$89,5,0)</f>
        <v>0</v>
      </c>
      <c r="P112" s="13" t="e">
        <f t="shared" si="87"/>
        <v>#NUM!</v>
      </c>
      <c r="Q112" s="20" t="e">
        <f t="shared" si="107"/>
        <v>#NUM!</v>
      </c>
      <c r="R112" s="59" t="e">
        <f t="shared" si="55"/>
        <v>#NUM!</v>
      </c>
      <c r="S112" s="59">
        <f ca="1">AVERAGE(OFFSET($R$3,0,0,'Données projet'!$E$9+1,1))-AVERAGE(OFFSET($H$3,0,0,'Données projet'!$E$9+1,1))</f>
        <v>72.647148358003676</v>
      </c>
      <c r="T112" s="59">
        <f t="shared" si="88"/>
        <v>87.231299224620898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0.26618495773307294</v>
      </c>
      <c r="AA112" s="21">
        <f>EXP(-LN(2)/25)*AA111+(1-EXP(-LN(2)/25))/(LN(2)/25)*Calculateur!V112*Calculateur!X112*VLOOKUP('Données projet'!$B$9,Paramètres!$A$1:$I$89,3,0)*0.475*44/12</f>
        <v>0.50693413912170515</v>
      </c>
      <c r="AB112" s="21">
        <f>EXP(-LN(2)/2)*AB111+(1-EXP(-LN(2)/2))/(LN(2)/2)*V112*Y112*VLOOKUP('Données projet'!$B$9,Paramètres!$A$1:$I$89,3,0)*0.475*44/12</f>
        <v>2.9337336145492959E-12</v>
      </c>
      <c r="AC112" s="22">
        <f t="shared" si="57"/>
        <v>0.77311909685771185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-8.5265128291212022E-14</v>
      </c>
      <c r="AJ112" s="13">
        <f>AI112*VLOOKUP('Données projet'!$B$10,Paramètres!$A$1:$I$89,3,0)*VLOOKUP('Données projet'!$B$10,Paramètres!$A$1:$I$89,5,0)</f>
        <v>-6.9167072069831198E-14</v>
      </c>
      <c r="AK112" s="13" t="e">
        <f t="shared" si="89"/>
        <v>#NUM!</v>
      </c>
      <c r="AL112" s="20" t="e">
        <f t="shared" si="58"/>
        <v>#NUM!</v>
      </c>
      <c r="AM112" s="59" t="e">
        <f t="shared" si="59"/>
        <v>#NUM!</v>
      </c>
      <c r="AN112" s="59">
        <f ca="1">AVERAGE(OFFSET($AM$3,0,0,'Données projet'!$E$10+1,1))-AVERAGE(OFFSET($H$3,0,0,'Données projet'!$E$10+1,1))</f>
        <v>145.3656871223958</v>
      </c>
      <c r="AO112" s="59">
        <f t="shared" si="90"/>
        <v>180.54762778843178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0</v>
      </c>
      <c r="AV112" s="21">
        <f>EXP(-LN(2)/25)*AV111+(1-EXP(-LN(2)/25))/(LN(2)/25)*Calculateur!AQ112*Calculateur!AS112*VLOOKUP('Données projet'!$B$10,Paramètres!$A$1:$I$89,3,0)*0.475*44/12</f>
        <v>0.62216648459918722</v>
      </c>
      <c r="AW112" s="21">
        <f>EXP(-LN(2)/2)*AW111+(1-EXP(-LN(2)/2))/(LN(2)/2)*AQ112*AT112*VLOOKUP('Données projet'!$B$10,Paramètres!$A$1:$I$89,3,0)*0.475*44/12</f>
        <v>1.0498326810957747E-11</v>
      </c>
      <c r="AX112" s="21">
        <f t="shared" si="60"/>
        <v>0.6221664846096856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3.1</v>
      </c>
      <c r="BD112" s="12">
        <f>IF('Données projet'!$A$88&gt;35,BD111+BC112-BL111,IF(A112&lt;'Données projet'!$A$88,$BA$205^A112,IF(A112='Données projet'!$A$88,'Données projet'!$B$88,BD111+BC112-BL111)))</f>
        <v>229.89999999999992</v>
      </c>
      <c r="BE112" s="13">
        <f>BD112*VLOOKUP('Données projet'!$B$11,Paramètres!$A$1:$I$89,3,0)*VLOOKUP('Données projet'!$B$11,Paramètres!$A$1:$I$89,5,0)</f>
        <v>208.01351999999994</v>
      </c>
      <c r="BF112" s="13">
        <f t="shared" si="91"/>
        <v>51.501250007095145</v>
      </c>
      <c r="BG112" s="20">
        <f t="shared" si="61"/>
        <v>451.98822442902389</v>
      </c>
      <c r="BH112" s="59">
        <f t="shared" si="62"/>
        <v>745.3215577623572</v>
      </c>
      <c r="BI112" s="59">
        <f ca="1">AVERAGE(OFFSET($BH$3,0,0,'Données projet'!$E$11+1,1))-AVERAGE(OFFSET($H$3,0,0,'Données projet'!$E$11+1,1))</f>
        <v>138.8931001150624</v>
      </c>
      <c r="BJ112" s="59">
        <f t="shared" si="92"/>
        <v>48.964659354096625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>
        <f>EXP(-LN(2)/35)*BP111+(1-EXP(-LN(2)/35))/(LN(2)/35)*BL112*BM112*VLOOKUP('Données projet'!$B$11,Paramètres!$A$1:$I$89,3,0)*0.475*44/12</f>
        <v>0</v>
      </c>
      <c r="BQ112" s="21">
        <f>EXP(-LN(2)/25)*BQ111+(1-EXP(-LN(2)/25))/(LN(2)/25)*Calculateur!BL112*Calculateur!BN112*VLOOKUP('Données projet'!$B$11,Paramètres!$A$1:$I$89,3,0)*0.475*44/12</f>
        <v>0</v>
      </c>
      <c r="BR112" s="21">
        <f>EXP(-LN(2)/2)*BR111+(1-EXP(-LN(2)/2))/(LN(2)/2)*BL112*BO112*VLOOKUP('Données projet'!$B$11,Paramètres!$A$1:$I$89,3,0)*0.475*44/12</f>
        <v>0</v>
      </c>
      <c r="BS112" s="22">
        <f t="shared" si="63"/>
        <v>0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3.1</v>
      </c>
      <c r="BY112" s="12">
        <f>IF('Données projet'!$A$114&gt;35,BY111+BX112-CG111,IF(A112&lt;'Données projet'!$A$114,$BV$205^A112,IF(A112='Données projet'!$A$114,'Données projet'!$B$114,BY111+BX112-CG111)))</f>
        <v>229.9</v>
      </c>
      <c r="BZ112" s="13">
        <f>BY112*VLOOKUP('Données projet'!$B$12,Paramètres!$A$1:$I$89,3,0)*VLOOKUP('Données projet'!$B$12,Paramètres!$A$1:$I$89,5,0)</f>
        <v>222.35928000000001</v>
      </c>
      <c r="CA112" s="13">
        <f t="shared" si="93"/>
        <v>54.627344798341738</v>
      </c>
      <c r="CB112" s="20">
        <f t="shared" si="64"/>
        <v>482.41837152377849</v>
      </c>
      <c r="CC112" s="59">
        <f t="shared" si="65"/>
        <v>775.7517048571118</v>
      </c>
      <c r="CD112" s="59">
        <f ca="1">AVERAGE(OFFSET($CC$3,0,0,'Données projet'!$E$12+1,1))-AVERAGE(OFFSET($H$3,0,0,'Données projet'!$E$12+1,1))</f>
        <v>154.93882427988234</v>
      </c>
      <c r="CE112" s="59">
        <f t="shared" si="94"/>
        <v>56.347130462109817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>
        <f>EXP(-LN(2)/35)*CK111+(1-EXP(-LN(2)/35))/(LN(2)/35)*CG112*CH112*VLOOKUP('Données projet'!$B$12,Paramètres!$A$1:$I$89,3,0)*0.475*44/12</f>
        <v>0</v>
      </c>
      <c r="CL112" s="21">
        <f>EXP(-LN(2)/25)*CL111+(1-EXP(-LN(2)/25))/(LN(2)/25)*Calculateur!CG112*Calculateur!CI112*VLOOKUP('Données projet'!$B$12,Paramètres!$A$1:$I$89,3,0)*0.475*44/12</f>
        <v>0</v>
      </c>
      <c r="CM112" s="21">
        <f>EXP(-LN(2)/2)*CM111+(1-EXP(-LN(2)/2))/(LN(2)/2)*CG112*CJ112*VLOOKUP('Données projet'!$B$12,Paramètres!$A$1:$I$89,3,0)*0.475*44/12</f>
        <v>0</v>
      </c>
      <c r="CN112" s="22">
        <f t="shared" si="66"/>
        <v>0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97.812000000000168</v>
      </c>
      <c r="D113" s="11">
        <f t="shared" si="86"/>
        <v>26.440067470123306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959.1387664360409</v>
      </c>
      <c r="H113" s="67">
        <f t="shared" si="56"/>
        <v>509.73901751046503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0</v>
      </c>
      <c r="O113" s="13">
        <f>N113*VLOOKUP('Données projet'!$B$9,Paramètres!$A$1:$I$89,3,0)*VLOOKUP('Données projet'!$B$9,Paramètres!$A$1:$I$89,5,0)</f>
        <v>0</v>
      </c>
      <c r="P113" s="13" t="e">
        <f t="shared" si="87"/>
        <v>#NUM!</v>
      </c>
      <c r="Q113" s="20" t="e">
        <f t="shared" si="107"/>
        <v>#NUM!</v>
      </c>
      <c r="R113" s="59" t="e">
        <f t="shared" si="55"/>
        <v>#NUM!</v>
      </c>
      <c r="S113" s="59">
        <f ca="1">AVERAGE(OFFSET($R$3,0,0,'Données projet'!$E$9+1,1))-AVERAGE(OFFSET($H$3,0,0,'Données projet'!$E$9+1,1))</f>
        <v>72.647148358003676</v>
      </c>
      <c r="T113" s="59">
        <f t="shared" si="88"/>
        <v>87.231299224620898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0.26096523306872021</v>
      </c>
      <c r="AA113" s="21">
        <f>EXP(-LN(2)/25)*AA112+(1-EXP(-LN(2)/25))/(LN(2)/25)*Calculateur!V113*Calculateur!X113*VLOOKUP('Données projet'!$B$9,Paramètres!$A$1:$I$89,3,0)*0.475*44/12</f>
        <v>0.49307199842891436</v>
      </c>
      <c r="AB113" s="21">
        <f>EXP(-LN(2)/2)*AB112+(1-EXP(-LN(2)/2))/(LN(2)/2)*V113*Y113*VLOOKUP('Données projet'!$B$9,Paramètres!$A$1:$I$89,3,0)*0.475*44/12</f>
        <v>2.0744629330427281E-12</v>
      </c>
      <c r="AC113" s="22">
        <f t="shared" si="57"/>
        <v>0.75403723149970903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-8.5265128291212022E-14</v>
      </c>
      <c r="AJ113" s="13">
        <f>AI113*VLOOKUP('Données projet'!$B$10,Paramètres!$A$1:$I$89,3,0)*VLOOKUP('Données projet'!$B$10,Paramètres!$A$1:$I$89,5,0)</f>
        <v>-6.9167072069831198E-14</v>
      </c>
      <c r="AK113" s="13" t="e">
        <f t="shared" si="89"/>
        <v>#NUM!</v>
      </c>
      <c r="AL113" s="20" t="e">
        <f t="shared" si="58"/>
        <v>#NUM!</v>
      </c>
      <c r="AM113" s="59" t="e">
        <f t="shared" si="59"/>
        <v>#NUM!</v>
      </c>
      <c r="AN113" s="59">
        <f ca="1">AVERAGE(OFFSET($AM$3,0,0,'Données projet'!$E$10+1,1))-AVERAGE(OFFSET($H$3,0,0,'Données projet'!$E$10+1,1))</f>
        <v>145.3656871223958</v>
      </c>
      <c r="AO113" s="59">
        <f t="shared" si="90"/>
        <v>180.54762778843178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0</v>
      </c>
      <c r="AV113" s="21">
        <f>EXP(-LN(2)/25)*AV112+(1-EXP(-LN(2)/25))/(LN(2)/25)*Calculateur!AQ113*Calculateur!AS113*VLOOKUP('Données projet'!$B$10,Paramètres!$A$1:$I$89,3,0)*0.475*44/12</f>
        <v>0.60515330935950895</v>
      </c>
      <c r="AW113" s="21">
        <f>EXP(-LN(2)/2)*AW112+(1-EXP(-LN(2)/2))/(LN(2)/2)*AQ113*AT113*VLOOKUP('Données projet'!$B$10,Paramètres!$A$1:$I$89,3,0)*0.475*44/12</f>
        <v>7.4234380791407646E-12</v>
      </c>
      <c r="AX113" s="21">
        <f t="shared" si="60"/>
        <v>0.60515330936693235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>
        <f>VLOOKUP(A113,'Données projet'!$A$87:$I$107,2,0)</f>
        <v>233</v>
      </c>
      <c r="BB113" s="12">
        <f>VLOOKUP(A113,'Données projet'!$A$87:$I$107,9,0)</f>
        <v>3.1</v>
      </c>
      <c r="BC113" s="12">
        <f t="array" ref="BC113">INDEX(BB:BB,MIN(IF(ISNUMBER(BB113:BB309),ROW(BB113:BB309),"")))</f>
        <v>3.1</v>
      </c>
      <c r="BD113" s="12">
        <f>IF('Données projet'!$A$88&gt;35,BD112+BC113-BL112,IF(A113&lt;'Données projet'!$A$88,$BA$205^A113,IF(A113='Données projet'!$A$88,'Données projet'!$B$88,BD112+BC113-BL112)))</f>
        <v>232.99999999999991</v>
      </c>
      <c r="BE113" s="13">
        <f>BD113*VLOOKUP('Données projet'!$B$11,Paramètres!$A$1:$I$89,3,0)*VLOOKUP('Données projet'!$B$11,Paramètres!$A$1:$I$89,5,0)</f>
        <v>210.81839999999988</v>
      </c>
      <c r="BF113" s="13">
        <f t="shared" si="91"/>
        <v>52.114386184062155</v>
      </c>
      <c r="BG113" s="20">
        <f t="shared" si="61"/>
        <v>457.94126927057465</v>
      </c>
      <c r="BH113" s="59">
        <f t="shared" si="62"/>
        <v>751.27460260390797</v>
      </c>
      <c r="BI113" s="59">
        <f ca="1">AVERAGE(OFFSET($BH$3,0,0,'Données projet'!$E$11+1,1))-AVERAGE(OFFSET($H$3,0,0,'Données projet'!$E$11+1,1))</f>
        <v>138.8931001150624</v>
      </c>
      <c r="BJ113" s="59">
        <f t="shared" si="92"/>
        <v>48.964659354096625</v>
      </c>
      <c r="BK113" s="15">
        <f>IF(ISNA(VLOOKUP(A113,'Données projet'!$A$87:$I$107,3,0)),0,VLOOKUP(A113,'Données projet'!$A$87:$I$107,3,0))</f>
        <v>8</v>
      </c>
      <c r="BL113" s="15">
        <f>IF(ISNA(VLOOKUP(A113,'Données projet'!$A$87:$I$107,4,0)),0,VLOOKUP(A113,'Données projet'!$A$87:$I$107,4,0))</f>
        <v>27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>
        <f>EXP(-LN(2)/35)*BP112+(1-EXP(-LN(2)/35))/(LN(2)/35)*BL113*BM113*VLOOKUP('Données projet'!$B$11,Paramètres!$A$1:$I$89,3,0)*0.475*44/12</f>
        <v>0</v>
      </c>
      <c r="BQ113" s="21">
        <f>EXP(-LN(2)/25)*BQ112+(1-EXP(-LN(2)/25))/(LN(2)/25)*Calculateur!BL113*Calculateur!BN113*VLOOKUP('Données projet'!$B$11,Paramètres!$A$1:$I$89,3,0)*0.475*44/12</f>
        <v>0</v>
      </c>
      <c r="BR113" s="21">
        <f>EXP(-LN(2)/2)*BR112+(1-EXP(-LN(2)/2))/(LN(2)/2)*BL113*BO113*VLOOKUP('Données projet'!$B$11,Paramètres!$A$1:$I$89,3,0)*0.475*44/12</f>
        <v>0</v>
      </c>
      <c r="BS113" s="22">
        <f t="shared" si="63"/>
        <v>0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>
        <f>VLOOKUP(A113,'Données projet'!$A$113:$I$133,2,0)</f>
        <v>233</v>
      </c>
      <c r="BW113" s="12">
        <f>VLOOKUP(A113,'Données projet'!$A$113:$I$133,9,0)</f>
        <v>3.1</v>
      </c>
      <c r="BX113" s="12">
        <f t="array" ref="BX113">INDEX(BW:BW,MIN(IF(ISNUMBER(BW113:BW309),ROW(BW113:BW309),"")))</f>
        <v>3.1</v>
      </c>
      <c r="BY113" s="12">
        <f>IF('Données projet'!$A$114&gt;35,BY112+BX113-CG112,IF(A113&lt;'Données projet'!$A$114,$BV$205^A113,IF(A113='Données projet'!$A$114,'Données projet'!$B$114,BY112+BX113-CG112)))</f>
        <v>233</v>
      </c>
      <c r="BZ113" s="13">
        <f>BY113*VLOOKUP('Données projet'!$B$12,Paramètres!$A$1:$I$89,3,0)*VLOOKUP('Données projet'!$B$12,Paramètres!$A$1:$I$89,5,0)</f>
        <v>225.35760000000002</v>
      </c>
      <c r="CA113" s="13">
        <f t="shared" si="93"/>
        <v>55.277697971185155</v>
      </c>
      <c r="CB113" s="20">
        <f t="shared" si="64"/>
        <v>488.7731439664808</v>
      </c>
      <c r="CC113" s="59">
        <f t="shared" si="65"/>
        <v>782.10647729981406</v>
      </c>
      <c r="CD113" s="59">
        <f ca="1">AVERAGE(OFFSET($CC$3,0,0,'Données projet'!$E$12+1,1))-AVERAGE(OFFSET($H$3,0,0,'Données projet'!$E$12+1,1))</f>
        <v>154.93882427988234</v>
      </c>
      <c r="CE113" s="59">
        <f t="shared" si="94"/>
        <v>56.347130462109817</v>
      </c>
      <c r="CF113" s="15">
        <f>IF(ISNA(VLOOKUP(A113,'Données projet'!$A$113:$I$133,3,0)),0,VLOOKUP(A113,'Données projet'!$A$113:$I$133,3,0))</f>
        <v>8</v>
      </c>
      <c r="CG113" s="15">
        <f>IF(ISNA(VLOOKUP(A113,'Données projet'!$A$113:$I$133,4,0)),0,VLOOKUP(A113,'Données projet'!$A$113:$I$133,4,0))</f>
        <v>27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>
        <f>EXP(-LN(2)/35)*CK112+(1-EXP(-LN(2)/35))/(LN(2)/35)*CG113*CH113*VLOOKUP('Données projet'!$B$12,Paramètres!$A$1:$I$89,3,0)*0.475*44/12</f>
        <v>0</v>
      </c>
      <c r="CL113" s="21">
        <f>EXP(-LN(2)/25)*CL112+(1-EXP(-LN(2)/25))/(LN(2)/25)*Calculateur!CG113*Calculateur!CI113*VLOOKUP('Données projet'!$B$12,Paramètres!$A$1:$I$89,3,0)*0.475*44/12</f>
        <v>0</v>
      </c>
      <c r="CM113" s="21">
        <f>EXP(-LN(2)/2)*CM112+(1-EXP(-LN(2)/2))/(LN(2)/2)*CG113*CJ113*VLOOKUP('Données projet'!$B$12,Paramètres!$A$1:$I$89,3,0)*0.475*44/12</f>
        <v>0</v>
      </c>
      <c r="CN113" s="22">
        <f t="shared" si="66"/>
        <v>0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98.701200000000171</v>
      </c>
      <c r="D114" s="11">
        <f t="shared" si="86"/>
        <v>26.65234132809799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967.64137165549471</v>
      </c>
      <c r="H114" s="67">
        <f t="shared" si="56"/>
        <v>511.6574178131043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0</v>
      </c>
      <c r="O114" s="13">
        <f>N114*VLOOKUP('Données projet'!$B$9,Paramètres!$A$1:$I$89,3,0)*VLOOKUP('Données projet'!$B$9,Paramètres!$A$1:$I$89,5,0)</f>
        <v>0</v>
      </c>
      <c r="P114" s="13" t="e">
        <f t="shared" si="87"/>
        <v>#NUM!</v>
      </c>
      <c r="Q114" s="20" t="e">
        <f t="shared" si="107"/>
        <v>#NUM!</v>
      </c>
      <c r="R114" s="59" t="e">
        <f t="shared" si="55"/>
        <v>#NUM!</v>
      </c>
      <c r="S114" s="59">
        <f ca="1">AVERAGE(OFFSET($R$3,0,0,'Données projet'!$E$9+1,1))-AVERAGE(OFFSET($H$3,0,0,'Données projet'!$E$9+1,1))</f>
        <v>72.647148358003676</v>
      </c>
      <c r="T114" s="59">
        <f t="shared" si="88"/>
        <v>87.231299224620898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0.25584786402131776</v>
      </c>
      <c r="AA114" s="21">
        <f>EXP(-LN(2)/25)*AA113+(1-EXP(-LN(2)/25))/(LN(2)/25)*Calculateur!V114*Calculateur!X114*VLOOKUP('Données projet'!$B$9,Paramètres!$A$1:$I$89,3,0)*0.475*44/12</f>
        <v>0.47958891870234621</v>
      </c>
      <c r="AB114" s="21">
        <f>EXP(-LN(2)/2)*AB113+(1-EXP(-LN(2)/2))/(LN(2)/2)*V114*Y114*VLOOKUP('Données projet'!$B$9,Paramètres!$A$1:$I$89,3,0)*0.475*44/12</f>
        <v>1.4668668072746479E-12</v>
      </c>
      <c r="AC114" s="22">
        <f t="shared" si="57"/>
        <v>0.7354367827251308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-8.5265128291212022E-14</v>
      </c>
      <c r="AJ114" s="13">
        <f>AI114*VLOOKUP('Données projet'!$B$10,Paramètres!$A$1:$I$89,3,0)*VLOOKUP('Données projet'!$B$10,Paramètres!$A$1:$I$89,5,0)</f>
        <v>-6.9167072069831198E-14</v>
      </c>
      <c r="AK114" s="13" t="e">
        <f t="shared" si="89"/>
        <v>#NUM!</v>
      </c>
      <c r="AL114" s="20" t="e">
        <f t="shared" si="58"/>
        <v>#NUM!</v>
      </c>
      <c r="AM114" s="59" t="e">
        <f t="shared" si="59"/>
        <v>#NUM!</v>
      </c>
      <c r="AN114" s="59">
        <f ca="1">AVERAGE(OFFSET($AM$3,0,0,'Données projet'!$E$10+1,1))-AVERAGE(OFFSET($H$3,0,0,'Données projet'!$E$10+1,1))</f>
        <v>145.3656871223958</v>
      </c>
      <c r="AO114" s="59">
        <f t="shared" si="90"/>
        <v>180.54762778843178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0</v>
      </c>
      <c r="AV114" s="21">
        <f>EXP(-LN(2)/25)*AV113+(1-EXP(-LN(2)/25))/(LN(2)/25)*Calculateur!AQ114*Calculateur!AS114*VLOOKUP('Données projet'!$B$10,Paramètres!$A$1:$I$89,3,0)*0.475*44/12</f>
        <v>0.58860536029144372</v>
      </c>
      <c r="AW114" s="21">
        <f>EXP(-LN(2)/2)*AW113+(1-EXP(-LN(2)/2))/(LN(2)/2)*AQ114*AT114*VLOOKUP('Données projet'!$B$10,Paramètres!$A$1:$I$89,3,0)*0.475*44/12</f>
        <v>5.2491634054788734E-12</v>
      </c>
      <c r="AX114" s="21">
        <f t="shared" si="60"/>
        <v>0.58860536029669286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2.8</v>
      </c>
      <c r="BD114" s="12">
        <f>IF('Données projet'!$A$88&gt;35,BD113+BC114-BL113,IF(A114&lt;'Données projet'!$A$88,$BA$205^A114,IF(A114='Données projet'!$A$88,'Données projet'!$B$88,BD113+BC114-BL113)))</f>
        <v>208.79999999999993</v>
      </c>
      <c r="BE114" s="13">
        <f>BD114*VLOOKUP('Données projet'!$B$11,Paramètres!$A$1:$I$89,3,0)*VLOOKUP('Données projet'!$B$11,Paramètres!$A$1:$I$89,5,0)</f>
        <v>188.9222399999999</v>
      </c>
      <c r="BF114" s="13">
        <f t="shared" si="91"/>
        <v>47.301596587245974</v>
      </c>
      <c r="BG114" s="20">
        <f t="shared" si="61"/>
        <v>411.42318205611986</v>
      </c>
      <c r="BH114" s="59">
        <f t="shared" si="62"/>
        <v>704.75651538945317</v>
      </c>
      <c r="BI114" s="59">
        <f ca="1">AVERAGE(OFFSET($BH$3,0,0,'Données projet'!$E$11+1,1))-AVERAGE(OFFSET($H$3,0,0,'Données projet'!$E$11+1,1))</f>
        <v>138.8931001150624</v>
      </c>
      <c r="BJ114" s="59">
        <f t="shared" si="92"/>
        <v>48.964659354096625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>
        <f>EXP(-LN(2)/35)*BP113+(1-EXP(-LN(2)/35))/(LN(2)/35)*BL114*BM114*VLOOKUP('Données projet'!$B$11,Paramètres!$A$1:$I$89,3,0)*0.475*44/12</f>
        <v>0</v>
      </c>
      <c r="BQ114" s="21">
        <f>EXP(-LN(2)/25)*BQ113+(1-EXP(-LN(2)/25))/(LN(2)/25)*Calculateur!BL114*Calculateur!BN114*VLOOKUP('Données projet'!$B$11,Paramètres!$A$1:$I$89,3,0)*0.475*44/12</f>
        <v>0</v>
      </c>
      <c r="BR114" s="21">
        <f>EXP(-LN(2)/2)*BR113+(1-EXP(-LN(2)/2))/(LN(2)/2)*BL114*BO114*VLOOKUP('Données projet'!$B$11,Paramètres!$A$1:$I$89,3,0)*0.475*44/12</f>
        <v>0</v>
      </c>
      <c r="BS114" s="22">
        <f t="shared" si="63"/>
        <v>0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2.8</v>
      </c>
      <c r="BY114" s="12">
        <f>IF('Données projet'!$A$114&gt;35,BY113+BX114-CG113,IF(A114&lt;'Données projet'!$A$114,$BV$205^A114,IF(A114='Données projet'!$A$114,'Données projet'!$B$114,BY113+BX114-CG113)))</f>
        <v>208.8</v>
      </c>
      <c r="BZ114" s="13">
        <f>BY114*VLOOKUP('Données projet'!$B$12,Paramètres!$A$1:$I$89,3,0)*VLOOKUP('Données projet'!$B$12,Paramètres!$A$1:$I$89,5,0)</f>
        <v>201.95136000000002</v>
      </c>
      <c r="CA114" s="13">
        <f t="shared" si="93"/>
        <v>50.172774950657931</v>
      </c>
      <c r="CB114" s="20">
        <f t="shared" si="64"/>
        <v>439.11620170572928</v>
      </c>
      <c r="CC114" s="59">
        <f t="shared" si="65"/>
        <v>732.44953503906254</v>
      </c>
      <c r="CD114" s="59">
        <f ca="1">AVERAGE(OFFSET($CC$3,0,0,'Données projet'!$E$12+1,1))-AVERAGE(OFFSET($H$3,0,0,'Données projet'!$E$12+1,1))</f>
        <v>154.93882427988234</v>
      </c>
      <c r="CE114" s="59">
        <f t="shared" si="94"/>
        <v>56.347130462109817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>
        <f>EXP(-LN(2)/35)*CK113+(1-EXP(-LN(2)/35))/(LN(2)/35)*CG114*CH114*VLOOKUP('Données projet'!$B$12,Paramètres!$A$1:$I$89,3,0)*0.475*44/12</f>
        <v>0</v>
      </c>
      <c r="CL114" s="21">
        <f>EXP(-LN(2)/25)*CL113+(1-EXP(-LN(2)/25))/(LN(2)/25)*Calculateur!CG114*Calculateur!CI114*VLOOKUP('Données projet'!$B$12,Paramètres!$A$1:$I$89,3,0)*0.475*44/12</f>
        <v>0</v>
      </c>
      <c r="CM114" s="21">
        <f>EXP(-LN(2)/2)*CM113+(1-EXP(-LN(2)/2))/(LN(2)/2)*CG114*CJ114*VLOOKUP('Données projet'!$B$12,Paramètres!$A$1:$I$89,3,0)*0.475*44/12</f>
        <v>0</v>
      </c>
      <c r="CN114" s="22">
        <f t="shared" si="66"/>
        <v>0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99.590400000000173</v>
      </c>
      <c r="D115" s="11">
        <f t="shared" si="86"/>
        <v>26.864392698869374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976.14225942987014</v>
      </c>
      <c r="H115" s="67">
        <f t="shared" si="56"/>
        <v>513.57543061719775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0</v>
      </c>
      <c r="O115" s="13">
        <f>N115*VLOOKUP('Données projet'!$B$9,Paramètres!$A$1:$I$89,3,0)*VLOOKUP('Données projet'!$B$9,Paramètres!$A$1:$I$89,5,0)</f>
        <v>0</v>
      </c>
      <c r="P115" s="13" t="e">
        <f t="shared" si="87"/>
        <v>#NUM!</v>
      </c>
      <c r="Q115" s="20" t="e">
        <f t="shared" si="107"/>
        <v>#NUM!</v>
      </c>
      <c r="R115" s="59" t="e">
        <f t="shared" si="55"/>
        <v>#NUM!</v>
      </c>
      <c r="S115" s="59">
        <f ca="1">AVERAGE(OFFSET($R$3,0,0,'Données projet'!$E$9+1,1))-AVERAGE(OFFSET($H$3,0,0,'Données projet'!$E$9+1,1))</f>
        <v>72.647148358003676</v>
      </c>
      <c r="T115" s="59">
        <f t="shared" si="88"/>
        <v>87.231299224620898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0.25083084345964796</v>
      </c>
      <c r="AA115" s="21">
        <f>EXP(-LN(2)/25)*AA114+(1-EXP(-LN(2)/25))/(LN(2)/25)*Calculateur!V115*Calculateur!X115*VLOOKUP('Données projet'!$B$9,Paramètres!$A$1:$I$89,3,0)*0.475*44/12</f>
        <v>0.46647453449994541</v>
      </c>
      <c r="AB115" s="21">
        <f>EXP(-LN(2)/2)*AB114+(1-EXP(-LN(2)/2))/(LN(2)/2)*V115*Y115*VLOOKUP('Données projet'!$B$9,Paramètres!$A$1:$I$89,3,0)*0.475*44/12</f>
        <v>1.037231466521364E-12</v>
      </c>
      <c r="AC115" s="22">
        <f t="shared" si="57"/>
        <v>0.71730537796063065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-8.5265128291212022E-14</v>
      </c>
      <c r="AJ115" s="13">
        <f>AI115*VLOOKUP('Données projet'!$B$10,Paramètres!$A$1:$I$89,3,0)*VLOOKUP('Données projet'!$B$10,Paramètres!$A$1:$I$89,5,0)</f>
        <v>-6.9167072069831198E-14</v>
      </c>
      <c r="AK115" s="13" t="e">
        <f t="shared" si="89"/>
        <v>#NUM!</v>
      </c>
      <c r="AL115" s="20" t="e">
        <f t="shared" si="58"/>
        <v>#NUM!</v>
      </c>
      <c r="AM115" s="59" t="e">
        <f t="shared" si="59"/>
        <v>#NUM!</v>
      </c>
      <c r="AN115" s="59">
        <f ca="1">AVERAGE(OFFSET($AM$3,0,0,'Données projet'!$E$10+1,1))-AVERAGE(OFFSET($H$3,0,0,'Données projet'!$E$10+1,1))</f>
        <v>145.3656871223958</v>
      </c>
      <c r="AO115" s="59">
        <f t="shared" si="90"/>
        <v>180.54762778843178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0</v>
      </c>
      <c r="AV115" s="21">
        <f>EXP(-LN(2)/25)*AV114+(1-EXP(-LN(2)/25))/(LN(2)/25)*Calculateur!AQ115*Calculateur!AS115*VLOOKUP('Données projet'!$B$10,Paramètres!$A$1:$I$89,3,0)*0.475*44/12</f>
        <v>0.57250991576086352</v>
      </c>
      <c r="AW115" s="21">
        <f>EXP(-LN(2)/2)*AW114+(1-EXP(-LN(2)/2))/(LN(2)/2)*AQ115*AT115*VLOOKUP('Données projet'!$B$10,Paramètres!$A$1:$I$89,3,0)*0.475*44/12</f>
        <v>3.7117190395703823E-12</v>
      </c>
      <c r="AX115" s="21">
        <f t="shared" si="60"/>
        <v>0.57250991576457522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2.8</v>
      </c>
      <c r="BD115" s="12">
        <f>IF('Données projet'!$A$88&gt;35,BD114+BC115-BL114,IF(A115&lt;'Données projet'!$A$88,$BA$205^A115,IF(A115='Données projet'!$A$88,'Données projet'!$B$88,BD114+BC115-BL114)))</f>
        <v>211.59999999999994</v>
      </c>
      <c r="BE115" s="13">
        <f>BD115*VLOOKUP('Données projet'!$B$11,Paramètres!$A$1:$I$89,3,0)*VLOOKUP('Données projet'!$B$11,Paramètres!$A$1:$I$89,5,0)</f>
        <v>191.45567999999994</v>
      </c>
      <c r="BF115" s="13">
        <f t="shared" si="91"/>
        <v>47.861639935303188</v>
      </c>
      <c r="BG115" s="20">
        <f t="shared" si="61"/>
        <v>416.81099888731961</v>
      </c>
      <c r="BH115" s="59">
        <f t="shared" si="62"/>
        <v>710.14433222065293</v>
      </c>
      <c r="BI115" s="59">
        <f ca="1">AVERAGE(OFFSET($BH$3,0,0,'Données projet'!$E$11+1,1))-AVERAGE(OFFSET($H$3,0,0,'Données projet'!$E$11+1,1))</f>
        <v>138.8931001150624</v>
      </c>
      <c r="BJ115" s="59">
        <f t="shared" si="92"/>
        <v>48.964659354096625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>
        <f>EXP(-LN(2)/35)*BP114+(1-EXP(-LN(2)/35))/(LN(2)/35)*BL115*BM115*VLOOKUP('Données projet'!$B$11,Paramètres!$A$1:$I$89,3,0)*0.475*44/12</f>
        <v>0</v>
      </c>
      <c r="BQ115" s="21">
        <f>EXP(-LN(2)/25)*BQ114+(1-EXP(-LN(2)/25))/(LN(2)/25)*Calculateur!BL115*Calculateur!BN115*VLOOKUP('Données projet'!$B$11,Paramètres!$A$1:$I$89,3,0)*0.475*44/12</f>
        <v>0</v>
      </c>
      <c r="BR115" s="21">
        <f>EXP(-LN(2)/2)*BR114+(1-EXP(-LN(2)/2))/(LN(2)/2)*BL115*BO115*VLOOKUP('Données projet'!$B$11,Paramètres!$A$1:$I$89,3,0)*0.475*44/12</f>
        <v>0</v>
      </c>
      <c r="BS115" s="22">
        <f t="shared" si="63"/>
        <v>0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2.8</v>
      </c>
      <c r="BY115" s="12">
        <f>IF('Données projet'!$A$114&gt;35,BY114+BX115-CG114,IF(A115&lt;'Données projet'!$A$114,$BV$205^A115,IF(A115='Données projet'!$A$114,'Données projet'!$B$114,BY114+BX115-CG114)))</f>
        <v>211.60000000000002</v>
      </c>
      <c r="BZ115" s="13">
        <f>BY115*VLOOKUP('Données projet'!$B$12,Paramètres!$A$1:$I$89,3,0)*VLOOKUP('Données projet'!$B$12,Paramètres!$A$1:$I$89,5,0)</f>
        <v>204.65952000000001</v>
      </c>
      <c r="CA115" s="13">
        <f t="shared" si="93"/>
        <v>50.766812591921394</v>
      </c>
      <c r="CB115" s="20">
        <f t="shared" si="64"/>
        <v>444.86752926426311</v>
      </c>
      <c r="CC115" s="59">
        <f t="shared" si="65"/>
        <v>738.20086259759637</v>
      </c>
      <c r="CD115" s="59">
        <f ca="1">AVERAGE(OFFSET($CC$3,0,0,'Données projet'!$E$12+1,1))-AVERAGE(OFFSET($H$3,0,0,'Données projet'!$E$12+1,1))</f>
        <v>154.93882427988234</v>
      </c>
      <c r="CE115" s="59">
        <f t="shared" si="94"/>
        <v>56.347130462109817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>
        <f>EXP(-LN(2)/35)*CK114+(1-EXP(-LN(2)/35))/(LN(2)/35)*CG115*CH115*VLOOKUP('Données projet'!$B$12,Paramètres!$A$1:$I$89,3,0)*0.475*44/12</f>
        <v>0</v>
      </c>
      <c r="CL115" s="21">
        <f>EXP(-LN(2)/25)*CL114+(1-EXP(-LN(2)/25))/(LN(2)/25)*Calculateur!CG115*Calculateur!CI115*VLOOKUP('Données projet'!$B$12,Paramètres!$A$1:$I$89,3,0)*0.475*44/12</f>
        <v>0</v>
      </c>
      <c r="CM115" s="21">
        <f>EXP(-LN(2)/2)*CM114+(1-EXP(-LN(2)/2))/(LN(2)/2)*CG115*CJ115*VLOOKUP('Données projet'!$B$12,Paramètres!$A$1:$I$89,3,0)*0.475*44/12</f>
        <v>0</v>
      </c>
      <c r="CN115" s="22">
        <f t="shared" si="66"/>
        <v>0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100.47960000000018</v>
      </c>
      <c r="D116" s="11">
        <f t="shared" si="86"/>
        <v>27.076223799065254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984.64144686997872</v>
      </c>
      <c r="H116" s="67">
        <f t="shared" si="56"/>
        <v>515.49305978337225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0</v>
      </c>
      <c r="O116" s="13">
        <f>N116*VLOOKUP('Données projet'!$B$9,Paramètres!$A$1:$I$89,3,0)*VLOOKUP('Données projet'!$B$9,Paramètres!$A$1:$I$89,5,0)</f>
        <v>0</v>
      </c>
      <c r="P116" s="13" t="e">
        <f t="shared" si="87"/>
        <v>#NUM!</v>
      </c>
      <c r="Q116" s="20" t="e">
        <f t="shared" si="107"/>
        <v>#NUM!</v>
      </c>
      <c r="R116" s="59" t="e">
        <f t="shared" si="55"/>
        <v>#NUM!</v>
      </c>
      <c r="S116" s="59">
        <f ca="1">AVERAGE(OFFSET($R$3,0,0,'Données projet'!$E$9+1,1))-AVERAGE(OFFSET($H$3,0,0,'Données projet'!$E$9+1,1))</f>
        <v>72.647148358003676</v>
      </c>
      <c r="T116" s="59">
        <f t="shared" si="88"/>
        <v>87.231299224620898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0.2459122036111121</v>
      </c>
      <c r="AA116" s="21">
        <f>EXP(-LN(2)/25)*AA115+(1-EXP(-LN(2)/25))/(LN(2)/25)*Calculateur!V116*Calculateur!X116*VLOOKUP('Données projet'!$B$9,Paramètres!$A$1:$I$89,3,0)*0.475*44/12</f>
        <v>0.4537187638232148</v>
      </c>
      <c r="AB116" s="21">
        <f>EXP(-LN(2)/2)*AB115+(1-EXP(-LN(2)/2))/(LN(2)/2)*V116*Y116*VLOOKUP('Données projet'!$B$9,Paramètres!$A$1:$I$89,3,0)*0.475*44/12</f>
        <v>7.3343340363732397E-13</v>
      </c>
      <c r="AC116" s="22">
        <f t="shared" si="57"/>
        <v>0.69963096743506026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-8.5265128291212022E-14</v>
      </c>
      <c r="AJ116" s="13">
        <f>AI116*VLOOKUP('Données projet'!$B$10,Paramètres!$A$1:$I$89,3,0)*VLOOKUP('Données projet'!$B$10,Paramètres!$A$1:$I$89,5,0)</f>
        <v>-6.9167072069831198E-14</v>
      </c>
      <c r="AK116" s="13" t="e">
        <f t="shared" si="89"/>
        <v>#NUM!</v>
      </c>
      <c r="AL116" s="20" t="e">
        <f t="shared" si="58"/>
        <v>#NUM!</v>
      </c>
      <c r="AM116" s="59" t="e">
        <f t="shared" si="59"/>
        <v>#NUM!</v>
      </c>
      <c r="AN116" s="59">
        <f ca="1">AVERAGE(OFFSET($AM$3,0,0,'Données projet'!$E$10+1,1))-AVERAGE(OFFSET($H$3,0,0,'Données projet'!$E$10+1,1))</f>
        <v>145.3656871223958</v>
      </c>
      <c r="AO116" s="59">
        <f t="shared" si="90"/>
        <v>180.54762778843178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0</v>
      </c>
      <c r="AV116" s="21">
        <f>EXP(-LN(2)/25)*AV115+(1-EXP(-LN(2)/25))/(LN(2)/25)*Calculateur!AQ116*Calculateur!AS116*VLOOKUP('Données projet'!$B$10,Paramètres!$A$1:$I$89,3,0)*0.475*44/12</f>
        <v>0.55685460200739467</v>
      </c>
      <c r="AW116" s="21">
        <f>EXP(-LN(2)/2)*AW115+(1-EXP(-LN(2)/2))/(LN(2)/2)*AQ116*AT116*VLOOKUP('Données projet'!$B$10,Paramètres!$A$1:$I$89,3,0)*0.475*44/12</f>
        <v>2.6245817027394367E-12</v>
      </c>
      <c r="AX116" s="21">
        <f t="shared" si="60"/>
        <v>0.55685460201001924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2.8</v>
      </c>
      <c r="BD116" s="12">
        <f>IF('Données projet'!$A$88&gt;35,BD115+BC116-BL115,IF(A116&lt;'Données projet'!$A$88,$BA$205^A116,IF(A116='Données projet'!$A$88,'Données projet'!$B$88,BD115+BC116-BL115)))</f>
        <v>214.39999999999995</v>
      </c>
      <c r="BE116" s="13">
        <f>BD116*VLOOKUP('Données projet'!$B$11,Paramètres!$A$1:$I$89,3,0)*VLOOKUP('Données projet'!$B$11,Paramètres!$A$1:$I$89,5,0)</f>
        <v>193.98911999999996</v>
      </c>
      <c r="BF116" s="13">
        <f t="shared" si="91"/>
        <v>48.420821305775434</v>
      </c>
      <c r="BG116" s="20">
        <f t="shared" si="61"/>
        <v>422.19731444089211</v>
      </c>
      <c r="BH116" s="59">
        <f t="shared" si="62"/>
        <v>715.53064777422537</v>
      </c>
      <c r="BI116" s="59">
        <f ca="1">AVERAGE(OFFSET($BH$3,0,0,'Données projet'!$E$11+1,1))-AVERAGE(OFFSET($H$3,0,0,'Données projet'!$E$11+1,1))</f>
        <v>138.8931001150624</v>
      </c>
      <c r="BJ116" s="59">
        <f t="shared" si="92"/>
        <v>48.964659354096625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>
        <f>EXP(-LN(2)/35)*BP115+(1-EXP(-LN(2)/35))/(LN(2)/35)*BL116*BM116*VLOOKUP('Données projet'!$B$11,Paramètres!$A$1:$I$89,3,0)*0.475*44/12</f>
        <v>0</v>
      </c>
      <c r="BQ116" s="21">
        <f>EXP(-LN(2)/25)*BQ115+(1-EXP(-LN(2)/25))/(LN(2)/25)*Calculateur!BL116*Calculateur!BN116*VLOOKUP('Données projet'!$B$11,Paramètres!$A$1:$I$89,3,0)*0.475*44/12</f>
        <v>0</v>
      </c>
      <c r="BR116" s="21">
        <f>EXP(-LN(2)/2)*BR115+(1-EXP(-LN(2)/2))/(LN(2)/2)*BL116*BO116*VLOOKUP('Données projet'!$B$11,Paramètres!$A$1:$I$89,3,0)*0.475*44/12</f>
        <v>0</v>
      </c>
      <c r="BS116" s="22">
        <f t="shared" si="63"/>
        <v>0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2.8</v>
      </c>
      <c r="BY116" s="12">
        <f>IF('Données projet'!$A$114&gt;35,BY115+BX116-CG115,IF(A116&lt;'Données projet'!$A$114,$BV$205^A116,IF(A116='Données projet'!$A$114,'Données projet'!$B$114,BY115+BX116-CG115)))</f>
        <v>214.40000000000003</v>
      </c>
      <c r="BZ116" s="13">
        <f>BY116*VLOOKUP('Données projet'!$B$12,Paramètres!$A$1:$I$89,3,0)*VLOOKUP('Données projet'!$B$12,Paramètres!$A$1:$I$89,5,0)</f>
        <v>207.36768000000004</v>
      </c>
      <c r="CA116" s="13">
        <f t="shared" si="93"/>
        <v>51.359935934080831</v>
      </c>
      <c r="CB116" s="20">
        <f t="shared" si="64"/>
        <v>450.61726441852414</v>
      </c>
      <c r="CC116" s="59">
        <f t="shared" si="65"/>
        <v>743.95059775185746</v>
      </c>
      <c r="CD116" s="59">
        <f ca="1">AVERAGE(OFFSET($CC$3,0,0,'Données projet'!$E$12+1,1))-AVERAGE(OFFSET($H$3,0,0,'Données projet'!$E$12+1,1))</f>
        <v>154.93882427988234</v>
      </c>
      <c r="CE116" s="59">
        <f t="shared" si="94"/>
        <v>56.347130462109817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>
        <f>EXP(-LN(2)/35)*CK115+(1-EXP(-LN(2)/35))/(LN(2)/35)*CG116*CH116*VLOOKUP('Données projet'!$B$12,Paramètres!$A$1:$I$89,3,0)*0.475*44/12</f>
        <v>0</v>
      </c>
      <c r="CL116" s="21">
        <f>EXP(-LN(2)/25)*CL115+(1-EXP(-LN(2)/25))/(LN(2)/25)*Calculateur!CG116*Calculateur!CI116*VLOOKUP('Données projet'!$B$12,Paramètres!$A$1:$I$89,3,0)*0.475*44/12</f>
        <v>0</v>
      </c>
      <c r="CM116" s="21">
        <f>EXP(-LN(2)/2)*CM115+(1-EXP(-LN(2)/2))/(LN(2)/2)*CG116*CJ116*VLOOKUP('Données projet'!$B$12,Paramètres!$A$1:$I$89,3,0)*0.475*44/12</f>
        <v>0</v>
      </c>
      <c r="CN116" s="22">
        <f t="shared" si="66"/>
        <v>0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101.36880000000018</v>
      </c>
      <c r="D117" s="11">
        <f t="shared" si="86"/>
        <v>27.287836803817498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993.13895076631172</v>
      </c>
      <c r="H117" s="67">
        <f t="shared" si="56"/>
        <v>517.41030909998244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0</v>
      </c>
      <c r="O117" s="13">
        <f>N117*VLOOKUP('Données projet'!$B$9,Paramètres!$A$1:$I$89,3,0)*VLOOKUP('Données projet'!$B$9,Paramètres!$A$1:$I$89,5,0)</f>
        <v>0</v>
      </c>
      <c r="P117" s="13" t="e">
        <f t="shared" si="87"/>
        <v>#NUM!</v>
      </c>
      <c r="Q117" s="20" t="e">
        <f t="shared" si="107"/>
        <v>#NUM!</v>
      </c>
      <c r="R117" s="59" t="e">
        <f t="shared" si="55"/>
        <v>#NUM!</v>
      </c>
      <c r="S117" s="59">
        <f ca="1">AVERAGE(OFFSET($R$3,0,0,'Données projet'!$E$9+1,1))-AVERAGE(OFFSET($H$3,0,0,'Données projet'!$E$9+1,1))</f>
        <v>72.647148358003676</v>
      </c>
      <c r="T117" s="59">
        <f t="shared" si="88"/>
        <v>87.231299224620898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0.24109001528993196</v>
      </c>
      <c r="AA117" s="21">
        <f>EXP(-LN(2)/25)*AA116+(1-EXP(-LN(2)/25))/(LN(2)/25)*Calculateur!V117*Calculateur!X117*VLOOKUP('Données projet'!$B$9,Paramètres!$A$1:$I$89,3,0)*0.475*44/12</f>
        <v>0.44131180036643619</v>
      </c>
      <c r="AB117" s="21">
        <f>EXP(-LN(2)/2)*AB116+(1-EXP(-LN(2)/2))/(LN(2)/2)*V117*Y117*VLOOKUP('Données projet'!$B$9,Paramètres!$A$1:$I$89,3,0)*0.475*44/12</f>
        <v>5.1861573326068202E-13</v>
      </c>
      <c r="AC117" s="22">
        <f t="shared" si="57"/>
        <v>0.68240181565688673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-8.5265128291212022E-14</v>
      </c>
      <c r="AJ117" s="13">
        <f>AI117*VLOOKUP('Données projet'!$B$10,Paramètres!$A$1:$I$89,3,0)*VLOOKUP('Données projet'!$B$10,Paramètres!$A$1:$I$89,5,0)</f>
        <v>-6.9167072069831198E-14</v>
      </c>
      <c r="AK117" s="13" t="e">
        <f t="shared" si="89"/>
        <v>#NUM!</v>
      </c>
      <c r="AL117" s="20" t="e">
        <f t="shared" si="58"/>
        <v>#NUM!</v>
      </c>
      <c r="AM117" s="59" t="e">
        <f t="shared" si="59"/>
        <v>#NUM!</v>
      </c>
      <c r="AN117" s="59">
        <f ca="1">AVERAGE(OFFSET($AM$3,0,0,'Données projet'!$E$10+1,1))-AVERAGE(OFFSET($H$3,0,0,'Données projet'!$E$10+1,1))</f>
        <v>145.3656871223958</v>
      </c>
      <c r="AO117" s="59">
        <f t="shared" si="90"/>
        <v>180.54762778843178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0</v>
      </c>
      <c r="AV117" s="21">
        <f>EXP(-LN(2)/25)*AV116+(1-EXP(-LN(2)/25))/(LN(2)/25)*Calculateur!AQ117*Calculateur!AS117*VLOOKUP('Données projet'!$B$10,Paramètres!$A$1:$I$89,3,0)*0.475*44/12</f>
        <v>0.54162738363179164</v>
      </c>
      <c r="AW117" s="21">
        <f>EXP(-LN(2)/2)*AW116+(1-EXP(-LN(2)/2))/(LN(2)/2)*AQ117*AT117*VLOOKUP('Données projet'!$B$10,Paramètres!$A$1:$I$89,3,0)*0.475*44/12</f>
        <v>1.8558595197851911E-12</v>
      </c>
      <c r="AX117" s="21">
        <f t="shared" si="60"/>
        <v>0.54162738363364749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2.8</v>
      </c>
      <c r="BD117" s="12">
        <f>IF('Données projet'!$A$88&gt;35,BD116+BC117-BL116,IF(A117&lt;'Données projet'!$A$88,$BA$205^A117,IF(A117='Données projet'!$A$88,'Données projet'!$B$88,BD116+BC117-BL116)))</f>
        <v>217.19999999999996</v>
      </c>
      <c r="BE117" s="13">
        <f>BD117*VLOOKUP('Données projet'!$B$11,Paramètres!$A$1:$I$89,3,0)*VLOOKUP('Données projet'!$B$11,Paramètres!$A$1:$I$89,5,0)</f>
        <v>196.52255999999997</v>
      </c>
      <c r="BF117" s="13">
        <f t="shared" si="91"/>
        <v>48.979153257338155</v>
      </c>
      <c r="BG117" s="20">
        <f t="shared" si="61"/>
        <v>427.58215058986383</v>
      </c>
      <c r="BH117" s="59">
        <f t="shared" si="62"/>
        <v>720.91548392319714</v>
      </c>
      <c r="BI117" s="59">
        <f ca="1">AVERAGE(OFFSET($BH$3,0,0,'Données projet'!$E$11+1,1))-AVERAGE(OFFSET($H$3,0,0,'Données projet'!$E$11+1,1))</f>
        <v>138.8931001150624</v>
      </c>
      <c r="BJ117" s="59">
        <f t="shared" si="92"/>
        <v>48.964659354096625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>
        <f>EXP(-LN(2)/35)*BP116+(1-EXP(-LN(2)/35))/(LN(2)/35)*BL117*BM117*VLOOKUP('Données projet'!$B$11,Paramètres!$A$1:$I$89,3,0)*0.475*44/12</f>
        <v>0</v>
      </c>
      <c r="BQ117" s="21">
        <f>EXP(-LN(2)/25)*BQ116+(1-EXP(-LN(2)/25))/(LN(2)/25)*Calculateur!BL117*Calculateur!BN117*VLOOKUP('Données projet'!$B$11,Paramètres!$A$1:$I$89,3,0)*0.475*44/12</f>
        <v>0</v>
      </c>
      <c r="BR117" s="21">
        <f>EXP(-LN(2)/2)*BR116+(1-EXP(-LN(2)/2))/(LN(2)/2)*BL117*BO117*VLOOKUP('Données projet'!$B$11,Paramètres!$A$1:$I$89,3,0)*0.475*44/12</f>
        <v>0</v>
      </c>
      <c r="BS117" s="22">
        <f t="shared" si="63"/>
        <v>0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2.8</v>
      </c>
      <c r="BY117" s="12">
        <f>IF('Données projet'!$A$114&gt;35,BY116+BX117-CG116,IF(A117&lt;'Données projet'!$A$114,$BV$205^A117,IF(A117='Données projet'!$A$114,'Données projet'!$B$114,BY116+BX117-CG116)))</f>
        <v>217.20000000000005</v>
      </c>
      <c r="BZ117" s="13">
        <f>BY117*VLOOKUP('Données projet'!$B$12,Paramètres!$A$1:$I$89,3,0)*VLOOKUP('Données projet'!$B$12,Paramètres!$A$1:$I$89,5,0)</f>
        <v>210.07584000000003</v>
      </c>
      <c r="CA117" s="13">
        <f t="shared" si="93"/>
        <v>51.952158298115599</v>
      </c>
      <c r="CB117" s="20">
        <f t="shared" si="64"/>
        <v>456.36543036921802</v>
      </c>
      <c r="CC117" s="59">
        <f t="shared" si="65"/>
        <v>749.69876370255133</v>
      </c>
      <c r="CD117" s="59">
        <f ca="1">AVERAGE(OFFSET($CC$3,0,0,'Données projet'!$E$12+1,1))-AVERAGE(OFFSET($H$3,0,0,'Données projet'!$E$12+1,1))</f>
        <v>154.93882427988234</v>
      </c>
      <c r="CE117" s="59">
        <f t="shared" si="94"/>
        <v>56.347130462109817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>
        <f>EXP(-LN(2)/35)*CK116+(1-EXP(-LN(2)/35))/(LN(2)/35)*CG117*CH117*VLOOKUP('Données projet'!$B$12,Paramètres!$A$1:$I$89,3,0)*0.475*44/12</f>
        <v>0</v>
      </c>
      <c r="CL117" s="21">
        <f>EXP(-LN(2)/25)*CL116+(1-EXP(-LN(2)/25))/(LN(2)/25)*Calculateur!CG117*Calculateur!CI117*VLOOKUP('Données projet'!$B$12,Paramètres!$A$1:$I$89,3,0)*0.475*44/12</f>
        <v>0</v>
      </c>
      <c r="CM117" s="21">
        <f>EXP(-LN(2)/2)*CM116+(1-EXP(-LN(2)/2))/(LN(2)/2)*CG117*CJ117*VLOOKUP('Données projet'!$B$12,Paramètres!$A$1:$I$89,3,0)*0.475*44/12</f>
        <v>0</v>
      </c>
      <c r="CN117" s="22">
        <f t="shared" si="66"/>
        <v>0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102.25800000000018</v>
      </c>
      <c r="D118" s="11">
        <f t="shared" si="86"/>
        <v>27.499233847895908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1001.6347875977945</v>
      </c>
      <c r="H118" s="67">
        <f t="shared" si="56"/>
        <v>519.32718228508566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0</v>
      </c>
      <c r="O118" s="13">
        <f>N118*VLOOKUP('Données projet'!$B$9,Paramètres!$A$1:$I$89,3,0)*VLOOKUP('Données projet'!$B$9,Paramètres!$A$1:$I$89,5,0)</f>
        <v>0</v>
      </c>
      <c r="P118" s="13" t="e">
        <f t="shared" si="87"/>
        <v>#NUM!</v>
      </c>
      <c r="Q118" s="20" t="e">
        <f t="shared" si="107"/>
        <v>#NUM!</v>
      </c>
      <c r="R118" s="59" t="e">
        <f t="shared" si="55"/>
        <v>#NUM!</v>
      </c>
      <c r="S118" s="59">
        <f ca="1">AVERAGE(OFFSET($R$3,0,0,'Données projet'!$E$9+1,1))-AVERAGE(OFFSET($H$3,0,0,'Données projet'!$E$9+1,1))</f>
        <v>72.647148358003676</v>
      </c>
      <c r="T118" s="59">
        <f t="shared" si="88"/>
        <v>87.231299224620898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0.23636238714048569</v>
      </c>
      <c r="AA118" s="21">
        <f>EXP(-LN(2)/25)*AA117+(1-EXP(-LN(2)/25))/(LN(2)/25)*Calculateur!V118*Calculateur!X118*VLOOKUP('Données projet'!$B$9,Paramètres!$A$1:$I$89,3,0)*0.475*44/12</f>
        <v>0.42924410597783702</v>
      </c>
      <c r="AB118" s="21">
        <f>EXP(-LN(2)/2)*AB117+(1-EXP(-LN(2)/2))/(LN(2)/2)*V118*Y118*VLOOKUP('Données projet'!$B$9,Paramètres!$A$1:$I$89,3,0)*0.475*44/12</f>
        <v>3.6671670181866198E-13</v>
      </c>
      <c r="AC118" s="22">
        <f t="shared" si="57"/>
        <v>0.66560649311868947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-8.5265128291212022E-14</v>
      </c>
      <c r="AJ118" s="13">
        <f>AI118*VLOOKUP('Données projet'!$B$10,Paramètres!$A$1:$I$89,3,0)*VLOOKUP('Données projet'!$B$10,Paramètres!$A$1:$I$89,5,0)</f>
        <v>-6.9167072069831198E-14</v>
      </c>
      <c r="AK118" s="13" t="e">
        <f t="shared" si="89"/>
        <v>#NUM!</v>
      </c>
      <c r="AL118" s="20" t="e">
        <f t="shared" si="58"/>
        <v>#NUM!</v>
      </c>
      <c r="AM118" s="59" t="e">
        <f t="shared" si="59"/>
        <v>#NUM!</v>
      </c>
      <c r="AN118" s="59">
        <f ca="1">AVERAGE(OFFSET($AM$3,0,0,'Données projet'!$E$10+1,1))-AVERAGE(OFFSET($H$3,0,0,'Données projet'!$E$10+1,1))</f>
        <v>145.3656871223958</v>
      </c>
      <c r="AO118" s="59">
        <f t="shared" si="90"/>
        <v>180.54762778843178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0</v>
      </c>
      <c r="AV118" s="21">
        <f>EXP(-LN(2)/25)*AV117+(1-EXP(-LN(2)/25))/(LN(2)/25)*Calculateur!AQ118*Calculateur!AS118*VLOOKUP('Données projet'!$B$10,Paramètres!$A$1:$I$89,3,0)*0.475*44/12</f>
        <v>0.52681655434343411</v>
      </c>
      <c r="AW118" s="21">
        <f>EXP(-LN(2)/2)*AW117+(1-EXP(-LN(2)/2))/(LN(2)/2)*AQ118*AT118*VLOOKUP('Données projet'!$B$10,Paramètres!$A$1:$I$89,3,0)*0.475*44/12</f>
        <v>1.3122908513697183E-12</v>
      </c>
      <c r="AX118" s="21">
        <f t="shared" si="60"/>
        <v>0.52681655434474639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2.8</v>
      </c>
      <c r="BD118" s="12">
        <f>IF('Données projet'!$A$88&gt;35,BD117+BC118-BL117,IF(A118&lt;'Données projet'!$A$88,$BA$205^A118,IF(A118='Données projet'!$A$88,'Données projet'!$B$88,BD117+BC118-BL117)))</f>
        <v>219.99999999999997</v>
      </c>
      <c r="BE118" s="13">
        <f>BD118*VLOOKUP('Données projet'!$B$11,Paramètres!$A$1:$I$89,3,0)*VLOOKUP('Données projet'!$B$11,Paramètres!$A$1:$I$89,5,0)</f>
        <v>199.05599999999998</v>
      </c>
      <c r="BF118" s="13">
        <f t="shared" si="91"/>
        <v>49.536648006253934</v>
      </c>
      <c r="BG118" s="20">
        <f t="shared" si="61"/>
        <v>432.96552861089225</v>
      </c>
      <c r="BH118" s="59">
        <f t="shared" si="62"/>
        <v>726.29886194422556</v>
      </c>
      <c r="BI118" s="59">
        <f ca="1">AVERAGE(OFFSET($BH$3,0,0,'Données projet'!$E$11+1,1))-AVERAGE(OFFSET($H$3,0,0,'Données projet'!$E$11+1,1))</f>
        <v>138.8931001150624</v>
      </c>
      <c r="BJ118" s="59">
        <f t="shared" si="92"/>
        <v>48.964659354096625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>
        <f>EXP(-LN(2)/35)*BP117+(1-EXP(-LN(2)/35))/(LN(2)/35)*BL118*BM118*VLOOKUP('Données projet'!$B$11,Paramètres!$A$1:$I$89,3,0)*0.475*44/12</f>
        <v>0</v>
      </c>
      <c r="BQ118" s="21">
        <f>EXP(-LN(2)/25)*BQ117+(1-EXP(-LN(2)/25))/(LN(2)/25)*Calculateur!BL118*Calculateur!BN118*VLOOKUP('Données projet'!$B$11,Paramètres!$A$1:$I$89,3,0)*0.475*44/12</f>
        <v>0</v>
      </c>
      <c r="BR118" s="21">
        <f>EXP(-LN(2)/2)*BR117+(1-EXP(-LN(2)/2))/(LN(2)/2)*BL118*BO118*VLOOKUP('Données projet'!$B$11,Paramètres!$A$1:$I$89,3,0)*0.475*44/12</f>
        <v>0</v>
      </c>
      <c r="BS118" s="22">
        <f t="shared" si="63"/>
        <v>0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2.8</v>
      </c>
      <c r="BY118" s="12">
        <f>IF('Données projet'!$A$114&gt;35,BY117+BX118-CG117,IF(A118&lt;'Données projet'!$A$114,$BV$205^A118,IF(A118='Données projet'!$A$114,'Données projet'!$B$114,BY117+BX118-CG117)))</f>
        <v>220.00000000000006</v>
      </c>
      <c r="BZ118" s="13">
        <f>BY118*VLOOKUP('Données projet'!$B$12,Paramètres!$A$1:$I$89,3,0)*VLOOKUP('Données projet'!$B$12,Paramètres!$A$1:$I$89,5,0)</f>
        <v>212.78400000000005</v>
      </c>
      <c r="CA118" s="13">
        <f t="shared" si="93"/>
        <v>52.543492641808108</v>
      </c>
      <c r="CB118" s="20">
        <f t="shared" si="64"/>
        <v>462.11204968448243</v>
      </c>
      <c r="CC118" s="59">
        <f t="shared" si="65"/>
        <v>755.44538301781574</v>
      </c>
      <c r="CD118" s="59">
        <f ca="1">AVERAGE(OFFSET($CC$3,0,0,'Données projet'!$E$12+1,1))-AVERAGE(OFFSET($H$3,0,0,'Données projet'!$E$12+1,1))</f>
        <v>154.93882427988234</v>
      </c>
      <c r="CE118" s="59">
        <f t="shared" si="94"/>
        <v>56.347130462109817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>
        <f>EXP(-LN(2)/35)*CK117+(1-EXP(-LN(2)/35))/(LN(2)/35)*CG118*CH118*VLOOKUP('Données projet'!$B$12,Paramètres!$A$1:$I$89,3,0)*0.475*44/12</f>
        <v>0</v>
      </c>
      <c r="CL118" s="21">
        <f>EXP(-LN(2)/25)*CL117+(1-EXP(-LN(2)/25))/(LN(2)/25)*Calculateur!CG118*Calculateur!CI118*VLOOKUP('Données projet'!$B$12,Paramètres!$A$1:$I$89,3,0)*0.475*44/12</f>
        <v>0</v>
      </c>
      <c r="CM118" s="21">
        <f>EXP(-LN(2)/2)*CM117+(1-EXP(-LN(2)/2))/(LN(2)/2)*CG118*CJ118*VLOOKUP('Données projet'!$B$12,Paramètres!$A$1:$I$89,3,0)*0.475*44/12</f>
        <v>0</v>
      </c>
      <c r="CN118" s="22">
        <f t="shared" si="66"/>
        <v>0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103.14720000000018</v>
      </c>
      <c r="D119" s="11">
        <f t="shared" si="86"/>
        <v>27.710417026801501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1010.1289735402235</v>
      </c>
      <c r="H119" s="67">
        <f t="shared" si="56"/>
        <v>521.24368298834622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0</v>
      </c>
      <c r="O119" s="13">
        <f>N119*VLOOKUP('Données projet'!$B$9,Paramètres!$A$1:$I$89,3,0)*VLOOKUP('Données projet'!$B$9,Paramètres!$A$1:$I$89,5,0)</f>
        <v>0</v>
      </c>
      <c r="P119" s="13" t="e">
        <f t="shared" si="87"/>
        <v>#NUM!</v>
      </c>
      <c r="Q119" s="20" t="e">
        <f t="shared" si="107"/>
        <v>#NUM!</v>
      </c>
      <c r="R119" s="59" t="e">
        <f t="shared" si="55"/>
        <v>#NUM!</v>
      </c>
      <c r="S119" s="59">
        <f ca="1">AVERAGE(OFFSET($R$3,0,0,'Données projet'!$E$9+1,1))-AVERAGE(OFFSET($H$3,0,0,'Données projet'!$E$9+1,1))</f>
        <v>72.647148358003676</v>
      </c>
      <c r="T119" s="59">
        <f t="shared" si="88"/>
        <v>87.231299224620898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0.23172746489548163</v>
      </c>
      <c r="AA119" s="21">
        <f>EXP(-LN(2)/25)*AA118+(1-EXP(-LN(2)/25))/(LN(2)/25)*Calculateur!V119*Calculateur!X119*VLOOKUP('Données projet'!$B$9,Paramètres!$A$1:$I$89,3,0)*0.475*44/12</f>
        <v>0.41750640332690658</v>
      </c>
      <c r="AB119" s="21">
        <f>EXP(-LN(2)/2)*AB118+(1-EXP(-LN(2)/2))/(LN(2)/2)*V119*Y119*VLOOKUP('Données projet'!$B$9,Paramètres!$A$1:$I$89,3,0)*0.475*44/12</f>
        <v>2.5930786663034101E-13</v>
      </c>
      <c r="AC119" s="22">
        <f t="shared" si="57"/>
        <v>0.6492338682226475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-8.5265128291212022E-14</v>
      </c>
      <c r="AJ119" s="13">
        <f>AI119*VLOOKUP('Données projet'!$B$10,Paramètres!$A$1:$I$89,3,0)*VLOOKUP('Données projet'!$B$10,Paramètres!$A$1:$I$89,5,0)</f>
        <v>-6.9167072069831198E-14</v>
      </c>
      <c r="AK119" s="13" t="e">
        <f t="shared" si="89"/>
        <v>#NUM!</v>
      </c>
      <c r="AL119" s="20" t="e">
        <f t="shared" si="58"/>
        <v>#NUM!</v>
      </c>
      <c r="AM119" s="59" t="e">
        <f t="shared" si="59"/>
        <v>#NUM!</v>
      </c>
      <c r="AN119" s="59">
        <f ca="1">AVERAGE(OFFSET($AM$3,0,0,'Données projet'!$E$10+1,1))-AVERAGE(OFFSET($H$3,0,0,'Données projet'!$E$10+1,1))</f>
        <v>145.3656871223958</v>
      </c>
      <c r="AO119" s="59">
        <f t="shared" si="90"/>
        <v>180.54762778843178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0</v>
      </c>
      <c r="AV119" s="21">
        <f>EXP(-LN(2)/25)*AV118+(1-EXP(-LN(2)/25))/(LN(2)/25)*Calculateur!AQ119*Calculateur!AS119*VLOOKUP('Données projet'!$B$10,Paramètres!$A$1:$I$89,3,0)*0.475*44/12</f>
        <v>0.51241072796083431</v>
      </c>
      <c r="AW119" s="21">
        <f>EXP(-LN(2)/2)*AW118+(1-EXP(-LN(2)/2))/(LN(2)/2)*AQ119*AT119*VLOOKUP('Données projet'!$B$10,Paramètres!$A$1:$I$89,3,0)*0.475*44/12</f>
        <v>9.2792975989259557E-13</v>
      </c>
      <c r="AX119" s="21">
        <f t="shared" si="60"/>
        <v>0.51241072796176224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2.8</v>
      </c>
      <c r="BD119" s="12">
        <f>IF('Données projet'!$A$88&gt;35,BD118+BC119-BL118,IF(A119&lt;'Données projet'!$A$88,$BA$205^A119,IF(A119='Données projet'!$A$88,'Données projet'!$B$88,BD118+BC119-BL118)))</f>
        <v>222.79999999999998</v>
      </c>
      <c r="BE119" s="13">
        <f>BD119*VLOOKUP('Données projet'!$B$11,Paramètres!$A$1:$I$89,3,0)*VLOOKUP('Données projet'!$B$11,Paramètres!$A$1:$I$89,5,0)</f>
        <v>201.58944</v>
      </c>
      <c r="BF119" s="13">
        <f t="shared" si="91"/>
        <v>50.093317439945402</v>
      </c>
      <c r="BG119" s="20">
        <f t="shared" si="61"/>
        <v>438.34746920790485</v>
      </c>
      <c r="BH119" s="59">
        <f t="shared" si="62"/>
        <v>731.68080254123811</v>
      </c>
      <c r="BI119" s="59">
        <f ca="1">AVERAGE(OFFSET($BH$3,0,0,'Données projet'!$E$11+1,1))-AVERAGE(OFFSET($H$3,0,0,'Données projet'!$E$11+1,1))</f>
        <v>138.8931001150624</v>
      </c>
      <c r="BJ119" s="59">
        <f t="shared" si="92"/>
        <v>48.964659354096625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>
        <f>EXP(-LN(2)/35)*BP118+(1-EXP(-LN(2)/35))/(LN(2)/35)*BL119*BM119*VLOOKUP('Données projet'!$B$11,Paramètres!$A$1:$I$89,3,0)*0.475*44/12</f>
        <v>0</v>
      </c>
      <c r="BQ119" s="21">
        <f>EXP(-LN(2)/25)*BQ118+(1-EXP(-LN(2)/25))/(LN(2)/25)*Calculateur!BL119*Calculateur!BN119*VLOOKUP('Données projet'!$B$11,Paramètres!$A$1:$I$89,3,0)*0.475*44/12</f>
        <v>0</v>
      </c>
      <c r="BR119" s="21">
        <f>EXP(-LN(2)/2)*BR118+(1-EXP(-LN(2)/2))/(LN(2)/2)*BL119*BO119*VLOOKUP('Données projet'!$B$11,Paramètres!$A$1:$I$89,3,0)*0.475*44/12</f>
        <v>0</v>
      </c>
      <c r="BS119" s="22">
        <f t="shared" si="63"/>
        <v>0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2.8</v>
      </c>
      <c r="BY119" s="12">
        <f>IF('Données projet'!$A$114&gt;35,BY118+BX119-CG118,IF(A119&lt;'Données projet'!$A$114,$BV$205^A119,IF(A119='Données projet'!$A$114,'Données projet'!$B$114,BY118+BX119-CG118)))</f>
        <v>222.80000000000007</v>
      </c>
      <c r="BZ119" s="13">
        <f>BY119*VLOOKUP('Données projet'!$B$12,Paramètres!$A$1:$I$89,3,0)*VLOOKUP('Données projet'!$B$12,Paramètres!$A$1:$I$89,5,0)</f>
        <v>215.4921600000001</v>
      </c>
      <c r="CA119" s="13">
        <f t="shared" si="93"/>
        <v>53.133951574140234</v>
      </c>
      <c r="CB119" s="20">
        <f t="shared" si="64"/>
        <v>467.8571443249611</v>
      </c>
      <c r="CC119" s="59">
        <f t="shared" si="65"/>
        <v>761.19047765829441</v>
      </c>
      <c r="CD119" s="59">
        <f ca="1">AVERAGE(OFFSET($CC$3,0,0,'Données projet'!$E$12+1,1))-AVERAGE(OFFSET($H$3,0,0,'Données projet'!$E$12+1,1))</f>
        <v>154.93882427988234</v>
      </c>
      <c r="CE119" s="59">
        <f t="shared" si="94"/>
        <v>56.347130462109817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>
        <f>EXP(-LN(2)/35)*CK118+(1-EXP(-LN(2)/35))/(LN(2)/35)*CG119*CH119*VLOOKUP('Données projet'!$B$12,Paramètres!$A$1:$I$89,3,0)*0.475*44/12</f>
        <v>0</v>
      </c>
      <c r="CL119" s="21">
        <f>EXP(-LN(2)/25)*CL118+(1-EXP(-LN(2)/25))/(LN(2)/25)*Calculateur!CG119*Calculateur!CI119*VLOOKUP('Données projet'!$B$12,Paramètres!$A$1:$I$89,3,0)*0.475*44/12</f>
        <v>0</v>
      </c>
      <c r="CM119" s="21">
        <f>EXP(-LN(2)/2)*CM118+(1-EXP(-LN(2)/2))/(LN(2)/2)*CG119*CJ119*VLOOKUP('Données projet'!$B$12,Paramètres!$A$1:$I$89,3,0)*0.475*44/12</f>
        <v>0</v>
      </c>
      <c r="CN119" s="22">
        <f t="shared" si="66"/>
        <v>0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104.03640000000019</v>
      </c>
      <c r="D120" s="11">
        <f t="shared" si="86"/>
        <v>27.921388397821048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1018.6215244744094</v>
      </c>
      <c r="H120" s="67">
        <f t="shared" si="56"/>
        <v>523.15981479287188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0</v>
      </c>
      <c r="O120" s="13">
        <f>N120*VLOOKUP('Données projet'!$B$9,Paramètres!$A$1:$I$89,3,0)*VLOOKUP('Données projet'!$B$9,Paramètres!$A$1:$I$89,5,0)</f>
        <v>0</v>
      </c>
      <c r="P120" s="13" t="e">
        <f t="shared" si="87"/>
        <v>#NUM!</v>
      </c>
      <c r="Q120" s="20" t="e">
        <f t="shared" si="107"/>
        <v>#NUM!</v>
      </c>
      <c r="R120" s="59" t="e">
        <f t="shared" si="55"/>
        <v>#NUM!</v>
      </c>
      <c r="S120" s="59">
        <f ca="1">AVERAGE(OFFSET($R$3,0,0,'Données projet'!$E$9+1,1))-AVERAGE(OFFSET($H$3,0,0,'Données projet'!$E$9+1,1))</f>
        <v>72.647148358003676</v>
      </c>
      <c r="T120" s="59">
        <f t="shared" si="88"/>
        <v>87.231299224620898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0.22718343064867869</v>
      </c>
      <c r="AA120" s="21">
        <f>EXP(-LN(2)/25)*AA119+(1-EXP(-LN(2)/25))/(LN(2)/25)*Calculateur!V120*Calculateur!X120*VLOOKUP('Données projet'!$B$9,Paramètres!$A$1:$I$89,3,0)*0.475*44/12</f>
        <v>0.4060896687722248</v>
      </c>
      <c r="AB120" s="21">
        <f>EXP(-LN(2)/2)*AB119+(1-EXP(-LN(2)/2))/(LN(2)/2)*V120*Y120*VLOOKUP('Données projet'!$B$9,Paramètres!$A$1:$I$89,3,0)*0.475*44/12</f>
        <v>1.8335835090933099E-13</v>
      </c>
      <c r="AC120" s="22">
        <f t="shared" si="57"/>
        <v>0.63327309942108689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-8.5265128291212022E-14</v>
      </c>
      <c r="AJ120" s="13">
        <f>AI120*VLOOKUP('Données projet'!$B$10,Paramètres!$A$1:$I$89,3,0)*VLOOKUP('Données projet'!$B$10,Paramètres!$A$1:$I$89,5,0)</f>
        <v>-6.9167072069831198E-14</v>
      </c>
      <c r="AK120" s="13" t="e">
        <f t="shared" si="89"/>
        <v>#NUM!</v>
      </c>
      <c r="AL120" s="20" t="e">
        <f t="shared" si="58"/>
        <v>#NUM!</v>
      </c>
      <c r="AM120" s="59" t="e">
        <f t="shared" si="59"/>
        <v>#NUM!</v>
      </c>
      <c r="AN120" s="59">
        <f ca="1">AVERAGE(OFFSET($AM$3,0,0,'Données projet'!$E$10+1,1))-AVERAGE(OFFSET($H$3,0,0,'Données projet'!$E$10+1,1))</f>
        <v>145.3656871223958</v>
      </c>
      <c r="AO120" s="59">
        <f t="shared" si="90"/>
        <v>180.54762778843178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0</v>
      </c>
      <c r="AV120" s="21">
        <f>EXP(-LN(2)/25)*AV119+(1-EXP(-LN(2)/25))/(LN(2)/25)*Calculateur!AQ120*Calculateur!AS120*VLOOKUP('Données projet'!$B$10,Paramètres!$A$1:$I$89,3,0)*0.475*44/12</f>
        <v>0.49839882965823623</v>
      </c>
      <c r="AW120" s="21">
        <f>EXP(-LN(2)/2)*AW119+(1-EXP(-LN(2)/2))/(LN(2)/2)*AQ120*AT120*VLOOKUP('Données projet'!$B$10,Paramètres!$A$1:$I$89,3,0)*0.475*44/12</f>
        <v>6.5614542568485917E-13</v>
      </c>
      <c r="AX120" s="21">
        <f t="shared" si="60"/>
        <v>0.49839882965889237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2.8</v>
      </c>
      <c r="BD120" s="12">
        <f>IF('Données projet'!$A$88&gt;35,BD119+BC120-BL119,IF(A120&lt;'Données projet'!$A$88,$BA$205^A120,IF(A120='Données projet'!$A$88,'Données projet'!$B$88,BD119+BC120-BL119)))</f>
        <v>225.6</v>
      </c>
      <c r="BE120" s="13">
        <f>BD120*VLOOKUP('Données projet'!$B$11,Paramètres!$A$1:$I$89,3,0)*VLOOKUP('Données projet'!$B$11,Paramètres!$A$1:$I$89,5,0)</f>
        <v>204.12287999999998</v>
      </c>
      <c r="BF120" s="13">
        <f t="shared" si="91"/>
        <v>50.649173129865886</v>
      </c>
      <c r="BG120" s="20">
        <f t="shared" si="61"/>
        <v>443.72799253451632</v>
      </c>
      <c r="BH120" s="59">
        <f t="shared" si="62"/>
        <v>737.06132586784963</v>
      </c>
      <c r="BI120" s="59">
        <f ca="1">AVERAGE(OFFSET($BH$3,0,0,'Données projet'!$E$11+1,1))-AVERAGE(OFFSET($H$3,0,0,'Données projet'!$E$11+1,1))</f>
        <v>138.8931001150624</v>
      </c>
      <c r="BJ120" s="59">
        <f t="shared" si="92"/>
        <v>48.964659354096625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>
        <f>EXP(-LN(2)/35)*BP119+(1-EXP(-LN(2)/35))/(LN(2)/35)*BL120*BM120*VLOOKUP('Données projet'!$B$11,Paramètres!$A$1:$I$89,3,0)*0.475*44/12</f>
        <v>0</v>
      </c>
      <c r="BQ120" s="21">
        <f>EXP(-LN(2)/25)*BQ119+(1-EXP(-LN(2)/25))/(LN(2)/25)*Calculateur!BL120*Calculateur!BN120*VLOOKUP('Données projet'!$B$11,Paramètres!$A$1:$I$89,3,0)*0.475*44/12</f>
        <v>0</v>
      </c>
      <c r="BR120" s="21">
        <f>EXP(-LN(2)/2)*BR119+(1-EXP(-LN(2)/2))/(LN(2)/2)*BL120*BO120*VLOOKUP('Données projet'!$B$11,Paramètres!$A$1:$I$89,3,0)*0.475*44/12</f>
        <v>0</v>
      </c>
      <c r="BS120" s="22">
        <f t="shared" si="63"/>
        <v>0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2.8</v>
      </c>
      <c r="BY120" s="12">
        <f>IF('Données projet'!$A$114&gt;35,BY119+BX120-CG119,IF(A120&lt;'Données projet'!$A$114,$BV$205^A120,IF(A120='Données projet'!$A$114,'Données projet'!$B$114,BY119+BX120-CG119)))</f>
        <v>225.60000000000008</v>
      </c>
      <c r="BZ120" s="13">
        <f>BY120*VLOOKUP('Données projet'!$B$12,Paramètres!$A$1:$I$89,3,0)*VLOOKUP('Données projet'!$B$12,Paramètres!$A$1:$I$89,5,0)</f>
        <v>218.20032000000006</v>
      </c>
      <c r="CA120" s="13">
        <f t="shared" si="93"/>
        <v>53.723547368945717</v>
      </c>
      <c r="CB120" s="20">
        <f t="shared" si="64"/>
        <v>473.60073566758052</v>
      </c>
      <c r="CC120" s="59">
        <f t="shared" si="65"/>
        <v>766.93406900091384</v>
      </c>
      <c r="CD120" s="59">
        <f ca="1">AVERAGE(OFFSET($CC$3,0,0,'Données projet'!$E$12+1,1))-AVERAGE(OFFSET($H$3,0,0,'Données projet'!$E$12+1,1))</f>
        <v>154.93882427988234</v>
      </c>
      <c r="CE120" s="59">
        <f t="shared" si="94"/>
        <v>56.347130462109817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>
        <f>EXP(-LN(2)/35)*CK119+(1-EXP(-LN(2)/35))/(LN(2)/35)*CG120*CH120*VLOOKUP('Données projet'!$B$12,Paramètres!$A$1:$I$89,3,0)*0.475*44/12</f>
        <v>0</v>
      </c>
      <c r="CL120" s="21">
        <f>EXP(-LN(2)/25)*CL119+(1-EXP(-LN(2)/25))/(LN(2)/25)*Calculateur!CG120*Calculateur!CI120*VLOOKUP('Données projet'!$B$12,Paramètres!$A$1:$I$89,3,0)*0.475*44/12</f>
        <v>0</v>
      </c>
      <c r="CM120" s="21">
        <f>EXP(-LN(2)/2)*CM119+(1-EXP(-LN(2)/2))/(LN(2)/2)*CG120*CJ120*VLOOKUP('Données projet'!$B$12,Paramètres!$A$1:$I$89,3,0)*0.475*44/12</f>
        <v>0</v>
      </c>
      <c r="CN120" s="22">
        <f t="shared" si="66"/>
        <v>0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104.92560000000019</v>
      </c>
      <c r="D121" s="11">
        <f t="shared" si="86"/>
        <v>28.132149981044396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1027.1124559940286</v>
      </c>
      <c r="H121" s="67">
        <f t="shared" si="56"/>
        <v>525.07558121698594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0</v>
      </c>
      <c r="O121" s="13">
        <f>N121*VLOOKUP('Données projet'!$B$9,Paramètres!$A$1:$I$89,3,0)*VLOOKUP('Données projet'!$B$9,Paramètres!$A$1:$I$89,5,0)</f>
        <v>0</v>
      </c>
      <c r="P121" s="13" t="e">
        <f t="shared" si="87"/>
        <v>#NUM!</v>
      </c>
      <c r="Q121" s="20" t="e">
        <f t="shared" si="107"/>
        <v>#NUM!</v>
      </c>
      <c r="R121" s="59" t="e">
        <f t="shared" si="55"/>
        <v>#NUM!</v>
      </c>
      <c r="S121" s="59">
        <f ca="1">AVERAGE(OFFSET($R$3,0,0,'Données projet'!$E$9+1,1))-AVERAGE(OFFSET($H$3,0,0,'Données projet'!$E$9+1,1))</f>
        <v>72.647148358003676</v>
      </c>
      <c r="T121" s="59">
        <f t="shared" si="88"/>
        <v>87.231299224620898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0.22272850214186832</v>
      </c>
      <c r="AA121" s="21">
        <f>EXP(-LN(2)/25)*AA120+(1-EXP(-LN(2)/25))/(LN(2)/25)*Calculateur!V121*Calculateur!X121*VLOOKUP('Données projet'!$B$9,Paramètres!$A$1:$I$89,3,0)*0.475*44/12</f>
        <v>0.39498512542432074</v>
      </c>
      <c r="AB121" s="21">
        <f>EXP(-LN(2)/2)*AB120+(1-EXP(-LN(2)/2))/(LN(2)/2)*V121*Y121*VLOOKUP('Données projet'!$B$9,Paramètres!$A$1:$I$89,3,0)*0.475*44/12</f>
        <v>1.2965393331517051E-13</v>
      </c>
      <c r="AC121" s="22">
        <f t="shared" si="57"/>
        <v>0.61771362756631876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-8.5265128291212022E-14</v>
      </c>
      <c r="AJ121" s="13">
        <f>AI121*VLOOKUP('Données projet'!$B$10,Paramètres!$A$1:$I$89,3,0)*VLOOKUP('Données projet'!$B$10,Paramètres!$A$1:$I$89,5,0)</f>
        <v>-6.9167072069831198E-14</v>
      </c>
      <c r="AK121" s="13" t="e">
        <f t="shared" si="89"/>
        <v>#NUM!</v>
      </c>
      <c r="AL121" s="20" t="e">
        <f t="shared" si="58"/>
        <v>#NUM!</v>
      </c>
      <c r="AM121" s="59" t="e">
        <f t="shared" si="59"/>
        <v>#NUM!</v>
      </c>
      <c r="AN121" s="59">
        <f ca="1">AVERAGE(OFFSET($AM$3,0,0,'Données projet'!$E$10+1,1))-AVERAGE(OFFSET($H$3,0,0,'Données projet'!$E$10+1,1))</f>
        <v>145.3656871223958</v>
      </c>
      <c r="AO121" s="59">
        <f t="shared" si="90"/>
        <v>180.54762778843178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0</v>
      </c>
      <c r="AV121" s="21">
        <f>EXP(-LN(2)/25)*AV120+(1-EXP(-LN(2)/25))/(LN(2)/25)*Calculateur!AQ121*Calculateur!AS121*VLOOKUP('Données projet'!$B$10,Paramètres!$A$1:$I$89,3,0)*0.475*44/12</f>
        <v>0.4847700874515764</v>
      </c>
      <c r="AW121" s="21">
        <f>EXP(-LN(2)/2)*AW120+(1-EXP(-LN(2)/2))/(LN(2)/2)*AQ121*AT121*VLOOKUP('Données projet'!$B$10,Paramètres!$A$1:$I$89,3,0)*0.475*44/12</f>
        <v>4.6396487994629779E-13</v>
      </c>
      <c r="AX121" s="21">
        <f t="shared" si="60"/>
        <v>0.48477008745204037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2.8</v>
      </c>
      <c r="BD121" s="12">
        <f>IF('Données projet'!$A$88&gt;35,BD120+BC121-BL120,IF(A121&lt;'Données projet'!$A$88,$BA$205^A121,IF(A121='Données projet'!$A$88,'Données projet'!$B$88,BD120+BC121-BL120)))</f>
        <v>228.4</v>
      </c>
      <c r="BE121" s="13">
        <f>BD121*VLOOKUP('Données projet'!$B$11,Paramètres!$A$1:$I$89,3,0)*VLOOKUP('Données projet'!$B$11,Paramètres!$A$1:$I$89,5,0)</f>
        <v>206.65631999999997</v>
      </c>
      <c r="BF121" s="13">
        <f t="shared" si="91"/>
        <v>51.20422634371338</v>
      </c>
      <c r="BG121" s="20">
        <f t="shared" si="61"/>
        <v>449.10711821530072</v>
      </c>
      <c r="BH121" s="59">
        <f t="shared" si="62"/>
        <v>742.44045154863397</v>
      </c>
      <c r="BI121" s="59">
        <f ca="1">AVERAGE(OFFSET($BH$3,0,0,'Données projet'!$E$11+1,1))-AVERAGE(OFFSET($H$3,0,0,'Données projet'!$E$11+1,1))</f>
        <v>138.8931001150624</v>
      </c>
      <c r="BJ121" s="59">
        <f t="shared" si="92"/>
        <v>48.964659354096625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>
        <f>EXP(-LN(2)/35)*BP120+(1-EXP(-LN(2)/35))/(LN(2)/35)*BL121*BM121*VLOOKUP('Données projet'!$B$11,Paramètres!$A$1:$I$89,3,0)*0.475*44/12</f>
        <v>0</v>
      </c>
      <c r="BQ121" s="21">
        <f>EXP(-LN(2)/25)*BQ120+(1-EXP(-LN(2)/25))/(LN(2)/25)*Calculateur!BL121*Calculateur!BN121*VLOOKUP('Données projet'!$B$11,Paramètres!$A$1:$I$89,3,0)*0.475*44/12</f>
        <v>0</v>
      </c>
      <c r="BR121" s="21">
        <f>EXP(-LN(2)/2)*BR120+(1-EXP(-LN(2)/2))/(LN(2)/2)*BL121*BO121*VLOOKUP('Données projet'!$B$11,Paramètres!$A$1:$I$89,3,0)*0.475*44/12</f>
        <v>0</v>
      </c>
      <c r="BS121" s="22">
        <f t="shared" si="63"/>
        <v>0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2.8</v>
      </c>
      <c r="BY121" s="12">
        <f>IF('Données projet'!$A$114&gt;35,BY120+BX121-CG120,IF(A121&lt;'Données projet'!$A$114,$BV$205^A121,IF(A121='Données projet'!$A$114,'Données projet'!$B$114,BY120+BX121-CG120)))</f>
        <v>228.40000000000009</v>
      </c>
      <c r="BZ121" s="13">
        <f>BY121*VLOOKUP('Données projet'!$B$12,Paramètres!$A$1:$I$89,3,0)*VLOOKUP('Données projet'!$B$12,Paramètres!$A$1:$I$89,5,0)</f>
        <v>220.90848000000011</v>
      </c>
      <c r="CA121" s="13">
        <f t="shared" si="93"/>
        <v>54.312291977864867</v>
      </c>
      <c r="CB121" s="20">
        <f t="shared" si="64"/>
        <v>479.34284452811477</v>
      </c>
      <c r="CC121" s="59">
        <f t="shared" si="65"/>
        <v>772.67617786144808</v>
      </c>
      <c r="CD121" s="59">
        <f ca="1">AVERAGE(OFFSET($CC$3,0,0,'Données projet'!$E$12+1,1))-AVERAGE(OFFSET($H$3,0,0,'Données projet'!$E$12+1,1))</f>
        <v>154.93882427988234</v>
      </c>
      <c r="CE121" s="59">
        <f t="shared" si="94"/>
        <v>56.347130462109817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>
        <f>EXP(-LN(2)/35)*CK120+(1-EXP(-LN(2)/35))/(LN(2)/35)*CG121*CH121*VLOOKUP('Données projet'!$B$12,Paramètres!$A$1:$I$89,3,0)*0.475*44/12</f>
        <v>0</v>
      </c>
      <c r="CL121" s="21">
        <f>EXP(-LN(2)/25)*CL120+(1-EXP(-LN(2)/25))/(LN(2)/25)*Calculateur!CG121*Calculateur!CI121*VLOOKUP('Données projet'!$B$12,Paramètres!$A$1:$I$89,3,0)*0.475*44/12</f>
        <v>0</v>
      </c>
      <c r="CM121" s="21">
        <f>EXP(-LN(2)/2)*CM120+(1-EXP(-LN(2)/2))/(LN(2)/2)*CG121*CJ121*VLOOKUP('Données projet'!$B$12,Paramètres!$A$1:$I$89,3,0)*0.475*44/12</f>
        <v>0</v>
      </c>
      <c r="CN121" s="22">
        <f t="shared" si="66"/>
        <v>0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105.81480000000019</v>
      </c>
      <c r="D122" s="11">
        <f t="shared" si="86"/>
        <v>28.342703760346538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1035.6017834132028</v>
      </c>
      <c r="H122" s="67">
        <f t="shared" si="56"/>
        <v>526.9909857159372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0</v>
      </c>
      <c r="O122" s="13">
        <f>N122*VLOOKUP('Données projet'!$B$9,Paramètres!$A$1:$I$89,3,0)*VLOOKUP('Données projet'!$B$9,Paramètres!$A$1:$I$89,5,0)</f>
        <v>0</v>
      </c>
      <c r="P122" s="13" t="e">
        <f t="shared" si="87"/>
        <v>#NUM!</v>
      </c>
      <c r="Q122" s="20" t="e">
        <f t="shared" si="107"/>
        <v>#NUM!</v>
      </c>
      <c r="R122" s="59" t="e">
        <f t="shared" si="55"/>
        <v>#NUM!</v>
      </c>
      <c r="S122" s="59">
        <f ca="1">AVERAGE(OFFSET($R$3,0,0,'Données projet'!$E$9+1,1))-AVERAGE(OFFSET($H$3,0,0,'Données projet'!$E$9+1,1))</f>
        <v>72.647148358003676</v>
      </c>
      <c r="T122" s="59">
        <f t="shared" si="88"/>
        <v>87.231299224620898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0.21836093206583843</v>
      </c>
      <c r="AA122" s="21">
        <f>EXP(-LN(2)/25)*AA121+(1-EXP(-LN(2)/25))/(LN(2)/25)*Calculateur!V122*Calculateur!X122*VLOOKUP('Données projet'!$B$9,Paramètres!$A$1:$I$89,3,0)*0.475*44/12</f>
        <v>0.38418423639822769</v>
      </c>
      <c r="AB122" s="21">
        <f>EXP(-LN(2)/2)*AB121+(1-EXP(-LN(2)/2))/(LN(2)/2)*V122*Y122*VLOOKUP('Données projet'!$B$9,Paramètres!$A$1:$I$89,3,0)*0.475*44/12</f>
        <v>9.1679175454665496E-14</v>
      </c>
      <c r="AC122" s="22">
        <f t="shared" si="57"/>
        <v>0.60254516846415784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-8.5265128291212022E-14</v>
      </c>
      <c r="AJ122" s="13">
        <f>AI122*VLOOKUP('Données projet'!$B$10,Paramètres!$A$1:$I$89,3,0)*VLOOKUP('Données projet'!$B$10,Paramètres!$A$1:$I$89,5,0)</f>
        <v>-6.9167072069831198E-14</v>
      </c>
      <c r="AK122" s="13" t="e">
        <f t="shared" si="89"/>
        <v>#NUM!</v>
      </c>
      <c r="AL122" s="20" t="e">
        <f t="shared" si="58"/>
        <v>#NUM!</v>
      </c>
      <c r="AM122" s="59" t="e">
        <f t="shared" si="59"/>
        <v>#NUM!</v>
      </c>
      <c r="AN122" s="59">
        <f ca="1">AVERAGE(OFFSET($AM$3,0,0,'Données projet'!$E$10+1,1))-AVERAGE(OFFSET($H$3,0,0,'Données projet'!$E$10+1,1))</f>
        <v>145.3656871223958</v>
      </c>
      <c r="AO122" s="59">
        <f t="shared" si="90"/>
        <v>180.54762778843178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0</v>
      </c>
      <c r="AV122" s="21">
        <f>EXP(-LN(2)/25)*AV121+(1-EXP(-LN(2)/25))/(LN(2)/25)*Calculateur!AQ122*Calculateur!AS122*VLOOKUP('Données projet'!$B$10,Paramètres!$A$1:$I$89,3,0)*0.475*44/12</f>
        <v>0.4715140239172621</v>
      </c>
      <c r="AW122" s="21">
        <f>EXP(-LN(2)/2)*AW121+(1-EXP(-LN(2)/2))/(LN(2)/2)*AQ122*AT122*VLOOKUP('Données projet'!$B$10,Paramètres!$A$1:$I$89,3,0)*0.475*44/12</f>
        <v>3.2807271284242959E-13</v>
      </c>
      <c r="AX122" s="21">
        <f t="shared" si="60"/>
        <v>0.47151402391759017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2.8</v>
      </c>
      <c r="BD122" s="12">
        <f>IF('Données projet'!$A$88&gt;35,BD121+BC122-BL121,IF(A122&lt;'Données projet'!$A$88,$BA$205^A122,IF(A122='Données projet'!$A$88,'Données projet'!$B$88,BD121+BC122-BL121)))</f>
        <v>231.20000000000002</v>
      </c>
      <c r="BE122" s="13">
        <f>BD122*VLOOKUP('Données projet'!$B$11,Paramètres!$A$1:$I$89,3,0)*VLOOKUP('Données projet'!$B$11,Paramètres!$A$1:$I$89,5,0)</f>
        <v>209.18976000000001</v>
      </c>
      <c r="BF122" s="13">
        <f t="shared" si="91"/>
        <v>51.758488057028018</v>
      </c>
      <c r="BG122" s="20">
        <f t="shared" si="61"/>
        <v>454.4848653659904</v>
      </c>
      <c r="BH122" s="59">
        <f t="shared" si="62"/>
        <v>747.81819869932372</v>
      </c>
      <c r="BI122" s="59">
        <f ca="1">AVERAGE(OFFSET($BH$3,0,0,'Données projet'!$E$11+1,1))-AVERAGE(OFFSET($H$3,0,0,'Données projet'!$E$11+1,1))</f>
        <v>138.8931001150624</v>
      </c>
      <c r="BJ122" s="59">
        <f t="shared" si="92"/>
        <v>48.964659354096625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>
        <f>EXP(-LN(2)/35)*BP121+(1-EXP(-LN(2)/35))/(LN(2)/35)*BL122*BM122*VLOOKUP('Données projet'!$B$11,Paramètres!$A$1:$I$89,3,0)*0.475*44/12</f>
        <v>0</v>
      </c>
      <c r="BQ122" s="21">
        <f>EXP(-LN(2)/25)*BQ121+(1-EXP(-LN(2)/25))/(LN(2)/25)*Calculateur!BL122*Calculateur!BN122*VLOOKUP('Données projet'!$B$11,Paramètres!$A$1:$I$89,3,0)*0.475*44/12</f>
        <v>0</v>
      </c>
      <c r="BR122" s="21">
        <f>EXP(-LN(2)/2)*BR121+(1-EXP(-LN(2)/2))/(LN(2)/2)*BL122*BO122*VLOOKUP('Données projet'!$B$11,Paramètres!$A$1:$I$89,3,0)*0.475*44/12</f>
        <v>0</v>
      </c>
      <c r="BS122" s="22">
        <f t="shared" si="63"/>
        <v>0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2.8</v>
      </c>
      <c r="BY122" s="12">
        <f>IF('Données projet'!$A$114&gt;35,BY121+BX122-CG121,IF(A122&lt;'Données projet'!$A$114,$BV$205^A122,IF(A122='Données projet'!$A$114,'Données projet'!$B$114,BY121+BX122-CG121)))</f>
        <v>231.2000000000001</v>
      </c>
      <c r="BZ122" s="13">
        <f>BY122*VLOOKUP('Données projet'!$B$12,Paramètres!$A$1:$I$89,3,0)*VLOOKUP('Données projet'!$B$12,Paramètres!$A$1:$I$89,5,0)</f>
        <v>223.61664000000007</v>
      </c>
      <c r="CA122" s="13">
        <f t="shared" si="93"/>
        <v>54.900197042646539</v>
      </c>
      <c r="CB122" s="20">
        <f t="shared" si="64"/>
        <v>485.08349118260952</v>
      </c>
      <c r="CC122" s="59">
        <f t="shared" si="65"/>
        <v>778.41682451594284</v>
      </c>
      <c r="CD122" s="59">
        <f ca="1">AVERAGE(OFFSET($CC$3,0,0,'Données projet'!$E$12+1,1))-AVERAGE(OFFSET($H$3,0,0,'Données projet'!$E$12+1,1))</f>
        <v>154.93882427988234</v>
      </c>
      <c r="CE122" s="59">
        <f t="shared" si="94"/>
        <v>56.347130462109817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>
        <f>EXP(-LN(2)/35)*CK121+(1-EXP(-LN(2)/35))/(LN(2)/35)*CG122*CH122*VLOOKUP('Données projet'!$B$12,Paramètres!$A$1:$I$89,3,0)*0.475*44/12</f>
        <v>0</v>
      </c>
      <c r="CL122" s="21">
        <f>EXP(-LN(2)/25)*CL121+(1-EXP(-LN(2)/25))/(LN(2)/25)*Calculateur!CG122*Calculateur!CI122*VLOOKUP('Données projet'!$B$12,Paramètres!$A$1:$I$89,3,0)*0.475*44/12</f>
        <v>0</v>
      </c>
      <c r="CM122" s="21">
        <f>EXP(-LN(2)/2)*CM121+(1-EXP(-LN(2)/2))/(LN(2)/2)*CG122*CJ122*VLOOKUP('Données projet'!$B$12,Paramètres!$A$1:$I$89,3,0)*0.475*44/12</f>
        <v>0</v>
      </c>
      <c r="CN122" s="22">
        <f t="shared" si="66"/>
        <v>0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106.70400000000019</v>
      </c>
      <c r="D123" s="11">
        <f t="shared" si="86"/>
        <v>28.553051684335379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1044.0895217738187</v>
      </c>
      <c r="H123" s="67">
        <f t="shared" si="56"/>
        <v>528.90603168355119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0</v>
      </c>
      <c r="O123" s="13">
        <f>N123*VLOOKUP('Données projet'!$B$9,Paramètres!$A$1:$I$89,3,0)*VLOOKUP('Données projet'!$B$9,Paramètres!$A$1:$I$89,5,0)</f>
        <v>0</v>
      </c>
      <c r="P123" s="13" t="e">
        <f t="shared" si="87"/>
        <v>#NUM!</v>
      </c>
      <c r="Q123" s="20" t="e">
        <f t="shared" si="107"/>
        <v>#NUM!</v>
      </c>
      <c r="R123" s="59" t="e">
        <f t="shared" si="55"/>
        <v>#NUM!</v>
      </c>
      <c r="S123" s="59">
        <f ca="1">AVERAGE(OFFSET($R$3,0,0,'Données projet'!$E$9+1,1))-AVERAGE(OFFSET($H$3,0,0,'Données projet'!$E$9+1,1))</f>
        <v>72.647148358003676</v>
      </c>
      <c r="T123" s="59">
        <f t="shared" si="88"/>
        <v>87.231299224620898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0.21407900737504476</v>
      </c>
      <c r="AA123" s="21">
        <f>EXP(-LN(2)/25)*AA122+(1-EXP(-LN(2)/25))/(LN(2)/25)*Calculateur!V123*Calculateur!X123*VLOOKUP('Données projet'!$B$9,Paramètres!$A$1:$I$89,3,0)*0.475*44/12</f>
        <v>0.37367869825054723</v>
      </c>
      <c r="AB123" s="21">
        <f>EXP(-LN(2)/2)*AB122+(1-EXP(-LN(2)/2))/(LN(2)/2)*V123*Y123*VLOOKUP('Données projet'!$B$9,Paramètres!$A$1:$I$89,3,0)*0.475*44/12</f>
        <v>6.4826966657585253E-14</v>
      </c>
      <c r="AC123" s="22">
        <f t="shared" si="57"/>
        <v>0.58775770562565688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-8.5265128291212022E-14</v>
      </c>
      <c r="AJ123" s="13">
        <f>AI123*VLOOKUP('Données projet'!$B$10,Paramètres!$A$1:$I$89,3,0)*VLOOKUP('Données projet'!$B$10,Paramètres!$A$1:$I$89,5,0)</f>
        <v>-6.9167072069831198E-14</v>
      </c>
      <c r="AK123" s="13" t="e">
        <f t="shared" si="89"/>
        <v>#NUM!</v>
      </c>
      <c r="AL123" s="20" t="e">
        <f t="shared" si="58"/>
        <v>#NUM!</v>
      </c>
      <c r="AM123" s="59" t="e">
        <f t="shared" si="59"/>
        <v>#NUM!</v>
      </c>
      <c r="AN123" s="59">
        <f ca="1">AVERAGE(OFFSET($AM$3,0,0,'Données projet'!$E$10+1,1))-AVERAGE(OFFSET($H$3,0,0,'Données projet'!$E$10+1,1))</f>
        <v>145.3656871223958</v>
      </c>
      <c r="AO123" s="59">
        <f t="shared" si="90"/>
        <v>180.54762778843178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0</v>
      </c>
      <c r="AV123" s="21">
        <f>EXP(-LN(2)/25)*AV122+(1-EXP(-LN(2)/25))/(LN(2)/25)*Calculateur!AQ123*Calculateur!AS123*VLOOKUP('Données projet'!$B$10,Paramètres!$A$1:$I$89,3,0)*0.475*44/12</f>
        <v>0.45862044813739972</v>
      </c>
      <c r="AW123" s="21">
        <f>EXP(-LN(2)/2)*AW122+(1-EXP(-LN(2)/2))/(LN(2)/2)*AQ123*AT123*VLOOKUP('Données projet'!$B$10,Paramètres!$A$1:$I$89,3,0)*0.475*44/12</f>
        <v>2.3198243997314889E-13</v>
      </c>
      <c r="AX123" s="21">
        <f t="shared" si="60"/>
        <v>0.4586204481376317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>
        <f>VLOOKUP(A123,'Données projet'!$A$87:$I$107,2,0)</f>
        <v>234</v>
      </c>
      <c r="BB123" s="12">
        <f>VLOOKUP(A123,'Données projet'!$A$87:$I$107,9,0)</f>
        <v>2.8</v>
      </c>
      <c r="BC123" s="12">
        <f t="array" ref="BC123">INDEX(BB:BB,MIN(IF(ISNUMBER(BB123:BB319),ROW(BB123:BB319),"")))</f>
        <v>2.8</v>
      </c>
      <c r="BD123" s="12">
        <f>IF('Données projet'!$A$88&gt;35,BD122+BC123-BL122,IF(A123&lt;'Données projet'!$A$88,$BA$205^A123,IF(A123='Données projet'!$A$88,'Données projet'!$B$88,BD122+BC123-BL122)))</f>
        <v>234.00000000000003</v>
      </c>
      <c r="BE123" s="13">
        <f>BD123*VLOOKUP('Données projet'!$B$11,Paramètres!$A$1:$I$89,3,0)*VLOOKUP('Données projet'!$B$11,Paramètres!$A$1:$I$89,5,0)</f>
        <v>211.72319999999999</v>
      </c>
      <c r="BF123" s="13">
        <f t="shared" si="91"/>
        <v>52.311968964212078</v>
      </c>
      <c r="BG123" s="20">
        <f t="shared" si="61"/>
        <v>459.86125261266926</v>
      </c>
      <c r="BH123" s="59">
        <f t="shared" si="62"/>
        <v>753.19458594600258</v>
      </c>
      <c r="BI123" s="59">
        <f ca="1">AVERAGE(OFFSET($BH$3,0,0,'Données projet'!$E$11+1,1))-AVERAGE(OFFSET($H$3,0,0,'Données projet'!$E$11+1,1))</f>
        <v>138.8931001150624</v>
      </c>
      <c r="BJ123" s="59">
        <f t="shared" si="92"/>
        <v>48.964659354096625</v>
      </c>
      <c r="BK123" s="15">
        <f>IF(ISNA(VLOOKUP(A123,'Données projet'!$A$87:$I$107,3,0)),0,VLOOKUP(A123,'Données projet'!$A$87:$I$107,3,0))</f>
        <v>9</v>
      </c>
      <c r="BL123" s="15">
        <f>IF(ISNA(VLOOKUP(A123,'Données projet'!$A$87:$I$107,4,0)),0,VLOOKUP(A123,'Données projet'!$A$87:$I$107,4,0))</f>
        <v>234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>
        <f>EXP(-LN(2)/35)*BP122+(1-EXP(-LN(2)/35))/(LN(2)/35)*BL123*BM123*VLOOKUP('Données projet'!$B$11,Paramètres!$A$1:$I$89,3,0)*0.475*44/12</f>
        <v>0</v>
      </c>
      <c r="BQ123" s="21">
        <f>EXP(-LN(2)/25)*BQ122+(1-EXP(-LN(2)/25))/(LN(2)/25)*Calculateur!BL123*Calculateur!BN123*VLOOKUP('Données projet'!$B$11,Paramètres!$A$1:$I$89,3,0)*0.475*44/12</f>
        <v>0</v>
      </c>
      <c r="BR123" s="21">
        <f>EXP(-LN(2)/2)*BR122+(1-EXP(-LN(2)/2))/(LN(2)/2)*BL123*BO123*VLOOKUP('Données projet'!$B$11,Paramètres!$A$1:$I$89,3,0)*0.475*44/12</f>
        <v>0</v>
      </c>
      <c r="BS123" s="22">
        <f t="shared" si="63"/>
        <v>0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>
        <f>VLOOKUP(A123,'Données projet'!$A$113:$I$133,2,0)</f>
        <v>234</v>
      </c>
      <c r="BW123" s="12">
        <f>VLOOKUP(A123,'Données projet'!$A$113:$I$133,9,0)</f>
        <v>2.8</v>
      </c>
      <c r="BX123" s="12">
        <f t="array" ref="BX123">INDEX(BW:BW,MIN(IF(ISNUMBER(BW123:BW319),ROW(BW123:BW319),"")))</f>
        <v>2.8</v>
      </c>
      <c r="BY123" s="12">
        <f>IF('Données projet'!$A$114&gt;35,BY122+BX123-CG122,IF(A123&lt;'Données projet'!$A$114,$BV$205^A123,IF(A123='Données projet'!$A$114,'Données projet'!$B$114,BY122+BX123-CG122)))</f>
        <v>234.00000000000011</v>
      </c>
      <c r="BZ123" s="13">
        <f>BY123*VLOOKUP('Données projet'!$B$12,Paramètres!$A$1:$I$89,3,0)*VLOOKUP('Données projet'!$B$12,Paramètres!$A$1:$I$89,5,0)</f>
        <v>226.32480000000012</v>
      </c>
      <c r="CA123" s="13">
        <f t="shared" si="93"/>
        <v>55.48727390683672</v>
      </c>
      <c r="CB123" s="20">
        <f t="shared" si="64"/>
        <v>490.82269538774079</v>
      </c>
      <c r="CC123" s="59">
        <f t="shared" si="65"/>
        <v>784.15602872107411</v>
      </c>
      <c r="CD123" s="59">
        <f ca="1">AVERAGE(OFFSET($CC$3,0,0,'Données projet'!$E$12+1,1))-AVERAGE(OFFSET($H$3,0,0,'Données projet'!$E$12+1,1))</f>
        <v>154.93882427988234</v>
      </c>
      <c r="CE123" s="59">
        <f t="shared" si="94"/>
        <v>56.347130462109817</v>
      </c>
      <c r="CF123" s="15">
        <f>IF(ISNA(VLOOKUP(A123,'Données projet'!$A$113:$I$133,3,0)),0,VLOOKUP(A123,'Données projet'!$A$113:$I$133,3,0))</f>
        <v>9</v>
      </c>
      <c r="CG123" s="15">
        <f>IF(ISNA(VLOOKUP(A123,'Données projet'!$A$113:$I$133,4,0)),0,VLOOKUP(A123,'Données projet'!$A$113:$I$133,4,0))</f>
        <v>234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>
        <f>EXP(-LN(2)/35)*CK122+(1-EXP(-LN(2)/35))/(LN(2)/35)*CG123*CH123*VLOOKUP('Données projet'!$B$12,Paramètres!$A$1:$I$89,3,0)*0.475*44/12</f>
        <v>0</v>
      </c>
      <c r="CL123" s="21">
        <f>EXP(-LN(2)/25)*CL122+(1-EXP(-LN(2)/25))/(LN(2)/25)*Calculateur!CG123*Calculateur!CI123*VLOOKUP('Données projet'!$B$12,Paramètres!$A$1:$I$89,3,0)*0.475*44/12</f>
        <v>0</v>
      </c>
      <c r="CM123" s="21">
        <f>EXP(-LN(2)/2)*CM122+(1-EXP(-LN(2)/2))/(LN(2)/2)*CG123*CJ123*VLOOKUP('Données projet'!$B$12,Paramètres!$A$1:$I$89,3,0)*0.475*44/12</f>
        <v>0</v>
      </c>
      <c r="CN123" s="22">
        <f t="shared" si="66"/>
        <v>0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107.59320000000019</v>
      </c>
      <c r="D124" s="11">
        <f t="shared" si="86"/>
        <v>28.763195667267546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1052.5756858525931</v>
      </c>
      <c r="H124" s="67">
        <f t="shared" si="56"/>
        <v>530.8207224538246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0</v>
      </c>
      <c r="O124" s="13">
        <f>N124*VLOOKUP('Données projet'!$B$9,Paramètres!$A$1:$I$89,3,0)*VLOOKUP('Données projet'!$B$9,Paramètres!$A$1:$I$89,5,0)</f>
        <v>0</v>
      </c>
      <c r="P124" s="13" t="e">
        <f t="shared" si="87"/>
        <v>#NUM!</v>
      </c>
      <c r="Q124" s="20" t="e">
        <f t="shared" si="107"/>
        <v>#NUM!</v>
      </c>
      <c r="R124" s="59" t="e">
        <f t="shared" si="55"/>
        <v>#NUM!</v>
      </c>
      <c r="S124" s="59">
        <f ca="1">AVERAGE(OFFSET($R$3,0,0,'Données projet'!$E$9+1,1))-AVERAGE(OFFSET($H$3,0,0,'Données projet'!$E$9+1,1))</f>
        <v>72.647148358003676</v>
      </c>
      <c r="T124" s="59">
        <f t="shared" si="88"/>
        <v>87.231299224620898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0.20988104861572141</v>
      </c>
      <c r="AA124" s="21">
        <f>EXP(-LN(2)/25)*AA123+(1-EXP(-LN(2)/25))/(LN(2)/25)*Calculateur!V124*Calculateur!X124*VLOOKUP('Données projet'!$B$9,Paramètres!$A$1:$I$89,3,0)*0.475*44/12</f>
        <v>0.36346043459597732</v>
      </c>
      <c r="AB124" s="21">
        <f>EXP(-LN(2)/2)*AB123+(1-EXP(-LN(2)/2))/(LN(2)/2)*V124*Y124*VLOOKUP('Données projet'!$B$9,Paramètres!$A$1:$I$89,3,0)*0.475*44/12</f>
        <v>4.5839587727332748E-14</v>
      </c>
      <c r="AC124" s="22">
        <f t="shared" si="57"/>
        <v>0.57334148321174461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-8.5265128291212022E-14</v>
      </c>
      <c r="AJ124" s="13">
        <f>AI124*VLOOKUP('Données projet'!$B$10,Paramètres!$A$1:$I$89,3,0)*VLOOKUP('Données projet'!$B$10,Paramètres!$A$1:$I$89,5,0)</f>
        <v>-6.9167072069831198E-14</v>
      </c>
      <c r="AK124" s="13" t="e">
        <f t="shared" si="89"/>
        <v>#NUM!</v>
      </c>
      <c r="AL124" s="20" t="e">
        <f t="shared" si="58"/>
        <v>#NUM!</v>
      </c>
      <c r="AM124" s="59" t="e">
        <f t="shared" si="59"/>
        <v>#NUM!</v>
      </c>
      <c r="AN124" s="59">
        <f ca="1">AVERAGE(OFFSET($AM$3,0,0,'Données projet'!$E$10+1,1))-AVERAGE(OFFSET($H$3,0,0,'Données projet'!$E$10+1,1))</f>
        <v>145.3656871223958</v>
      </c>
      <c r="AO124" s="59">
        <f t="shared" si="90"/>
        <v>180.54762778843178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0</v>
      </c>
      <c r="AV124" s="21">
        <f>EXP(-LN(2)/25)*AV123+(1-EXP(-LN(2)/25))/(LN(2)/25)*Calculateur!AQ124*Calculateur!AS124*VLOOKUP('Données projet'!$B$10,Paramètres!$A$1:$I$89,3,0)*0.475*44/12</f>
        <v>0.44607944786528136</v>
      </c>
      <c r="AW124" s="21">
        <f>EXP(-LN(2)/2)*AW123+(1-EXP(-LN(2)/2))/(LN(2)/2)*AQ124*AT124*VLOOKUP('Données projet'!$B$10,Paramètres!$A$1:$I$89,3,0)*0.475*44/12</f>
        <v>1.6403635642121479E-13</v>
      </c>
      <c r="AX124" s="21">
        <f t="shared" si="60"/>
        <v>0.4460794478654454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2.8421709430404007E-14</v>
      </c>
      <c r="BE124" s="13">
        <f>BD124*VLOOKUP('Données projet'!$B$11,Paramètres!$A$1:$I$89,3,0)*VLOOKUP('Données projet'!$B$11,Paramètres!$A$1:$I$89,5,0)</f>
        <v>2.5715962692629544E-14</v>
      </c>
      <c r="BF124" s="13">
        <f t="shared" si="91"/>
        <v>4.5248818890525812E-13</v>
      </c>
      <c r="BG124" s="20">
        <f t="shared" si="61"/>
        <v>8.3287223069965432E-13</v>
      </c>
      <c r="BH124" s="59">
        <f t="shared" si="62"/>
        <v>293.33333333333417</v>
      </c>
      <c r="BI124" s="59">
        <f ca="1">AVERAGE(OFFSET($BH$3,0,0,'Données projet'!$E$11+1,1))-AVERAGE(OFFSET($H$3,0,0,'Données projet'!$E$11+1,1))</f>
        <v>138.8931001150624</v>
      </c>
      <c r="BJ124" s="59">
        <f t="shared" si="92"/>
        <v>48.964659354096625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>
        <f>EXP(-LN(2)/35)*BP123+(1-EXP(-LN(2)/35))/(LN(2)/35)*BL124*BM124*VLOOKUP('Données projet'!$B$11,Paramètres!$A$1:$I$89,3,0)*0.475*44/12</f>
        <v>0</v>
      </c>
      <c r="BQ124" s="21">
        <f>EXP(-LN(2)/25)*BQ123+(1-EXP(-LN(2)/25))/(LN(2)/25)*Calculateur!BL124*Calculateur!BN124*VLOOKUP('Données projet'!$B$11,Paramètres!$A$1:$I$89,3,0)*0.475*44/12</f>
        <v>0</v>
      </c>
      <c r="BR124" s="21">
        <f>EXP(-LN(2)/2)*BR123+(1-EXP(-LN(2)/2))/(LN(2)/2)*BL124*BO124*VLOOKUP('Données projet'!$B$11,Paramètres!$A$1:$I$89,3,0)*0.475*44/12</f>
        <v>0</v>
      </c>
      <c r="BS124" s="22">
        <f t="shared" si="63"/>
        <v>0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1.1368683772161603E-13</v>
      </c>
      <c r="BZ124" s="13">
        <f>BY124*VLOOKUP('Données projet'!$B$12,Paramètres!$A$1:$I$89,3,0)*VLOOKUP('Données projet'!$B$12,Paramètres!$A$1:$I$89,5,0)</f>
        <v>1.0995790944434703E-13</v>
      </c>
      <c r="CA124" s="13">
        <f t="shared" si="93"/>
        <v>1.6337280948049956E-12</v>
      </c>
      <c r="CB124" s="20">
        <f t="shared" si="64"/>
        <v>3.036919790734272E-12</v>
      </c>
      <c r="CC124" s="59">
        <f t="shared" si="65"/>
        <v>293.33333333333633</v>
      </c>
      <c r="CD124" s="59">
        <f ca="1">AVERAGE(OFFSET($CC$3,0,0,'Données projet'!$E$12+1,1))-AVERAGE(OFFSET($H$3,0,0,'Données projet'!$E$12+1,1))</f>
        <v>154.93882427988234</v>
      </c>
      <c r="CE124" s="59">
        <f t="shared" si="94"/>
        <v>56.347130462109817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>
        <f>EXP(-LN(2)/35)*CK123+(1-EXP(-LN(2)/35))/(LN(2)/35)*CG124*CH124*VLOOKUP('Données projet'!$B$12,Paramètres!$A$1:$I$89,3,0)*0.475*44/12</f>
        <v>0</v>
      </c>
      <c r="CL124" s="21">
        <f>EXP(-LN(2)/25)*CL123+(1-EXP(-LN(2)/25))/(LN(2)/25)*Calculateur!CG124*Calculateur!CI124*VLOOKUP('Données projet'!$B$12,Paramètres!$A$1:$I$89,3,0)*0.475*44/12</f>
        <v>0</v>
      </c>
      <c r="CM124" s="21">
        <f>EXP(-LN(2)/2)*CM123+(1-EXP(-LN(2)/2))/(LN(2)/2)*CG124*CJ124*VLOOKUP('Données projet'!$B$12,Paramètres!$A$1:$I$89,3,0)*0.475*44/12</f>
        <v>0</v>
      </c>
      <c r="CN124" s="22">
        <f t="shared" si="66"/>
        <v>0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108.4824000000002</v>
      </c>
      <c r="D125" s="11">
        <f t="shared" si="86"/>
        <v>28.973137589932421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1061.060290167901</v>
      </c>
      <c r="H125" s="67">
        <f t="shared" si="56"/>
        <v>532.73506130246597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0</v>
      </c>
      <c r="O125" s="13">
        <f>N125*VLOOKUP('Données projet'!$B$9,Paramètres!$A$1:$I$89,3,0)*VLOOKUP('Données projet'!$B$9,Paramètres!$A$1:$I$89,5,0)</f>
        <v>0</v>
      </c>
      <c r="P125" s="13" t="e">
        <f t="shared" si="87"/>
        <v>#NUM!</v>
      </c>
      <c r="Q125" s="20" t="e">
        <f t="shared" si="107"/>
        <v>#NUM!</v>
      </c>
      <c r="R125" s="59" t="e">
        <f t="shared" si="55"/>
        <v>#NUM!</v>
      </c>
      <c r="S125" s="59">
        <f ca="1">AVERAGE(OFFSET($R$3,0,0,'Données projet'!$E$9+1,1))-AVERAGE(OFFSET($H$3,0,0,'Données projet'!$E$9+1,1))</f>
        <v>72.647148358003676</v>
      </c>
      <c r="T125" s="59">
        <f t="shared" si="88"/>
        <v>87.231299224620898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0.20576540926716635</v>
      </c>
      <c r="AA125" s="21">
        <f>EXP(-LN(2)/25)*AA124+(1-EXP(-LN(2)/25))/(LN(2)/25)*Calculateur!V125*Calculateur!X125*VLOOKUP('Données projet'!$B$9,Paramètres!$A$1:$I$89,3,0)*0.475*44/12</f>
        <v>0.35352158989839677</v>
      </c>
      <c r="AB125" s="21">
        <f>EXP(-LN(2)/2)*AB124+(1-EXP(-LN(2)/2))/(LN(2)/2)*V125*Y125*VLOOKUP('Données projet'!$B$9,Paramètres!$A$1:$I$89,3,0)*0.475*44/12</f>
        <v>3.2413483328792626E-14</v>
      </c>
      <c r="AC125" s="22">
        <f t="shared" si="57"/>
        <v>0.55928699916559554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-8.5265128291212022E-14</v>
      </c>
      <c r="AJ125" s="13">
        <f>AI125*VLOOKUP('Données projet'!$B$10,Paramètres!$A$1:$I$89,3,0)*VLOOKUP('Données projet'!$B$10,Paramètres!$A$1:$I$89,5,0)</f>
        <v>-6.9167072069831198E-14</v>
      </c>
      <c r="AK125" s="13" t="e">
        <f t="shared" si="89"/>
        <v>#NUM!</v>
      </c>
      <c r="AL125" s="20" t="e">
        <f t="shared" si="58"/>
        <v>#NUM!</v>
      </c>
      <c r="AM125" s="59" t="e">
        <f t="shared" si="59"/>
        <v>#NUM!</v>
      </c>
      <c r="AN125" s="59">
        <f ca="1">AVERAGE(OFFSET($AM$3,0,0,'Données projet'!$E$10+1,1))-AVERAGE(OFFSET($H$3,0,0,'Données projet'!$E$10+1,1))</f>
        <v>145.3656871223958</v>
      </c>
      <c r="AO125" s="59">
        <f t="shared" si="90"/>
        <v>180.54762778843178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0</v>
      </c>
      <c r="AV125" s="21">
        <f>EXP(-LN(2)/25)*AV124+(1-EXP(-LN(2)/25))/(LN(2)/25)*Calculateur!AQ125*Calculateur!AS125*VLOOKUP('Données projet'!$B$10,Paramètres!$A$1:$I$89,3,0)*0.475*44/12</f>
        <v>0.43388138190510661</v>
      </c>
      <c r="AW125" s="21">
        <f>EXP(-LN(2)/2)*AW124+(1-EXP(-LN(2)/2))/(LN(2)/2)*AQ125*AT125*VLOOKUP('Données projet'!$B$10,Paramètres!$A$1:$I$89,3,0)*0.475*44/12</f>
        <v>1.1599121998657445E-13</v>
      </c>
      <c r="AX125" s="21">
        <f t="shared" si="60"/>
        <v>0.43388138190522263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2.8421709430404007E-14</v>
      </c>
      <c r="BE125" s="13">
        <f>BD125*VLOOKUP('Données projet'!$B$11,Paramètres!$A$1:$I$89,3,0)*VLOOKUP('Données projet'!$B$11,Paramètres!$A$1:$I$89,5,0)</f>
        <v>2.5715962692629544E-14</v>
      </c>
      <c r="BF125" s="13">
        <f t="shared" si="91"/>
        <v>4.5248818890525812E-13</v>
      </c>
      <c r="BG125" s="20">
        <f t="shared" si="61"/>
        <v>8.3287223069965432E-13</v>
      </c>
      <c r="BH125" s="59">
        <f t="shared" si="62"/>
        <v>293.33333333333417</v>
      </c>
      <c r="BI125" s="59">
        <f ca="1">AVERAGE(OFFSET($BH$3,0,0,'Données projet'!$E$11+1,1))-AVERAGE(OFFSET($H$3,0,0,'Données projet'!$E$11+1,1))</f>
        <v>138.8931001150624</v>
      </c>
      <c r="BJ125" s="59">
        <f t="shared" si="92"/>
        <v>48.964659354096625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>
        <f>EXP(-LN(2)/35)*BP124+(1-EXP(-LN(2)/35))/(LN(2)/35)*BL125*BM125*VLOOKUP('Données projet'!$B$11,Paramètres!$A$1:$I$89,3,0)*0.475*44/12</f>
        <v>0</v>
      </c>
      <c r="BQ125" s="21">
        <f>EXP(-LN(2)/25)*BQ124+(1-EXP(-LN(2)/25))/(LN(2)/25)*Calculateur!BL125*Calculateur!BN125*VLOOKUP('Données projet'!$B$11,Paramètres!$A$1:$I$89,3,0)*0.475*44/12</f>
        <v>0</v>
      </c>
      <c r="BR125" s="21">
        <f>EXP(-LN(2)/2)*BR124+(1-EXP(-LN(2)/2))/(LN(2)/2)*BL125*BO125*VLOOKUP('Données projet'!$B$11,Paramètres!$A$1:$I$89,3,0)*0.475*44/12</f>
        <v>0</v>
      </c>
      <c r="BS125" s="22">
        <f t="shared" si="63"/>
        <v>0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1.1368683772161603E-13</v>
      </c>
      <c r="BZ125" s="13">
        <f>BY125*VLOOKUP('Données projet'!$B$12,Paramètres!$A$1:$I$89,3,0)*VLOOKUP('Données projet'!$B$12,Paramètres!$A$1:$I$89,5,0)</f>
        <v>1.0995790944434703E-13</v>
      </c>
      <c r="CA125" s="13">
        <f t="shared" si="93"/>
        <v>1.6337280948049956E-12</v>
      </c>
      <c r="CB125" s="20">
        <f t="shared" si="64"/>
        <v>3.036919790734272E-12</v>
      </c>
      <c r="CC125" s="59">
        <f t="shared" si="65"/>
        <v>293.33333333333633</v>
      </c>
      <c r="CD125" s="59">
        <f ca="1">AVERAGE(OFFSET($CC$3,0,0,'Données projet'!$E$12+1,1))-AVERAGE(OFFSET($H$3,0,0,'Données projet'!$E$12+1,1))</f>
        <v>154.93882427988234</v>
      </c>
      <c r="CE125" s="59">
        <f t="shared" si="94"/>
        <v>56.347130462109817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>
        <f>EXP(-LN(2)/35)*CK124+(1-EXP(-LN(2)/35))/(LN(2)/35)*CG125*CH125*VLOOKUP('Données projet'!$B$12,Paramètres!$A$1:$I$89,3,0)*0.475*44/12</f>
        <v>0</v>
      </c>
      <c r="CL125" s="21">
        <f>EXP(-LN(2)/25)*CL124+(1-EXP(-LN(2)/25))/(LN(2)/25)*Calculateur!CG125*Calculateur!CI125*VLOOKUP('Données projet'!$B$12,Paramètres!$A$1:$I$89,3,0)*0.475*44/12</f>
        <v>0</v>
      </c>
      <c r="CM125" s="21">
        <f>EXP(-LN(2)/2)*CM124+(1-EXP(-LN(2)/2))/(LN(2)/2)*CG125*CJ125*VLOOKUP('Données projet'!$B$12,Paramètres!$A$1:$I$89,3,0)*0.475*44/12</f>
        <v>0</v>
      </c>
      <c r="CN125" s="22">
        <f t="shared" si="66"/>
        <v>0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109.3716000000002</v>
      </c>
      <c r="D126" s="11">
        <f t="shared" si="86"/>
        <v>29.182879300506769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1069.5433489863697</v>
      </c>
      <c r="H126" s="67">
        <f t="shared" si="56"/>
        <v>534.64905144838292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0</v>
      </c>
      <c r="O126" s="13">
        <f>N126*VLOOKUP('Données projet'!$B$9,Paramètres!$A$1:$I$89,3,0)*VLOOKUP('Données projet'!$B$9,Paramètres!$A$1:$I$89,5,0)</f>
        <v>0</v>
      </c>
      <c r="P126" s="13" t="e">
        <f t="shared" si="87"/>
        <v>#NUM!</v>
      </c>
      <c r="Q126" s="20" t="e">
        <f t="shared" si="107"/>
        <v>#NUM!</v>
      </c>
      <c r="R126" s="59" t="e">
        <f t="shared" si="55"/>
        <v>#NUM!</v>
      </c>
      <c r="S126" s="59">
        <f ca="1">AVERAGE(OFFSET($R$3,0,0,'Données projet'!$E$9+1,1))-AVERAGE(OFFSET($H$3,0,0,'Données projet'!$E$9+1,1))</f>
        <v>72.647148358003676</v>
      </c>
      <c r="T126" s="59">
        <f t="shared" si="88"/>
        <v>87.231299224620898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0.20173047509594433</v>
      </c>
      <c r="AA126" s="21">
        <f>EXP(-LN(2)/25)*AA125+(1-EXP(-LN(2)/25))/(LN(2)/25)*Calculateur!V126*Calculateur!X126*VLOOKUP('Données projet'!$B$9,Paramètres!$A$1:$I$89,3,0)*0.475*44/12</f>
        <v>0.34385452343173267</v>
      </c>
      <c r="AB126" s="21">
        <f>EXP(-LN(2)/2)*AB125+(1-EXP(-LN(2)/2))/(LN(2)/2)*V126*Y126*VLOOKUP('Données projet'!$B$9,Paramètres!$A$1:$I$89,3,0)*0.475*44/12</f>
        <v>2.2919793863666374E-14</v>
      </c>
      <c r="AC126" s="22">
        <f t="shared" si="57"/>
        <v>0.54558499852769993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-8.5265128291212022E-14</v>
      </c>
      <c r="AJ126" s="13">
        <f>AI126*VLOOKUP('Données projet'!$B$10,Paramètres!$A$1:$I$89,3,0)*VLOOKUP('Données projet'!$B$10,Paramètres!$A$1:$I$89,5,0)</f>
        <v>-6.9167072069831198E-14</v>
      </c>
      <c r="AK126" s="13" t="e">
        <f t="shared" si="89"/>
        <v>#NUM!</v>
      </c>
      <c r="AL126" s="20" t="e">
        <f t="shared" si="58"/>
        <v>#NUM!</v>
      </c>
      <c r="AM126" s="59" t="e">
        <f t="shared" si="59"/>
        <v>#NUM!</v>
      </c>
      <c r="AN126" s="59">
        <f ca="1">AVERAGE(OFFSET($AM$3,0,0,'Données projet'!$E$10+1,1))-AVERAGE(OFFSET($H$3,0,0,'Données projet'!$E$10+1,1))</f>
        <v>145.3656871223958</v>
      </c>
      <c r="AO126" s="59">
        <f t="shared" si="90"/>
        <v>180.54762778843178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0</v>
      </c>
      <c r="AV126" s="21">
        <f>EXP(-LN(2)/25)*AV125+(1-EXP(-LN(2)/25))/(LN(2)/25)*Calculateur!AQ126*Calculateur!AS126*VLOOKUP('Données projet'!$B$10,Paramètres!$A$1:$I$89,3,0)*0.475*44/12</f>
        <v>0.42201687270008126</v>
      </c>
      <c r="AW126" s="21">
        <f>EXP(-LN(2)/2)*AW125+(1-EXP(-LN(2)/2))/(LN(2)/2)*AQ126*AT126*VLOOKUP('Données projet'!$B$10,Paramètres!$A$1:$I$89,3,0)*0.475*44/12</f>
        <v>8.2018178210607396E-14</v>
      </c>
      <c r="AX126" s="21">
        <f t="shared" si="60"/>
        <v>0.4220168727001633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2.8421709430404007E-14</v>
      </c>
      <c r="BE126" s="13">
        <f>BD126*VLOOKUP('Données projet'!$B$11,Paramètres!$A$1:$I$89,3,0)*VLOOKUP('Données projet'!$B$11,Paramètres!$A$1:$I$89,5,0)</f>
        <v>2.5715962692629544E-14</v>
      </c>
      <c r="BF126" s="13">
        <f t="shared" si="91"/>
        <v>4.5248818890525812E-13</v>
      </c>
      <c r="BG126" s="20">
        <f t="shared" si="61"/>
        <v>8.3287223069965432E-13</v>
      </c>
      <c r="BH126" s="59">
        <f t="shared" si="62"/>
        <v>293.33333333333417</v>
      </c>
      <c r="BI126" s="59">
        <f ca="1">AVERAGE(OFFSET($BH$3,0,0,'Données projet'!$E$11+1,1))-AVERAGE(OFFSET($H$3,0,0,'Données projet'!$E$11+1,1))</f>
        <v>138.8931001150624</v>
      </c>
      <c r="BJ126" s="59">
        <f t="shared" si="92"/>
        <v>48.964659354096625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>
        <f>EXP(-LN(2)/35)*BP125+(1-EXP(-LN(2)/35))/(LN(2)/35)*BL126*BM126*VLOOKUP('Données projet'!$B$11,Paramètres!$A$1:$I$89,3,0)*0.475*44/12</f>
        <v>0</v>
      </c>
      <c r="BQ126" s="21">
        <f>EXP(-LN(2)/25)*BQ125+(1-EXP(-LN(2)/25))/(LN(2)/25)*Calculateur!BL126*Calculateur!BN126*VLOOKUP('Données projet'!$B$11,Paramètres!$A$1:$I$89,3,0)*0.475*44/12</f>
        <v>0</v>
      </c>
      <c r="BR126" s="21">
        <f>EXP(-LN(2)/2)*BR125+(1-EXP(-LN(2)/2))/(LN(2)/2)*BL126*BO126*VLOOKUP('Données projet'!$B$11,Paramètres!$A$1:$I$89,3,0)*0.475*44/12</f>
        <v>0</v>
      </c>
      <c r="BS126" s="22">
        <f t="shared" si="63"/>
        <v>0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1.1368683772161603E-13</v>
      </c>
      <c r="BZ126" s="13">
        <f>BY126*VLOOKUP('Données projet'!$B$12,Paramètres!$A$1:$I$89,3,0)*VLOOKUP('Données projet'!$B$12,Paramètres!$A$1:$I$89,5,0)</f>
        <v>1.0995790944434703E-13</v>
      </c>
      <c r="CA126" s="13">
        <f t="shared" si="93"/>
        <v>1.6337280948049956E-12</v>
      </c>
      <c r="CB126" s="20">
        <f t="shared" si="64"/>
        <v>3.036919790734272E-12</v>
      </c>
      <c r="CC126" s="59">
        <f t="shared" si="65"/>
        <v>293.33333333333633</v>
      </c>
      <c r="CD126" s="59">
        <f ca="1">AVERAGE(OFFSET($CC$3,0,0,'Données projet'!$E$12+1,1))-AVERAGE(OFFSET($H$3,0,0,'Données projet'!$E$12+1,1))</f>
        <v>154.93882427988234</v>
      </c>
      <c r="CE126" s="59">
        <f t="shared" si="94"/>
        <v>56.347130462109817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>
        <f>EXP(-LN(2)/35)*CK125+(1-EXP(-LN(2)/35))/(LN(2)/35)*CG126*CH126*VLOOKUP('Données projet'!$B$12,Paramètres!$A$1:$I$89,3,0)*0.475*44/12</f>
        <v>0</v>
      </c>
      <c r="CL126" s="21">
        <f>EXP(-LN(2)/25)*CL125+(1-EXP(-LN(2)/25))/(LN(2)/25)*Calculateur!CG126*Calculateur!CI126*VLOOKUP('Données projet'!$B$12,Paramètres!$A$1:$I$89,3,0)*0.475*44/12</f>
        <v>0</v>
      </c>
      <c r="CM126" s="21">
        <f>EXP(-LN(2)/2)*CM125+(1-EXP(-LN(2)/2))/(LN(2)/2)*CG126*CJ126*VLOOKUP('Données projet'!$B$12,Paramètres!$A$1:$I$89,3,0)*0.475*44/12</f>
        <v>0</v>
      </c>
      <c r="CN126" s="22">
        <f t="shared" si="66"/>
        <v>0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110.2608000000002</v>
      </c>
      <c r="D127" s="11">
        <f t="shared" si="86"/>
        <v>29.392422615380852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1078.0248763292573</v>
      </c>
      <c r="H127" s="67">
        <f t="shared" si="56"/>
        <v>536.56269605512193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0</v>
      </c>
      <c r="O127" s="13">
        <f>N127*VLOOKUP('Données projet'!$B$9,Paramètres!$A$1:$I$89,3,0)*VLOOKUP('Données projet'!$B$9,Paramètres!$A$1:$I$89,5,0)</f>
        <v>0</v>
      </c>
      <c r="P127" s="13" t="e">
        <f t="shared" si="87"/>
        <v>#NUM!</v>
      </c>
      <c r="Q127" s="20" t="e">
        <f t="shared" si="107"/>
        <v>#NUM!</v>
      </c>
      <c r="R127" s="59" t="e">
        <f t="shared" si="55"/>
        <v>#NUM!</v>
      </c>
      <c r="S127" s="59">
        <f ca="1">AVERAGE(OFFSET($R$3,0,0,'Données projet'!$E$9+1,1))-AVERAGE(OFFSET($H$3,0,0,'Données projet'!$E$9+1,1))</f>
        <v>72.647148358003676</v>
      </c>
      <c r="T127" s="59">
        <f t="shared" si="88"/>
        <v>87.231299224620898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0.19777466352275314</v>
      </c>
      <c r="AA127" s="21">
        <f>EXP(-LN(2)/25)*AA126+(1-EXP(-LN(2)/25))/(LN(2)/25)*Calculateur!V127*Calculateur!X127*VLOOKUP('Données projet'!$B$9,Paramètres!$A$1:$I$89,3,0)*0.475*44/12</f>
        <v>0.33445180340596847</v>
      </c>
      <c r="AB127" s="21">
        <f>EXP(-LN(2)/2)*AB126+(1-EXP(-LN(2)/2))/(LN(2)/2)*V127*Y127*VLOOKUP('Données projet'!$B$9,Paramètres!$A$1:$I$89,3,0)*0.475*44/12</f>
        <v>1.6206741664396313E-14</v>
      </c>
      <c r="AC127" s="22">
        <f t="shared" si="57"/>
        <v>0.53222646692873776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-8.5265128291212022E-14</v>
      </c>
      <c r="AJ127" s="13">
        <f>AI127*VLOOKUP('Données projet'!$B$10,Paramètres!$A$1:$I$89,3,0)*VLOOKUP('Données projet'!$B$10,Paramètres!$A$1:$I$89,5,0)</f>
        <v>-6.9167072069831198E-14</v>
      </c>
      <c r="AK127" s="13" t="e">
        <f t="shared" si="89"/>
        <v>#NUM!</v>
      </c>
      <c r="AL127" s="20" t="e">
        <f t="shared" si="58"/>
        <v>#NUM!</v>
      </c>
      <c r="AM127" s="59" t="e">
        <f t="shared" si="59"/>
        <v>#NUM!</v>
      </c>
      <c r="AN127" s="59">
        <f ca="1">AVERAGE(OFFSET($AM$3,0,0,'Données projet'!$E$10+1,1))-AVERAGE(OFFSET($H$3,0,0,'Données projet'!$E$10+1,1))</f>
        <v>145.3656871223958</v>
      </c>
      <c r="AO127" s="59">
        <f t="shared" si="90"/>
        <v>180.54762778843178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0</v>
      </c>
      <c r="AV127" s="21">
        <f>EXP(-LN(2)/25)*AV126+(1-EXP(-LN(2)/25))/(LN(2)/25)*Calculateur!AQ127*Calculateur!AS127*VLOOKUP('Données projet'!$B$10,Paramètres!$A$1:$I$89,3,0)*0.475*44/12</f>
        <v>0.41047679912319474</v>
      </c>
      <c r="AW127" s="21">
        <f>EXP(-LN(2)/2)*AW126+(1-EXP(-LN(2)/2))/(LN(2)/2)*AQ127*AT127*VLOOKUP('Données projet'!$B$10,Paramètres!$A$1:$I$89,3,0)*0.475*44/12</f>
        <v>5.7995609993287223E-14</v>
      </c>
      <c r="AX127" s="21">
        <f t="shared" si="60"/>
        <v>0.41047679912325274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2.8421709430404007E-14</v>
      </c>
      <c r="BE127" s="13">
        <f>BD127*VLOOKUP('Données projet'!$B$11,Paramètres!$A$1:$I$89,3,0)*VLOOKUP('Données projet'!$B$11,Paramètres!$A$1:$I$89,5,0)</f>
        <v>2.5715962692629544E-14</v>
      </c>
      <c r="BF127" s="13">
        <f t="shared" si="91"/>
        <v>4.5248818890525812E-13</v>
      </c>
      <c r="BG127" s="20">
        <f t="shared" si="61"/>
        <v>8.3287223069965432E-13</v>
      </c>
      <c r="BH127" s="59">
        <f t="shared" si="62"/>
        <v>293.33333333333417</v>
      </c>
      <c r="BI127" s="59">
        <f ca="1">AVERAGE(OFFSET($BH$3,0,0,'Données projet'!$E$11+1,1))-AVERAGE(OFFSET($H$3,0,0,'Données projet'!$E$11+1,1))</f>
        <v>138.8931001150624</v>
      </c>
      <c r="BJ127" s="59">
        <f t="shared" si="92"/>
        <v>48.964659354096625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>
        <f>EXP(-LN(2)/35)*BP126+(1-EXP(-LN(2)/35))/(LN(2)/35)*BL127*BM127*VLOOKUP('Données projet'!$B$11,Paramètres!$A$1:$I$89,3,0)*0.475*44/12</f>
        <v>0</v>
      </c>
      <c r="BQ127" s="21">
        <f>EXP(-LN(2)/25)*BQ126+(1-EXP(-LN(2)/25))/(LN(2)/25)*Calculateur!BL127*Calculateur!BN127*VLOOKUP('Données projet'!$B$11,Paramètres!$A$1:$I$89,3,0)*0.475*44/12</f>
        <v>0</v>
      </c>
      <c r="BR127" s="21">
        <f>EXP(-LN(2)/2)*BR126+(1-EXP(-LN(2)/2))/(LN(2)/2)*BL127*BO127*VLOOKUP('Données projet'!$B$11,Paramètres!$A$1:$I$89,3,0)*0.475*44/12</f>
        <v>0</v>
      </c>
      <c r="BS127" s="22">
        <f t="shared" si="63"/>
        <v>0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1.1368683772161603E-13</v>
      </c>
      <c r="BZ127" s="13">
        <f>BY127*VLOOKUP('Données projet'!$B$12,Paramètres!$A$1:$I$89,3,0)*VLOOKUP('Données projet'!$B$12,Paramètres!$A$1:$I$89,5,0)</f>
        <v>1.0995790944434703E-13</v>
      </c>
      <c r="CA127" s="13">
        <f t="shared" si="93"/>
        <v>1.6337280948049956E-12</v>
      </c>
      <c r="CB127" s="20">
        <f t="shared" si="64"/>
        <v>3.036919790734272E-12</v>
      </c>
      <c r="CC127" s="59">
        <f t="shared" si="65"/>
        <v>293.33333333333633</v>
      </c>
      <c r="CD127" s="59">
        <f ca="1">AVERAGE(OFFSET($CC$3,0,0,'Données projet'!$E$12+1,1))-AVERAGE(OFFSET($H$3,0,0,'Données projet'!$E$12+1,1))</f>
        <v>154.93882427988234</v>
      </c>
      <c r="CE127" s="59">
        <f t="shared" si="94"/>
        <v>56.347130462109817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>
        <f>EXP(-LN(2)/35)*CK126+(1-EXP(-LN(2)/35))/(LN(2)/35)*CG127*CH127*VLOOKUP('Données projet'!$B$12,Paramètres!$A$1:$I$89,3,0)*0.475*44/12</f>
        <v>0</v>
      </c>
      <c r="CL127" s="21">
        <f>EXP(-LN(2)/25)*CL126+(1-EXP(-LN(2)/25))/(LN(2)/25)*Calculateur!CG127*Calculateur!CI127*VLOOKUP('Données projet'!$B$12,Paramètres!$A$1:$I$89,3,0)*0.475*44/12</f>
        <v>0</v>
      </c>
      <c r="CM127" s="21">
        <f>EXP(-LN(2)/2)*CM126+(1-EXP(-LN(2)/2))/(LN(2)/2)*CG127*CJ127*VLOOKUP('Données projet'!$B$12,Paramètres!$A$1:$I$89,3,0)*0.475*44/12</f>
        <v>0</v>
      </c>
      <c r="CN127" s="22">
        <f t="shared" si="66"/>
        <v>0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111.1500000000002</v>
      </c>
      <c r="D128" s="11">
        <f t="shared" si="86"/>
        <v>29.601769319956595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1086.5048859786139</v>
      </c>
      <c r="H128" s="67">
        <f t="shared" si="56"/>
        <v>538.47599823225801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0</v>
      </c>
      <c r="O128" s="13">
        <f>N128*VLOOKUP('Données projet'!$B$9,Paramètres!$A$1:$I$89,3,0)*VLOOKUP('Données projet'!$B$9,Paramètres!$A$1:$I$89,5,0)</f>
        <v>0</v>
      </c>
      <c r="P128" s="13" t="e">
        <f t="shared" si="87"/>
        <v>#NUM!</v>
      </c>
      <c r="Q128" s="20" t="e">
        <f t="shared" si="107"/>
        <v>#NUM!</v>
      </c>
      <c r="R128" s="59" t="e">
        <f t="shared" si="55"/>
        <v>#NUM!</v>
      </c>
      <c r="S128" s="59">
        <f ca="1">AVERAGE(OFFSET($R$3,0,0,'Données projet'!$E$9+1,1))-AVERAGE(OFFSET($H$3,0,0,'Données projet'!$E$9+1,1))</f>
        <v>72.647148358003676</v>
      </c>
      <c r="T128" s="59">
        <f t="shared" si="88"/>
        <v>87.231299224620898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0.1938964230017054</v>
      </c>
      <c r="AA128" s="21">
        <f>EXP(-LN(2)/25)*AA127+(1-EXP(-LN(2)/25))/(LN(2)/25)*Calculateur!V128*Calculateur!X128*VLOOKUP('Données projet'!$B$9,Paramètres!$A$1:$I$89,3,0)*0.475*44/12</f>
        <v>0.32530620125377635</v>
      </c>
      <c r="AB128" s="21">
        <f>EXP(-LN(2)/2)*AB127+(1-EXP(-LN(2)/2))/(LN(2)/2)*V128*Y128*VLOOKUP('Données projet'!$B$9,Paramètres!$A$1:$I$89,3,0)*0.475*44/12</f>
        <v>1.1459896931833187E-14</v>
      </c>
      <c r="AC128" s="22">
        <f t="shared" si="57"/>
        <v>0.51920262425549313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-8.5265128291212022E-14</v>
      </c>
      <c r="AJ128" s="13">
        <f>AI128*VLOOKUP('Données projet'!$B$10,Paramètres!$A$1:$I$89,3,0)*VLOOKUP('Données projet'!$B$10,Paramètres!$A$1:$I$89,5,0)</f>
        <v>-6.9167072069831198E-14</v>
      </c>
      <c r="AK128" s="13" t="e">
        <f t="shared" si="89"/>
        <v>#NUM!</v>
      </c>
      <c r="AL128" s="20" t="e">
        <f t="shared" si="58"/>
        <v>#NUM!</v>
      </c>
      <c r="AM128" s="59" t="e">
        <f t="shared" si="59"/>
        <v>#NUM!</v>
      </c>
      <c r="AN128" s="59">
        <f ca="1">AVERAGE(OFFSET($AM$3,0,0,'Données projet'!$E$10+1,1))-AVERAGE(OFFSET($H$3,0,0,'Données projet'!$E$10+1,1))</f>
        <v>145.3656871223958</v>
      </c>
      <c r="AO128" s="59">
        <f t="shared" si="90"/>
        <v>180.54762778843178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0</v>
      </c>
      <c r="AV128" s="21">
        <f>EXP(-LN(2)/25)*AV127+(1-EXP(-LN(2)/25))/(LN(2)/25)*Calculateur!AQ128*Calculateur!AS128*VLOOKUP('Données projet'!$B$10,Paramètres!$A$1:$I$89,3,0)*0.475*44/12</f>
        <v>0.39925228946513425</v>
      </c>
      <c r="AW128" s="21">
        <f>EXP(-LN(2)/2)*AW127+(1-EXP(-LN(2)/2))/(LN(2)/2)*AQ128*AT128*VLOOKUP('Données projet'!$B$10,Paramètres!$A$1:$I$89,3,0)*0.475*44/12</f>
        <v>4.1009089105303698E-14</v>
      </c>
      <c r="AX128" s="21">
        <f t="shared" si="60"/>
        <v>0.39925228946517527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2.8421709430404007E-14</v>
      </c>
      <c r="BE128" s="13">
        <f>BD128*VLOOKUP('Données projet'!$B$11,Paramètres!$A$1:$I$89,3,0)*VLOOKUP('Données projet'!$B$11,Paramètres!$A$1:$I$89,5,0)</f>
        <v>2.5715962692629544E-14</v>
      </c>
      <c r="BF128" s="13">
        <f t="shared" si="91"/>
        <v>4.5248818890525812E-13</v>
      </c>
      <c r="BG128" s="20">
        <f t="shared" si="61"/>
        <v>8.3287223069965432E-13</v>
      </c>
      <c r="BH128" s="59">
        <f t="shared" si="62"/>
        <v>293.33333333333417</v>
      </c>
      <c r="BI128" s="59">
        <f ca="1">AVERAGE(OFFSET($BH$3,0,0,'Données projet'!$E$11+1,1))-AVERAGE(OFFSET($H$3,0,0,'Données projet'!$E$11+1,1))</f>
        <v>138.8931001150624</v>
      </c>
      <c r="BJ128" s="59">
        <f t="shared" si="92"/>
        <v>48.964659354096625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>
        <f>EXP(-LN(2)/35)*BP127+(1-EXP(-LN(2)/35))/(LN(2)/35)*BL128*BM128*VLOOKUP('Données projet'!$B$11,Paramètres!$A$1:$I$89,3,0)*0.475*44/12</f>
        <v>0</v>
      </c>
      <c r="BQ128" s="21">
        <f>EXP(-LN(2)/25)*BQ127+(1-EXP(-LN(2)/25))/(LN(2)/25)*Calculateur!BL128*Calculateur!BN128*VLOOKUP('Données projet'!$B$11,Paramètres!$A$1:$I$89,3,0)*0.475*44/12</f>
        <v>0</v>
      </c>
      <c r="BR128" s="21">
        <f>EXP(-LN(2)/2)*BR127+(1-EXP(-LN(2)/2))/(LN(2)/2)*BL128*BO128*VLOOKUP('Données projet'!$B$11,Paramètres!$A$1:$I$89,3,0)*0.475*44/12</f>
        <v>0</v>
      </c>
      <c r="BS128" s="22">
        <f t="shared" si="63"/>
        <v>0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1.1368683772161603E-13</v>
      </c>
      <c r="BZ128" s="13">
        <f>BY128*VLOOKUP('Données projet'!$B$12,Paramètres!$A$1:$I$89,3,0)*VLOOKUP('Données projet'!$B$12,Paramètres!$A$1:$I$89,5,0)</f>
        <v>1.0995790944434703E-13</v>
      </c>
      <c r="CA128" s="13">
        <f t="shared" si="93"/>
        <v>1.6337280948049956E-12</v>
      </c>
      <c r="CB128" s="20">
        <f t="shared" si="64"/>
        <v>3.036919790734272E-12</v>
      </c>
      <c r="CC128" s="59">
        <f t="shared" si="65"/>
        <v>293.33333333333633</v>
      </c>
      <c r="CD128" s="59">
        <f ca="1">AVERAGE(OFFSET($CC$3,0,0,'Données projet'!$E$12+1,1))-AVERAGE(OFFSET($H$3,0,0,'Données projet'!$E$12+1,1))</f>
        <v>154.93882427988234</v>
      </c>
      <c r="CE128" s="59">
        <f t="shared" si="94"/>
        <v>56.347130462109817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>
        <f>EXP(-LN(2)/35)*CK127+(1-EXP(-LN(2)/35))/(LN(2)/35)*CG128*CH128*VLOOKUP('Données projet'!$B$12,Paramètres!$A$1:$I$89,3,0)*0.475*44/12</f>
        <v>0</v>
      </c>
      <c r="CL128" s="21">
        <f>EXP(-LN(2)/25)*CL127+(1-EXP(-LN(2)/25))/(LN(2)/25)*Calculateur!CG128*Calculateur!CI128*VLOOKUP('Données projet'!$B$12,Paramètres!$A$1:$I$89,3,0)*0.475*44/12</f>
        <v>0</v>
      </c>
      <c r="CM128" s="21">
        <f>EXP(-LN(2)/2)*CM127+(1-EXP(-LN(2)/2))/(LN(2)/2)*CG128*CJ128*VLOOKUP('Données projet'!$B$12,Paramètres!$A$1:$I$89,3,0)*0.475*44/12</f>
        <v>0</v>
      </c>
      <c r="CN128" s="22">
        <f t="shared" si="66"/>
        <v>0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112.03920000000021</v>
      </c>
      <c r="D129" s="11">
        <f t="shared" si="86"/>
        <v>29.810921169420254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1094.9833914832457</v>
      </c>
      <c r="H129" s="67">
        <f t="shared" si="56"/>
        <v>540.38896103674051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0</v>
      </c>
      <c r="O129" s="13">
        <f>N129*VLOOKUP('Données projet'!$B$9,Paramètres!$A$1:$I$89,3,0)*VLOOKUP('Données projet'!$B$9,Paramètres!$A$1:$I$89,5,0)</f>
        <v>0</v>
      </c>
      <c r="P129" s="13" t="e">
        <f t="shared" si="87"/>
        <v>#NUM!</v>
      </c>
      <c r="Q129" s="20" t="e">
        <f t="shared" si="107"/>
        <v>#NUM!</v>
      </c>
      <c r="R129" s="59" t="e">
        <f t="shared" si="55"/>
        <v>#NUM!</v>
      </c>
      <c r="S129" s="59">
        <f ca="1">AVERAGE(OFFSET($R$3,0,0,'Données projet'!$E$9+1,1))-AVERAGE(OFFSET($H$3,0,0,'Données projet'!$E$9+1,1))</f>
        <v>72.647148358003676</v>
      </c>
      <c r="T129" s="59">
        <f t="shared" si="88"/>
        <v>87.231299224620898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0.19009423241178228</v>
      </c>
      <c r="AA129" s="21">
        <f>EXP(-LN(2)/25)*AA128+(1-EXP(-LN(2)/25))/(LN(2)/25)*Calculateur!V129*Calculateur!X129*VLOOKUP('Données projet'!$B$9,Paramètres!$A$1:$I$89,3,0)*0.475*44/12</f>
        <v>0.31641068607338219</v>
      </c>
      <c r="AB129" s="21">
        <f>EXP(-LN(2)/2)*AB128+(1-EXP(-LN(2)/2))/(LN(2)/2)*V129*Y129*VLOOKUP('Données projet'!$B$9,Paramètres!$A$1:$I$89,3,0)*0.475*44/12</f>
        <v>8.1033708321981566E-15</v>
      </c>
      <c r="AC129" s="22">
        <f t="shared" si="57"/>
        <v>0.50650491848517254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-8.5265128291212022E-14</v>
      </c>
      <c r="AJ129" s="13">
        <f>AI129*VLOOKUP('Données projet'!$B$10,Paramètres!$A$1:$I$89,3,0)*VLOOKUP('Données projet'!$B$10,Paramètres!$A$1:$I$89,5,0)</f>
        <v>-6.9167072069831198E-14</v>
      </c>
      <c r="AK129" s="13" t="e">
        <f t="shared" si="89"/>
        <v>#NUM!</v>
      </c>
      <c r="AL129" s="20" t="e">
        <f t="shared" si="58"/>
        <v>#NUM!</v>
      </c>
      <c r="AM129" s="59" t="e">
        <f t="shared" si="59"/>
        <v>#NUM!</v>
      </c>
      <c r="AN129" s="59">
        <f ca="1">AVERAGE(OFFSET($AM$3,0,0,'Données projet'!$E$10+1,1))-AVERAGE(OFFSET($H$3,0,0,'Données projet'!$E$10+1,1))</f>
        <v>145.3656871223958</v>
      </c>
      <c r="AO129" s="59">
        <f t="shared" si="90"/>
        <v>180.54762778843178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0</v>
      </c>
      <c r="AV129" s="21">
        <f>EXP(-LN(2)/25)*AV128+(1-EXP(-LN(2)/25))/(LN(2)/25)*Calculateur!AQ129*Calculateur!AS129*VLOOKUP('Données projet'!$B$10,Paramètres!$A$1:$I$89,3,0)*0.475*44/12</f>
        <v>0.38833471461394475</v>
      </c>
      <c r="AW129" s="21">
        <f>EXP(-LN(2)/2)*AW128+(1-EXP(-LN(2)/2))/(LN(2)/2)*AQ129*AT129*VLOOKUP('Données projet'!$B$10,Paramètres!$A$1:$I$89,3,0)*0.475*44/12</f>
        <v>2.8997804996643612E-14</v>
      </c>
      <c r="AX129" s="21">
        <f t="shared" si="60"/>
        <v>0.38833471461397373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2.8421709430404007E-14</v>
      </c>
      <c r="BE129" s="13">
        <f>BD129*VLOOKUP('Données projet'!$B$11,Paramètres!$A$1:$I$89,3,0)*VLOOKUP('Données projet'!$B$11,Paramètres!$A$1:$I$89,5,0)</f>
        <v>2.5715962692629544E-14</v>
      </c>
      <c r="BF129" s="13">
        <f t="shared" si="91"/>
        <v>4.5248818890525812E-13</v>
      </c>
      <c r="BG129" s="20">
        <f t="shared" si="61"/>
        <v>8.3287223069965432E-13</v>
      </c>
      <c r="BH129" s="59">
        <f t="shared" si="62"/>
        <v>293.33333333333417</v>
      </c>
      <c r="BI129" s="59">
        <f ca="1">AVERAGE(OFFSET($BH$3,0,0,'Données projet'!$E$11+1,1))-AVERAGE(OFFSET($H$3,0,0,'Données projet'!$E$11+1,1))</f>
        <v>138.8931001150624</v>
      </c>
      <c r="BJ129" s="59">
        <f t="shared" si="92"/>
        <v>48.964659354096625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>
        <f>EXP(-LN(2)/35)*BP128+(1-EXP(-LN(2)/35))/(LN(2)/35)*BL129*BM129*VLOOKUP('Données projet'!$B$11,Paramètres!$A$1:$I$89,3,0)*0.475*44/12</f>
        <v>0</v>
      </c>
      <c r="BQ129" s="21">
        <f>EXP(-LN(2)/25)*BQ128+(1-EXP(-LN(2)/25))/(LN(2)/25)*Calculateur!BL129*Calculateur!BN129*VLOOKUP('Données projet'!$B$11,Paramètres!$A$1:$I$89,3,0)*0.475*44/12</f>
        <v>0</v>
      </c>
      <c r="BR129" s="21">
        <f>EXP(-LN(2)/2)*BR128+(1-EXP(-LN(2)/2))/(LN(2)/2)*BL129*BO129*VLOOKUP('Données projet'!$B$11,Paramètres!$A$1:$I$89,3,0)*0.475*44/12</f>
        <v>0</v>
      </c>
      <c r="BS129" s="22">
        <f t="shared" si="63"/>
        <v>0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1.1368683772161603E-13</v>
      </c>
      <c r="BZ129" s="13">
        <f>BY129*VLOOKUP('Données projet'!$B$12,Paramètres!$A$1:$I$89,3,0)*VLOOKUP('Données projet'!$B$12,Paramètres!$A$1:$I$89,5,0)</f>
        <v>1.0995790944434703E-13</v>
      </c>
      <c r="CA129" s="13">
        <f t="shared" si="93"/>
        <v>1.6337280948049956E-12</v>
      </c>
      <c r="CB129" s="20">
        <f t="shared" si="64"/>
        <v>3.036919790734272E-12</v>
      </c>
      <c r="CC129" s="59">
        <f t="shared" si="65"/>
        <v>293.33333333333633</v>
      </c>
      <c r="CD129" s="59">
        <f ca="1">AVERAGE(OFFSET($CC$3,0,0,'Données projet'!$E$12+1,1))-AVERAGE(OFFSET($H$3,0,0,'Données projet'!$E$12+1,1))</f>
        <v>154.93882427988234</v>
      </c>
      <c r="CE129" s="59">
        <f t="shared" si="94"/>
        <v>56.347130462109817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>
        <f>EXP(-LN(2)/35)*CK128+(1-EXP(-LN(2)/35))/(LN(2)/35)*CG129*CH129*VLOOKUP('Données projet'!$B$12,Paramètres!$A$1:$I$89,3,0)*0.475*44/12</f>
        <v>0</v>
      </c>
      <c r="CL129" s="21">
        <f>EXP(-LN(2)/25)*CL128+(1-EXP(-LN(2)/25))/(LN(2)/25)*Calculateur!CG129*Calculateur!CI129*VLOOKUP('Données projet'!$B$12,Paramètres!$A$1:$I$89,3,0)*0.475*44/12</f>
        <v>0</v>
      </c>
      <c r="CM129" s="21">
        <f>EXP(-LN(2)/2)*CM128+(1-EXP(-LN(2)/2))/(LN(2)/2)*CG129*CJ129*VLOOKUP('Données projet'!$B$12,Paramètres!$A$1:$I$89,3,0)*0.475*44/12</f>
        <v>0</v>
      </c>
      <c r="CN129" s="22">
        <f t="shared" si="66"/>
        <v>0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112.92840000000021</v>
      </c>
      <c r="D130" s="11">
        <f t="shared" si="86"/>
        <v>30.019879889489037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1103.4604061644784</v>
      </c>
      <c r="H130" s="67">
        <f t="shared" si="56"/>
        <v>542.30158747419375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0</v>
      </c>
      <c r="O130" s="13">
        <f>N130*VLOOKUP('Données projet'!$B$9,Paramètres!$A$1:$I$89,3,0)*VLOOKUP('Données projet'!$B$9,Paramètres!$A$1:$I$89,5,0)</f>
        <v>0</v>
      </c>
      <c r="P130" s="13" t="e">
        <f t="shared" si="87"/>
        <v>#NUM!</v>
      </c>
      <c r="Q130" s="20" t="e">
        <f t="shared" si="107"/>
        <v>#NUM!</v>
      </c>
      <c r="R130" s="59" t="e">
        <f t="shared" si="55"/>
        <v>#NUM!</v>
      </c>
      <c r="S130" s="59">
        <f ca="1">AVERAGE(OFFSET($R$3,0,0,'Données projet'!$E$9+1,1))-AVERAGE(OFFSET($H$3,0,0,'Données projet'!$E$9+1,1))</f>
        <v>72.647148358003676</v>
      </c>
      <c r="T130" s="59">
        <f t="shared" si="88"/>
        <v>87.231299224620898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0.18636660046022027</v>
      </c>
      <c r="AA130" s="21">
        <f>EXP(-LN(2)/25)*AA129+(1-EXP(-LN(2)/25))/(LN(2)/25)*Calculateur!V130*Calculateur!X130*VLOOKUP('Données projet'!$B$9,Paramètres!$A$1:$I$89,3,0)*0.475*44/12</f>
        <v>0.30775841922339076</v>
      </c>
      <c r="AB130" s="21">
        <f>EXP(-LN(2)/2)*AB129+(1-EXP(-LN(2)/2))/(LN(2)/2)*V130*Y130*VLOOKUP('Données projet'!$B$9,Paramètres!$A$1:$I$89,3,0)*0.475*44/12</f>
        <v>5.7299484659165935E-15</v>
      </c>
      <c r="AC130" s="22">
        <f t="shared" si="57"/>
        <v>0.49412501968361672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-8.5265128291212022E-14</v>
      </c>
      <c r="AJ130" s="13">
        <f>AI130*VLOOKUP('Données projet'!$B$10,Paramètres!$A$1:$I$89,3,0)*VLOOKUP('Données projet'!$B$10,Paramètres!$A$1:$I$89,5,0)</f>
        <v>-6.9167072069831198E-14</v>
      </c>
      <c r="AK130" s="13" t="e">
        <f t="shared" si="89"/>
        <v>#NUM!</v>
      </c>
      <c r="AL130" s="20" t="e">
        <f t="shared" si="58"/>
        <v>#NUM!</v>
      </c>
      <c r="AM130" s="59" t="e">
        <f t="shared" si="59"/>
        <v>#NUM!</v>
      </c>
      <c r="AN130" s="59">
        <f ca="1">AVERAGE(OFFSET($AM$3,0,0,'Données projet'!$E$10+1,1))-AVERAGE(OFFSET($H$3,0,0,'Données projet'!$E$10+1,1))</f>
        <v>145.3656871223958</v>
      </c>
      <c r="AO130" s="59">
        <f t="shared" si="90"/>
        <v>180.54762778843178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0</v>
      </c>
      <c r="AV130" s="21">
        <f>EXP(-LN(2)/25)*AV129+(1-EXP(-LN(2)/25))/(LN(2)/25)*Calculateur!AQ130*Calculateur!AS130*VLOOKUP('Données projet'!$B$10,Paramètres!$A$1:$I$89,3,0)*0.475*44/12</f>
        <v>0.37771568142119133</v>
      </c>
      <c r="AW130" s="21">
        <f>EXP(-LN(2)/2)*AW129+(1-EXP(-LN(2)/2))/(LN(2)/2)*AQ130*AT130*VLOOKUP('Données projet'!$B$10,Paramètres!$A$1:$I$89,3,0)*0.475*44/12</f>
        <v>2.0504544552651849E-14</v>
      </c>
      <c r="AX130" s="21">
        <f t="shared" si="60"/>
        <v>0.37771568142121181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2.8421709430404007E-14</v>
      </c>
      <c r="BE130" s="13">
        <f>BD130*VLOOKUP('Données projet'!$B$11,Paramètres!$A$1:$I$89,3,0)*VLOOKUP('Données projet'!$B$11,Paramètres!$A$1:$I$89,5,0)</f>
        <v>2.5715962692629544E-14</v>
      </c>
      <c r="BF130" s="13">
        <f t="shared" si="91"/>
        <v>4.5248818890525812E-13</v>
      </c>
      <c r="BG130" s="20">
        <f t="shared" si="61"/>
        <v>8.3287223069965432E-13</v>
      </c>
      <c r="BH130" s="59">
        <f t="shared" si="62"/>
        <v>293.33333333333417</v>
      </c>
      <c r="BI130" s="59">
        <f ca="1">AVERAGE(OFFSET($BH$3,0,0,'Données projet'!$E$11+1,1))-AVERAGE(OFFSET($H$3,0,0,'Données projet'!$E$11+1,1))</f>
        <v>138.8931001150624</v>
      </c>
      <c r="BJ130" s="59">
        <f t="shared" si="92"/>
        <v>48.964659354096625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>
        <f>EXP(-LN(2)/35)*BP129+(1-EXP(-LN(2)/35))/(LN(2)/35)*BL130*BM130*VLOOKUP('Données projet'!$B$11,Paramètres!$A$1:$I$89,3,0)*0.475*44/12</f>
        <v>0</v>
      </c>
      <c r="BQ130" s="21">
        <f>EXP(-LN(2)/25)*BQ129+(1-EXP(-LN(2)/25))/(LN(2)/25)*Calculateur!BL130*Calculateur!BN130*VLOOKUP('Données projet'!$B$11,Paramètres!$A$1:$I$89,3,0)*0.475*44/12</f>
        <v>0</v>
      </c>
      <c r="BR130" s="21">
        <f>EXP(-LN(2)/2)*BR129+(1-EXP(-LN(2)/2))/(LN(2)/2)*BL130*BO130*VLOOKUP('Données projet'!$B$11,Paramètres!$A$1:$I$89,3,0)*0.475*44/12</f>
        <v>0</v>
      </c>
      <c r="BS130" s="22">
        <f t="shared" si="63"/>
        <v>0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1.1368683772161603E-13</v>
      </c>
      <c r="BZ130" s="13">
        <f>BY130*VLOOKUP('Données projet'!$B$12,Paramètres!$A$1:$I$89,3,0)*VLOOKUP('Données projet'!$B$12,Paramètres!$A$1:$I$89,5,0)</f>
        <v>1.0995790944434703E-13</v>
      </c>
      <c r="CA130" s="13">
        <f t="shared" si="93"/>
        <v>1.6337280948049956E-12</v>
      </c>
      <c r="CB130" s="20">
        <f t="shared" si="64"/>
        <v>3.036919790734272E-12</v>
      </c>
      <c r="CC130" s="59">
        <f t="shared" si="65"/>
        <v>293.33333333333633</v>
      </c>
      <c r="CD130" s="59">
        <f ca="1">AVERAGE(OFFSET($CC$3,0,0,'Données projet'!$E$12+1,1))-AVERAGE(OFFSET($H$3,0,0,'Données projet'!$E$12+1,1))</f>
        <v>154.93882427988234</v>
      </c>
      <c r="CE130" s="59">
        <f t="shared" si="94"/>
        <v>56.347130462109817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>
        <f>EXP(-LN(2)/35)*CK129+(1-EXP(-LN(2)/35))/(LN(2)/35)*CG130*CH130*VLOOKUP('Données projet'!$B$12,Paramètres!$A$1:$I$89,3,0)*0.475*44/12</f>
        <v>0</v>
      </c>
      <c r="CL130" s="21">
        <f>EXP(-LN(2)/25)*CL129+(1-EXP(-LN(2)/25))/(LN(2)/25)*Calculateur!CG130*Calculateur!CI130*VLOOKUP('Données projet'!$B$12,Paramètres!$A$1:$I$89,3,0)*0.475*44/12</f>
        <v>0</v>
      </c>
      <c r="CM130" s="21">
        <f>EXP(-LN(2)/2)*CM129+(1-EXP(-LN(2)/2))/(LN(2)/2)*CG130*CJ130*VLOOKUP('Données projet'!$B$12,Paramètres!$A$1:$I$89,3,0)*0.475*44/12</f>
        <v>0</v>
      </c>
      <c r="CN130" s="22">
        <f t="shared" si="66"/>
        <v>0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113.81760000000021</v>
      </c>
      <c r="D131" s="11">
        <f t="shared" si="86"/>
        <v>30.228647177134249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1111.9359431217397</v>
      </c>
      <c r="H131" s="67">
        <f t="shared" si="56"/>
        <v>544.21388050017583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0</v>
      </c>
      <c r="O131" s="13">
        <f>N131*VLOOKUP('Données projet'!$B$9,Paramètres!$A$1:$I$89,3,0)*VLOOKUP('Données projet'!$B$9,Paramètres!$A$1:$I$89,5,0)</f>
        <v>0</v>
      </c>
      <c r="P131" s="13" t="e">
        <f t="shared" si="87"/>
        <v>#NUM!</v>
      </c>
      <c r="Q131" s="20" t="e">
        <f t="shared" ref="Q131:Q153" si="108">(O131+P131)*0.475*44/12</f>
        <v>#NUM!</v>
      </c>
      <c r="R131" s="59" t="e">
        <f t="shared" ref="R131:R194" si="109">Q131+(I131+J131)*44/12</f>
        <v>#NUM!</v>
      </c>
      <c r="S131" s="59">
        <f ca="1">AVERAGE(OFFSET($R$3,0,0,'Données projet'!$E$9+1,1))-AVERAGE(OFFSET($H$3,0,0,'Données projet'!$E$9+1,1))</f>
        <v>72.647148358003676</v>
      </c>
      <c r="T131" s="59">
        <f t="shared" si="88"/>
        <v>87.231299224620898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0.18271206509759741</v>
      </c>
      <c r="AA131" s="21">
        <f>EXP(-LN(2)/25)*AA130+(1-EXP(-LN(2)/25))/(LN(2)/25)*Calculateur!V131*Calculateur!X131*VLOOKUP('Données projet'!$B$9,Paramètres!$A$1:$I$89,3,0)*0.475*44/12</f>
        <v>0.29934274906541525</v>
      </c>
      <c r="AB131" s="21">
        <f>EXP(-LN(2)/2)*AB130+(1-EXP(-LN(2)/2))/(LN(2)/2)*V131*Y131*VLOOKUP('Données projet'!$B$9,Paramètres!$A$1:$I$89,3,0)*0.475*44/12</f>
        <v>4.0516854160990783E-15</v>
      </c>
      <c r="AC131" s="22">
        <f t="shared" si="57"/>
        <v>0.48205481416301671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-8.5265128291212022E-14</v>
      </c>
      <c r="AJ131" s="13">
        <f>AI131*VLOOKUP('Données projet'!$B$10,Paramètres!$A$1:$I$89,3,0)*VLOOKUP('Données projet'!$B$10,Paramètres!$A$1:$I$89,5,0)</f>
        <v>-6.9167072069831198E-14</v>
      </c>
      <c r="AK131" s="13" t="e">
        <f t="shared" si="89"/>
        <v>#NUM!</v>
      </c>
      <c r="AL131" s="20" t="e">
        <f t="shared" si="58"/>
        <v>#NUM!</v>
      </c>
      <c r="AM131" s="59" t="e">
        <f t="shared" si="59"/>
        <v>#NUM!</v>
      </c>
      <c r="AN131" s="59">
        <f ca="1">AVERAGE(OFFSET($AM$3,0,0,'Données projet'!$E$10+1,1))-AVERAGE(OFFSET($H$3,0,0,'Données projet'!$E$10+1,1))</f>
        <v>145.3656871223958</v>
      </c>
      <c r="AO131" s="59">
        <f t="shared" si="90"/>
        <v>180.54762778843178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0</v>
      </c>
      <c r="AV131" s="21">
        <f>EXP(-LN(2)/25)*AV130+(1-EXP(-LN(2)/25))/(LN(2)/25)*Calculateur!AQ131*Calculateur!AS131*VLOOKUP('Données projet'!$B$10,Paramètres!$A$1:$I$89,3,0)*0.475*44/12</f>
        <v>0.36738702624952446</v>
      </c>
      <c r="AW131" s="21">
        <f>EXP(-LN(2)/2)*AW130+(1-EXP(-LN(2)/2))/(LN(2)/2)*AQ131*AT131*VLOOKUP('Données projet'!$B$10,Paramètres!$A$1:$I$89,3,0)*0.475*44/12</f>
        <v>1.4498902498321806E-14</v>
      </c>
      <c r="AX131" s="21">
        <f t="shared" si="60"/>
        <v>0.36738702624953895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2.8421709430404007E-14</v>
      </c>
      <c r="BE131" s="13">
        <f>BD131*VLOOKUP('Données projet'!$B$11,Paramètres!$A$1:$I$89,3,0)*VLOOKUP('Données projet'!$B$11,Paramètres!$A$1:$I$89,5,0)</f>
        <v>2.5715962692629544E-14</v>
      </c>
      <c r="BF131" s="13">
        <f t="shared" si="91"/>
        <v>4.5248818890525812E-13</v>
      </c>
      <c r="BG131" s="20">
        <f t="shared" si="61"/>
        <v>8.3287223069965432E-13</v>
      </c>
      <c r="BH131" s="59">
        <f t="shared" si="62"/>
        <v>293.33333333333417</v>
      </c>
      <c r="BI131" s="59">
        <f ca="1">AVERAGE(OFFSET($BH$3,0,0,'Données projet'!$E$11+1,1))-AVERAGE(OFFSET($H$3,0,0,'Données projet'!$E$11+1,1))</f>
        <v>138.8931001150624</v>
      </c>
      <c r="BJ131" s="59">
        <f t="shared" si="92"/>
        <v>48.964659354096625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>
        <f>EXP(-LN(2)/35)*BP130+(1-EXP(-LN(2)/35))/(LN(2)/35)*BL131*BM131*VLOOKUP('Données projet'!$B$11,Paramètres!$A$1:$I$89,3,0)*0.475*44/12</f>
        <v>0</v>
      </c>
      <c r="BQ131" s="21">
        <f>EXP(-LN(2)/25)*BQ130+(1-EXP(-LN(2)/25))/(LN(2)/25)*Calculateur!BL131*Calculateur!BN131*VLOOKUP('Données projet'!$B$11,Paramètres!$A$1:$I$89,3,0)*0.475*44/12</f>
        <v>0</v>
      </c>
      <c r="BR131" s="21">
        <f>EXP(-LN(2)/2)*BR130+(1-EXP(-LN(2)/2))/(LN(2)/2)*BL131*BO131*VLOOKUP('Données projet'!$B$11,Paramètres!$A$1:$I$89,3,0)*0.475*44/12</f>
        <v>0</v>
      </c>
      <c r="BS131" s="22">
        <f t="shared" si="63"/>
        <v>0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1.1368683772161603E-13</v>
      </c>
      <c r="BZ131" s="13">
        <f>BY131*VLOOKUP('Données projet'!$B$12,Paramètres!$A$1:$I$89,3,0)*VLOOKUP('Données projet'!$B$12,Paramètres!$A$1:$I$89,5,0)</f>
        <v>1.0995790944434703E-13</v>
      </c>
      <c r="CA131" s="13">
        <f t="shared" si="93"/>
        <v>1.6337280948049956E-12</v>
      </c>
      <c r="CB131" s="20">
        <f t="shared" si="64"/>
        <v>3.036919790734272E-12</v>
      </c>
      <c r="CC131" s="59">
        <f t="shared" si="65"/>
        <v>293.33333333333633</v>
      </c>
      <c r="CD131" s="59">
        <f ca="1">AVERAGE(OFFSET($CC$3,0,0,'Données projet'!$E$12+1,1))-AVERAGE(OFFSET($H$3,0,0,'Données projet'!$E$12+1,1))</f>
        <v>154.93882427988234</v>
      </c>
      <c r="CE131" s="59">
        <f t="shared" si="94"/>
        <v>56.347130462109817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>
        <f>EXP(-LN(2)/35)*CK130+(1-EXP(-LN(2)/35))/(LN(2)/35)*CG131*CH131*VLOOKUP('Données projet'!$B$12,Paramètres!$A$1:$I$89,3,0)*0.475*44/12</f>
        <v>0</v>
      </c>
      <c r="CL131" s="21">
        <f>EXP(-LN(2)/25)*CL130+(1-EXP(-LN(2)/25))/(LN(2)/25)*Calculateur!CG131*Calculateur!CI131*VLOOKUP('Données projet'!$B$12,Paramètres!$A$1:$I$89,3,0)*0.475*44/12</f>
        <v>0</v>
      </c>
      <c r="CM131" s="21">
        <f>EXP(-LN(2)/2)*CM130+(1-EXP(-LN(2)/2))/(LN(2)/2)*CG131*CJ131*VLOOKUP('Données projet'!$B$12,Paramètres!$A$1:$I$89,3,0)*0.475*44/12</f>
        <v>0</v>
      </c>
      <c r="CN131" s="22">
        <f t="shared" si="66"/>
        <v>0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114.70680000000021</v>
      </c>
      <c r="D132" s="11">
        <f t="shared" si="86"/>
        <v>30.437224701280673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1120.4100152379581</v>
      </c>
      <c r="H132" s="67">
        <f t="shared" ref="H132:H195" si="110">(B132+E132+F132)*44/12+(C132+D132)*0.475*44/12</f>
        <v>546.12584302139749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0</v>
      </c>
      <c r="O132" s="13">
        <f>N132*VLOOKUP('Données projet'!$B$9,Paramètres!$A$1:$I$89,3,0)*VLOOKUP('Données projet'!$B$9,Paramètres!$A$1:$I$89,5,0)</f>
        <v>0</v>
      </c>
      <c r="P132" s="13" t="e">
        <f t="shared" si="87"/>
        <v>#NUM!</v>
      </c>
      <c r="Q132" s="20" t="e">
        <f t="shared" si="108"/>
        <v>#NUM!</v>
      </c>
      <c r="R132" s="59" t="e">
        <f t="shared" si="109"/>
        <v>#NUM!</v>
      </c>
      <c r="S132" s="59">
        <f ca="1">AVERAGE(OFFSET($R$3,0,0,'Données projet'!$E$9+1,1))-AVERAGE(OFFSET($H$3,0,0,'Données projet'!$E$9+1,1))</f>
        <v>72.647148358003676</v>
      </c>
      <c r="T132" s="59">
        <f t="shared" si="88"/>
        <v>87.231299224620898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0.17912919294438912</v>
      </c>
      <c r="AA132" s="21">
        <f>EXP(-LN(2)/25)*AA131+(1-EXP(-LN(2)/25))/(LN(2)/25)*Calculateur!V132*Calculateur!X132*VLOOKUP('Données projet'!$B$9,Paramètres!$A$1:$I$89,3,0)*0.475*44/12</f>
        <v>0.29115720585047045</v>
      </c>
      <c r="AB132" s="21">
        <f>EXP(-LN(2)/2)*AB131+(1-EXP(-LN(2)/2))/(LN(2)/2)*V132*Y132*VLOOKUP('Données projet'!$B$9,Paramètres!$A$1:$I$89,3,0)*0.475*44/12</f>
        <v>2.8649742329582967E-15</v>
      </c>
      <c r="AC132" s="22">
        <f t="shared" ref="AC132:AC153" si="111">SUM(Z132:AB132)</f>
        <v>0.47028639879486245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-8.5265128291212022E-14</v>
      </c>
      <c r="AJ132" s="13">
        <f>AI132*VLOOKUP('Données projet'!$B$10,Paramètres!$A$1:$I$89,3,0)*VLOOKUP('Données projet'!$B$10,Paramètres!$A$1:$I$89,5,0)</f>
        <v>-6.9167072069831198E-14</v>
      </c>
      <c r="AK132" s="13" t="e">
        <f t="shared" si="89"/>
        <v>#NUM!</v>
      </c>
      <c r="AL132" s="20" t="e">
        <f t="shared" ref="AL132:AL153" si="112">(AJ132+AK132)*0.475*44/12</f>
        <v>#NUM!</v>
      </c>
      <c r="AM132" s="59" t="e">
        <f t="shared" ref="AM132:AM195" si="113">AL132+(AD132+AE132)*44/12</f>
        <v>#NUM!</v>
      </c>
      <c r="AN132" s="59">
        <f ca="1">AVERAGE(OFFSET($AM$3,0,0,'Données projet'!$E$10+1,1))-AVERAGE(OFFSET($H$3,0,0,'Données projet'!$E$10+1,1))</f>
        <v>145.3656871223958</v>
      </c>
      <c r="AO132" s="59">
        <f t="shared" si="90"/>
        <v>180.54762778843178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0</v>
      </c>
      <c r="AV132" s="21">
        <f>EXP(-LN(2)/25)*AV131+(1-EXP(-LN(2)/25))/(LN(2)/25)*Calculateur!AQ132*Calculateur!AS132*VLOOKUP('Données projet'!$B$10,Paramètres!$A$1:$I$89,3,0)*0.475*44/12</f>
        <v>0.35734080869668716</v>
      </c>
      <c r="AW132" s="21">
        <f>EXP(-LN(2)/2)*AW131+(1-EXP(-LN(2)/2))/(LN(2)/2)*AQ132*AT132*VLOOKUP('Données projet'!$B$10,Paramètres!$A$1:$I$89,3,0)*0.475*44/12</f>
        <v>1.0252272276325925E-14</v>
      </c>
      <c r="AX132" s="21">
        <f t="shared" ref="AX132:AX153" si="114">SUM(AU132:AW132)</f>
        <v>0.35734080869669743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2.8421709430404007E-14</v>
      </c>
      <c r="BE132" s="13">
        <f>BD132*VLOOKUP('Données projet'!$B$11,Paramètres!$A$1:$I$89,3,0)*VLOOKUP('Données projet'!$B$11,Paramètres!$A$1:$I$89,5,0)</f>
        <v>2.5715962692629544E-14</v>
      </c>
      <c r="BF132" s="13">
        <f t="shared" si="91"/>
        <v>4.5248818890525812E-13</v>
      </c>
      <c r="BG132" s="20">
        <f t="shared" ref="BG132:BG153" si="115">(BE132+BF132)*0.475*44/12</f>
        <v>8.3287223069965432E-13</v>
      </c>
      <c r="BH132" s="59">
        <f t="shared" ref="BH132:BH195" si="116">BG132+(AY132+AZ132)*44/12</f>
        <v>293.33333333333417</v>
      </c>
      <c r="BI132" s="59">
        <f ca="1">AVERAGE(OFFSET($BH$3,0,0,'Données projet'!$E$11+1,1))-AVERAGE(OFFSET($H$3,0,0,'Données projet'!$E$11+1,1))</f>
        <v>138.8931001150624</v>
      </c>
      <c r="BJ132" s="59">
        <f t="shared" si="92"/>
        <v>48.964659354096625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>
        <f>EXP(-LN(2)/35)*BP131+(1-EXP(-LN(2)/35))/(LN(2)/35)*BL132*BM132*VLOOKUP('Données projet'!$B$11,Paramètres!$A$1:$I$89,3,0)*0.475*44/12</f>
        <v>0</v>
      </c>
      <c r="BQ132" s="21">
        <f>EXP(-LN(2)/25)*BQ131+(1-EXP(-LN(2)/25))/(LN(2)/25)*Calculateur!BL132*Calculateur!BN132*VLOOKUP('Données projet'!$B$11,Paramètres!$A$1:$I$89,3,0)*0.475*44/12</f>
        <v>0</v>
      </c>
      <c r="BR132" s="21">
        <f>EXP(-LN(2)/2)*BR131+(1-EXP(-LN(2)/2))/(LN(2)/2)*BL132*BO132*VLOOKUP('Données projet'!$B$11,Paramètres!$A$1:$I$89,3,0)*0.475*44/12</f>
        <v>0</v>
      </c>
      <c r="BS132" s="22">
        <f t="shared" ref="BS132:BS153" si="117">SUM(BP132:BR132)</f>
        <v>0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1.1368683772161603E-13</v>
      </c>
      <c r="BZ132" s="13">
        <f>BY132*VLOOKUP('Données projet'!$B$12,Paramètres!$A$1:$I$89,3,0)*VLOOKUP('Données projet'!$B$12,Paramètres!$A$1:$I$89,5,0)</f>
        <v>1.0995790944434703E-13</v>
      </c>
      <c r="CA132" s="13">
        <f t="shared" si="93"/>
        <v>1.6337280948049956E-12</v>
      </c>
      <c r="CB132" s="20">
        <f t="shared" ref="CB132:CB153" si="118">(BZ132+CA132)*0.475*44/12</f>
        <v>3.036919790734272E-12</v>
      </c>
      <c r="CC132" s="59">
        <f t="shared" ref="CC132:CC195" si="119">CB132+(BT132+BU132)*44/12</f>
        <v>293.33333333333633</v>
      </c>
      <c r="CD132" s="59">
        <f ca="1">AVERAGE(OFFSET($CC$3,0,0,'Données projet'!$E$12+1,1))-AVERAGE(OFFSET($H$3,0,0,'Données projet'!$E$12+1,1))</f>
        <v>154.93882427988234</v>
      </c>
      <c r="CE132" s="59">
        <f t="shared" si="94"/>
        <v>56.347130462109817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>
        <f>EXP(-LN(2)/35)*CK131+(1-EXP(-LN(2)/35))/(LN(2)/35)*CG132*CH132*VLOOKUP('Données projet'!$B$12,Paramètres!$A$1:$I$89,3,0)*0.475*44/12</f>
        <v>0</v>
      </c>
      <c r="CL132" s="21">
        <f>EXP(-LN(2)/25)*CL131+(1-EXP(-LN(2)/25))/(LN(2)/25)*Calculateur!CG132*Calculateur!CI132*VLOOKUP('Données projet'!$B$12,Paramètres!$A$1:$I$89,3,0)*0.475*44/12</f>
        <v>0</v>
      </c>
      <c r="CM132" s="21">
        <f>EXP(-LN(2)/2)*CM131+(1-EXP(-LN(2)/2))/(LN(2)/2)*CG132*CJ132*VLOOKUP('Données projet'!$B$12,Paramètres!$A$1:$I$89,3,0)*0.475*44/12</f>
        <v>0</v>
      </c>
      <c r="CN132" s="22">
        <f t="shared" ref="CN132:CN153" si="120">SUM(CK132:CM132)</f>
        <v>0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115.59600000000022</v>
      </c>
      <c r="D133" s="11">
        <f t="shared" ref="D133:D196" si="140">IFERROR(EXP(-1.0587+0.8836*LN(C133)+0.284),0)</f>
        <v>30.645614103483904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1128.8826351847899</v>
      </c>
      <c r="H133" s="67">
        <f t="shared" si="110"/>
        <v>548.03747789690146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0</v>
      </c>
      <c r="O133" s="13">
        <f>N133*VLOOKUP('Données projet'!$B$9,Paramètres!$A$1:$I$89,3,0)*VLOOKUP('Données projet'!$B$9,Paramètres!$A$1:$I$89,5,0)</f>
        <v>0</v>
      </c>
      <c r="P133" s="13" t="e">
        <f t="shared" ref="P133:P196" si="141">EXP(-1.0587+0.8836*LN(O133)+0.284)</f>
        <v>#NUM!</v>
      </c>
      <c r="Q133" s="20" t="e">
        <f t="shared" si="108"/>
        <v>#NUM!</v>
      </c>
      <c r="R133" s="59" t="e">
        <f t="shared" si="109"/>
        <v>#NUM!</v>
      </c>
      <c r="S133" s="59">
        <f ca="1">AVERAGE(OFFSET($R$3,0,0,'Données projet'!$E$9+1,1))-AVERAGE(OFFSET($H$3,0,0,'Données projet'!$E$9+1,1))</f>
        <v>72.647148358003676</v>
      </c>
      <c r="T133" s="59">
        <f t="shared" ref="T133:T196" si="142">$T$3</f>
        <v>87.231299224620898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0.17561657872876901</v>
      </c>
      <c r="AA133" s="21">
        <f>EXP(-LN(2)/25)*AA132+(1-EXP(-LN(2)/25))/(LN(2)/25)*Calculateur!V133*Calculateur!X133*VLOOKUP('Données projet'!$B$9,Paramètres!$A$1:$I$89,3,0)*0.475*44/12</f>
        <v>0.28319549674519734</v>
      </c>
      <c r="AB133" s="21">
        <f>EXP(-LN(2)/2)*AB132+(1-EXP(-LN(2)/2))/(LN(2)/2)*V133*Y133*VLOOKUP('Données projet'!$B$9,Paramètres!$A$1:$I$89,3,0)*0.475*44/12</f>
        <v>2.0258427080495391E-15</v>
      </c>
      <c r="AC133" s="22">
        <f t="shared" si="111"/>
        <v>0.45881207547396835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-8.5265128291212022E-14</v>
      </c>
      <c r="AJ133" s="13">
        <f>AI133*VLOOKUP('Données projet'!$B$10,Paramètres!$A$1:$I$89,3,0)*VLOOKUP('Données projet'!$B$10,Paramètres!$A$1:$I$89,5,0)</f>
        <v>-6.9167072069831198E-14</v>
      </c>
      <c r="AK133" s="13" t="e">
        <f t="shared" ref="AK133:AK153" si="143">EXP(-1.0587+0.8836*LN(AJ133)+0.284)</f>
        <v>#NUM!</v>
      </c>
      <c r="AL133" s="20" t="e">
        <f t="shared" si="112"/>
        <v>#NUM!</v>
      </c>
      <c r="AM133" s="59" t="e">
        <f t="shared" si="113"/>
        <v>#NUM!</v>
      </c>
      <c r="AN133" s="59">
        <f ca="1">AVERAGE(OFFSET($AM$3,0,0,'Données projet'!$E$10+1,1))-AVERAGE(OFFSET($H$3,0,0,'Données projet'!$E$10+1,1))</f>
        <v>145.3656871223958</v>
      </c>
      <c r="AO133" s="59">
        <f t="shared" ref="AO133:AO196" si="144">$AO$3</f>
        <v>180.54762778843178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0</v>
      </c>
      <c r="AV133" s="21">
        <f>EXP(-LN(2)/25)*AV132+(1-EXP(-LN(2)/25))/(LN(2)/25)*Calculateur!AQ133*Calculateur!AS133*VLOOKUP('Données projet'!$B$10,Paramètres!$A$1:$I$89,3,0)*0.475*44/12</f>
        <v>0.34756930549113985</v>
      </c>
      <c r="AW133" s="21">
        <f>EXP(-LN(2)/2)*AW132+(1-EXP(-LN(2)/2))/(LN(2)/2)*AQ133*AT133*VLOOKUP('Données projet'!$B$10,Paramètres!$A$1:$I$89,3,0)*0.475*44/12</f>
        <v>7.2494512491609029E-15</v>
      </c>
      <c r="AX133" s="21">
        <f t="shared" si="114"/>
        <v>0.34756930549114712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2.8421709430404007E-14</v>
      </c>
      <c r="BE133" s="13">
        <f>BD133*VLOOKUP('Données projet'!$B$11,Paramètres!$A$1:$I$89,3,0)*VLOOKUP('Données projet'!$B$11,Paramètres!$A$1:$I$89,5,0)</f>
        <v>2.5715962692629544E-14</v>
      </c>
      <c r="BF133" s="13">
        <f t="shared" ref="BF133:BF153" si="145">EXP(-1.0587+0.8836*LN(BE133)+0.284)</f>
        <v>4.5248818890525812E-13</v>
      </c>
      <c r="BG133" s="20">
        <f t="shared" si="115"/>
        <v>8.3287223069965432E-13</v>
      </c>
      <c r="BH133" s="59">
        <f t="shared" si="116"/>
        <v>293.33333333333417</v>
      </c>
      <c r="BI133" s="59">
        <f ca="1">AVERAGE(OFFSET($BH$3,0,0,'Données projet'!$E$11+1,1))-AVERAGE(OFFSET($H$3,0,0,'Données projet'!$E$11+1,1))</f>
        <v>138.8931001150624</v>
      </c>
      <c r="BJ133" s="59">
        <f t="shared" ref="BJ133:BJ196" si="146">$BJ$3</f>
        <v>48.964659354096625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>
        <f>EXP(-LN(2)/35)*BP132+(1-EXP(-LN(2)/35))/(LN(2)/35)*BL133*BM133*VLOOKUP('Données projet'!$B$11,Paramètres!$A$1:$I$89,3,0)*0.475*44/12</f>
        <v>0</v>
      </c>
      <c r="BQ133" s="21">
        <f>EXP(-LN(2)/25)*BQ132+(1-EXP(-LN(2)/25))/(LN(2)/25)*Calculateur!BL133*Calculateur!BN133*VLOOKUP('Données projet'!$B$11,Paramètres!$A$1:$I$89,3,0)*0.475*44/12</f>
        <v>0</v>
      </c>
      <c r="BR133" s="21">
        <f>EXP(-LN(2)/2)*BR132+(1-EXP(-LN(2)/2))/(LN(2)/2)*BL133*BO133*VLOOKUP('Données projet'!$B$11,Paramètres!$A$1:$I$89,3,0)*0.475*44/12</f>
        <v>0</v>
      </c>
      <c r="BS133" s="22">
        <f t="shared" si="117"/>
        <v>0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1.1368683772161603E-13</v>
      </c>
      <c r="BZ133" s="13">
        <f>BY133*VLOOKUP('Données projet'!$B$12,Paramètres!$A$1:$I$89,3,0)*VLOOKUP('Données projet'!$B$12,Paramètres!$A$1:$I$89,5,0)</f>
        <v>1.0995790944434703E-13</v>
      </c>
      <c r="CA133" s="13">
        <f t="shared" ref="CA133:CA153" si="147">EXP(-1.0587+0.8836*LN(BZ133)+0.284)</f>
        <v>1.6337280948049956E-12</v>
      </c>
      <c r="CB133" s="20">
        <f t="shared" si="118"/>
        <v>3.036919790734272E-12</v>
      </c>
      <c r="CC133" s="59">
        <f t="shared" si="119"/>
        <v>293.33333333333633</v>
      </c>
      <c r="CD133" s="59">
        <f ca="1">AVERAGE(OFFSET($CC$3,0,0,'Données projet'!$E$12+1,1))-AVERAGE(OFFSET($H$3,0,0,'Données projet'!$E$12+1,1))</f>
        <v>154.93882427988234</v>
      </c>
      <c r="CE133" s="59">
        <f t="shared" ref="CE133:CE196" si="148">$CE$3</f>
        <v>56.347130462109817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>
        <f>EXP(-LN(2)/35)*CK132+(1-EXP(-LN(2)/35))/(LN(2)/35)*CG133*CH133*VLOOKUP('Données projet'!$B$12,Paramètres!$A$1:$I$89,3,0)*0.475*44/12</f>
        <v>0</v>
      </c>
      <c r="CL133" s="21">
        <f>EXP(-LN(2)/25)*CL132+(1-EXP(-LN(2)/25))/(LN(2)/25)*Calculateur!CG133*Calculateur!CI133*VLOOKUP('Données projet'!$B$12,Paramètres!$A$1:$I$89,3,0)*0.475*44/12</f>
        <v>0</v>
      </c>
      <c r="CM133" s="21">
        <f>EXP(-LN(2)/2)*CM132+(1-EXP(-LN(2)/2))/(LN(2)/2)*CG133*CJ133*VLOOKUP('Données projet'!$B$12,Paramètres!$A$1:$I$89,3,0)*0.475*44/12</f>
        <v>0</v>
      </c>
      <c r="CN133" s="22">
        <f t="shared" si="120"/>
        <v>0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116.48520000000022</v>
      </c>
      <c r="D134" s="11">
        <f t="shared" si="140"/>
        <v>30.853816998586289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1137.3538154276855</v>
      </c>
      <c r="H134" s="67">
        <f t="shared" si="110"/>
        <v>549.94878793920475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0</v>
      </c>
      <c r="O134" s="13">
        <f>N134*VLOOKUP('Données projet'!$B$9,Paramètres!$A$1:$I$89,3,0)*VLOOKUP('Données projet'!$B$9,Paramètres!$A$1:$I$89,5,0)</f>
        <v>0</v>
      </c>
      <c r="P134" s="13" t="e">
        <f t="shared" si="141"/>
        <v>#NUM!</v>
      </c>
      <c r="Q134" s="20" t="e">
        <f t="shared" si="108"/>
        <v>#NUM!</v>
      </c>
      <c r="R134" s="59" t="e">
        <f t="shared" si="109"/>
        <v>#NUM!</v>
      </c>
      <c r="S134" s="59">
        <f ca="1">AVERAGE(OFFSET($R$3,0,0,'Données projet'!$E$9+1,1))-AVERAGE(OFFSET($H$3,0,0,'Données projet'!$E$9+1,1))</f>
        <v>72.647148358003676</v>
      </c>
      <c r="T134" s="59">
        <f t="shared" si="142"/>
        <v>87.231299224620898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0.17217284473543409</v>
      </c>
      <c r="AA134" s="21">
        <f>EXP(-LN(2)/25)*AA133+(1-EXP(-LN(2)/25))/(LN(2)/25)*Calculateur!V134*Calculateur!X134*VLOOKUP('Données projet'!$B$9,Paramètres!$A$1:$I$89,3,0)*0.475*44/12</f>
        <v>0.27545150099409599</v>
      </c>
      <c r="AB134" s="21">
        <f>EXP(-LN(2)/2)*AB133+(1-EXP(-LN(2)/2))/(LN(2)/2)*V134*Y134*VLOOKUP('Données projet'!$B$9,Paramètres!$A$1:$I$89,3,0)*0.475*44/12</f>
        <v>1.4324871164791484E-15</v>
      </c>
      <c r="AC134" s="22">
        <f t="shared" si="111"/>
        <v>0.44762434572953153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-8.5265128291212022E-14</v>
      </c>
      <c r="AJ134" s="13">
        <f>AI134*VLOOKUP('Données projet'!$B$10,Paramètres!$A$1:$I$89,3,0)*VLOOKUP('Données projet'!$B$10,Paramètres!$A$1:$I$89,5,0)</f>
        <v>-6.9167072069831198E-14</v>
      </c>
      <c r="AK134" s="13" t="e">
        <f t="shared" si="143"/>
        <v>#NUM!</v>
      </c>
      <c r="AL134" s="20" t="e">
        <f t="shared" si="112"/>
        <v>#NUM!</v>
      </c>
      <c r="AM134" s="59" t="e">
        <f t="shared" si="113"/>
        <v>#NUM!</v>
      </c>
      <c r="AN134" s="59">
        <f ca="1">AVERAGE(OFFSET($AM$3,0,0,'Données projet'!$E$10+1,1))-AVERAGE(OFFSET($H$3,0,0,'Données projet'!$E$10+1,1))</f>
        <v>145.3656871223958</v>
      </c>
      <c r="AO134" s="59">
        <f t="shared" si="144"/>
        <v>180.54762778843178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0</v>
      </c>
      <c r="AV134" s="21">
        <f>EXP(-LN(2)/25)*AV133+(1-EXP(-LN(2)/25))/(LN(2)/25)*Calculateur!AQ134*Calculateur!AS134*VLOOKUP('Données projet'!$B$10,Paramètres!$A$1:$I$89,3,0)*0.475*44/12</f>
        <v>0.33806500455460925</v>
      </c>
      <c r="AW134" s="21">
        <f>EXP(-LN(2)/2)*AW133+(1-EXP(-LN(2)/2))/(LN(2)/2)*AQ134*AT134*VLOOKUP('Données projet'!$B$10,Paramètres!$A$1:$I$89,3,0)*0.475*44/12</f>
        <v>5.1261361381629623E-15</v>
      </c>
      <c r="AX134" s="21">
        <f t="shared" si="114"/>
        <v>0.33806500455461436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2.8421709430404007E-14</v>
      </c>
      <c r="BE134" s="13">
        <f>BD134*VLOOKUP('Données projet'!$B$11,Paramètres!$A$1:$I$89,3,0)*VLOOKUP('Données projet'!$B$11,Paramètres!$A$1:$I$89,5,0)</f>
        <v>2.5715962692629544E-14</v>
      </c>
      <c r="BF134" s="13">
        <f t="shared" si="145"/>
        <v>4.5248818890525812E-13</v>
      </c>
      <c r="BG134" s="20">
        <f t="shared" si="115"/>
        <v>8.3287223069965432E-13</v>
      </c>
      <c r="BH134" s="59">
        <f t="shared" si="116"/>
        <v>293.33333333333417</v>
      </c>
      <c r="BI134" s="59">
        <f ca="1">AVERAGE(OFFSET($BH$3,0,0,'Données projet'!$E$11+1,1))-AVERAGE(OFFSET($H$3,0,0,'Données projet'!$E$11+1,1))</f>
        <v>138.8931001150624</v>
      </c>
      <c r="BJ134" s="59">
        <f t="shared" si="146"/>
        <v>48.964659354096625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>
        <f>EXP(-LN(2)/35)*BP133+(1-EXP(-LN(2)/35))/(LN(2)/35)*BL134*BM134*VLOOKUP('Données projet'!$B$11,Paramètres!$A$1:$I$89,3,0)*0.475*44/12</f>
        <v>0</v>
      </c>
      <c r="BQ134" s="21">
        <f>EXP(-LN(2)/25)*BQ133+(1-EXP(-LN(2)/25))/(LN(2)/25)*Calculateur!BL134*Calculateur!BN134*VLOOKUP('Données projet'!$B$11,Paramètres!$A$1:$I$89,3,0)*0.475*44/12</f>
        <v>0</v>
      </c>
      <c r="BR134" s="21">
        <f>EXP(-LN(2)/2)*BR133+(1-EXP(-LN(2)/2))/(LN(2)/2)*BL134*BO134*VLOOKUP('Données projet'!$B$11,Paramètres!$A$1:$I$89,3,0)*0.475*44/12</f>
        <v>0</v>
      </c>
      <c r="BS134" s="22">
        <f t="shared" si="117"/>
        <v>0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1.1368683772161603E-13</v>
      </c>
      <c r="BZ134" s="13">
        <f>BY134*VLOOKUP('Données projet'!$B$12,Paramètres!$A$1:$I$89,3,0)*VLOOKUP('Données projet'!$B$12,Paramètres!$A$1:$I$89,5,0)</f>
        <v>1.0995790944434703E-13</v>
      </c>
      <c r="CA134" s="13">
        <f t="shared" si="147"/>
        <v>1.6337280948049956E-12</v>
      </c>
      <c r="CB134" s="20">
        <f t="shared" si="118"/>
        <v>3.036919790734272E-12</v>
      </c>
      <c r="CC134" s="59">
        <f t="shared" si="119"/>
        <v>293.33333333333633</v>
      </c>
      <c r="CD134" s="59">
        <f ca="1">AVERAGE(OFFSET($CC$3,0,0,'Données projet'!$E$12+1,1))-AVERAGE(OFFSET($H$3,0,0,'Données projet'!$E$12+1,1))</f>
        <v>154.93882427988234</v>
      </c>
      <c r="CE134" s="59">
        <f t="shared" si="148"/>
        <v>56.347130462109817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>
        <f>EXP(-LN(2)/35)*CK133+(1-EXP(-LN(2)/35))/(LN(2)/35)*CG134*CH134*VLOOKUP('Données projet'!$B$12,Paramètres!$A$1:$I$89,3,0)*0.475*44/12</f>
        <v>0</v>
      </c>
      <c r="CL134" s="21">
        <f>EXP(-LN(2)/25)*CL133+(1-EXP(-LN(2)/25))/(LN(2)/25)*Calculateur!CG134*Calculateur!CI134*VLOOKUP('Données projet'!$B$12,Paramètres!$A$1:$I$89,3,0)*0.475*44/12</f>
        <v>0</v>
      </c>
      <c r="CM134" s="21">
        <f>EXP(-LN(2)/2)*CM133+(1-EXP(-LN(2)/2))/(LN(2)/2)*CG134*CJ134*VLOOKUP('Données projet'!$B$12,Paramètres!$A$1:$I$89,3,0)*0.475*44/12</f>
        <v>0</v>
      </c>
      <c r="CN134" s="22">
        <f t="shared" si="120"/>
        <v>0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117.37440000000022</v>
      </c>
      <c r="D135" s="11">
        <f t="shared" si="140"/>
        <v>31.061834975351932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1145.8235682307889</v>
      </c>
      <c r="H135" s="67">
        <f t="shared" si="110"/>
        <v>551.85977591540495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0</v>
      </c>
      <c r="O135" s="13">
        <f>N135*VLOOKUP('Données projet'!$B$9,Paramètres!$A$1:$I$89,3,0)*VLOOKUP('Données projet'!$B$9,Paramètres!$A$1:$I$89,5,0)</f>
        <v>0</v>
      </c>
      <c r="P135" s="13" t="e">
        <f t="shared" si="141"/>
        <v>#NUM!</v>
      </c>
      <c r="Q135" s="20" t="e">
        <f t="shared" si="108"/>
        <v>#NUM!</v>
      </c>
      <c r="R135" s="59" t="e">
        <f t="shared" si="109"/>
        <v>#NUM!</v>
      </c>
      <c r="S135" s="59">
        <f ca="1">AVERAGE(OFFSET($R$3,0,0,'Données projet'!$E$9+1,1))-AVERAGE(OFFSET($H$3,0,0,'Données projet'!$E$9+1,1))</f>
        <v>72.647148358003676</v>
      </c>
      <c r="T135" s="59">
        <f t="shared" si="142"/>
        <v>87.231299224620898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0.16879664026523813</v>
      </c>
      <c r="AA135" s="21">
        <f>EXP(-LN(2)/25)*AA134+(1-EXP(-LN(2)/25))/(LN(2)/25)*Calculateur!V135*Calculateur!X135*VLOOKUP('Données projet'!$B$9,Paramètres!$A$1:$I$89,3,0)*0.475*44/12</f>
        <v>0.26791926521404757</v>
      </c>
      <c r="AB135" s="21">
        <f>EXP(-LN(2)/2)*AB134+(1-EXP(-LN(2)/2))/(LN(2)/2)*V135*Y135*VLOOKUP('Données projet'!$B$9,Paramètres!$A$1:$I$89,3,0)*0.475*44/12</f>
        <v>1.0129213540247696E-15</v>
      </c>
      <c r="AC135" s="22">
        <f t="shared" si="111"/>
        <v>0.43671590547928674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-8.5265128291212022E-14</v>
      </c>
      <c r="AJ135" s="13">
        <f>AI135*VLOOKUP('Données projet'!$B$10,Paramètres!$A$1:$I$89,3,0)*VLOOKUP('Données projet'!$B$10,Paramètres!$A$1:$I$89,5,0)</f>
        <v>-6.9167072069831198E-14</v>
      </c>
      <c r="AK135" s="13" t="e">
        <f t="shared" si="143"/>
        <v>#NUM!</v>
      </c>
      <c r="AL135" s="20" t="e">
        <f t="shared" si="112"/>
        <v>#NUM!</v>
      </c>
      <c r="AM135" s="59" t="e">
        <f t="shared" si="113"/>
        <v>#NUM!</v>
      </c>
      <c r="AN135" s="59">
        <f ca="1">AVERAGE(OFFSET($AM$3,0,0,'Données projet'!$E$10+1,1))-AVERAGE(OFFSET($H$3,0,0,'Données projet'!$E$10+1,1))</f>
        <v>145.3656871223958</v>
      </c>
      <c r="AO135" s="59">
        <f t="shared" si="144"/>
        <v>180.54762778843178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0</v>
      </c>
      <c r="AV135" s="21">
        <f>EXP(-LN(2)/25)*AV134+(1-EXP(-LN(2)/25))/(LN(2)/25)*Calculateur!AQ135*Calculateur!AS135*VLOOKUP('Données projet'!$B$10,Paramètres!$A$1:$I$89,3,0)*0.475*44/12</f>
        <v>0.32882059922699752</v>
      </c>
      <c r="AW135" s="21">
        <f>EXP(-LN(2)/2)*AW134+(1-EXP(-LN(2)/2))/(LN(2)/2)*AQ135*AT135*VLOOKUP('Données projet'!$B$10,Paramètres!$A$1:$I$89,3,0)*0.475*44/12</f>
        <v>3.6247256245804515E-15</v>
      </c>
      <c r="AX135" s="21">
        <f t="shared" si="114"/>
        <v>0.32882059922700113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2.8421709430404007E-14</v>
      </c>
      <c r="BE135" s="13">
        <f>BD135*VLOOKUP('Données projet'!$B$11,Paramètres!$A$1:$I$89,3,0)*VLOOKUP('Données projet'!$B$11,Paramètres!$A$1:$I$89,5,0)</f>
        <v>2.5715962692629544E-14</v>
      </c>
      <c r="BF135" s="13">
        <f t="shared" si="145"/>
        <v>4.5248818890525812E-13</v>
      </c>
      <c r="BG135" s="20">
        <f t="shared" si="115"/>
        <v>8.3287223069965432E-13</v>
      </c>
      <c r="BH135" s="59">
        <f t="shared" si="116"/>
        <v>293.33333333333417</v>
      </c>
      <c r="BI135" s="59">
        <f ca="1">AVERAGE(OFFSET($BH$3,0,0,'Données projet'!$E$11+1,1))-AVERAGE(OFFSET($H$3,0,0,'Données projet'!$E$11+1,1))</f>
        <v>138.8931001150624</v>
      </c>
      <c r="BJ135" s="59">
        <f t="shared" si="146"/>
        <v>48.964659354096625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>
        <f>EXP(-LN(2)/35)*BP134+(1-EXP(-LN(2)/35))/(LN(2)/35)*BL135*BM135*VLOOKUP('Données projet'!$B$11,Paramètres!$A$1:$I$89,3,0)*0.475*44/12</f>
        <v>0</v>
      </c>
      <c r="BQ135" s="21">
        <f>EXP(-LN(2)/25)*BQ134+(1-EXP(-LN(2)/25))/(LN(2)/25)*Calculateur!BL135*Calculateur!BN135*VLOOKUP('Données projet'!$B$11,Paramètres!$A$1:$I$89,3,0)*0.475*44/12</f>
        <v>0</v>
      </c>
      <c r="BR135" s="21">
        <f>EXP(-LN(2)/2)*BR134+(1-EXP(-LN(2)/2))/(LN(2)/2)*BL135*BO135*VLOOKUP('Données projet'!$B$11,Paramètres!$A$1:$I$89,3,0)*0.475*44/12</f>
        <v>0</v>
      </c>
      <c r="BS135" s="22">
        <f t="shared" si="117"/>
        <v>0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1.1368683772161603E-13</v>
      </c>
      <c r="BZ135" s="13">
        <f>BY135*VLOOKUP('Données projet'!$B$12,Paramètres!$A$1:$I$89,3,0)*VLOOKUP('Données projet'!$B$12,Paramètres!$A$1:$I$89,5,0)</f>
        <v>1.0995790944434703E-13</v>
      </c>
      <c r="CA135" s="13">
        <f t="shared" si="147"/>
        <v>1.6337280948049956E-12</v>
      </c>
      <c r="CB135" s="20">
        <f t="shared" si="118"/>
        <v>3.036919790734272E-12</v>
      </c>
      <c r="CC135" s="59">
        <f t="shared" si="119"/>
        <v>293.33333333333633</v>
      </c>
      <c r="CD135" s="59">
        <f ca="1">AVERAGE(OFFSET($CC$3,0,0,'Données projet'!$E$12+1,1))-AVERAGE(OFFSET($H$3,0,0,'Données projet'!$E$12+1,1))</f>
        <v>154.93882427988234</v>
      </c>
      <c r="CE135" s="59">
        <f t="shared" si="148"/>
        <v>56.347130462109817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>
        <f>EXP(-LN(2)/35)*CK134+(1-EXP(-LN(2)/35))/(LN(2)/35)*CG135*CH135*VLOOKUP('Données projet'!$B$12,Paramètres!$A$1:$I$89,3,0)*0.475*44/12</f>
        <v>0</v>
      </c>
      <c r="CL135" s="21">
        <f>EXP(-LN(2)/25)*CL134+(1-EXP(-LN(2)/25))/(LN(2)/25)*Calculateur!CG135*Calculateur!CI135*VLOOKUP('Données projet'!$B$12,Paramètres!$A$1:$I$89,3,0)*0.475*44/12</f>
        <v>0</v>
      </c>
      <c r="CM135" s="21">
        <f>EXP(-LN(2)/2)*CM134+(1-EXP(-LN(2)/2))/(LN(2)/2)*CG135*CJ135*VLOOKUP('Données projet'!$B$12,Paramètres!$A$1:$I$89,3,0)*0.475*44/12</f>
        <v>0</v>
      </c>
      <c r="CN135" s="22">
        <f t="shared" si="120"/>
        <v>0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118.26360000000022</v>
      </c>
      <c r="D136" s="11">
        <f t="shared" si="140"/>
        <v>31.26966959708238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1154.2919056616904</v>
      </c>
      <c r="H136" s="67">
        <f t="shared" si="110"/>
        <v>553.77044454825227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0</v>
      </c>
      <c r="O136" s="13">
        <f>N136*VLOOKUP('Données projet'!$B$9,Paramètres!$A$1:$I$89,3,0)*VLOOKUP('Données projet'!$B$9,Paramètres!$A$1:$I$89,5,0)</f>
        <v>0</v>
      </c>
      <c r="P136" s="13" t="e">
        <f t="shared" si="141"/>
        <v>#NUM!</v>
      </c>
      <c r="Q136" s="20" t="e">
        <f t="shared" si="108"/>
        <v>#NUM!</v>
      </c>
      <c r="R136" s="59" t="e">
        <f t="shared" si="109"/>
        <v>#NUM!</v>
      </c>
      <c r="S136" s="59">
        <f ca="1">AVERAGE(OFFSET($R$3,0,0,'Données projet'!$E$9+1,1))-AVERAGE(OFFSET($H$3,0,0,'Données projet'!$E$9+1,1))</f>
        <v>72.647148358003676</v>
      </c>
      <c r="T136" s="59">
        <f t="shared" si="142"/>
        <v>87.231299224620898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0.16548664110542133</v>
      </c>
      <c r="AA136" s="21">
        <f>EXP(-LN(2)/25)*AA135+(1-EXP(-LN(2)/25))/(LN(2)/25)*Calculateur!V136*Calculateur!X136*VLOOKUP('Données projet'!$B$9,Paramètres!$A$1:$I$89,3,0)*0.475*44/12</f>
        <v>0.26059299881750764</v>
      </c>
      <c r="AB136" s="21">
        <f>EXP(-LN(2)/2)*AB135+(1-EXP(-LN(2)/2))/(LN(2)/2)*V136*Y136*VLOOKUP('Données projet'!$B$9,Paramètres!$A$1:$I$89,3,0)*0.475*44/12</f>
        <v>7.1624355823957419E-16</v>
      </c>
      <c r="AC136" s="22">
        <f t="shared" si="111"/>
        <v>0.42607963992292969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-8.5265128291212022E-14</v>
      </c>
      <c r="AJ136" s="13">
        <f>AI136*VLOOKUP('Données projet'!$B$10,Paramètres!$A$1:$I$89,3,0)*VLOOKUP('Données projet'!$B$10,Paramètres!$A$1:$I$89,5,0)</f>
        <v>-6.9167072069831198E-14</v>
      </c>
      <c r="AK136" s="13" t="e">
        <f t="shared" si="143"/>
        <v>#NUM!</v>
      </c>
      <c r="AL136" s="20" t="e">
        <f t="shared" si="112"/>
        <v>#NUM!</v>
      </c>
      <c r="AM136" s="59" t="e">
        <f t="shared" si="113"/>
        <v>#NUM!</v>
      </c>
      <c r="AN136" s="59">
        <f ca="1">AVERAGE(OFFSET($AM$3,0,0,'Données projet'!$E$10+1,1))-AVERAGE(OFFSET($H$3,0,0,'Données projet'!$E$10+1,1))</f>
        <v>145.3656871223958</v>
      </c>
      <c r="AO136" s="59">
        <f t="shared" si="144"/>
        <v>180.54762778843178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0</v>
      </c>
      <c r="AV136" s="21">
        <f>EXP(-LN(2)/25)*AV135+(1-EXP(-LN(2)/25))/(LN(2)/25)*Calculateur!AQ136*Calculateur!AS136*VLOOKUP('Données projet'!$B$10,Paramètres!$A$1:$I$89,3,0)*0.475*44/12</f>
        <v>0.3198289826492115</v>
      </c>
      <c r="AW136" s="21">
        <f>EXP(-LN(2)/2)*AW135+(1-EXP(-LN(2)/2))/(LN(2)/2)*AQ136*AT136*VLOOKUP('Données projet'!$B$10,Paramètres!$A$1:$I$89,3,0)*0.475*44/12</f>
        <v>2.5630680690814811E-15</v>
      </c>
      <c r="AX136" s="21">
        <f t="shared" si="114"/>
        <v>0.31982898264921406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2.8421709430404007E-14</v>
      </c>
      <c r="BE136" s="13">
        <f>BD136*VLOOKUP('Données projet'!$B$11,Paramètres!$A$1:$I$89,3,0)*VLOOKUP('Données projet'!$B$11,Paramètres!$A$1:$I$89,5,0)</f>
        <v>2.5715962692629544E-14</v>
      </c>
      <c r="BF136" s="13">
        <f t="shared" si="145"/>
        <v>4.5248818890525812E-13</v>
      </c>
      <c r="BG136" s="20">
        <f t="shared" si="115"/>
        <v>8.3287223069965432E-13</v>
      </c>
      <c r="BH136" s="59">
        <f t="shared" si="116"/>
        <v>293.33333333333417</v>
      </c>
      <c r="BI136" s="59">
        <f ca="1">AVERAGE(OFFSET($BH$3,0,0,'Données projet'!$E$11+1,1))-AVERAGE(OFFSET($H$3,0,0,'Données projet'!$E$11+1,1))</f>
        <v>138.8931001150624</v>
      </c>
      <c r="BJ136" s="59">
        <f t="shared" si="146"/>
        <v>48.964659354096625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>
        <f>EXP(-LN(2)/35)*BP135+(1-EXP(-LN(2)/35))/(LN(2)/35)*BL136*BM136*VLOOKUP('Données projet'!$B$11,Paramètres!$A$1:$I$89,3,0)*0.475*44/12</f>
        <v>0</v>
      </c>
      <c r="BQ136" s="21">
        <f>EXP(-LN(2)/25)*BQ135+(1-EXP(-LN(2)/25))/(LN(2)/25)*Calculateur!BL136*Calculateur!BN136*VLOOKUP('Données projet'!$B$11,Paramètres!$A$1:$I$89,3,0)*0.475*44/12</f>
        <v>0</v>
      </c>
      <c r="BR136" s="21">
        <f>EXP(-LN(2)/2)*BR135+(1-EXP(-LN(2)/2))/(LN(2)/2)*BL136*BO136*VLOOKUP('Données projet'!$B$11,Paramètres!$A$1:$I$89,3,0)*0.475*44/12</f>
        <v>0</v>
      </c>
      <c r="BS136" s="22">
        <f t="shared" si="117"/>
        <v>0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1.1368683772161603E-13</v>
      </c>
      <c r="BZ136" s="13">
        <f>BY136*VLOOKUP('Données projet'!$B$12,Paramètres!$A$1:$I$89,3,0)*VLOOKUP('Données projet'!$B$12,Paramètres!$A$1:$I$89,5,0)</f>
        <v>1.0995790944434703E-13</v>
      </c>
      <c r="CA136" s="13">
        <f t="shared" si="147"/>
        <v>1.6337280948049956E-12</v>
      </c>
      <c r="CB136" s="20">
        <f t="shared" si="118"/>
        <v>3.036919790734272E-12</v>
      </c>
      <c r="CC136" s="59">
        <f t="shared" si="119"/>
        <v>293.33333333333633</v>
      </c>
      <c r="CD136" s="59">
        <f ca="1">AVERAGE(OFFSET($CC$3,0,0,'Données projet'!$E$12+1,1))-AVERAGE(OFFSET($H$3,0,0,'Données projet'!$E$12+1,1))</f>
        <v>154.93882427988234</v>
      </c>
      <c r="CE136" s="59">
        <f t="shared" si="148"/>
        <v>56.347130462109817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>
        <f>EXP(-LN(2)/35)*CK135+(1-EXP(-LN(2)/35))/(LN(2)/35)*CG136*CH136*VLOOKUP('Données projet'!$B$12,Paramètres!$A$1:$I$89,3,0)*0.475*44/12</f>
        <v>0</v>
      </c>
      <c r="CL136" s="21">
        <f>EXP(-LN(2)/25)*CL135+(1-EXP(-LN(2)/25))/(LN(2)/25)*Calculateur!CG136*Calculateur!CI136*VLOOKUP('Données projet'!$B$12,Paramètres!$A$1:$I$89,3,0)*0.475*44/12</f>
        <v>0</v>
      </c>
      <c r="CM136" s="21">
        <f>EXP(-LN(2)/2)*CM135+(1-EXP(-LN(2)/2))/(LN(2)/2)*CG136*CJ136*VLOOKUP('Données projet'!$B$12,Paramètres!$A$1:$I$89,3,0)*0.475*44/12</f>
        <v>0</v>
      </c>
      <c r="CN136" s="22">
        <f t="shared" si="120"/>
        <v>0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119.15280000000023</v>
      </c>
      <c r="D137" s="11">
        <f t="shared" si="140"/>
        <v>31.477322402212781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1162.7588395960302</v>
      </c>
      <c r="H137" s="67">
        <f t="shared" si="110"/>
        <v>555.68079651718767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0</v>
      </c>
      <c r="O137" s="13">
        <f>N137*VLOOKUP('Données projet'!$B$9,Paramètres!$A$1:$I$89,3,0)*VLOOKUP('Données projet'!$B$9,Paramètres!$A$1:$I$89,5,0)</f>
        <v>0</v>
      </c>
      <c r="P137" s="13" t="e">
        <f t="shared" si="141"/>
        <v>#NUM!</v>
      </c>
      <c r="Q137" s="20" t="e">
        <f t="shared" si="108"/>
        <v>#NUM!</v>
      </c>
      <c r="R137" s="59" t="e">
        <f t="shared" si="109"/>
        <v>#NUM!</v>
      </c>
      <c r="S137" s="59">
        <f ca="1">AVERAGE(OFFSET($R$3,0,0,'Données projet'!$E$9+1,1))-AVERAGE(OFFSET($H$3,0,0,'Données projet'!$E$9+1,1))</f>
        <v>72.647148358003676</v>
      </c>
      <c r="T137" s="59">
        <f t="shared" si="142"/>
        <v>87.231299224620898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0.16224154901022841</v>
      </c>
      <c r="AA137" s="21">
        <f>EXP(-LN(2)/25)*AA136+(1-EXP(-LN(2)/25))/(LN(2)/25)*Calculateur!V137*Calculateur!X137*VLOOKUP('Données projet'!$B$9,Paramètres!$A$1:$I$89,3,0)*0.475*44/12</f>
        <v>0.25346706956085269</v>
      </c>
      <c r="AB137" s="21">
        <f>EXP(-LN(2)/2)*AB136+(1-EXP(-LN(2)/2))/(LN(2)/2)*V137*Y137*VLOOKUP('Données projet'!$B$9,Paramètres!$A$1:$I$89,3,0)*0.475*44/12</f>
        <v>5.0646067701238479E-16</v>
      </c>
      <c r="AC137" s="22">
        <f t="shared" si="111"/>
        <v>0.4157086185710816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-8.5265128291212022E-14</v>
      </c>
      <c r="AJ137" s="13">
        <f>AI137*VLOOKUP('Données projet'!$B$10,Paramètres!$A$1:$I$89,3,0)*VLOOKUP('Données projet'!$B$10,Paramètres!$A$1:$I$89,5,0)</f>
        <v>-6.9167072069831198E-14</v>
      </c>
      <c r="AK137" s="13" t="e">
        <f t="shared" si="143"/>
        <v>#NUM!</v>
      </c>
      <c r="AL137" s="20" t="e">
        <f t="shared" si="112"/>
        <v>#NUM!</v>
      </c>
      <c r="AM137" s="59" t="e">
        <f t="shared" si="113"/>
        <v>#NUM!</v>
      </c>
      <c r="AN137" s="59">
        <f ca="1">AVERAGE(OFFSET($AM$3,0,0,'Données projet'!$E$10+1,1))-AVERAGE(OFFSET($H$3,0,0,'Données projet'!$E$10+1,1))</f>
        <v>145.3656871223958</v>
      </c>
      <c r="AO137" s="59">
        <f t="shared" si="144"/>
        <v>180.54762778843178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0</v>
      </c>
      <c r="AV137" s="21">
        <f>EXP(-LN(2)/25)*AV136+(1-EXP(-LN(2)/25))/(LN(2)/25)*Calculateur!AQ137*Calculateur!AS137*VLOOKUP('Données projet'!$B$10,Paramètres!$A$1:$I$89,3,0)*0.475*44/12</f>
        <v>0.31108324229959361</v>
      </c>
      <c r="AW137" s="21">
        <f>EXP(-LN(2)/2)*AW136+(1-EXP(-LN(2)/2))/(LN(2)/2)*AQ137*AT137*VLOOKUP('Données projet'!$B$10,Paramètres!$A$1:$I$89,3,0)*0.475*44/12</f>
        <v>1.8123628122902257E-15</v>
      </c>
      <c r="AX137" s="21">
        <f t="shared" si="114"/>
        <v>0.31108324229959544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2.8421709430404007E-14</v>
      </c>
      <c r="BE137" s="13">
        <f>BD137*VLOOKUP('Données projet'!$B$11,Paramètres!$A$1:$I$89,3,0)*VLOOKUP('Données projet'!$B$11,Paramètres!$A$1:$I$89,5,0)</f>
        <v>2.5715962692629544E-14</v>
      </c>
      <c r="BF137" s="13">
        <f t="shared" si="145"/>
        <v>4.5248818890525812E-13</v>
      </c>
      <c r="BG137" s="20">
        <f t="shared" si="115"/>
        <v>8.3287223069965432E-13</v>
      </c>
      <c r="BH137" s="59">
        <f t="shared" si="116"/>
        <v>293.33333333333417</v>
      </c>
      <c r="BI137" s="59">
        <f ca="1">AVERAGE(OFFSET($BH$3,0,0,'Données projet'!$E$11+1,1))-AVERAGE(OFFSET($H$3,0,0,'Données projet'!$E$11+1,1))</f>
        <v>138.8931001150624</v>
      </c>
      <c r="BJ137" s="59">
        <f t="shared" si="146"/>
        <v>48.964659354096625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>
        <f>EXP(-LN(2)/35)*BP136+(1-EXP(-LN(2)/35))/(LN(2)/35)*BL137*BM137*VLOOKUP('Données projet'!$B$11,Paramètres!$A$1:$I$89,3,0)*0.475*44/12</f>
        <v>0</v>
      </c>
      <c r="BQ137" s="21">
        <f>EXP(-LN(2)/25)*BQ136+(1-EXP(-LN(2)/25))/(LN(2)/25)*Calculateur!BL137*Calculateur!BN137*VLOOKUP('Données projet'!$B$11,Paramètres!$A$1:$I$89,3,0)*0.475*44/12</f>
        <v>0</v>
      </c>
      <c r="BR137" s="21">
        <f>EXP(-LN(2)/2)*BR136+(1-EXP(-LN(2)/2))/(LN(2)/2)*BL137*BO137*VLOOKUP('Données projet'!$B$11,Paramètres!$A$1:$I$89,3,0)*0.475*44/12</f>
        <v>0</v>
      </c>
      <c r="BS137" s="22">
        <f t="shared" si="117"/>
        <v>0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1.1368683772161603E-13</v>
      </c>
      <c r="BZ137" s="13">
        <f>BY137*VLOOKUP('Données projet'!$B$12,Paramètres!$A$1:$I$89,3,0)*VLOOKUP('Données projet'!$B$12,Paramètres!$A$1:$I$89,5,0)</f>
        <v>1.0995790944434703E-13</v>
      </c>
      <c r="CA137" s="13">
        <f t="shared" si="147"/>
        <v>1.6337280948049956E-12</v>
      </c>
      <c r="CB137" s="20">
        <f t="shared" si="118"/>
        <v>3.036919790734272E-12</v>
      </c>
      <c r="CC137" s="59">
        <f t="shared" si="119"/>
        <v>293.33333333333633</v>
      </c>
      <c r="CD137" s="59">
        <f ca="1">AVERAGE(OFFSET($CC$3,0,0,'Données projet'!$E$12+1,1))-AVERAGE(OFFSET($H$3,0,0,'Données projet'!$E$12+1,1))</f>
        <v>154.93882427988234</v>
      </c>
      <c r="CE137" s="59">
        <f t="shared" si="148"/>
        <v>56.347130462109817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>
        <f>EXP(-LN(2)/35)*CK136+(1-EXP(-LN(2)/35))/(LN(2)/35)*CG137*CH137*VLOOKUP('Données projet'!$B$12,Paramètres!$A$1:$I$89,3,0)*0.475*44/12</f>
        <v>0</v>
      </c>
      <c r="CL137" s="21">
        <f>EXP(-LN(2)/25)*CL136+(1-EXP(-LN(2)/25))/(LN(2)/25)*Calculateur!CG137*Calculateur!CI137*VLOOKUP('Données projet'!$B$12,Paramètres!$A$1:$I$89,3,0)*0.475*44/12</f>
        <v>0</v>
      </c>
      <c r="CM137" s="21">
        <f>EXP(-LN(2)/2)*CM136+(1-EXP(-LN(2)/2))/(LN(2)/2)*CG137*CJ137*VLOOKUP('Données projet'!$B$12,Paramètres!$A$1:$I$89,3,0)*0.475*44/12</f>
        <v>0</v>
      </c>
      <c r="CN137" s="22">
        <f t="shared" si="120"/>
        <v>0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120.04200000000023</v>
      </c>
      <c r="D138" s="11">
        <f t="shared" si="140"/>
        <v>31.68479490489014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1171.2243817219608</v>
      </c>
      <c r="H138" s="67">
        <f t="shared" si="110"/>
        <v>557.59083445935073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0</v>
      </c>
      <c r="O138" s="13">
        <f>N138*VLOOKUP('Données projet'!$B$9,Paramètres!$A$1:$I$89,3,0)*VLOOKUP('Données projet'!$B$9,Paramètres!$A$1:$I$89,5,0)</f>
        <v>0</v>
      </c>
      <c r="P138" s="13" t="e">
        <f t="shared" si="141"/>
        <v>#NUM!</v>
      </c>
      <c r="Q138" s="20" t="e">
        <f t="shared" si="108"/>
        <v>#NUM!</v>
      </c>
      <c r="R138" s="59" t="e">
        <f t="shared" si="109"/>
        <v>#NUM!</v>
      </c>
      <c r="S138" s="59">
        <f ca="1">AVERAGE(OFFSET($R$3,0,0,'Données projet'!$E$9+1,1))-AVERAGE(OFFSET($H$3,0,0,'Données projet'!$E$9+1,1))</f>
        <v>72.647148358003676</v>
      </c>
      <c r="T138" s="59">
        <f t="shared" si="142"/>
        <v>87.231299224620898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0.15906009119171149</v>
      </c>
      <c r="AA138" s="21">
        <f>EXP(-LN(2)/25)*AA137+(1-EXP(-LN(2)/25))/(LN(2)/25)*Calculateur!V138*Calculateur!X138*VLOOKUP('Données projet'!$B$9,Paramètres!$A$1:$I$89,3,0)*0.475*44/12</f>
        <v>0.24653599921445729</v>
      </c>
      <c r="AB138" s="21">
        <f>EXP(-LN(2)/2)*AB137+(1-EXP(-LN(2)/2))/(LN(2)/2)*V138*Y138*VLOOKUP('Données projet'!$B$9,Paramètres!$A$1:$I$89,3,0)*0.475*44/12</f>
        <v>3.5812177911978709E-16</v>
      </c>
      <c r="AC138" s="22">
        <f t="shared" si="111"/>
        <v>0.40559609040616912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-8.5265128291212022E-14</v>
      </c>
      <c r="AJ138" s="13">
        <f>AI138*VLOOKUP('Données projet'!$B$10,Paramètres!$A$1:$I$89,3,0)*VLOOKUP('Données projet'!$B$10,Paramètres!$A$1:$I$89,5,0)</f>
        <v>-6.9167072069831198E-14</v>
      </c>
      <c r="AK138" s="13" t="e">
        <f t="shared" si="143"/>
        <v>#NUM!</v>
      </c>
      <c r="AL138" s="20" t="e">
        <f t="shared" si="112"/>
        <v>#NUM!</v>
      </c>
      <c r="AM138" s="59" t="e">
        <f t="shared" si="113"/>
        <v>#NUM!</v>
      </c>
      <c r="AN138" s="59">
        <f ca="1">AVERAGE(OFFSET($AM$3,0,0,'Données projet'!$E$10+1,1))-AVERAGE(OFFSET($H$3,0,0,'Données projet'!$E$10+1,1))</f>
        <v>145.3656871223958</v>
      </c>
      <c r="AO138" s="59">
        <f t="shared" si="144"/>
        <v>180.54762778843178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0</v>
      </c>
      <c r="AV138" s="21">
        <f>EXP(-LN(2)/25)*AV137+(1-EXP(-LN(2)/25))/(LN(2)/25)*Calculateur!AQ138*Calculateur!AS138*VLOOKUP('Données projet'!$B$10,Paramètres!$A$1:$I$89,3,0)*0.475*44/12</f>
        <v>0.30257665467975448</v>
      </c>
      <c r="AW138" s="21">
        <f>EXP(-LN(2)/2)*AW137+(1-EXP(-LN(2)/2))/(LN(2)/2)*AQ138*AT138*VLOOKUP('Données projet'!$B$10,Paramètres!$A$1:$I$89,3,0)*0.475*44/12</f>
        <v>1.2815340345407406E-15</v>
      </c>
      <c r="AX138" s="21">
        <f t="shared" si="114"/>
        <v>0.30257665467975575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2.8421709430404007E-14</v>
      </c>
      <c r="BE138" s="13">
        <f>BD138*VLOOKUP('Données projet'!$B$11,Paramètres!$A$1:$I$89,3,0)*VLOOKUP('Données projet'!$B$11,Paramètres!$A$1:$I$89,5,0)</f>
        <v>2.5715962692629544E-14</v>
      </c>
      <c r="BF138" s="13">
        <f t="shared" si="145"/>
        <v>4.5248818890525812E-13</v>
      </c>
      <c r="BG138" s="20">
        <f t="shared" si="115"/>
        <v>8.3287223069965432E-13</v>
      </c>
      <c r="BH138" s="59">
        <f t="shared" si="116"/>
        <v>293.33333333333417</v>
      </c>
      <c r="BI138" s="59">
        <f ca="1">AVERAGE(OFFSET($BH$3,0,0,'Données projet'!$E$11+1,1))-AVERAGE(OFFSET($H$3,0,0,'Données projet'!$E$11+1,1))</f>
        <v>138.8931001150624</v>
      </c>
      <c r="BJ138" s="59">
        <f t="shared" si="146"/>
        <v>48.964659354096625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>
        <f>EXP(-LN(2)/35)*BP137+(1-EXP(-LN(2)/35))/(LN(2)/35)*BL138*BM138*VLOOKUP('Données projet'!$B$11,Paramètres!$A$1:$I$89,3,0)*0.475*44/12</f>
        <v>0</v>
      </c>
      <c r="BQ138" s="21">
        <f>EXP(-LN(2)/25)*BQ137+(1-EXP(-LN(2)/25))/(LN(2)/25)*Calculateur!BL138*Calculateur!BN138*VLOOKUP('Données projet'!$B$11,Paramètres!$A$1:$I$89,3,0)*0.475*44/12</f>
        <v>0</v>
      </c>
      <c r="BR138" s="21">
        <f>EXP(-LN(2)/2)*BR137+(1-EXP(-LN(2)/2))/(LN(2)/2)*BL138*BO138*VLOOKUP('Données projet'!$B$11,Paramètres!$A$1:$I$89,3,0)*0.475*44/12</f>
        <v>0</v>
      </c>
      <c r="BS138" s="22">
        <f t="shared" si="117"/>
        <v>0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1.1368683772161603E-13</v>
      </c>
      <c r="BZ138" s="13">
        <f>BY138*VLOOKUP('Données projet'!$B$12,Paramètres!$A$1:$I$89,3,0)*VLOOKUP('Données projet'!$B$12,Paramètres!$A$1:$I$89,5,0)</f>
        <v>1.0995790944434703E-13</v>
      </c>
      <c r="CA138" s="13">
        <f t="shared" si="147"/>
        <v>1.6337280948049956E-12</v>
      </c>
      <c r="CB138" s="20">
        <f t="shared" si="118"/>
        <v>3.036919790734272E-12</v>
      </c>
      <c r="CC138" s="59">
        <f t="shared" si="119"/>
        <v>293.33333333333633</v>
      </c>
      <c r="CD138" s="59">
        <f ca="1">AVERAGE(OFFSET($CC$3,0,0,'Données projet'!$E$12+1,1))-AVERAGE(OFFSET($H$3,0,0,'Données projet'!$E$12+1,1))</f>
        <v>154.93882427988234</v>
      </c>
      <c r="CE138" s="59">
        <f t="shared" si="148"/>
        <v>56.347130462109817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>
        <f>EXP(-LN(2)/35)*CK137+(1-EXP(-LN(2)/35))/(LN(2)/35)*CG138*CH138*VLOOKUP('Données projet'!$B$12,Paramètres!$A$1:$I$89,3,0)*0.475*44/12</f>
        <v>0</v>
      </c>
      <c r="CL138" s="21">
        <f>EXP(-LN(2)/25)*CL137+(1-EXP(-LN(2)/25))/(LN(2)/25)*Calculateur!CG138*Calculateur!CI138*VLOOKUP('Données projet'!$B$12,Paramètres!$A$1:$I$89,3,0)*0.475*44/12</f>
        <v>0</v>
      </c>
      <c r="CM138" s="21">
        <f>EXP(-LN(2)/2)*CM137+(1-EXP(-LN(2)/2))/(LN(2)/2)*CG138*CJ138*VLOOKUP('Données projet'!$B$12,Paramètres!$A$1:$I$89,3,0)*0.475*44/12</f>
        <v>0</v>
      </c>
      <c r="CN138" s="22">
        <f t="shared" si="120"/>
        <v>0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120.93120000000023</v>
      </c>
      <c r="D139" s="11">
        <f t="shared" si="140"/>
        <v>31.892088595533707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1179.6885435444726</v>
      </c>
      <c r="H139" s="67">
        <f t="shared" si="110"/>
        <v>559.50056097055494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0</v>
      </c>
      <c r="O139" s="13">
        <f>N139*VLOOKUP('Données projet'!$B$9,Paramètres!$A$1:$I$89,3,0)*VLOOKUP('Données projet'!$B$9,Paramètres!$A$1:$I$89,5,0)</f>
        <v>0</v>
      </c>
      <c r="P139" s="13" t="e">
        <f t="shared" si="141"/>
        <v>#NUM!</v>
      </c>
      <c r="Q139" s="20" t="e">
        <f t="shared" si="108"/>
        <v>#NUM!</v>
      </c>
      <c r="R139" s="59" t="e">
        <f t="shared" si="109"/>
        <v>#NUM!</v>
      </c>
      <c r="S139" s="59">
        <f ca="1">AVERAGE(OFFSET($R$3,0,0,'Données projet'!$E$9+1,1))-AVERAGE(OFFSET($H$3,0,0,'Données projet'!$E$9+1,1))</f>
        <v>72.647148358003676</v>
      </c>
      <c r="T139" s="59">
        <f t="shared" si="142"/>
        <v>87.231299224620898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0.15594101982051803</v>
      </c>
      <c r="AA139" s="21">
        <f>EXP(-LN(2)/25)*AA138+(1-EXP(-LN(2)/25))/(LN(2)/25)*Calculateur!V139*Calculateur!X139*VLOOKUP('Données projet'!$B$9,Paramètres!$A$1:$I$89,3,0)*0.475*44/12</f>
        <v>0.23979445935117322</v>
      </c>
      <c r="AB139" s="21">
        <f>EXP(-LN(2)/2)*AB138+(1-EXP(-LN(2)/2))/(LN(2)/2)*V139*Y139*VLOOKUP('Données projet'!$B$9,Paramètres!$A$1:$I$89,3,0)*0.475*44/12</f>
        <v>2.5323033850619239E-16</v>
      </c>
      <c r="AC139" s="22">
        <f t="shared" si="111"/>
        <v>0.39573547917169155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-8.5265128291212022E-14</v>
      </c>
      <c r="AJ139" s="13">
        <f>AI139*VLOOKUP('Données projet'!$B$10,Paramètres!$A$1:$I$89,3,0)*VLOOKUP('Données projet'!$B$10,Paramètres!$A$1:$I$89,5,0)</f>
        <v>-6.9167072069831198E-14</v>
      </c>
      <c r="AK139" s="13" t="e">
        <f t="shared" si="143"/>
        <v>#NUM!</v>
      </c>
      <c r="AL139" s="20" t="e">
        <f t="shared" si="112"/>
        <v>#NUM!</v>
      </c>
      <c r="AM139" s="59" t="e">
        <f t="shared" si="113"/>
        <v>#NUM!</v>
      </c>
      <c r="AN139" s="59">
        <f ca="1">AVERAGE(OFFSET($AM$3,0,0,'Données projet'!$E$10+1,1))-AVERAGE(OFFSET($H$3,0,0,'Données projet'!$E$10+1,1))</f>
        <v>145.3656871223958</v>
      </c>
      <c r="AO139" s="59">
        <f t="shared" si="144"/>
        <v>180.54762778843178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0</v>
      </c>
      <c r="AV139" s="21">
        <f>EXP(-LN(2)/25)*AV138+(1-EXP(-LN(2)/25))/(LN(2)/25)*Calculateur!AQ139*Calculateur!AS139*VLOOKUP('Données projet'!$B$10,Paramètres!$A$1:$I$89,3,0)*0.475*44/12</f>
        <v>0.29430268014572186</v>
      </c>
      <c r="AW139" s="21">
        <f>EXP(-LN(2)/2)*AW138+(1-EXP(-LN(2)/2))/(LN(2)/2)*AQ139*AT139*VLOOKUP('Données projet'!$B$10,Paramètres!$A$1:$I$89,3,0)*0.475*44/12</f>
        <v>9.0618140614511286E-16</v>
      </c>
      <c r="AX139" s="21">
        <f t="shared" si="114"/>
        <v>0.29430268014572275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2.8421709430404007E-14</v>
      </c>
      <c r="BE139" s="13">
        <f>BD139*VLOOKUP('Données projet'!$B$11,Paramètres!$A$1:$I$89,3,0)*VLOOKUP('Données projet'!$B$11,Paramètres!$A$1:$I$89,5,0)</f>
        <v>2.5715962692629544E-14</v>
      </c>
      <c r="BF139" s="13">
        <f t="shared" si="145"/>
        <v>4.5248818890525812E-13</v>
      </c>
      <c r="BG139" s="20">
        <f t="shared" si="115"/>
        <v>8.3287223069965432E-13</v>
      </c>
      <c r="BH139" s="59">
        <f t="shared" si="116"/>
        <v>293.33333333333417</v>
      </c>
      <c r="BI139" s="59">
        <f ca="1">AVERAGE(OFFSET($BH$3,0,0,'Données projet'!$E$11+1,1))-AVERAGE(OFFSET($H$3,0,0,'Données projet'!$E$11+1,1))</f>
        <v>138.8931001150624</v>
      </c>
      <c r="BJ139" s="59">
        <f t="shared" si="146"/>
        <v>48.964659354096625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>
        <f>EXP(-LN(2)/35)*BP138+(1-EXP(-LN(2)/35))/(LN(2)/35)*BL139*BM139*VLOOKUP('Données projet'!$B$11,Paramètres!$A$1:$I$89,3,0)*0.475*44/12</f>
        <v>0</v>
      </c>
      <c r="BQ139" s="21">
        <f>EXP(-LN(2)/25)*BQ138+(1-EXP(-LN(2)/25))/(LN(2)/25)*Calculateur!BL139*Calculateur!BN139*VLOOKUP('Données projet'!$B$11,Paramètres!$A$1:$I$89,3,0)*0.475*44/12</f>
        <v>0</v>
      </c>
      <c r="BR139" s="21">
        <f>EXP(-LN(2)/2)*BR138+(1-EXP(-LN(2)/2))/(LN(2)/2)*BL139*BO139*VLOOKUP('Données projet'!$B$11,Paramètres!$A$1:$I$89,3,0)*0.475*44/12</f>
        <v>0</v>
      </c>
      <c r="BS139" s="22">
        <f t="shared" si="117"/>
        <v>0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1.1368683772161603E-13</v>
      </c>
      <c r="BZ139" s="13">
        <f>BY139*VLOOKUP('Données projet'!$B$12,Paramètres!$A$1:$I$89,3,0)*VLOOKUP('Données projet'!$B$12,Paramètres!$A$1:$I$89,5,0)</f>
        <v>1.0995790944434703E-13</v>
      </c>
      <c r="CA139" s="13">
        <f t="shared" si="147"/>
        <v>1.6337280948049956E-12</v>
      </c>
      <c r="CB139" s="20">
        <f t="shared" si="118"/>
        <v>3.036919790734272E-12</v>
      </c>
      <c r="CC139" s="59">
        <f t="shared" si="119"/>
        <v>293.33333333333633</v>
      </c>
      <c r="CD139" s="59">
        <f ca="1">AVERAGE(OFFSET($CC$3,0,0,'Données projet'!$E$12+1,1))-AVERAGE(OFFSET($H$3,0,0,'Données projet'!$E$12+1,1))</f>
        <v>154.93882427988234</v>
      </c>
      <c r="CE139" s="59">
        <f t="shared" si="148"/>
        <v>56.347130462109817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>
        <f>EXP(-LN(2)/35)*CK138+(1-EXP(-LN(2)/35))/(LN(2)/35)*CG139*CH139*VLOOKUP('Données projet'!$B$12,Paramètres!$A$1:$I$89,3,0)*0.475*44/12</f>
        <v>0</v>
      </c>
      <c r="CL139" s="21">
        <f>EXP(-LN(2)/25)*CL138+(1-EXP(-LN(2)/25))/(LN(2)/25)*Calculateur!CG139*Calculateur!CI139*VLOOKUP('Données projet'!$B$12,Paramètres!$A$1:$I$89,3,0)*0.475*44/12</f>
        <v>0</v>
      </c>
      <c r="CM139" s="21">
        <f>EXP(-LN(2)/2)*CM138+(1-EXP(-LN(2)/2))/(LN(2)/2)*CG139*CJ139*VLOOKUP('Données projet'!$B$12,Paramètres!$A$1:$I$89,3,0)*0.475*44/12</f>
        <v>0</v>
      </c>
      <c r="CN139" s="22">
        <f t="shared" si="120"/>
        <v>0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121.82040000000023</v>
      </c>
      <c r="D140" s="11">
        <f t="shared" si="140"/>
        <v>32.09920494137846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1188.1513363895899</v>
      </c>
      <c r="H140" s="67">
        <f t="shared" si="110"/>
        <v>561.40997860623452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0</v>
      </c>
      <c r="O140" s="13">
        <f>N140*VLOOKUP('Données projet'!$B$9,Paramètres!$A$1:$I$89,3,0)*VLOOKUP('Données projet'!$B$9,Paramètres!$A$1:$I$89,5,0)</f>
        <v>0</v>
      </c>
      <c r="P140" s="13" t="e">
        <f t="shared" si="141"/>
        <v>#NUM!</v>
      </c>
      <c r="Q140" s="20" t="e">
        <f t="shared" si="108"/>
        <v>#NUM!</v>
      </c>
      <c r="R140" s="59" t="e">
        <f t="shared" si="109"/>
        <v>#NUM!</v>
      </c>
      <c r="S140" s="59">
        <f ca="1">AVERAGE(OFFSET($R$3,0,0,'Données projet'!$E$9+1,1))-AVERAGE(OFFSET($H$3,0,0,'Données projet'!$E$9+1,1))</f>
        <v>72.647148358003676</v>
      </c>
      <c r="T140" s="59">
        <f t="shared" si="142"/>
        <v>87.231299224620898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0.15288311153646797</v>
      </c>
      <c r="AA140" s="21">
        <f>EXP(-LN(2)/25)*AA139+(1-EXP(-LN(2)/25))/(LN(2)/25)*Calculateur!V140*Calculateur!X140*VLOOKUP('Données projet'!$B$9,Paramètres!$A$1:$I$89,3,0)*0.475*44/12</f>
        <v>0.23323726724997282</v>
      </c>
      <c r="AB140" s="21">
        <f>EXP(-LN(2)/2)*AB139+(1-EXP(-LN(2)/2))/(LN(2)/2)*V140*Y140*VLOOKUP('Données projet'!$B$9,Paramètres!$A$1:$I$89,3,0)*0.475*44/12</f>
        <v>1.7906088955989355E-16</v>
      </c>
      <c r="AC140" s="22">
        <f t="shared" si="111"/>
        <v>0.38612037878644095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-8.5265128291212022E-14</v>
      </c>
      <c r="AJ140" s="13">
        <f>AI140*VLOOKUP('Données projet'!$B$10,Paramètres!$A$1:$I$89,3,0)*VLOOKUP('Données projet'!$B$10,Paramètres!$A$1:$I$89,5,0)</f>
        <v>-6.9167072069831198E-14</v>
      </c>
      <c r="AK140" s="13" t="e">
        <f t="shared" si="143"/>
        <v>#NUM!</v>
      </c>
      <c r="AL140" s="20" t="e">
        <f t="shared" si="112"/>
        <v>#NUM!</v>
      </c>
      <c r="AM140" s="59" t="e">
        <f t="shared" si="113"/>
        <v>#NUM!</v>
      </c>
      <c r="AN140" s="59">
        <f ca="1">AVERAGE(OFFSET($AM$3,0,0,'Données projet'!$E$10+1,1))-AVERAGE(OFFSET($H$3,0,0,'Données projet'!$E$10+1,1))</f>
        <v>145.3656871223958</v>
      </c>
      <c r="AO140" s="59">
        <f t="shared" si="144"/>
        <v>180.54762778843178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0</v>
      </c>
      <c r="AV140" s="21">
        <f>EXP(-LN(2)/25)*AV139+(1-EXP(-LN(2)/25))/(LN(2)/25)*Calculateur!AQ140*Calculateur!AS140*VLOOKUP('Données projet'!$B$10,Paramètres!$A$1:$I$89,3,0)*0.475*44/12</f>
        <v>0.28625495788043176</v>
      </c>
      <c r="AW140" s="21">
        <f>EXP(-LN(2)/2)*AW139+(1-EXP(-LN(2)/2))/(LN(2)/2)*AQ140*AT140*VLOOKUP('Données projet'!$B$10,Paramètres!$A$1:$I$89,3,0)*0.475*44/12</f>
        <v>6.4076701727037028E-16</v>
      </c>
      <c r="AX140" s="21">
        <f t="shared" si="114"/>
        <v>0.28625495788043243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2.8421709430404007E-14</v>
      </c>
      <c r="BE140" s="13">
        <f>BD140*VLOOKUP('Données projet'!$B$11,Paramètres!$A$1:$I$89,3,0)*VLOOKUP('Données projet'!$B$11,Paramètres!$A$1:$I$89,5,0)</f>
        <v>2.5715962692629544E-14</v>
      </c>
      <c r="BF140" s="13">
        <f t="shared" si="145"/>
        <v>4.5248818890525812E-13</v>
      </c>
      <c r="BG140" s="20">
        <f t="shared" si="115"/>
        <v>8.3287223069965432E-13</v>
      </c>
      <c r="BH140" s="59">
        <f t="shared" si="116"/>
        <v>293.33333333333417</v>
      </c>
      <c r="BI140" s="59">
        <f ca="1">AVERAGE(OFFSET($BH$3,0,0,'Données projet'!$E$11+1,1))-AVERAGE(OFFSET($H$3,0,0,'Données projet'!$E$11+1,1))</f>
        <v>138.8931001150624</v>
      </c>
      <c r="BJ140" s="59">
        <f t="shared" si="146"/>
        <v>48.964659354096625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>
        <f>EXP(-LN(2)/35)*BP139+(1-EXP(-LN(2)/35))/(LN(2)/35)*BL140*BM140*VLOOKUP('Données projet'!$B$11,Paramètres!$A$1:$I$89,3,0)*0.475*44/12</f>
        <v>0</v>
      </c>
      <c r="BQ140" s="21">
        <f>EXP(-LN(2)/25)*BQ139+(1-EXP(-LN(2)/25))/(LN(2)/25)*Calculateur!BL140*Calculateur!BN140*VLOOKUP('Données projet'!$B$11,Paramètres!$A$1:$I$89,3,0)*0.475*44/12</f>
        <v>0</v>
      </c>
      <c r="BR140" s="21">
        <f>EXP(-LN(2)/2)*BR139+(1-EXP(-LN(2)/2))/(LN(2)/2)*BL140*BO140*VLOOKUP('Données projet'!$B$11,Paramètres!$A$1:$I$89,3,0)*0.475*44/12</f>
        <v>0</v>
      </c>
      <c r="BS140" s="22">
        <f t="shared" si="117"/>
        <v>0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1.1368683772161603E-13</v>
      </c>
      <c r="BZ140" s="13">
        <f>BY140*VLOOKUP('Données projet'!$B$12,Paramètres!$A$1:$I$89,3,0)*VLOOKUP('Données projet'!$B$12,Paramètres!$A$1:$I$89,5,0)</f>
        <v>1.0995790944434703E-13</v>
      </c>
      <c r="CA140" s="13">
        <f t="shared" si="147"/>
        <v>1.6337280948049956E-12</v>
      </c>
      <c r="CB140" s="20">
        <f t="shared" si="118"/>
        <v>3.036919790734272E-12</v>
      </c>
      <c r="CC140" s="59">
        <f t="shared" si="119"/>
        <v>293.33333333333633</v>
      </c>
      <c r="CD140" s="59">
        <f ca="1">AVERAGE(OFFSET($CC$3,0,0,'Données projet'!$E$12+1,1))-AVERAGE(OFFSET($H$3,0,0,'Données projet'!$E$12+1,1))</f>
        <v>154.93882427988234</v>
      </c>
      <c r="CE140" s="59">
        <f t="shared" si="148"/>
        <v>56.347130462109817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>
        <f>EXP(-LN(2)/35)*CK139+(1-EXP(-LN(2)/35))/(LN(2)/35)*CG140*CH140*VLOOKUP('Données projet'!$B$12,Paramètres!$A$1:$I$89,3,0)*0.475*44/12</f>
        <v>0</v>
      </c>
      <c r="CL140" s="21">
        <f>EXP(-LN(2)/25)*CL139+(1-EXP(-LN(2)/25))/(LN(2)/25)*Calculateur!CG140*Calculateur!CI140*VLOOKUP('Données projet'!$B$12,Paramètres!$A$1:$I$89,3,0)*0.475*44/12</f>
        <v>0</v>
      </c>
      <c r="CM140" s="21">
        <f>EXP(-LN(2)/2)*CM139+(1-EXP(-LN(2)/2))/(LN(2)/2)*CG140*CJ140*VLOOKUP('Données projet'!$B$12,Paramètres!$A$1:$I$89,3,0)*0.475*44/12</f>
        <v>0</v>
      </c>
      <c r="CN140" s="22">
        <f t="shared" si="120"/>
        <v>0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122.70960000000024</v>
      </c>
      <c r="D141" s="11">
        <f t="shared" si="140"/>
        <v>32.306145387002346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1196.6127714084412</v>
      </c>
      <c r="H141" s="67">
        <f t="shared" si="110"/>
        <v>563.31908988236285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0</v>
      </c>
      <c r="O141" s="13">
        <f>N141*VLOOKUP('Données projet'!$B$9,Paramètres!$A$1:$I$89,3,0)*VLOOKUP('Données projet'!$B$9,Paramètres!$A$1:$I$89,5,0)</f>
        <v>0</v>
      </c>
      <c r="P141" s="13" t="e">
        <f t="shared" si="141"/>
        <v>#NUM!</v>
      </c>
      <c r="Q141" s="20" t="e">
        <f t="shared" si="108"/>
        <v>#NUM!</v>
      </c>
      <c r="R141" s="59" t="e">
        <f t="shared" si="109"/>
        <v>#NUM!</v>
      </c>
      <c r="S141" s="59">
        <f ca="1">AVERAGE(OFFSET($R$3,0,0,'Données projet'!$E$9+1,1))-AVERAGE(OFFSET($H$3,0,0,'Données projet'!$E$9+1,1))</f>
        <v>72.647148358003676</v>
      </c>
      <c r="T141" s="59">
        <f t="shared" si="142"/>
        <v>87.231299224620898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0.14988516696872825</v>
      </c>
      <c r="AA141" s="21">
        <f>EXP(-LN(2)/25)*AA140+(1-EXP(-LN(2)/25))/(LN(2)/25)*Calculateur!V141*Calculateur!X141*VLOOKUP('Données projet'!$B$9,Paramètres!$A$1:$I$89,3,0)*0.475*44/12</f>
        <v>0.22685938191160751</v>
      </c>
      <c r="AB141" s="21">
        <f>EXP(-LN(2)/2)*AB140+(1-EXP(-LN(2)/2))/(LN(2)/2)*V141*Y141*VLOOKUP('Données projet'!$B$9,Paramètres!$A$1:$I$89,3,0)*0.475*44/12</f>
        <v>1.266151692530962E-16</v>
      </c>
      <c r="AC141" s="22">
        <f t="shared" si="111"/>
        <v>0.37674454888033587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-8.5265128291212022E-14</v>
      </c>
      <c r="AJ141" s="13">
        <f>AI141*VLOOKUP('Données projet'!$B$10,Paramètres!$A$1:$I$89,3,0)*VLOOKUP('Données projet'!$B$10,Paramètres!$A$1:$I$89,5,0)</f>
        <v>-6.9167072069831198E-14</v>
      </c>
      <c r="AK141" s="13" t="e">
        <f t="shared" si="143"/>
        <v>#NUM!</v>
      </c>
      <c r="AL141" s="20" t="e">
        <f t="shared" si="112"/>
        <v>#NUM!</v>
      </c>
      <c r="AM141" s="59" t="e">
        <f t="shared" si="113"/>
        <v>#NUM!</v>
      </c>
      <c r="AN141" s="59">
        <f ca="1">AVERAGE(OFFSET($AM$3,0,0,'Données projet'!$E$10+1,1))-AVERAGE(OFFSET($H$3,0,0,'Données projet'!$E$10+1,1))</f>
        <v>145.3656871223958</v>
      </c>
      <c r="AO141" s="59">
        <f t="shared" si="144"/>
        <v>180.54762778843178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0</v>
      </c>
      <c r="AV141" s="21">
        <f>EXP(-LN(2)/25)*AV140+(1-EXP(-LN(2)/25))/(LN(2)/25)*Calculateur!AQ141*Calculateur!AS141*VLOOKUP('Données projet'!$B$10,Paramètres!$A$1:$I$89,3,0)*0.475*44/12</f>
        <v>0.27842730100369734</v>
      </c>
      <c r="AW141" s="21">
        <f>EXP(-LN(2)/2)*AW140+(1-EXP(-LN(2)/2))/(LN(2)/2)*AQ141*AT141*VLOOKUP('Données projet'!$B$10,Paramètres!$A$1:$I$89,3,0)*0.475*44/12</f>
        <v>4.5309070307255643E-16</v>
      </c>
      <c r="AX141" s="21">
        <f t="shared" si="114"/>
        <v>0.27842730100369778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2.8421709430404007E-14</v>
      </c>
      <c r="BE141" s="13">
        <f>BD141*VLOOKUP('Données projet'!$B$11,Paramètres!$A$1:$I$89,3,0)*VLOOKUP('Données projet'!$B$11,Paramètres!$A$1:$I$89,5,0)</f>
        <v>2.5715962692629544E-14</v>
      </c>
      <c r="BF141" s="13">
        <f t="shared" si="145"/>
        <v>4.5248818890525812E-13</v>
      </c>
      <c r="BG141" s="20">
        <f t="shared" si="115"/>
        <v>8.3287223069965432E-13</v>
      </c>
      <c r="BH141" s="59">
        <f t="shared" si="116"/>
        <v>293.33333333333417</v>
      </c>
      <c r="BI141" s="59">
        <f ca="1">AVERAGE(OFFSET($BH$3,0,0,'Données projet'!$E$11+1,1))-AVERAGE(OFFSET($H$3,0,0,'Données projet'!$E$11+1,1))</f>
        <v>138.8931001150624</v>
      </c>
      <c r="BJ141" s="59">
        <f t="shared" si="146"/>
        <v>48.964659354096625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>
        <f>EXP(-LN(2)/35)*BP140+(1-EXP(-LN(2)/35))/(LN(2)/35)*BL141*BM141*VLOOKUP('Données projet'!$B$11,Paramètres!$A$1:$I$89,3,0)*0.475*44/12</f>
        <v>0</v>
      </c>
      <c r="BQ141" s="21">
        <f>EXP(-LN(2)/25)*BQ140+(1-EXP(-LN(2)/25))/(LN(2)/25)*Calculateur!BL141*Calculateur!BN141*VLOOKUP('Données projet'!$B$11,Paramètres!$A$1:$I$89,3,0)*0.475*44/12</f>
        <v>0</v>
      </c>
      <c r="BR141" s="21">
        <f>EXP(-LN(2)/2)*BR140+(1-EXP(-LN(2)/2))/(LN(2)/2)*BL141*BO141*VLOOKUP('Données projet'!$B$11,Paramètres!$A$1:$I$89,3,0)*0.475*44/12</f>
        <v>0</v>
      </c>
      <c r="BS141" s="22">
        <f t="shared" si="117"/>
        <v>0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1.1368683772161603E-13</v>
      </c>
      <c r="BZ141" s="13">
        <f>BY141*VLOOKUP('Données projet'!$B$12,Paramètres!$A$1:$I$89,3,0)*VLOOKUP('Données projet'!$B$12,Paramètres!$A$1:$I$89,5,0)</f>
        <v>1.0995790944434703E-13</v>
      </c>
      <c r="CA141" s="13">
        <f t="shared" si="147"/>
        <v>1.6337280948049956E-12</v>
      </c>
      <c r="CB141" s="20">
        <f t="shared" si="118"/>
        <v>3.036919790734272E-12</v>
      </c>
      <c r="CC141" s="59">
        <f t="shared" si="119"/>
        <v>293.33333333333633</v>
      </c>
      <c r="CD141" s="59">
        <f ca="1">AVERAGE(OFFSET($CC$3,0,0,'Données projet'!$E$12+1,1))-AVERAGE(OFFSET($H$3,0,0,'Données projet'!$E$12+1,1))</f>
        <v>154.93882427988234</v>
      </c>
      <c r="CE141" s="59">
        <f t="shared" si="148"/>
        <v>56.347130462109817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>
        <f>EXP(-LN(2)/35)*CK140+(1-EXP(-LN(2)/35))/(LN(2)/35)*CG141*CH141*VLOOKUP('Données projet'!$B$12,Paramètres!$A$1:$I$89,3,0)*0.475*44/12</f>
        <v>0</v>
      </c>
      <c r="CL141" s="21">
        <f>EXP(-LN(2)/25)*CL140+(1-EXP(-LN(2)/25))/(LN(2)/25)*Calculateur!CG141*Calculateur!CI141*VLOOKUP('Données projet'!$B$12,Paramètres!$A$1:$I$89,3,0)*0.475*44/12</f>
        <v>0</v>
      </c>
      <c r="CM141" s="21">
        <f>EXP(-LN(2)/2)*CM140+(1-EXP(-LN(2)/2))/(LN(2)/2)*CG141*CJ141*VLOOKUP('Données projet'!$B$12,Paramètres!$A$1:$I$89,3,0)*0.475*44/12</f>
        <v>0</v>
      </c>
      <c r="CN141" s="22">
        <f t="shared" si="120"/>
        <v>0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123.59880000000024</v>
      </c>
      <c r="D142" s="11">
        <f t="shared" si="140"/>
        <v>32.512911354837613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1205.0728595812045</v>
      </c>
      <c r="H142" s="67">
        <f t="shared" si="110"/>
        <v>565.22789727634256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0</v>
      </c>
      <c r="O142" s="13">
        <f>N142*VLOOKUP('Données projet'!$B$9,Paramètres!$A$1:$I$89,3,0)*VLOOKUP('Données projet'!$B$9,Paramètres!$A$1:$I$89,5,0)</f>
        <v>0</v>
      </c>
      <c r="P142" s="13" t="e">
        <f t="shared" si="141"/>
        <v>#NUM!</v>
      </c>
      <c r="Q142" s="20" t="e">
        <f t="shared" si="108"/>
        <v>#NUM!</v>
      </c>
      <c r="R142" s="59" t="e">
        <f t="shared" si="109"/>
        <v>#NUM!</v>
      </c>
      <c r="S142" s="59">
        <f ca="1">AVERAGE(OFFSET($R$3,0,0,'Données projet'!$E$9+1,1))-AVERAGE(OFFSET($H$3,0,0,'Données projet'!$E$9+1,1))</f>
        <v>72.647148358003676</v>
      </c>
      <c r="T142" s="59">
        <f t="shared" si="142"/>
        <v>87.231299224620898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0.14694601026539628</v>
      </c>
      <c r="AA142" s="21">
        <f>EXP(-LN(2)/25)*AA141+(1-EXP(-LN(2)/25))/(LN(2)/25)*Calculateur!V142*Calculateur!X142*VLOOKUP('Données projet'!$B$9,Paramètres!$A$1:$I$89,3,0)*0.475*44/12</f>
        <v>0.22065590018321821</v>
      </c>
      <c r="AB142" s="21">
        <f>EXP(-LN(2)/2)*AB141+(1-EXP(-LN(2)/2))/(LN(2)/2)*V142*Y142*VLOOKUP('Données projet'!$B$9,Paramètres!$A$1:$I$89,3,0)*0.475*44/12</f>
        <v>8.9530444779946773E-17</v>
      </c>
      <c r="AC142" s="22">
        <f t="shared" si="111"/>
        <v>0.36760191044861457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-8.5265128291212022E-14</v>
      </c>
      <c r="AJ142" s="13">
        <f>AI142*VLOOKUP('Données projet'!$B$10,Paramètres!$A$1:$I$89,3,0)*VLOOKUP('Données projet'!$B$10,Paramètres!$A$1:$I$89,5,0)</f>
        <v>-6.9167072069831198E-14</v>
      </c>
      <c r="AK142" s="13" t="e">
        <f t="shared" si="143"/>
        <v>#NUM!</v>
      </c>
      <c r="AL142" s="20" t="e">
        <f t="shared" si="112"/>
        <v>#NUM!</v>
      </c>
      <c r="AM142" s="59" t="e">
        <f t="shared" si="113"/>
        <v>#NUM!</v>
      </c>
      <c r="AN142" s="59">
        <f ca="1">AVERAGE(OFFSET($AM$3,0,0,'Données projet'!$E$10+1,1))-AVERAGE(OFFSET($H$3,0,0,'Données projet'!$E$10+1,1))</f>
        <v>145.3656871223958</v>
      </c>
      <c r="AO142" s="59">
        <f t="shared" si="144"/>
        <v>180.54762778843178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0</v>
      </c>
      <c r="AV142" s="21">
        <f>EXP(-LN(2)/25)*AV141+(1-EXP(-LN(2)/25))/(LN(2)/25)*Calculateur!AQ142*Calculateur!AS142*VLOOKUP('Données projet'!$B$10,Paramètres!$A$1:$I$89,3,0)*0.475*44/12</f>
        <v>0.27081369181589582</v>
      </c>
      <c r="AW142" s="21">
        <f>EXP(-LN(2)/2)*AW141+(1-EXP(-LN(2)/2))/(LN(2)/2)*AQ142*AT142*VLOOKUP('Données projet'!$B$10,Paramètres!$A$1:$I$89,3,0)*0.475*44/12</f>
        <v>3.2038350863518514E-16</v>
      </c>
      <c r="AX142" s="21">
        <f t="shared" si="114"/>
        <v>0.27081369181589615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2.8421709430404007E-14</v>
      </c>
      <c r="BE142" s="13">
        <f>BD142*VLOOKUP('Données projet'!$B$11,Paramètres!$A$1:$I$89,3,0)*VLOOKUP('Données projet'!$B$11,Paramètres!$A$1:$I$89,5,0)</f>
        <v>2.5715962692629544E-14</v>
      </c>
      <c r="BF142" s="13">
        <f t="shared" si="145"/>
        <v>4.5248818890525812E-13</v>
      </c>
      <c r="BG142" s="20">
        <f t="shared" si="115"/>
        <v>8.3287223069965432E-13</v>
      </c>
      <c r="BH142" s="59">
        <f t="shared" si="116"/>
        <v>293.33333333333417</v>
      </c>
      <c r="BI142" s="59">
        <f ca="1">AVERAGE(OFFSET($BH$3,0,0,'Données projet'!$E$11+1,1))-AVERAGE(OFFSET($H$3,0,0,'Données projet'!$E$11+1,1))</f>
        <v>138.8931001150624</v>
      </c>
      <c r="BJ142" s="59">
        <f t="shared" si="146"/>
        <v>48.964659354096625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>
        <f>EXP(-LN(2)/35)*BP141+(1-EXP(-LN(2)/35))/(LN(2)/35)*BL142*BM142*VLOOKUP('Données projet'!$B$11,Paramètres!$A$1:$I$89,3,0)*0.475*44/12</f>
        <v>0</v>
      </c>
      <c r="BQ142" s="21">
        <f>EXP(-LN(2)/25)*BQ141+(1-EXP(-LN(2)/25))/(LN(2)/25)*Calculateur!BL142*Calculateur!BN142*VLOOKUP('Données projet'!$B$11,Paramètres!$A$1:$I$89,3,0)*0.475*44/12</f>
        <v>0</v>
      </c>
      <c r="BR142" s="21">
        <f>EXP(-LN(2)/2)*BR141+(1-EXP(-LN(2)/2))/(LN(2)/2)*BL142*BO142*VLOOKUP('Données projet'!$B$11,Paramètres!$A$1:$I$89,3,0)*0.475*44/12</f>
        <v>0</v>
      </c>
      <c r="BS142" s="22">
        <f t="shared" si="117"/>
        <v>0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1.1368683772161603E-13</v>
      </c>
      <c r="BZ142" s="13">
        <f>BY142*VLOOKUP('Données projet'!$B$12,Paramètres!$A$1:$I$89,3,0)*VLOOKUP('Données projet'!$B$12,Paramètres!$A$1:$I$89,5,0)</f>
        <v>1.0995790944434703E-13</v>
      </c>
      <c r="CA142" s="13">
        <f t="shared" si="147"/>
        <v>1.6337280948049956E-12</v>
      </c>
      <c r="CB142" s="20">
        <f t="shared" si="118"/>
        <v>3.036919790734272E-12</v>
      </c>
      <c r="CC142" s="59">
        <f t="shared" si="119"/>
        <v>293.33333333333633</v>
      </c>
      <c r="CD142" s="59">
        <f ca="1">AVERAGE(OFFSET($CC$3,0,0,'Données projet'!$E$12+1,1))-AVERAGE(OFFSET($H$3,0,0,'Données projet'!$E$12+1,1))</f>
        <v>154.93882427988234</v>
      </c>
      <c r="CE142" s="59">
        <f t="shared" si="148"/>
        <v>56.347130462109817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>
        <f>EXP(-LN(2)/35)*CK141+(1-EXP(-LN(2)/35))/(LN(2)/35)*CG142*CH142*VLOOKUP('Données projet'!$B$12,Paramètres!$A$1:$I$89,3,0)*0.475*44/12</f>
        <v>0</v>
      </c>
      <c r="CL142" s="21">
        <f>EXP(-LN(2)/25)*CL141+(1-EXP(-LN(2)/25))/(LN(2)/25)*Calculateur!CG142*Calculateur!CI142*VLOOKUP('Données projet'!$B$12,Paramètres!$A$1:$I$89,3,0)*0.475*44/12</f>
        <v>0</v>
      </c>
      <c r="CM142" s="21">
        <f>EXP(-LN(2)/2)*CM141+(1-EXP(-LN(2)/2))/(LN(2)/2)*CG142*CJ142*VLOOKUP('Données projet'!$B$12,Paramètres!$A$1:$I$89,3,0)*0.475*44/12</f>
        <v>0</v>
      </c>
      <c r="CN142" s="22">
        <f t="shared" si="120"/>
        <v>0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124.48800000000024</v>
      </c>
      <c r="D143" s="11">
        <f t="shared" si="140"/>
        <v>32.719504245667331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1213.5316117209427</v>
      </c>
      <c r="H143" s="67">
        <f t="shared" si="110"/>
        <v>567.13640322787103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0</v>
      </c>
      <c r="O143" s="13">
        <f>N143*VLOOKUP('Données projet'!$B$9,Paramètres!$A$1:$I$89,3,0)*VLOOKUP('Données projet'!$B$9,Paramètres!$A$1:$I$89,5,0)</f>
        <v>0</v>
      </c>
      <c r="P143" s="13" t="e">
        <f t="shared" si="141"/>
        <v>#NUM!</v>
      </c>
      <c r="Q143" s="20" t="e">
        <f t="shared" si="108"/>
        <v>#NUM!</v>
      </c>
      <c r="R143" s="59" t="e">
        <f t="shared" si="109"/>
        <v>#NUM!</v>
      </c>
      <c r="S143" s="59">
        <f ca="1">AVERAGE(OFFSET($R$3,0,0,'Données projet'!$E$9+1,1))-AVERAGE(OFFSET($H$3,0,0,'Données projet'!$E$9+1,1))</f>
        <v>72.647148358003676</v>
      </c>
      <c r="T143" s="59">
        <f t="shared" si="142"/>
        <v>87.231299224620898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0.14406448863230806</v>
      </c>
      <c r="AA143" s="21">
        <f>EXP(-LN(2)/25)*AA142+(1-EXP(-LN(2)/25))/(LN(2)/25)*Calculateur!V143*Calculateur!X143*VLOOKUP('Données projet'!$B$9,Paramètres!$A$1:$I$89,3,0)*0.475*44/12</f>
        <v>0.21462205298891862</v>
      </c>
      <c r="AB143" s="21">
        <f>EXP(-LN(2)/2)*AB142+(1-EXP(-LN(2)/2))/(LN(2)/2)*V143*Y143*VLOOKUP('Données projet'!$B$9,Paramètres!$A$1:$I$89,3,0)*0.475*44/12</f>
        <v>6.3307584626548098E-17</v>
      </c>
      <c r="AC143" s="22">
        <f t="shared" si="111"/>
        <v>0.35868654162122676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-8.5265128291212022E-14</v>
      </c>
      <c r="AJ143" s="13">
        <f>AI143*VLOOKUP('Données projet'!$B$10,Paramètres!$A$1:$I$89,3,0)*VLOOKUP('Données projet'!$B$10,Paramètres!$A$1:$I$89,5,0)</f>
        <v>-6.9167072069831198E-14</v>
      </c>
      <c r="AK143" s="13" t="e">
        <f t="shared" si="143"/>
        <v>#NUM!</v>
      </c>
      <c r="AL143" s="20" t="e">
        <f t="shared" si="112"/>
        <v>#NUM!</v>
      </c>
      <c r="AM143" s="59" t="e">
        <f t="shared" si="113"/>
        <v>#NUM!</v>
      </c>
      <c r="AN143" s="59">
        <f ca="1">AVERAGE(OFFSET($AM$3,0,0,'Données projet'!$E$10+1,1))-AVERAGE(OFFSET($H$3,0,0,'Données projet'!$E$10+1,1))</f>
        <v>145.3656871223958</v>
      </c>
      <c r="AO143" s="59">
        <f t="shared" si="144"/>
        <v>180.54762778843178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0</v>
      </c>
      <c r="AV143" s="21">
        <f>EXP(-LN(2)/25)*AV142+(1-EXP(-LN(2)/25))/(LN(2)/25)*Calculateur!AQ143*Calculateur!AS143*VLOOKUP('Données projet'!$B$10,Paramètres!$A$1:$I$89,3,0)*0.475*44/12</f>
        <v>0.26340827717171705</v>
      </c>
      <c r="AW143" s="21">
        <f>EXP(-LN(2)/2)*AW142+(1-EXP(-LN(2)/2))/(LN(2)/2)*AQ143*AT143*VLOOKUP('Données projet'!$B$10,Paramètres!$A$1:$I$89,3,0)*0.475*44/12</f>
        <v>2.2654535153627822E-16</v>
      </c>
      <c r="AX143" s="21">
        <f t="shared" si="114"/>
        <v>0.26340827717171728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2.8421709430404007E-14</v>
      </c>
      <c r="BE143" s="13">
        <f>BD143*VLOOKUP('Données projet'!$B$11,Paramètres!$A$1:$I$89,3,0)*VLOOKUP('Données projet'!$B$11,Paramètres!$A$1:$I$89,5,0)</f>
        <v>2.5715962692629544E-14</v>
      </c>
      <c r="BF143" s="13">
        <f t="shared" si="145"/>
        <v>4.5248818890525812E-13</v>
      </c>
      <c r="BG143" s="20">
        <f t="shared" si="115"/>
        <v>8.3287223069965432E-13</v>
      </c>
      <c r="BH143" s="59">
        <f t="shared" si="116"/>
        <v>293.33333333333417</v>
      </c>
      <c r="BI143" s="59">
        <f ca="1">AVERAGE(OFFSET($BH$3,0,0,'Données projet'!$E$11+1,1))-AVERAGE(OFFSET($H$3,0,0,'Données projet'!$E$11+1,1))</f>
        <v>138.8931001150624</v>
      </c>
      <c r="BJ143" s="59">
        <f t="shared" si="146"/>
        <v>48.964659354096625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>
        <f>EXP(-LN(2)/35)*BP142+(1-EXP(-LN(2)/35))/(LN(2)/35)*BL143*BM143*VLOOKUP('Données projet'!$B$11,Paramètres!$A$1:$I$89,3,0)*0.475*44/12</f>
        <v>0</v>
      </c>
      <c r="BQ143" s="21">
        <f>EXP(-LN(2)/25)*BQ142+(1-EXP(-LN(2)/25))/(LN(2)/25)*Calculateur!BL143*Calculateur!BN143*VLOOKUP('Données projet'!$B$11,Paramètres!$A$1:$I$89,3,0)*0.475*44/12</f>
        <v>0</v>
      </c>
      <c r="BR143" s="21">
        <f>EXP(-LN(2)/2)*BR142+(1-EXP(-LN(2)/2))/(LN(2)/2)*BL143*BO143*VLOOKUP('Données projet'!$B$11,Paramètres!$A$1:$I$89,3,0)*0.475*44/12</f>
        <v>0</v>
      </c>
      <c r="BS143" s="22">
        <f t="shared" si="117"/>
        <v>0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1.1368683772161603E-13</v>
      </c>
      <c r="BZ143" s="13">
        <f>BY143*VLOOKUP('Données projet'!$B$12,Paramètres!$A$1:$I$89,3,0)*VLOOKUP('Données projet'!$B$12,Paramètres!$A$1:$I$89,5,0)</f>
        <v>1.0995790944434703E-13</v>
      </c>
      <c r="CA143" s="13">
        <f t="shared" si="147"/>
        <v>1.6337280948049956E-12</v>
      </c>
      <c r="CB143" s="20">
        <f t="shared" si="118"/>
        <v>3.036919790734272E-12</v>
      </c>
      <c r="CC143" s="59">
        <f t="shared" si="119"/>
        <v>293.33333333333633</v>
      </c>
      <c r="CD143" s="59">
        <f ca="1">AVERAGE(OFFSET($CC$3,0,0,'Données projet'!$E$12+1,1))-AVERAGE(OFFSET($H$3,0,0,'Données projet'!$E$12+1,1))</f>
        <v>154.93882427988234</v>
      </c>
      <c r="CE143" s="59">
        <f t="shared" si="148"/>
        <v>56.347130462109817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>
        <f>EXP(-LN(2)/35)*CK142+(1-EXP(-LN(2)/35))/(LN(2)/35)*CG143*CH143*VLOOKUP('Données projet'!$B$12,Paramètres!$A$1:$I$89,3,0)*0.475*44/12</f>
        <v>0</v>
      </c>
      <c r="CL143" s="21">
        <f>EXP(-LN(2)/25)*CL142+(1-EXP(-LN(2)/25))/(LN(2)/25)*Calculateur!CG143*Calculateur!CI143*VLOOKUP('Données projet'!$B$12,Paramètres!$A$1:$I$89,3,0)*0.475*44/12</f>
        <v>0</v>
      </c>
      <c r="CM143" s="21">
        <f>EXP(-LN(2)/2)*CM142+(1-EXP(-LN(2)/2))/(LN(2)/2)*CG143*CJ143*VLOOKUP('Données projet'!$B$12,Paramètres!$A$1:$I$89,3,0)*0.475*44/12</f>
        <v>0</v>
      </c>
      <c r="CN143" s="22">
        <f t="shared" si="120"/>
        <v>0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125.37720000000024</v>
      </c>
      <c r="D144" s="11">
        <f t="shared" si="140"/>
        <v>32.925925439106905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1221.9890384773182</v>
      </c>
      <c r="H144" s="67">
        <f t="shared" si="110"/>
        <v>569.04461013977823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0</v>
      </c>
      <c r="O144" s="13">
        <f>N144*VLOOKUP('Données projet'!$B$9,Paramètres!$A$1:$I$89,3,0)*VLOOKUP('Données projet'!$B$9,Paramètres!$A$1:$I$89,5,0)</f>
        <v>0</v>
      </c>
      <c r="P144" s="13" t="e">
        <f t="shared" si="141"/>
        <v>#NUM!</v>
      </c>
      <c r="Q144" s="20" t="e">
        <f t="shared" si="108"/>
        <v>#NUM!</v>
      </c>
      <c r="R144" s="59" t="e">
        <f t="shared" si="109"/>
        <v>#NUM!</v>
      </c>
      <c r="S144" s="59">
        <f ca="1">AVERAGE(OFFSET($R$3,0,0,'Données projet'!$E$9+1,1))-AVERAGE(OFFSET($H$3,0,0,'Données projet'!$E$9+1,1))</f>
        <v>72.647148358003676</v>
      </c>
      <c r="T144" s="59">
        <f t="shared" si="142"/>
        <v>87.231299224620898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0.14123947188089006</v>
      </c>
      <c r="AA144" s="21">
        <f>EXP(-LN(2)/25)*AA143+(1-EXP(-LN(2)/25))/(LN(2)/25)*Calculateur!V144*Calculateur!X144*VLOOKUP('Données projet'!$B$9,Paramètres!$A$1:$I$89,3,0)*0.475*44/12</f>
        <v>0.2087532016634534</v>
      </c>
      <c r="AB144" s="21">
        <f>EXP(-LN(2)/2)*AB143+(1-EXP(-LN(2)/2))/(LN(2)/2)*V144*Y144*VLOOKUP('Données projet'!$B$9,Paramètres!$A$1:$I$89,3,0)*0.475*44/12</f>
        <v>4.4765222389973387E-17</v>
      </c>
      <c r="AC144" s="22">
        <f t="shared" si="111"/>
        <v>0.34999267354434355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-8.5265128291212022E-14</v>
      </c>
      <c r="AJ144" s="13">
        <f>AI144*VLOOKUP('Données projet'!$B$10,Paramètres!$A$1:$I$89,3,0)*VLOOKUP('Données projet'!$B$10,Paramètres!$A$1:$I$89,5,0)</f>
        <v>-6.9167072069831198E-14</v>
      </c>
      <c r="AK144" s="13" t="e">
        <f t="shared" si="143"/>
        <v>#NUM!</v>
      </c>
      <c r="AL144" s="20" t="e">
        <f t="shared" si="112"/>
        <v>#NUM!</v>
      </c>
      <c r="AM144" s="59" t="e">
        <f t="shared" si="113"/>
        <v>#NUM!</v>
      </c>
      <c r="AN144" s="59">
        <f ca="1">AVERAGE(OFFSET($AM$3,0,0,'Données projet'!$E$10+1,1))-AVERAGE(OFFSET($H$3,0,0,'Données projet'!$E$10+1,1))</f>
        <v>145.3656871223958</v>
      </c>
      <c r="AO144" s="59">
        <f t="shared" si="144"/>
        <v>180.54762778843178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0</v>
      </c>
      <c r="AV144" s="21">
        <f>EXP(-LN(2)/25)*AV143+(1-EXP(-LN(2)/25))/(LN(2)/25)*Calculateur!AQ144*Calculateur!AS144*VLOOKUP('Données projet'!$B$10,Paramètres!$A$1:$I$89,3,0)*0.475*44/12</f>
        <v>0.25620536398041716</v>
      </c>
      <c r="AW144" s="21">
        <f>EXP(-LN(2)/2)*AW143+(1-EXP(-LN(2)/2))/(LN(2)/2)*AQ144*AT144*VLOOKUP('Données projet'!$B$10,Paramètres!$A$1:$I$89,3,0)*0.475*44/12</f>
        <v>1.6019175431759257E-16</v>
      </c>
      <c r="AX144" s="21">
        <f t="shared" si="114"/>
        <v>0.25620536398041732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2.8421709430404007E-14</v>
      </c>
      <c r="BE144" s="13">
        <f>BD144*VLOOKUP('Données projet'!$B$11,Paramètres!$A$1:$I$89,3,0)*VLOOKUP('Données projet'!$B$11,Paramètres!$A$1:$I$89,5,0)</f>
        <v>2.5715962692629544E-14</v>
      </c>
      <c r="BF144" s="13">
        <f t="shared" si="145"/>
        <v>4.5248818890525812E-13</v>
      </c>
      <c r="BG144" s="20">
        <f t="shared" si="115"/>
        <v>8.3287223069965432E-13</v>
      </c>
      <c r="BH144" s="59">
        <f t="shared" si="116"/>
        <v>293.33333333333417</v>
      </c>
      <c r="BI144" s="59">
        <f ca="1">AVERAGE(OFFSET($BH$3,0,0,'Données projet'!$E$11+1,1))-AVERAGE(OFFSET($H$3,0,0,'Données projet'!$E$11+1,1))</f>
        <v>138.8931001150624</v>
      </c>
      <c r="BJ144" s="59">
        <f t="shared" si="146"/>
        <v>48.964659354096625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>
        <f>EXP(-LN(2)/35)*BP143+(1-EXP(-LN(2)/35))/(LN(2)/35)*BL144*BM144*VLOOKUP('Données projet'!$B$11,Paramètres!$A$1:$I$89,3,0)*0.475*44/12</f>
        <v>0</v>
      </c>
      <c r="BQ144" s="21">
        <f>EXP(-LN(2)/25)*BQ143+(1-EXP(-LN(2)/25))/(LN(2)/25)*Calculateur!BL144*Calculateur!BN144*VLOOKUP('Données projet'!$B$11,Paramètres!$A$1:$I$89,3,0)*0.475*44/12</f>
        <v>0</v>
      </c>
      <c r="BR144" s="21">
        <f>EXP(-LN(2)/2)*BR143+(1-EXP(-LN(2)/2))/(LN(2)/2)*BL144*BO144*VLOOKUP('Données projet'!$B$11,Paramètres!$A$1:$I$89,3,0)*0.475*44/12</f>
        <v>0</v>
      </c>
      <c r="BS144" s="22">
        <f t="shared" si="117"/>
        <v>0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1.1368683772161603E-13</v>
      </c>
      <c r="BZ144" s="13">
        <f>BY144*VLOOKUP('Données projet'!$B$12,Paramètres!$A$1:$I$89,3,0)*VLOOKUP('Données projet'!$B$12,Paramètres!$A$1:$I$89,5,0)</f>
        <v>1.0995790944434703E-13</v>
      </c>
      <c r="CA144" s="13">
        <f t="shared" si="147"/>
        <v>1.6337280948049956E-12</v>
      </c>
      <c r="CB144" s="20">
        <f t="shared" si="118"/>
        <v>3.036919790734272E-12</v>
      </c>
      <c r="CC144" s="59">
        <f t="shared" si="119"/>
        <v>293.33333333333633</v>
      </c>
      <c r="CD144" s="59">
        <f ca="1">AVERAGE(OFFSET($CC$3,0,0,'Données projet'!$E$12+1,1))-AVERAGE(OFFSET($H$3,0,0,'Données projet'!$E$12+1,1))</f>
        <v>154.93882427988234</v>
      </c>
      <c r="CE144" s="59">
        <f t="shared" si="148"/>
        <v>56.347130462109817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>
        <f>EXP(-LN(2)/35)*CK143+(1-EXP(-LN(2)/35))/(LN(2)/35)*CG144*CH144*VLOOKUP('Données projet'!$B$12,Paramètres!$A$1:$I$89,3,0)*0.475*44/12</f>
        <v>0</v>
      </c>
      <c r="CL144" s="21">
        <f>EXP(-LN(2)/25)*CL143+(1-EXP(-LN(2)/25))/(LN(2)/25)*Calculateur!CG144*Calculateur!CI144*VLOOKUP('Données projet'!$B$12,Paramètres!$A$1:$I$89,3,0)*0.475*44/12</f>
        <v>0</v>
      </c>
      <c r="CM144" s="21">
        <f>EXP(-LN(2)/2)*CM143+(1-EXP(-LN(2)/2))/(LN(2)/2)*CG144*CJ144*VLOOKUP('Données projet'!$B$12,Paramètres!$A$1:$I$89,3,0)*0.475*44/12</f>
        <v>0</v>
      </c>
      <c r="CN144" s="22">
        <f t="shared" si="120"/>
        <v>0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126.26640000000025</v>
      </c>
      <c r="D145" s="11">
        <f t="shared" si="140"/>
        <v>33.132176294071868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1230.4451503402058</v>
      </c>
      <c r="H145" s="67">
        <f t="shared" si="110"/>
        <v>570.95252037884222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0</v>
      </c>
      <c r="O145" s="13">
        <f>N145*VLOOKUP('Données projet'!$B$9,Paramètres!$A$1:$I$89,3,0)*VLOOKUP('Données projet'!$B$9,Paramètres!$A$1:$I$89,5,0)</f>
        <v>0</v>
      </c>
      <c r="P145" s="13" t="e">
        <f t="shared" si="141"/>
        <v>#NUM!</v>
      </c>
      <c r="Q145" s="20" t="e">
        <f t="shared" si="108"/>
        <v>#NUM!</v>
      </c>
      <c r="R145" s="59" t="e">
        <f t="shared" si="109"/>
        <v>#NUM!</v>
      </c>
      <c r="S145" s="59">
        <f ca="1">AVERAGE(OFFSET($R$3,0,0,'Données projet'!$E$9+1,1))-AVERAGE(OFFSET($H$3,0,0,'Données projet'!$E$9+1,1))</f>
        <v>72.647148358003676</v>
      </c>
      <c r="T145" s="59">
        <f t="shared" si="142"/>
        <v>87.231299224620898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0.1384698519848773</v>
      </c>
      <c r="AA145" s="21">
        <f>EXP(-LN(2)/25)*AA144+(1-EXP(-LN(2)/25))/(LN(2)/25)*Calculateur!V145*Calculateur!X145*VLOOKUP('Données projet'!$B$9,Paramètres!$A$1:$I$89,3,0)*0.475*44/12</f>
        <v>0.20304483438611251</v>
      </c>
      <c r="AB145" s="21">
        <f>EXP(-LN(2)/2)*AB144+(1-EXP(-LN(2)/2))/(LN(2)/2)*V145*Y145*VLOOKUP('Données projet'!$B$9,Paramètres!$A$1:$I$89,3,0)*0.475*44/12</f>
        <v>3.1653792313274049E-17</v>
      </c>
      <c r="AC145" s="22">
        <f t="shared" si="111"/>
        <v>0.34151468637098986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-8.5265128291212022E-14</v>
      </c>
      <c r="AJ145" s="13">
        <f>AI145*VLOOKUP('Données projet'!$B$10,Paramètres!$A$1:$I$89,3,0)*VLOOKUP('Données projet'!$B$10,Paramètres!$A$1:$I$89,5,0)</f>
        <v>-6.9167072069831198E-14</v>
      </c>
      <c r="AK145" s="13" t="e">
        <f t="shared" si="143"/>
        <v>#NUM!</v>
      </c>
      <c r="AL145" s="20" t="e">
        <f t="shared" si="112"/>
        <v>#NUM!</v>
      </c>
      <c r="AM145" s="59" t="e">
        <f t="shared" si="113"/>
        <v>#NUM!</v>
      </c>
      <c r="AN145" s="59">
        <f ca="1">AVERAGE(OFFSET($AM$3,0,0,'Données projet'!$E$10+1,1))-AVERAGE(OFFSET($H$3,0,0,'Données projet'!$E$10+1,1))</f>
        <v>145.3656871223958</v>
      </c>
      <c r="AO145" s="59">
        <f t="shared" si="144"/>
        <v>180.54762778843178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0</v>
      </c>
      <c r="AV145" s="21">
        <f>EXP(-LN(2)/25)*AV144+(1-EXP(-LN(2)/25))/(LN(2)/25)*Calculateur!AQ145*Calculateur!AS145*VLOOKUP('Données projet'!$B$10,Paramètres!$A$1:$I$89,3,0)*0.475*44/12</f>
        <v>0.24919941482911812</v>
      </c>
      <c r="AW145" s="21">
        <f>EXP(-LN(2)/2)*AW144+(1-EXP(-LN(2)/2))/(LN(2)/2)*AQ145*AT145*VLOOKUP('Données projet'!$B$10,Paramètres!$A$1:$I$89,3,0)*0.475*44/12</f>
        <v>1.1327267576813911E-16</v>
      </c>
      <c r="AX145" s="21">
        <f t="shared" si="114"/>
        <v>0.24919941482911823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2.8421709430404007E-14</v>
      </c>
      <c r="BE145" s="13">
        <f>BD145*VLOOKUP('Données projet'!$B$11,Paramètres!$A$1:$I$89,3,0)*VLOOKUP('Données projet'!$B$11,Paramètres!$A$1:$I$89,5,0)</f>
        <v>2.5715962692629544E-14</v>
      </c>
      <c r="BF145" s="13">
        <f t="shared" si="145"/>
        <v>4.5248818890525812E-13</v>
      </c>
      <c r="BG145" s="20">
        <f t="shared" si="115"/>
        <v>8.3287223069965432E-13</v>
      </c>
      <c r="BH145" s="59">
        <f t="shared" si="116"/>
        <v>293.33333333333417</v>
      </c>
      <c r="BI145" s="59">
        <f ca="1">AVERAGE(OFFSET($BH$3,0,0,'Données projet'!$E$11+1,1))-AVERAGE(OFFSET($H$3,0,0,'Données projet'!$E$11+1,1))</f>
        <v>138.8931001150624</v>
      </c>
      <c r="BJ145" s="59">
        <f t="shared" si="146"/>
        <v>48.964659354096625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>
        <f>EXP(-LN(2)/35)*BP144+(1-EXP(-LN(2)/35))/(LN(2)/35)*BL145*BM145*VLOOKUP('Données projet'!$B$11,Paramètres!$A$1:$I$89,3,0)*0.475*44/12</f>
        <v>0</v>
      </c>
      <c r="BQ145" s="21">
        <f>EXP(-LN(2)/25)*BQ144+(1-EXP(-LN(2)/25))/(LN(2)/25)*Calculateur!BL145*Calculateur!BN145*VLOOKUP('Données projet'!$B$11,Paramètres!$A$1:$I$89,3,0)*0.475*44/12</f>
        <v>0</v>
      </c>
      <c r="BR145" s="21">
        <f>EXP(-LN(2)/2)*BR144+(1-EXP(-LN(2)/2))/(LN(2)/2)*BL145*BO145*VLOOKUP('Données projet'!$B$11,Paramètres!$A$1:$I$89,3,0)*0.475*44/12</f>
        <v>0</v>
      </c>
      <c r="BS145" s="22">
        <f t="shared" si="117"/>
        <v>0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1.1368683772161603E-13</v>
      </c>
      <c r="BZ145" s="13">
        <f>BY145*VLOOKUP('Données projet'!$B$12,Paramètres!$A$1:$I$89,3,0)*VLOOKUP('Données projet'!$B$12,Paramètres!$A$1:$I$89,5,0)</f>
        <v>1.0995790944434703E-13</v>
      </c>
      <c r="CA145" s="13">
        <f t="shared" si="147"/>
        <v>1.6337280948049956E-12</v>
      </c>
      <c r="CB145" s="20">
        <f t="shared" si="118"/>
        <v>3.036919790734272E-12</v>
      </c>
      <c r="CC145" s="59">
        <f t="shared" si="119"/>
        <v>293.33333333333633</v>
      </c>
      <c r="CD145" s="59">
        <f ca="1">AVERAGE(OFFSET($CC$3,0,0,'Données projet'!$E$12+1,1))-AVERAGE(OFFSET($H$3,0,0,'Données projet'!$E$12+1,1))</f>
        <v>154.93882427988234</v>
      </c>
      <c r="CE145" s="59">
        <f t="shared" si="148"/>
        <v>56.347130462109817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>
        <f>EXP(-LN(2)/35)*CK144+(1-EXP(-LN(2)/35))/(LN(2)/35)*CG145*CH145*VLOOKUP('Données projet'!$B$12,Paramètres!$A$1:$I$89,3,0)*0.475*44/12</f>
        <v>0</v>
      </c>
      <c r="CL145" s="21">
        <f>EXP(-LN(2)/25)*CL144+(1-EXP(-LN(2)/25))/(LN(2)/25)*Calculateur!CG145*Calculateur!CI145*VLOOKUP('Données projet'!$B$12,Paramètres!$A$1:$I$89,3,0)*0.475*44/12</f>
        <v>0</v>
      </c>
      <c r="CM145" s="21">
        <f>EXP(-LN(2)/2)*CM144+(1-EXP(-LN(2)/2))/(LN(2)/2)*CG145*CJ145*VLOOKUP('Données projet'!$B$12,Paramètres!$A$1:$I$89,3,0)*0.475*44/12</f>
        <v>0</v>
      </c>
      <c r="CN145" s="22">
        <f t="shared" si="120"/>
        <v>0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127.15560000000025</v>
      </c>
      <c r="D146" s="11">
        <f t="shared" si="140"/>
        <v>33.33825814923194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1238.8999576431959</v>
      </c>
      <c r="H146" s="67">
        <f t="shared" si="110"/>
        <v>572.8601362765794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0</v>
      </c>
      <c r="O146" s="13">
        <f>N146*VLOOKUP('Données projet'!$B$9,Paramètres!$A$1:$I$89,3,0)*VLOOKUP('Données projet'!$B$9,Paramètres!$A$1:$I$89,5,0)</f>
        <v>0</v>
      </c>
      <c r="P146" s="13" t="e">
        <f t="shared" si="141"/>
        <v>#NUM!</v>
      </c>
      <c r="Q146" s="20" t="e">
        <f t="shared" si="108"/>
        <v>#NUM!</v>
      </c>
      <c r="R146" s="59" t="e">
        <f t="shared" si="109"/>
        <v>#NUM!</v>
      </c>
      <c r="S146" s="59">
        <f ca="1">AVERAGE(OFFSET($R$3,0,0,'Données projet'!$E$9+1,1))-AVERAGE(OFFSET($H$3,0,0,'Données projet'!$E$9+1,1))</f>
        <v>72.647148358003676</v>
      </c>
      <c r="T146" s="59">
        <f t="shared" si="142"/>
        <v>87.231299224620898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0.13575454264572401</v>
      </c>
      <c r="AA146" s="21">
        <f>EXP(-LN(2)/25)*AA145+(1-EXP(-LN(2)/25))/(LN(2)/25)*Calculateur!V146*Calculateur!X146*VLOOKUP('Données projet'!$B$9,Paramètres!$A$1:$I$89,3,0)*0.475*44/12</f>
        <v>0.19749256271216048</v>
      </c>
      <c r="AB146" s="21">
        <f>EXP(-LN(2)/2)*AB145+(1-EXP(-LN(2)/2))/(LN(2)/2)*V146*Y146*VLOOKUP('Données projet'!$B$9,Paramètres!$A$1:$I$89,3,0)*0.475*44/12</f>
        <v>2.2382611194986693E-17</v>
      </c>
      <c r="AC146" s="22">
        <f t="shared" si="111"/>
        <v>0.33324710535788449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-8.5265128291212022E-14</v>
      </c>
      <c r="AJ146" s="13">
        <f>AI146*VLOOKUP('Données projet'!$B$10,Paramètres!$A$1:$I$89,3,0)*VLOOKUP('Données projet'!$B$10,Paramètres!$A$1:$I$89,5,0)</f>
        <v>-6.9167072069831198E-14</v>
      </c>
      <c r="AK146" s="13" t="e">
        <f t="shared" si="143"/>
        <v>#NUM!</v>
      </c>
      <c r="AL146" s="20" t="e">
        <f t="shared" si="112"/>
        <v>#NUM!</v>
      </c>
      <c r="AM146" s="59" t="e">
        <f t="shared" si="113"/>
        <v>#NUM!</v>
      </c>
      <c r="AN146" s="59">
        <f ca="1">AVERAGE(OFFSET($AM$3,0,0,'Données projet'!$E$10+1,1))-AVERAGE(OFFSET($H$3,0,0,'Données projet'!$E$10+1,1))</f>
        <v>145.3656871223958</v>
      </c>
      <c r="AO146" s="59">
        <f t="shared" si="144"/>
        <v>180.54762778843178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0</v>
      </c>
      <c r="AV146" s="21">
        <f>EXP(-LN(2)/25)*AV145+(1-EXP(-LN(2)/25))/(LN(2)/25)*Calculateur!AQ146*Calculateur!AS146*VLOOKUP('Données projet'!$B$10,Paramètres!$A$1:$I$89,3,0)*0.475*44/12</f>
        <v>0.2423850437257882</v>
      </c>
      <c r="AW146" s="21">
        <f>EXP(-LN(2)/2)*AW145+(1-EXP(-LN(2)/2))/(LN(2)/2)*AQ146*AT146*VLOOKUP('Données projet'!$B$10,Paramètres!$A$1:$I$89,3,0)*0.475*44/12</f>
        <v>8.0095877158796285E-17</v>
      </c>
      <c r="AX146" s="21">
        <f t="shared" si="114"/>
        <v>0.24238504372578829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2.8421709430404007E-14</v>
      </c>
      <c r="BE146" s="13">
        <f>BD146*VLOOKUP('Données projet'!$B$11,Paramètres!$A$1:$I$89,3,0)*VLOOKUP('Données projet'!$B$11,Paramètres!$A$1:$I$89,5,0)</f>
        <v>2.5715962692629544E-14</v>
      </c>
      <c r="BF146" s="13">
        <f t="shared" si="145"/>
        <v>4.5248818890525812E-13</v>
      </c>
      <c r="BG146" s="20">
        <f t="shared" si="115"/>
        <v>8.3287223069965432E-13</v>
      </c>
      <c r="BH146" s="59">
        <f t="shared" si="116"/>
        <v>293.33333333333417</v>
      </c>
      <c r="BI146" s="59">
        <f ca="1">AVERAGE(OFFSET($BH$3,0,0,'Données projet'!$E$11+1,1))-AVERAGE(OFFSET($H$3,0,0,'Données projet'!$E$11+1,1))</f>
        <v>138.8931001150624</v>
      </c>
      <c r="BJ146" s="59">
        <f t="shared" si="146"/>
        <v>48.964659354096625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>
        <f>EXP(-LN(2)/35)*BP145+(1-EXP(-LN(2)/35))/(LN(2)/35)*BL146*BM146*VLOOKUP('Données projet'!$B$11,Paramètres!$A$1:$I$89,3,0)*0.475*44/12</f>
        <v>0</v>
      </c>
      <c r="BQ146" s="21">
        <f>EXP(-LN(2)/25)*BQ145+(1-EXP(-LN(2)/25))/(LN(2)/25)*Calculateur!BL146*Calculateur!BN146*VLOOKUP('Données projet'!$B$11,Paramètres!$A$1:$I$89,3,0)*0.475*44/12</f>
        <v>0</v>
      </c>
      <c r="BR146" s="21">
        <f>EXP(-LN(2)/2)*BR145+(1-EXP(-LN(2)/2))/(LN(2)/2)*BL146*BO146*VLOOKUP('Données projet'!$B$11,Paramètres!$A$1:$I$89,3,0)*0.475*44/12</f>
        <v>0</v>
      </c>
      <c r="BS146" s="22">
        <f t="shared" si="117"/>
        <v>0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1.1368683772161603E-13</v>
      </c>
      <c r="BZ146" s="13">
        <f>BY146*VLOOKUP('Données projet'!$B$12,Paramètres!$A$1:$I$89,3,0)*VLOOKUP('Données projet'!$B$12,Paramètres!$A$1:$I$89,5,0)</f>
        <v>1.0995790944434703E-13</v>
      </c>
      <c r="CA146" s="13">
        <f t="shared" si="147"/>
        <v>1.6337280948049956E-12</v>
      </c>
      <c r="CB146" s="20">
        <f t="shared" si="118"/>
        <v>3.036919790734272E-12</v>
      </c>
      <c r="CC146" s="59">
        <f t="shared" si="119"/>
        <v>293.33333333333633</v>
      </c>
      <c r="CD146" s="59">
        <f ca="1">AVERAGE(OFFSET($CC$3,0,0,'Données projet'!$E$12+1,1))-AVERAGE(OFFSET($H$3,0,0,'Données projet'!$E$12+1,1))</f>
        <v>154.93882427988234</v>
      </c>
      <c r="CE146" s="59">
        <f t="shared" si="148"/>
        <v>56.347130462109817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>
        <f>EXP(-LN(2)/35)*CK145+(1-EXP(-LN(2)/35))/(LN(2)/35)*CG146*CH146*VLOOKUP('Données projet'!$B$12,Paramètres!$A$1:$I$89,3,0)*0.475*44/12</f>
        <v>0</v>
      </c>
      <c r="CL146" s="21">
        <f>EXP(-LN(2)/25)*CL145+(1-EXP(-LN(2)/25))/(LN(2)/25)*Calculateur!CG146*Calculateur!CI146*VLOOKUP('Données projet'!$B$12,Paramètres!$A$1:$I$89,3,0)*0.475*44/12</f>
        <v>0</v>
      </c>
      <c r="CM146" s="21">
        <f>EXP(-LN(2)/2)*CM145+(1-EXP(-LN(2)/2))/(LN(2)/2)*CG146*CJ146*VLOOKUP('Données projet'!$B$12,Paramètres!$A$1:$I$89,3,0)*0.475*44/12</f>
        <v>0</v>
      </c>
      <c r="CN146" s="22">
        <f t="shared" si="120"/>
        <v>0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128.04480000000024</v>
      </c>
      <c r="D147" s="11">
        <f t="shared" si="140"/>
        <v>33.544172323452237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1247.3534705670015</v>
      </c>
      <c r="H147" s="67">
        <f t="shared" si="110"/>
        <v>574.76746013001298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0</v>
      </c>
      <c r="O147" s="13">
        <f>N147*VLOOKUP('Données projet'!$B$9,Paramètres!$A$1:$I$89,3,0)*VLOOKUP('Données projet'!$B$9,Paramètres!$A$1:$I$89,5,0)</f>
        <v>0</v>
      </c>
      <c r="P147" s="13" t="e">
        <f t="shared" si="141"/>
        <v>#NUM!</v>
      </c>
      <c r="Q147" s="20" t="e">
        <f t="shared" si="108"/>
        <v>#NUM!</v>
      </c>
      <c r="R147" s="59" t="e">
        <f t="shared" si="109"/>
        <v>#NUM!</v>
      </c>
      <c r="S147" s="59">
        <f ca="1">AVERAGE(OFFSET($R$3,0,0,'Données projet'!$E$9+1,1))-AVERAGE(OFFSET($H$3,0,0,'Données projet'!$E$9+1,1))</f>
        <v>72.647148358003676</v>
      </c>
      <c r="T147" s="59">
        <f t="shared" si="142"/>
        <v>87.231299224620898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0.13309247886653636</v>
      </c>
      <c r="AA147" s="21">
        <f>EXP(-LN(2)/25)*AA146+(1-EXP(-LN(2)/25))/(LN(2)/25)*Calculateur!V147*Calculateur!X147*VLOOKUP('Données projet'!$B$9,Paramètres!$A$1:$I$89,3,0)*0.475*44/12</f>
        <v>0.19209211819911395</v>
      </c>
      <c r="AB147" s="21">
        <f>EXP(-LN(2)/2)*AB146+(1-EXP(-LN(2)/2))/(LN(2)/2)*V147*Y147*VLOOKUP('Données projet'!$B$9,Paramètres!$A$1:$I$89,3,0)*0.475*44/12</f>
        <v>1.5826896156637025E-17</v>
      </c>
      <c r="AC147" s="22">
        <f t="shared" si="111"/>
        <v>0.32518459706565028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-8.5265128291212022E-14</v>
      </c>
      <c r="AJ147" s="13">
        <f>AI147*VLOOKUP('Données projet'!$B$10,Paramètres!$A$1:$I$89,3,0)*VLOOKUP('Données projet'!$B$10,Paramètres!$A$1:$I$89,5,0)</f>
        <v>-6.9167072069831198E-14</v>
      </c>
      <c r="AK147" s="13" t="e">
        <f t="shared" si="143"/>
        <v>#NUM!</v>
      </c>
      <c r="AL147" s="20" t="e">
        <f t="shared" si="112"/>
        <v>#NUM!</v>
      </c>
      <c r="AM147" s="59" t="e">
        <f t="shared" si="113"/>
        <v>#NUM!</v>
      </c>
      <c r="AN147" s="59">
        <f ca="1">AVERAGE(OFFSET($AM$3,0,0,'Données projet'!$E$10+1,1))-AVERAGE(OFFSET($H$3,0,0,'Données projet'!$E$10+1,1))</f>
        <v>145.3656871223958</v>
      </c>
      <c r="AO147" s="59">
        <f t="shared" si="144"/>
        <v>180.54762778843178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0</v>
      </c>
      <c r="AV147" s="21">
        <f>EXP(-LN(2)/25)*AV146+(1-EXP(-LN(2)/25))/(LN(2)/25)*Calculateur!AQ147*Calculateur!AS147*VLOOKUP('Données projet'!$B$10,Paramètres!$A$1:$I$89,3,0)*0.475*44/12</f>
        <v>0.23575701195863105</v>
      </c>
      <c r="AW147" s="21">
        <f>EXP(-LN(2)/2)*AW146+(1-EXP(-LN(2)/2))/(LN(2)/2)*AQ147*AT147*VLOOKUP('Données projet'!$B$10,Paramètres!$A$1:$I$89,3,0)*0.475*44/12</f>
        <v>5.6636337884069554E-17</v>
      </c>
      <c r="AX147" s="21">
        <f t="shared" si="114"/>
        <v>0.23575701195863111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2.8421709430404007E-14</v>
      </c>
      <c r="BE147" s="13">
        <f>BD147*VLOOKUP('Données projet'!$B$11,Paramètres!$A$1:$I$89,3,0)*VLOOKUP('Données projet'!$B$11,Paramètres!$A$1:$I$89,5,0)</f>
        <v>2.5715962692629544E-14</v>
      </c>
      <c r="BF147" s="13">
        <f t="shared" si="145"/>
        <v>4.5248818890525812E-13</v>
      </c>
      <c r="BG147" s="20">
        <f t="shared" si="115"/>
        <v>8.3287223069965432E-13</v>
      </c>
      <c r="BH147" s="59">
        <f t="shared" si="116"/>
        <v>293.33333333333417</v>
      </c>
      <c r="BI147" s="59">
        <f ca="1">AVERAGE(OFFSET($BH$3,0,0,'Données projet'!$E$11+1,1))-AVERAGE(OFFSET($H$3,0,0,'Données projet'!$E$11+1,1))</f>
        <v>138.8931001150624</v>
      </c>
      <c r="BJ147" s="59">
        <f t="shared" si="146"/>
        <v>48.964659354096625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>
        <f>EXP(-LN(2)/35)*BP146+(1-EXP(-LN(2)/35))/(LN(2)/35)*BL147*BM147*VLOOKUP('Données projet'!$B$11,Paramètres!$A$1:$I$89,3,0)*0.475*44/12</f>
        <v>0</v>
      </c>
      <c r="BQ147" s="21">
        <f>EXP(-LN(2)/25)*BQ146+(1-EXP(-LN(2)/25))/(LN(2)/25)*Calculateur!BL147*Calculateur!BN147*VLOOKUP('Données projet'!$B$11,Paramètres!$A$1:$I$89,3,0)*0.475*44/12</f>
        <v>0</v>
      </c>
      <c r="BR147" s="21">
        <f>EXP(-LN(2)/2)*BR146+(1-EXP(-LN(2)/2))/(LN(2)/2)*BL147*BO147*VLOOKUP('Données projet'!$B$11,Paramètres!$A$1:$I$89,3,0)*0.475*44/12</f>
        <v>0</v>
      </c>
      <c r="BS147" s="22">
        <f t="shared" si="117"/>
        <v>0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1.1368683772161603E-13</v>
      </c>
      <c r="BZ147" s="13">
        <f>BY147*VLOOKUP('Données projet'!$B$12,Paramètres!$A$1:$I$89,3,0)*VLOOKUP('Données projet'!$B$12,Paramètres!$A$1:$I$89,5,0)</f>
        <v>1.0995790944434703E-13</v>
      </c>
      <c r="CA147" s="13">
        <f t="shared" si="147"/>
        <v>1.6337280948049956E-12</v>
      </c>
      <c r="CB147" s="20">
        <f t="shared" si="118"/>
        <v>3.036919790734272E-12</v>
      </c>
      <c r="CC147" s="59">
        <f t="shared" si="119"/>
        <v>293.33333333333633</v>
      </c>
      <c r="CD147" s="59">
        <f ca="1">AVERAGE(OFFSET($CC$3,0,0,'Données projet'!$E$12+1,1))-AVERAGE(OFFSET($H$3,0,0,'Données projet'!$E$12+1,1))</f>
        <v>154.93882427988234</v>
      </c>
      <c r="CE147" s="59">
        <f t="shared" si="148"/>
        <v>56.347130462109817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>
        <f>EXP(-LN(2)/35)*CK146+(1-EXP(-LN(2)/35))/(LN(2)/35)*CG147*CH147*VLOOKUP('Données projet'!$B$12,Paramètres!$A$1:$I$89,3,0)*0.475*44/12</f>
        <v>0</v>
      </c>
      <c r="CL147" s="21">
        <f>EXP(-LN(2)/25)*CL146+(1-EXP(-LN(2)/25))/(LN(2)/25)*Calculateur!CG147*Calculateur!CI147*VLOOKUP('Données projet'!$B$12,Paramètres!$A$1:$I$89,3,0)*0.475*44/12</f>
        <v>0</v>
      </c>
      <c r="CM147" s="21">
        <f>EXP(-LN(2)/2)*CM146+(1-EXP(-LN(2)/2))/(LN(2)/2)*CG147*CJ147*VLOOKUP('Données projet'!$B$12,Paramètres!$A$1:$I$89,3,0)*0.475*44/12</f>
        <v>0</v>
      </c>
      <c r="CN147" s="22">
        <f t="shared" si="120"/>
        <v>0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128.93400000000022</v>
      </c>
      <c r="D148" s="11">
        <f t="shared" si="140"/>
        <v>33.749920116221446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1255.8056991427636</v>
      </c>
      <c r="H148" s="67">
        <f t="shared" si="110"/>
        <v>576.6744942024194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0</v>
      </c>
      <c r="O148" s="13">
        <f>N148*VLOOKUP('Données projet'!$B$9,Paramètres!$A$1:$I$89,3,0)*VLOOKUP('Données projet'!$B$9,Paramètres!$A$1:$I$89,5,0)</f>
        <v>0</v>
      </c>
      <c r="P148" s="13" t="e">
        <f t="shared" si="141"/>
        <v>#NUM!</v>
      </c>
      <c r="Q148" s="20" t="e">
        <f t="shared" si="108"/>
        <v>#NUM!</v>
      </c>
      <c r="R148" s="59" t="e">
        <f t="shared" si="109"/>
        <v>#NUM!</v>
      </c>
      <c r="S148" s="59">
        <f ca="1">AVERAGE(OFFSET($R$3,0,0,'Données projet'!$E$9+1,1))-AVERAGE(OFFSET($H$3,0,0,'Données projet'!$E$9+1,1))</f>
        <v>72.647148358003676</v>
      </c>
      <c r="T148" s="59">
        <f t="shared" si="142"/>
        <v>87.231299224620898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0.13048261653436</v>
      </c>
      <c r="AA148" s="21">
        <f>EXP(-LN(2)/25)*AA147+(1-EXP(-LN(2)/25))/(LN(2)/25)*Calculateur!V148*Calculateur!X148*VLOOKUP('Données projet'!$B$9,Paramètres!$A$1:$I$89,3,0)*0.475*44/12</f>
        <v>0.18683934912527372</v>
      </c>
      <c r="AB148" s="21">
        <f>EXP(-LN(2)/2)*AB147+(1-EXP(-LN(2)/2))/(LN(2)/2)*V148*Y148*VLOOKUP('Données projet'!$B$9,Paramètres!$A$1:$I$89,3,0)*0.475*44/12</f>
        <v>1.1191305597493347E-17</v>
      </c>
      <c r="AC148" s="22">
        <f t="shared" si="111"/>
        <v>0.31732196565963372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-8.5265128291212022E-14</v>
      </c>
      <c r="AJ148" s="13">
        <f>AI148*VLOOKUP('Données projet'!$B$10,Paramètres!$A$1:$I$89,3,0)*VLOOKUP('Données projet'!$B$10,Paramètres!$A$1:$I$89,5,0)</f>
        <v>-6.9167072069831198E-14</v>
      </c>
      <c r="AK148" s="13" t="e">
        <f t="shared" si="143"/>
        <v>#NUM!</v>
      </c>
      <c r="AL148" s="20" t="e">
        <f t="shared" si="112"/>
        <v>#NUM!</v>
      </c>
      <c r="AM148" s="59" t="e">
        <f t="shared" si="113"/>
        <v>#NUM!</v>
      </c>
      <c r="AN148" s="59">
        <f ca="1">AVERAGE(OFFSET($AM$3,0,0,'Données projet'!$E$10+1,1))-AVERAGE(OFFSET($H$3,0,0,'Données projet'!$E$10+1,1))</f>
        <v>145.3656871223958</v>
      </c>
      <c r="AO148" s="59">
        <f t="shared" si="144"/>
        <v>180.54762778843178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0</v>
      </c>
      <c r="AV148" s="21">
        <f>EXP(-LN(2)/25)*AV147+(1-EXP(-LN(2)/25))/(LN(2)/25)*Calculateur!AQ148*Calculateur!AS148*VLOOKUP('Données projet'!$B$10,Paramètres!$A$1:$I$89,3,0)*0.475*44/12</f>
        <v>0.22931022406869986</v>
      </c>
      <c r="AW148" s="21">
        <f>EXP(-LN(2)/2)*AW147+(1-EXP(-LN(2)/2))/(LN(2)/2)*AQ148*AT148*VLOOKUP('Données projet'!$B$10,Paramètres!$A$1:$I$89,3,0)*0.475*44/12</f>
        <v>4.0047938579398143E-17</v>
      </c>
      <c r="AX148" s="21">
        <f t="shared" si="114"/>
        <v>0.22931022406869989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2.8421709430404007E-14</v>
      </c>
      <c r="BE148" s="13">
        <f>BD148*VLOOKUP('Données projet'!$B$11,Paramètres!$A$1:$I$89,3,0)*VLOOKUP('Données projet'!$B$11,Paramètres!$A$1:$I$89,5,0)</f>
        <v>2.5715962692629544E-14</v>
      </c>
      <c r="BF148" s="13">
        <f t="shared" si="145"/>
        <v>4.5248818890525812E-13</v>
      </c>
      <c r="BG148" s="20">
        <f t="shared" si="115"/>
        <v>8.3287223069965432E-13</v>
      </c>
      <c r="BH148" s="59">
        <f t="shared" si="116"/>
        <v>293.33333333333417</v>
      </c>
      <c r="BI148" s="59">
        <f ca="1">AVERAGE(OFFSET($BH$3,0,0,'Données projet'!$E$11+1,1))-AVERAGE(OFFSET($H$3,0,0,'Données projet'!$E$11+1,1))</f>
        <v>138.8931001150624</v>
      </c>
      <c r="BJ148" s="59">
        <f t="shared" si="146"/>
        <v>48.964659354096625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>
        <f>EXP(-LN(2)/35)*BP147+(1-EXP(-LN(2)/35))/(LN(2)/35)*BL148*BM148*VLOOKUP('Données projet'!$B$11,Paramètres!$A$1:$I$89,3,0)*0.475*44/12</f>
        <v>0</v>
      </c>
      <c r="BQ148" s="21">
        <f>EXP(-LN(2)/25)*BQ147+(1-EXP(-LN(2)/25))/(LN(2)/25)*Calculateur!BL148*Calculateur!BN148*VLOOKUP('Données projet'!$B$11,Paramètres!$A$1:$I$89,3,0)*0.475*44/12</f>
        <v>0</v>
      </c>
      <c r="BR148" s="21">
        <f>EXP(-LN(2)/2)*BR147+(1-EXP(-LN(2)/2))/(LN(2)/2)*BL148*BO148*VLOOKUP('Données projet'!$B$11,Paramètres!$A$1:$I$89,3,0)*0.475*44/12</f>
        <v>0</v>
      </c>
      <c r="BS148" s="22">
        <f t="shared" si="117"/>
        <v>0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1.1368683772161603E-13</v>
      </c>
      <c r="BZ148" s="13">
        <f>BY148*VLOOKUP('Données projet'!$B$12,Paramètres!$A$1:$I$89,3,0)*VLOOKUP('Données projet'!$B$12,Paramètres!$A$1:$I$89,5,0)</f>
        <v>1.0995790944434703E-13</v>
      </c>
      <c r="CA148" s="13">
        <f t="shared" si="147"/>
        <v>1.6337280948049956E-12</v>
      </c>
      <c r="CB148" s="20">
        <f t="shared" si="118"/>
        <v>3.036919790734272E-12</v>
      </c>
      <c r="CC148" s="59">
        <f t="shared" si="119"/>
        <v>293.33333333333633</v>
      </c>
      <c r="CD148" s="59">
        <f ca="1">AVERAGE(OFFSET($CC$3,0,0,'Données projet'!$E$12+1,1))-AVERAGE(OFFSET($H$3,0,0,'Données projet'!$E$12+1,1))</f>
        <v>154.93882427988234</v>
      </c>
      <c r="CE148" s="59">
        <f t="shared" si="148"/>
        <v>56.347130462109817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>
        <f>EXP(-LN(2)/35)*CK147+(1-EXP(-LN(2)/35))/(LN(2)/35)*CG148*CH148*VLOOKUP('Données projet'!$B$12,Paramètres!$A$1:$I$89,3,0)*0.475*44/12</f>
        <v>0</v>
      </c>
      <c r="CL148" s="21">
        <f>EXP(-LN(2)/25)*CL147+(1-EXP(-LN(2)/25))/(LN(2)/25)*Calculateur!CG148*Calculateur!CI148*VLOOKUP('Données projet'!$B$12,Paramètres!$A$1:$I$89,3,0)*0.475*44/12</f>
        <v>0</v>
      </c>
      <c r="CM148" s="21">
        <f>EXP(-LN(2)/2)*CM147+(1-EXP(-LN(2)/2))/(LN(2)/2)*CG148*CJ148*VLOOKUP('Données projet'!$B$12,Paramètres!$A$1:$I$89,3,0)*0.475*44/12</f>
        <v>0</v>
      </c>
      <c r="CN148" s="22">
        <f t="shared" si="120"/>
        <v>0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129.82320000000021</v>
      </c>
      <c r="D149" s="11">
        <f t="shared" si="140"/>
        <v>33.955502808068339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1264.256653255266</v>
      </c>
      <c r="H149" s="67">
        <f t="shared" si="110"/>
        <v>578.58124072405269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0</v>
      </c>
      <c r="O149" s="13">
        <f>N149*VLOOKUP('Données projet'!$B$9,Paramètres!$A$1:$I$89,3,0)*VLOOKUP('Données projet'!$B$9,Paramètres!$A$1:$I$89,5,0)</f>
        <v>0</v>
      </c>
      <c r="P149" s="13" t="e">
        <f t="shared" si="141"/>
        <v>#NUM!</v>
      </c>
      <c r="Q149" s="20" t="e">
        <f t="shared" si="108"/>
        <v>#NUM!</v>
      </c>
      <c r="R149" s="59" t="e">
        <f t="shared" si="109"/>
        <v>#NUM!</v>
      </c>
      <c r="S149" s="59">
        <f ca="1">AVERAGE(OFFSET($R$3,0,0,'Données projet'!$E$9+1,1))-AVERAGE(OFFSET($H$3,0,0,'Données projet'!$E$9+1,1))</f>
        <v>72.647148358003676</v>
      </c>
      <c r="T149" s="59">
        <f t="shared" si="142"/>
        <v>87.231299224620898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0.12792393201065877</v>
      </c>
      <c r="AA149" s="21">
        <f>EXP(-LN(2)/25)*AA148+(1-EXP(-LN(2)/25))/(LN(2)/25)*Calculateur!V149*Calculateur!X149*VLOOKUP('Données projet'!$B$9,Paramètres!$A$1:$I$89,3,0)*0.475*44/12</f>
        <v>0.18173021729798877</v>
      </c>
      <c r="AB149" s="21">
        <f>EXP(-LN(2)/2)*AB148+(1-EXP(-LN(2)/2))/(LN(2)/2)*V149*Y149*VLOOKUP('Données projet'!$B$9,Paramètres!$A$1:$I$89,3,0)*0.475*44/12</f>
        <v>7.9134480783185123E-18</v>
      </c>
      <c r="AC149" s="22">
        <f t="shared" si="111"/>
        <v>0.30965414930864754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-8.5265128291212022E-14</v>
      </c>
      <c r="AJ149" s="13">
        <f>AI149*VLOOKUP('Données projet'!$B$10,Paramètres!$A$1:$I$89,3,0)*VLOOKUP('Données projet'!$B$10,Paramètres!$A$1:$I$89,5,0)</f>
        <v>-6.9167072069831198E-14</v>
      </c>
      <c r="AK149" s="13" t="e">
        <f t="shared" si="143"/>
        <v>#NUM!</v>
      </c>
      <c r="AL149" s="20" t="e">
        <f t="shared" si="112"/>
        <v>#NUM!</v>
      </c>
      <c r="AM149" s="59" t="e">
        <f t="shared" si="113"/>
        <v>#NUM!</v>
      </c>
      <c r="AN149" s="59">
        <f ca="1">AVERAGE(OFFSET($AM$3,0,0,'Données projet'!$E$10+1,1))-AVERAGE(OFFSET($H$3,0,0,'Données projet'!$E$10+1,1))</f>
        <v>145.3656871223958</v>
      </c>
      <c r="AO149" s="59">
        <f t="shared" si="144"/>
        <v>180.54762778843178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0</v>
      </c>
      <c r="AV149" s="21">
        <f>EXP(-LN(2)/25)*AV148+(1-EXP(-LN(2)/25))/(LN(2)/25)*Calculateur!AQ149*Calculateur!AS149*VLOOKUP('Données projet'!$B$10,Paramètres!$A$1:$I$89,3,0)*0.475*44/12</f>
        <v>0.22303972393264068</v>
      </c>
      <c r="AW149" s="21">
        <f>EXP(-LN(2)/2)*AW148+(1-EXP(-LN(2)/2))/(LN(2)/2)*AQ149*AT149*VLOOKUP('Données projet'!$B$10,Paramètres!$A$1:$I$89,3,0)*0.475*44/12</f>
        <v>2.8318168942034777E-17</v>
      </c>
      <c r="AX149" s="21">
        <f t="shared" si="114"/>
        <v>0.22303972393264071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2.8421709430404007E-14</v>
      </c>
      <c r="BE149" s="13">
        <f>BD149*VLOOKUP('Données projet'!$B$11,Paramètres!$A$1:$I$89,3,0)*VLOOKUP('Données projet'!$B$11,Paramètres!$A$1:$I$89,5,0)</f>
        <v>2.5715962692629544E-14</v>
      </c>
      <c r="BF149" s="13">
        <f t="shared" si="145"/>
        <v>4.5248818890525812E-13</v>
      </c>
      <c r="BG149" s="20">
        <f t="shared" si="115"/>
        <v>8.3287223069965432E-13</v>
      </c>
      <c r="BH149" s="59">
        <f t="shared" si="116"/>
        <v>293.33333333333417</v>
      </c>
      <c r="BI149" s="59">
        <f ca="1">AVERAGE(OFFSET($BH$3,0,0,'Données projet'!$E$11+1,1))-AVERAGE(OFFSET($H$3,0,0,'Données projet'!$E$11+1,1))</f>
        <v>138.8931001150624</v>
      </c>
      <c r="BJ149" s="59">
        <f t="shared" si="146"/>
        <v>48.964659354096625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>
        <f>EXP(-LN(2)/35)*BP148+(1-EXP(-LN(2)/35))/(LN(2)/35)*BL149*BM149*VLOOKUP('Données projet'!$B$11,Paramètres!$A$1:$I$89,3,0)*0.475*44/12</f>
        <v>0</v>
      </c>
      <c r="BQ149" s="21">
        <f>EXP(-LN(2)/25)*BQ148+(1-EXP(-LN(2)/25))/(LN(2)/25)*Calculateur!BL149*Calculateur!BN149*VLOOKUP('Données projet'!$B$11,Paramètres!$A$1:$I$89,3,0)*0.475*44/12</f>
        <v>0</v>
      </c>
      <c r="BR149" s="21">
        <f>EXP(-LN(2)/2)*BR148+(1-EXP(-LN(2)/2))/(LN(2)/2)*BL149*BO149*VLOOKUP('Données projet'!$B$11,Paramètres!$A$1:$I$89,3,0)*0.475*44/12</f>
        <v>0</v>
      </c>
      <c r="BS149" s="22">
        <f t="shared" si="117"/>
        <v>0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1.1368683772161603E-13</v>
      </c>
      <c r="BZ149" s="13">
        <f>BY149*VLOOKUP('Données projet'!$B$12,Paramètres!$A$1:$I$89,3,0)*VLOOKUP('Données projet'!$B$12,Paramètres!$A$1:$I$89,5,0)</f>
        <v>1.0995790944434703E-13</v>
      </c>
      <c r="CA149" s="13">
        <f t="shared" si="147"/>
        <v>1.6337280948049956E-12</v>
      </c>
      <c r="CB149" s="20">
        <f t="shared" si="118"/>
        <v>3.036919790734272E-12</v>
      </c>
      <c r="CC149" s="59">
        <f t="shared" si="119"/>
        <v>293.33333333333633</v>
      </c>
      <c r="CD149" s="59">
        <f ca="1">AVERAGE(OFFSET($CC$3,0,0,'Données projet'!$E$12+1,1))-AVERAGE(OFFSET($H$3,0,0,'Données projet'!$E$12+1,1))</f>
        <v>154.93882427988234</v>
      </c>
      <c r="CE149" s="59">
        <f t="shared" si="148"/>
        <v>56.347130462109817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>
        <f>EXP(-LN(2)/35)*CK148+(1-EXP(-LN(2)/35))/(LN(2)/35)*CG149*CH149*VLOOKUP('Données projet'!$B$12,Paramètres!$A$1:$I$89,3,0)*0.475*44/12</f>
        <v>0</v>
      </c>
      <c r="CL149" s="21">
        <f>EXP(-LN(2)/25)*CL148+(1-EXP(-LN(2)/25))/(LN(2)/25)*Calculateur!CG149*Calculateur!CI149*VLOOKUP('Données projet'!$B$12,Paramètres!$A$1:$I$89,3,0)*0.475*44/12</f>
        <v>0</v>
      </c>
      <c r="CM149" s="21">
        <f>EXP(-LN(2)/2)*CM148+(1-EXP(-LN(2)/2))/(LN(2)/2)*CG149*CJ149*VLOOKUP('Données projet'!$B$12,Paramètres!$A$1:$I$89,3,0)*0.475*44/12</f>
        <v>0</v>
      </c>
      <c r="CN149" s="22">
        <f t="shared" si="120"/>
        <v>0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130.7124000000002</v>
      </c>
      <c r="D150" s="11">
        <f t="shared" si="140"/>
        <v>34.160921660966174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1272.7063426460566</v>
      </c>
      <c r="H150" s="67">
        <f t="shared" si="110"/>
        <v>580.48770189284971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0</v>
      </c>
      <c r="O150" s="13">
        <f>N150*VLOOKUP('Données projet'!$B$9,Paramètres!$A$1:$I$89,3,0)*VLOOKUP('Données projet'!$B$9,Paramètres!$A$1:$I$89,5,0)</f>
        <v>0</v>
      </c>
      <c r="P150" s="13" t="e">
        <f t="shared" si="141"/>
        <v>#NUM!</v>
      </c>
      <c r="Q150" s="20" t="e">
        <f t="shared" si="108"/>
        <v>#NUM!</v>
      </c>
      <c r="R150" s="59" t="e">
        <f t="shared" si="109"/>
        <v>#NUM!</v>
      </c>
      <c r="S150" s="59">
        <f ca="1">AVERAGE(OFFSET($R$3,0,0,'Données projet'!$E$9+1,1))-AVERAGE(OFFSET($H$3,0,0,'Données projet'!$E$9+1,1))</f>
        <v>72.647148358003676</v>
      </c>
      <c r="T150" s="59">
        <f t="shared" si="142"/>
        <v>87.231299224620898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0.12541542172982387</v>
      </c>
      <c r="AA150" s="21">
        <f>EXP(-LN(2)/25)*AA149+(1-EXP(-LN(2)/25))/(LN(2)/25)*Calculateur!V150*Calculateur!X150*VLOOKUP('Données projet'!$B$9,Paramètres!$A$1:$I$89,3,0)*0.475*44/12</f>
        <v>0.1767607949491985</v>
      </c>
      <c r="AB150" s="21">
        <f>EXP(-LN(2)/2)*AB149+(1-EXP(-LN(2)/2))/(LN(2)/2)*V150*Y150*VLOOKUP('Données projet'!$B$9,Paramètres!$A$1:$I$89,3,0)*0.475*44/12</f>
        <v>5.5956527987466733E-18</v>
      </c>
      <c r="AC150" s="22">
        <f t="shared" si="111"/>
        <v>0.30217621667902239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-8.5265128291212022E-14</v>
      </c>
      <c r="AJ150" s="13">
        <f>AI150*VLOOKUP('Données projet'!$B$10,Paramètres!$A$1:$I$89,3,0)*VLOOKUP('Données projet'!$B$10,Paramètres!$A$1:$I$89,5,0)</f>
        <v>-6.9167072069831198E-14</v>
      </c>
      <c r="AK150" s="13" t="e">
        <f t="shared" si="143"/>
        <v>#NUM!</v>
      </c>
      <c r="AL150" s="20" t="e">
        <f t="shared" si="112"/>
        <v>#NUM!</v>
      </c>
      <c r="AM150" s="59" t="e">
        <f t="shared" si="113"/>
        <v>#NUM!</v>
      </c>
      <c r="AN150" s="59">
        <f ca="1">AVERAGE(OFFSET($AM$3,0,0,'Données projet'!$E$10+1,1))-AVERAGE(OFFSET($H$3,0,0,'Données projet'!$E$10+1,1))</f>
        <v>145.3656871223958</v>
      </c>
      <c r="AO150" s="59">
        <f t="shared" si="144"/>
        <v>180.54762778843178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0</v>
      </c>
      <c r="AV150" s="21">
        <f>EXP(-LN(2)/25)*AV149+(1-EXP(-LN(2)/25))/(LN(2)/25)*Calculateur!AQ150*Calculateur!AS150*VLOOKUP('Données projet'!$B$10,Paramètres!$A$1:$I$89,3,0)*0.475*44/12</f>
        <v>0.21694069095255331</v>
      </c>
      <c r="AW150" s="21">
        <f>EXP(-LN(2)/2)*AW149+(1-EXP(-LN(2)/2))/(LN(2)/2)*AQ150*AT150*VLOOKUP('Données projet'!$B$10,Paramètres!$A$1:$I$89,3,0)*0.475*44/12</f>
        <v>2.0023969289699071E-17</v>
      </c>
      <c r="AX150" s="21">
        <f t="shared" si="114"/>
        <v>0.21694069095255333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2.8421709430404007E-14</v>
      </c>
      <c r="BE150" s="13">
        <f>BD150*VLOOKUP('Données projet'!$B$11,Paramètres!$A$1:$I$89,3,0)*VLOOKUP('Données projet'!$B$11,Paramètres!$A$1:$I$89,5,0)</f>
        <v>2.5715962692629544E-14</v>
      </c>
      <c r="BF150" s="13">
        <f t="shared" si="145"/>
        <v>4.5248818890525812E-13</v>
      </c>
      <c r="BG150" s="20">
        <f t="shared" si="115"/>
        <v>8.3287223069965432E-13</v>
      </c>
      <c r="BH150" s="59">
        <f t="shared" si="116"/>
        <v>293.33333333333417</v>
      </c>
      <c r="BI150" s="59">
        <f ca="1">AVERAGE(OFFSET($BH$3,0,0,'Données projet'!$E$11+1,1))-AVERAGE(OFFSET($H$3,0,0,'Données projet'!$E$11+1,1))</f>
        <v>138.8931001150624</v>
      </c>
      <c r="BJ150" s="59">
        <f t="shared" si="146"/>
        <v>48.964659354096625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>
        <f>EXP(-LN(2)/35)*BP149+(1-EXP(-LN(2)/35))/(LN(2)/35)*BL150*BM150*VLOOKUP('Données projet'!$B$11,Paramètres!$A$1:$I$89,3,0)*0.475*44/12</f>
        <v>0</v>
      </c>
      <c r="BQ150" s="21">
        <f>EXP(-LN(2)/25)*BQ149+(1-EXP(-LN(2)/25))/(LN(2)/25)*Calculateur!BL150*Calculateur!BN150*VLOOKUP('Données projet'!$B$11,Paramètres!$A$1:$I$89,3,0)*0.475*44/12</f>
        <v>0</v>
      </c>
      <c r="BR150" s="21">
        <f>EXP(-LN(2)/2)*BR149+(1-EXP(-LN(2)/2))/(LN(2)/2)*BL150*BO150*VLOOKUP('Données projet'!$B$11,Paramètres!$A$1:$I$89,3,0)*0.475*44/12</f>
        <v>0</v>
      </c>
      <c r="BS150" s="22">
        <f t="shared" si="117"/>
        <v>0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1.1368683772161603E-13</v>
      </c>
      <c r="BZ150" s="13">
        <f>BY150*VLOOKUP('Données projet'!$B$12,Paramètres!$A$1:$I$89,3,0)*VLOOKUP('Données projet'!$B$12,Paramètres!$A$1:$I$89,5,0)</f>
        <v>1.0995790944434703E-13</v>
      </c>
      <c r="CA150" s="13">
        <f t="shared" si="147"/>
        <v>1.6337280948049956E-12</v>
      </c>
      <c r="CB150" s="20">
        <f t="shared" si="118"/>
        <v>3.036919790734272E-12</v>
      </c>
      <c r="CC150" s="59">
        <f t="shared" si="119"/>
        <v>293.33333333333633</v>
      </c>
      <c r="CD150" s="59">
        <f ca="1">AVERAGE(OFFSET($CC$3,0,0,'Données projet'!$E$12+1,1))-AVERAGE(OFFSET($H$3,0,0,'Données projet'!$E$12+1,1))</f>
        <v>154.93882427988234</v>
      </c>
      <c r="CE150" s="59">
        <f t="shared" si="148"/>
        <v>56.347130462109817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>
        <f>EXP(-LN(2)/35)*CK149+(1-EXP(-LN(2)/35))/(LN(2)/35)*CG150*CH150*VLOOKUP('Données projet'!$B$12,Paramètres!$A$1:$I$89,3,0)*0.475*44/12</f>
        <v>0</v>
      </c>
      <c r="CL150" s="21">
        <f>EXP(-LN(2)/25)*CL149+(1-EXP(-LN(2)/25))/(LN(2)/25)*Calculateur!CG150*Calculateur!CI150*VLOOKUP('Données projet'!$B$12,Paramètres!$A$1:$I$89,3,0)*0.475*44/12</f>
        <v>0</v>
      </c>
      <c r="CM150" s="21">
        <f>EXP(-LN(2)/2)*CM149+(1-EXP(-LN(2)/2))/(LN(2)/2)*CG150*CJ150*VLOOKUP('Données projet'!$B$12,Paramètres!$A$1:$I$89,3,0)*0.475*44/12</f>
        <v>0</v>
      </c>
      <c r="CN150" s="22">
        <f t="shared" si="120"/>
        <v>0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131.60160000000019</v>
      </c>
      <c r="D151" s="11">
        <f t="shared" si="140"/>
        <v>34.366177918726152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1281.1547769164843</v>
      </c>
      <c r="H151" s="67">
        <f t="shared" si="110"/>
        <v>582.39387987511509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0</v>
      </c>
      <c r="O151" s="13">
        <f>N151*VLOOKUP('Données projet'!$B$9,Paramètres!$A$1:$I$89,3,0)*VLOOKUP('Données projet'!$B$9,Paramètres!$A$1:$I$89,5,0)</f>
        <v>0</v>
      </c>
      <c r="P151" s="13" t="e">
        <f t="shared" si="141"/>
        <v>#NUM!</v>
      </c>
      <c r="Q151" s="20" t="e">
        <f t="shared" si="108"/>
        <v>#NUM!</v>
      </c>
      <c r="R151" s="59" t="e">
        <f t="shared" si="109"/>
        <v>#NUM!</v>
      </c>
      <c r="S151" s="59">
        <f ca="1">AVERAGE(OFFSET($R$3,0,0,'Données projet'!$E$9+1,1))-AVERAGE(OFFSET($H$3,0,0,'Données projet'!$E$9+1,1))</f>
        <v>72.647148358003676</v>
      </c>
      <c r="T151" s="59">
        <f t="shared" si="142"/>
        <v>87.231299224620898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0.12295610180555594</v>
      </c>
      <c r="AA151" s="21">
        <f>EXP(-LN(2)/25)*AA150+(1-EXP(-LN(2)/25))/(LN(2)/25)*Calculateur!V151*Calculateur!X151*VLOOKUP('Données projet'!$B$9,Paramètres!$A$1:$I$89,3,0)*0.475*44/12</f>
        <v>0.17192726171586645</v>
      </c>
      <c r="AB151" s="21">
        <f>EXP(-LN(2)/2)*AB150+(1-EXP(-LN(2)/2))/(LN(2)/2)*V151*Y151*VLOOKUP('Données projet'!$B$9,Paramètres!$A$1:$I$89,3,0)*0.475*44/12</f>
        <v>3.9567240391592561E-18</v>
      </c>
      <c r="AC151" s="22">
        <f t="shared" si="111"/>
        <v>0.29488336352142241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-8.5265128291212022E-14</v>
      </c>
      <c r="AJ151" s="13">
        <f>AI151*VLOOKUP('Données projet'!$B$10,Paramètres!$A$1:$I$89,3,0)*VLOOKUP('Données projet'!$B$10,Paramètres!$A$1:$I$89,5,0)</f>
        <v>-6.9167072069831198E-14</v>
      </c>
      <c r="AK151" s="13" t="e">
        <f t="shared" si="143"/>
        <v>#NUM!</v>
      </c>
      <c r="AL151" s="20" t="e">
        <f t="shared" si="112"/>
        <v>#NUM!</v>
      </c>
      <c r="AM151" s="59" t="e">
        <f t="shared" si="113"/>
        <v>#NUM!</v>
      </c>
      <c r="AN151" s="59">
        <f ca="1">AVERAGE(OFFSET($AM$3,0,0,'Données projet'!$E$10+1,1))-AVERAGE(OFFSET($H$3,0,0,'Données projet'!$E$10+1,1))</f>
        <v>145.3656871223958</v>
      </c>
      <c r="AO151" s="59">
        <f t="shared" si="144"/>
        <v>180.54762778843178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0</v>
      </c>
      <c r="AV151" s="21">
        <f>EXP(-LN(2)/25)*AV150+(1-EXP(-LN(2)/25))/(LN(2)/25)*Calculateur!AQ151*Calculateur!AS151*VLOOKUP('Données projet'!$B$10,Paramètres!$A$1:$I$89,3,0)*0.475*44/12</f>
        <v>0.21100843635004063</v>
      </c>
      <c r="AW151" s="21">
        <f>EXP(-LN(2)/2)*AW150+(1-EXP(-LN(2)/2))/(LN(2)/2)*AQ151*AT151*VLOOKUP('Données projet'!$B$10,Paramètres!$A$1:$I$89,3,0)*0.475*44/12</f>
        <v>1.4159084471017389E-17</v>
      </c>
      <c r="AX151" s="21">
        <f t="shared" si="114"/>
        <v>0.21100843635004066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2.8421709430404007E-14</v>
      </c>
      <c r="BE151" s="13">
        <f>BD151*VLOOKUP('Données projet'!$B$11,Paramètres!$A$1:$I$89,3,0)*VLOOKUP('Données projet'!$B$11,Paramètres!$A$1:$I$89,5,0)</f>
        <v>2.5715962692629544E-14</v>
      </c>
      <c r="BF151" s="13">
        <f t="shared" si="145"/>
        <v>4.5248818890525812E-13</v>
      </c>
      <c r="BG151" s="20">
        <f t="shared" si="115"/>
        <v>8.3287223069965432E-13</v>
      </c>
      <c r="BH151" s="59">
        <f t="shared" si="116"/>
        <v>293.33333333333417</v>
      </c>
      <c r="BI151" s="59">
        <f ca="1">AVERAGE(OFFSET($BH$3,0,0,'Données projet'!$E$11+1,1))-AVERAGE(OFFSET($H$3,0,0,'Données projet'!$E$11+1,1))</f>
        <v>138.8931001150624</v>
      </c>
      <c r="BJ151" s="59">
        <f t="shared" si="146"/>
        <v>48.964659354096625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>
        <f>EXP(-LN(2)/35)*BP150+(1-EXP(-LN(2)/35))/(LN(2)/35)*BL151*BM151*VLOOKUP('Données projet'!$B$11,Paramètres!$A$1:$I$89,3,0)*0.475*44/12</f>
        <v>0</v>
      </c>
      <c r="BQ151" s="21">
        <f>EXP(-LN(2)/25)*BQ150+(1-EXP(-LN(2)/25))/(LN(2)/25)*Calculateur!BL151*Calculateur!BN151*VLOOKUP('Données projet'!$B$11,Paramètres!$A$1:$I$89,3,0)*0.475*44/12</f>
        <v>0</v>
      </c>
      <c r="BR151" s="21">
        <f>EXP(-LN(2)/2)*BR150+(1-EXP(-LN(2)/2))/(LN(2)/2)*BL151*BO151*VLOOKUP('Données projet'!$B$11,Paramètres!$A$1:$I$89,3,0)*0.475*44/12</f>
        <v>0</v>
      </c>
      <c r="BS151" s="22">
        <f t="shared" si="117"/>
        <v>0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1.1368683772161603E-13</v>
      </c>
      <c r="BZ151" s="13">
        <f>BY151*VLOOKUP('Données projet'!$B$12,Paramètres!$A$1:$I$89,3,0)*VLOOKUP('Données projet'!$B$12,Paramètres!$A$1:$I$89,5,0)</f>
        <v>1.0995790944434703E-13</v>
      </c>
      <c r="CA151" s="13">
        <f t="shared" si="147"/>
        <v>1.6337280948049956E-12</v>
      </c>
      <c r="CB151" s="20">
        <f t="shared" si="118"/>
        <v>3.036919790734272E-12</v>
      </c>
      <c r="CC151" s="59">
        <f t="shared" si="119"/>
        <v>293.33333333333633</v>
      </c>
      <c r="CD151" s="59">
        <f ca="1">AVERAGE(OFFSET($CC$3,0,0,'Données projet'!$E$12+1,1))-AVERAGE(OFFSET($H$3,0,0,'Données projet'!$E$12+1,1))</f>
        <v>154.93882427988234</v>
      </c>
      <c r="CE151" s="59">
        <f t="shared" si="148"/>
        <v>56.347130462109817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>
        <f>EXP(-LN(2)/35)*CK150+(1-EXP(-LN(2)/35))/(LN(2)/35)*CG151*CH151*VLOOKUP('Données projet'!$B$12,Paramètres!$A$1:$I$89,3,0)*0.475*44/12</f>
        <v>0</v>
      </c>
      <c r="CL151" s="21">
        <f>EXP(-LN(2)/25)*CL150+(1-EXP(-LN(2)/25))/(LN(2)/25)*Calculateur!CG151*Calculateur!CI151*VLOOKUP('Données projet'!$B$12,Paramètres!$A$1:$I$89,3,0)*0.475*44/12</f>
        <v>0</v>
      </c>
      <c r="CM151" s="21">
        <f>EXP(-LN(2)/2)*CM150+(1-EXP(-LN(2)/2))/(LN(2)/2)*CG151*CJ151*VLOOKUP('Données projet'!$B$12,Paramètres!$A$1:$I$89,3,0)*0.475*44/12</f>
        <v>0</v>
      </c>
      <c r="CN151" s="22">
        <f t="shared" si="120"/>
        <v>0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132.49080000000018</v>
      </c>
      <c r="D152" s="11">
        <f t="shared" si="140"/>
        <v>34.571272807379401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1289.6019655306493</v>
      </c>
      <c r="H152" s="67">
        <f t="shared" si="110"/>
        <v>584.29977680618606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0</v>
      </c>
      <c r="O152" s="13">
        <f>N152*VLOOKUP('Données projet'!$B$9,Paramètres!$A$1:$I$89,3,0)*VLOOKUP('Données projet'!$B$9,Paramètres!$A$1:$I$89,5,0)</f>
        <v>0</v>
      </c>
      <c r="P152" s="13" t="e">
        <f t="shared" si="141"/>
        <v>#NUM!</v>
      </c>
      <c r="Q152" s="20" t="e">
        <f t="shared" si="108"/>
        <v>#NUM!</v>
      </c>
      <c r="R152" s="59" t="e">
        <f t="shared" si="109"/>
        <v>#NUM!</v>
      </c>
      <c r="S152" s="59">
        <f ca="1">AVERAGE(OFFSET($R$3,0,0,'Données projet'!$E$9+1,1))-AVERAGE(OFFSET($H$3,0,0,'Données projet'!$E$9+1,1))</f>
        <v>72.647148358003676</v>
      </c>
      <c r="T152" s="59">
        <f t="shared" si="142"/>
        <v>87.231299224620898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0.12054500764496587</v>
      </c>
      <c r="AA152" s="21">
        <f>EXP(-LN(2)/25)*AA151+(1-EXP(-LN(2)/25))/(LN(2)/25)*Calculateur!V152*Calculateur!X152*VLOOKUP('Données projet'!$B$9,Paramètres!$A$1:$I$89,3,0)*0.475*44/12</f>
        <v>0.16722590170298432</v>
      </c>
      <c r="AB152" s="21">
        <f>EXP(-LN(2)/2)*AB151+(1-EXP(-LN(2)/2))/(LN(2)/2)*V152*Y152*VLOOKUP('Données projet'!$B$9,Paramètres!$A$1:$I$89,3,0)*0.475*44/12</f>
        <v>2.7978263993733367E-18</v>
      </c>
      <c r="AC152" s="22">
        <f t="shared" si="111"/>
        <v>0.28777090934795019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-8.5265128291212022E-14</v>
      </c>
      <c r="AJ152" s="13">
        <f>AI152*VLOOKUP('Données projet'!$B$10,Paramètres!$A$1:$I$89,3,0)*VLOOKUP('Données projet'!$B$10,Paramètres!$A$1:$I$89,5,0)</f>
        <v>-6.9167072069831198E-14</v>
      </c>
      <c r="AK152" s="13" t="e">
        <f t="shared" si="143"/>
        <v>#NUM!</v>
      </c>
      <c r="AL152" s="20" t="e">
        <f t="shared" si="112"/>
        <v>#NUM!</v>
      </c>
      <c r="AM152" s="59" t="e">
        <f t="shared" si="113"/>
        <v>#NUM!</v>
      </c>
      <c r="AN152" s="59">
        <f ca="1">AVERAGE(OFFSET($AM$3,0,0,'Données projet'!$E$10+1,1))-AVERAGE(OFFSET($H$3,0,0,'Données projet'!$E$10+1,1))</f>
        <v>145.3656871223958</v>
      </c>
      <c r="AO152" s="59">
        <f t="shared" si="144"/>
        <v>180.54762778843178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0</v>
      </c>
      <c r="AV152" s="21">
        <f>EXP(-LN(2)/25)*AV151+(1-EXP(-LN(2)/25))/(LN(2)/25)*Calculateur!AQ152*Calculateur!AS152*VLOOKUP('Données projet'!$B$10,Paramètres!$A$1:$I$89,3,0)*0.475*44/12</f>
        <v>0.20523839956159737</v>
      </c>
      <c r="AW152" s="21">
        <f>EXP(-LN(2)/2)*AW151+(1-EXP(-LN(2)/2))/(LN(2)/2)*AQ152*AT152*VLOOKUP('Données projet'!$B$10,Paramètres!$A$1:$I$89,3,0)*0.475*44/12</f>
        <v>1.0011984644849536E-17</v>
      </c>
      <c r="AX152" s="21">
        <f t="shared" si="114"/>
        <v>0.20523839956159737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2.8421709430404007E-14</v>
      </c>
      <c r="BE152" s="13">
        <f>BD152*VLOOKUP('Données projet'!$B$11,Paramètres!$A$1:$I$89,3,0)*VLOOKUP('Données projet'!$B$11,Paramètres!$A$1:$I$89,5,0)</f>
        <v>2.5715962692629544E-14</v>
      </c>
      <c r="BF152" s="13">
        <f t="shared" si="145"/>
        <v>4.5248818890525812E-13</v>
      </c>
      <c r="BG152" s="20">
        <f t="shared" si="115"/>
        <v>8.3287223069965432E-13</v>
      </c>
      <c r="BH152" s="59">
        <f t="shared" si="116"/>
        <v>293.33333333333417</v>
      </c>
      <c r="BI152" s="59">
        <f ca="1">AVERAGE(OFFSET($BH$3,0,0,'Données projet'!$E$11+1,1))-AVERAGE(OFFSET($H$3,0,0,'Données projet'!$E$11+1,1))</f>
        <v>138.8931001150624</v>
      </c>
      <c r="BJ152" s="59">
        <f t="shared" si="146"/>
        <v>48.964659354096625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>
        <f>EXP(-LN(2)/35)*BP151+(1-EXP(-LN(2)/35))/(LN(2)/35)*BL152*BM152*VLOOKUP('Données projet'!$B$11,Paramètres!$A$1:$I$89,3,0)*0.475*44/12</f>
        <v>0</v>
      </c>
      <c r="BQ152" s="21">
        <f>EXP(-LN(2)/25)*BQ151+(1-EXP(-LN(2)/25))/(LN(2)/25)*Calculateur!BL152*Calculateur!BN152*VLOOKUP('Données projet'!$B$11,Paramètres!$A$1:$I$89,3,0)*0.475*44/12</f>
        <v>0</v>
      </c>
      <c r="BR152" s="21">
        <f>EXP(-LN(2)/2)*BR151+(1-EXP(-LN(2)/2))/(LN(2)/2)*BL152*BO152*VLOOKUP('Données projet'!$B$11,Paramètres!$A$1:$I$89,3,0)*0.475*44/12</f>
        <v>0</v>
      </c>
      <c r="BS152" s="22">
        <f t="shared" si="117"/>
        <v>0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1.1368683772161603E-13</v>
      </c>
      <c r="BZ152" s="13">
        <f>BY152*VLOOKUP('Données projet'!$B$12,Paramètres!$A$1:$I$89,3,0)*VLOOKUP('Données projet'!$B$12,Paramètres!$A$1:$I$89,5,0)</f>
        <v>1.0995790944434703E-13</v>
      </c>
      <c r="CA152" s="13">
        <f t="shared" si="147"/>
        <v>1.6337280948049956E-12</v>
      </c>
      <c r="CB152" s="20">
        <f t="shared" si="118"/>
        <v>3.036919790734272E-12</v>
      </c>
      <c r="CC152" s="59">
        <f t="shared" si="119"/>
        <v>293.33333333333633</v>
      </c>
      <c r="CD152" s="59">
        <f ca="1">AVERAGE(OFFSET($CC$3,0,0,'Données projet'!$E$12+1,1))-AVERAGE(OFFSET($H$3,0,0,'Données projet'!$E$12+1,1))</f>
        <v>154.93882427988234</v>
      </c>
      <c r="CE152" s="59">
        <f t="shared" si="148"/>
        <v>56.347130462109817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>
        <f>EXP(-LN(2)/35)*CK151+(1-EXP(-LN(2)/35))/(LN(2)/35)*CG152*CH152*VLOOKUP('Données projet'!$B$12,Paramètres!$A$1:$I$89,3,0)*0.475*44/12</f>
        <v>0</v>
      </c>
      <c r="CL152" s="21">
        <f>EXP(-LN(2)/25)*CL151+(1-EXP(-LN(2)/25))/(LN(2)/25)*Calculateur!CG152*Calculateur!CI152*VLOOKUP('Données projet'!$B$12,Paramètres!$A$1:$I$89,3,0)*0.475*44/12</f>
        <v>0</v>
      </c>
      <c r="CM152" s="21">
        <f>EXP(-LN(2)/2)*CM151+(1-EXP(-LN(2)/2))/(LN(2)/2)*CG152*CJ152*VLOOKUP('Données projet'!$B$12,Paramètres!$A$1:$I$89,3,0)*0.475*44/12</f>
        <v>0</v>
      </c>
      <c r="CN152" s="22">
        <f t="shared" si="120"/>
        <v>0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133.38000000000017</v>
      </c>
      <c r="D153" s="11">
        <f t="shared" si="140"/>
        <v>34.776207535549027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1298.0479178182745</v>
      </c>
      <c r="H153" s="67">
        <f t="shared" si="110"/>
        <v>586.20539479108152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0</v>
      </c>
      <c r="O153" s="13">
        <f>N153*VLOOKUP('Données projet'!$B$9,Paramètres!$A$1:$I$89,3,0)*VLOOKUP('Données projet'!$B$9,Paramètres!$A$1:$I$89,5,0)</f>
        <v>0</v>
      </c>
      <c r="P153" s="13" t="e">
        <f t="shared" si="141"/>
        <v>#NUM!</v>
      </c>
      <c r="Q153" s="20" t="e">
        <f t="shared" si="108"/>
        <v>#NUM!</v>
      </c>
      <c r="R153" s="59" t="e">
        <f t="shared" si="109"/>
        <v>#NUM!</v>
      </c>
      <c r="S153" s="59">
        <f ca="1">AVERAGE(OFFSET($R$3,0,0,'Données projet'!$E$9+1,1))-AVERAGE(OFFSET($H$3,0,0,'Données projet'!$E$9+1,1))</f>
        <v>72.647148358003676</v>
      </c>
      <c r="T153" s="59">
        <f t="shared" si="142"/>
        <v>87.231299224620898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0.11818119357024275</v>
      </c>
      <c r="AA153" s="21">
        <f>EXP(-LN(2)/25)*AA152+(1-EXP(-LN(2)/25))/(LN(2)/25)*Calculateur!V153*Calculateur!X153*VLOOKUP('Données projet'!$B$9,Paramètres!$A$1:$I$89,3,0)*0.475*44/12</f>
        <v>0.16265310062688823</v>
      </c>
      <c r="AB153" s="21">
        <f>EXP(-LN(2)/2)*AB152+(1-EXP(-LN(2)/2))/(LN(2)/2)*V153*Y153*VLOOKUP('Données projet'!$B$9,Paramètres!$A$1:$I$89,3,0)*0.475*44/12</f>
        <v>1.9783620195796281E-18</v>
      </c>
      <c r="AC153" s="22">
        <f t="shared" si="111"/>
        <v>0.28083429419713096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-8.5265128291212022E-14</v>
      </c>
      <c r="AJ153" s="13">
        <f>AI153*VLOOKUP('Données projet'!$B$10,Paramètres!$A$1:$I$89,3,0)*VLOOKUP('Données projet'!$B$10,Paramètres!$A$1:$I$89,5,0)</f>
        <v>-6.9167072069831198E-14</v>
      </c>
      <c r="AK153" s="13" t="e">
        <f t="shared" si="143"/>
        <v>#NUM!</v>
      </c>
      <c r="AL153" s="20" t="e">
        <f t="shared" si="112"/>
        <v>#NUM!</v>
      </c>
      <c r="AM153" s="59" t="e">
        <f t="shared" si="113"/>
        <v>#NUM!</v>
      </c>
      <c r="AN153" s="59">
        <f ca="1">AVERAGE(OFFSET($AM$3,0,0,'Données projet'!$E$10+1,1))-AVERAGE(OFFSET($H$3,0,0,'Données projet'!$E$10+1,1))</f>
        <v>145.3656871223958</v>
      </c>
      <c r="AO153" s="59">
        <f t="shared" si="144"/>
        <v>180.54762778843178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0</v>
      </c>
      <c r="AV153" s="21">
        <f>EXP(-LN(2)/25)*AV152+(1-EXP(-LN(2)/25))/(LN(2)/25)*Calculateur!AQ153*Calculateur!AS153*VLOOKUP('Données projet'!$B$10,Paramètres!$A$1:$I$89,3,0)*0.475*44/12</f>
        <v>0.19962614473256712</v>
      </c>
      <c r="AW153" s="21">
        <f>EXP(-LN(2)/2)*AW152+(1-EXP(-LN(2)/2))/(LN(2)/2)*AQ153*AT153*VLOOKUP('Données projet'!$B$10,Paramètres!$A$1:$I$89,3,0)*0.475*44/12</f>
        <v>7.0795422355086943E-18</v>
      </c>
      <c r="AX153" s="21">
        <f t="shared" si="114"/>
        <v>0.19962614473256712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2.8421709430404007E-14</v>
      </c>
      <c r="BE153" s="13">
        <f>BD153*VLOOKUP('Données projet'!$B$11,Paramètres!$A$1:$I$89,3,0)*VLOOKUP('Données projet'!$B$11,Paramètres!$A$1:$I$89,5,0)</f>
        <v>2.5715962692629544E-14</v>
      </c>
      <c r="BF153" s="13">
        <f t="shared" si="145"/>
        <v>4.5248818890525812E-13</v>
      </c>
      <c r="BG153" s="20">
        <f t="shared" si="115"/>
        <v>8.3287223069965432E-13</v>
      </c>
      <c r="BH153" s="59">
        <f t="shared" si="116"/>
        <v>293.33333333333417</v>
      </c>
      <c r="BI153" s="59">
        <f ca="1">AVERAGE(OFFSET($BH$3,0,0,'Données projet'!$E$11+1,1))-AVERAGE(OFFSET($H$3,0,0,'Données projet'!$E$11+1,1))</f>
        <v>138.8931001150624</v>
      </c>
      <c r="BJ153" s="59">
        <f t="shared" si="146"/>
        <v>48.964659354096625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>
        <f>EXP(-LN(2)/35)*BP152+(1-EXP(-LN(2)/35))/(LN(2)/35)*BL153*BM153*VLOOKUP('Données projet'!$B$11,Paramètres!$A$1:$I$89,3,0)*0.475*44/12</f>
        <v>0</v>
      </c>
      <c r="BQ153" s="21">
        <f>EXP(-LN(2)/25)*BQ152+(1-EXP(-LN(2)/25))/(LN(2)/25)*Calculateur!BL153*Calculateur!BN153*VLOOKUP('Données projet'!$B$11,Paramètres!$A$1:$I$89,3,0)*0.475*44/12</f>
        <v>0</v>
      </c>
      <c r="BR153" s="21">
        <f>EXP(-LN(2)/2)*BR152+(1-EXP(-LN(2)/2))/(LN(2)/2)*BL153*BO153*VLOOKUP('Données projet'!$B$11,Paramètres!$A$1:$I$89,3,0)*0.475*44/12</f>
        <v>0</v>
      </c>
      <c r="BS153" s="22">
        <f t="shared" si="117"/>
        <v>0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1.1368683772161603E-13</v>
      </c>
      <c r="BZ153" s="13">
        <f>BY153*VLOOKUP('Données projet'!$B$12,Paramètres!$A$1:$I$89,3,0)*VLOOKUP('Données projet'!$B$12,Paramètres!$A$1:$I$89,5,0)</f>
        <v>1.0995790944434703E-13</v>
      </c>
      <c r="CA153" s="13">
        <f t="shared" si="147"/>
        <v>1.6337280948049956E-12</v>
      </c>
      <c r="CB153" s="20">
        <f t="shared" si="118"/>
        <v>3.036919790734272E-12</v>
      </c>
      <c r="CC153" s="59">
        <f t="shared" si="119"/>
        <v>293.33333333333633</v>
      </c>
      <c r="CD153" s="59">
        <f ca="1">AVERAGE(OFFSET($CC$3,0,0,'Données projet'!$E$12+1,1))-AVERAGE(OFFSET($H$3,0,0,'Données projet'!$E$12+1,1))</f>
        <v>154.93882427988234</v>
      </c>
      <c r="CE153" s="59">
        <f t="shared" si="148"/>
        <v>56.347130462109817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>
        <f>EXP(-LN(2)/35)*CK152+(1-EXP(-LN(2)/35))/(LN(2)/35)*CG153*CH153*VLOOKUP('Données projet'!$B$12,Paramètres!$A$1:$I$89,3,0)*0.475*44/12</f>
        <v>0</v>
      </c>
      <c r="CL153" s="21">
        <f>EXP(-LN(2)/25)*CL152+(1-EXP(-LN(2)/25))/(LN(2)/25)*Calculateur!CG153*Calculateur!CI153*VLOOKUP('Données projet'!$B$12,Paramètres!$A$1:$I$89,3,0)*0.475*44/12</f>
        <v>0</v>
      </c>
      <c r="CM153" s="21">
        <f>EXP(-LN(2)/2)*CM152+(1-EXP(-LN(2)/2))/(LN(2)/2)*CG153*CJ153*VLOOKUP('Données projet'!$B$12,Paramètres!$A$1:$I$89,3,0)*0.475*44/12</f>
        <v>0</v>
      </c>
      <c r="CN153" s="22">
        <f t="shared" si="120"/>
        <v>0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134.26920000000015</v>
      </c>
      <c r="D154" s="11">
        <f t="shared" si="140"/>
        <v>34.980983294811438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1306.492642977493</v>
      </c>
      <c r="H154" s="67">
        <f t="shared" si="110"/>
        <v>588.11073590513013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0</v>
      </c>
      <c r="O154" s="13">
        <f>N154*VLOOKUP('Données projet'!$B$9,Paramètres!$A$1:$I$89,3,0)*VLOOKUP('Données projet'!$B$9,Paramètres!$A$1:$I$89,5,0)</f>
        <v>0</v>
      </c>
      <c r="P154" s="13" t="e">
        <f t="shared" si="141"/>
        <v>#NUM!</v>
      </c>
      <c r="Q154" s="20" t="e">
        <f t="shared" ref="Q154:Q203" si="162">(O154+P154)*0.475*44/12</f>
        <v>#NUM!</v>
      </c>
      <c r="R154" s="59" t="e">
        <f t="shared" si="109"/>
        <v>#NUM!</v>
      </c>
      <c r="S154" s="59">
        <f ca="1">AVERAGE(OFFSET($R$3,0,0,'Données projet'!$E$9+1,1))-AVERAGE(OFFSET($H$3,0,0,'Données projet'!$E$9+1,1))</f>
        <v>72.647148358003676</v>
      </c>
      <c r="T154" s="59">
        <f t="shared" si="142"/>
        <v>87.231299224620898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0.11586373244774072</v>
      </c>
      <c r="AA154" s="21">
        <f>EXP(-LN(2)/25)*AA153+(1-EXP(-LN(2)/25))/(LN(2)/25)*Calculateur!V154*Calculateur!X154*VLOOKUP('Données projet'!$B$9,Paramètres!$A$1:$I$89,3,0)*0.475*44/12</f>
        <v>0.15820534303669115</v>
      </c>
      <c r="AB154" s="21">
        <f>EXP(-LN(2)/2)*AB153+(1-EXP(-LN(2)/2))/(LN(2)/2)*V154*Y154*VLOOKUP('Données projet'!$B$9,Paramètres!$A$1:$I$89,3,0)*0.475*44/12</f>
        <v>1.3989131996866683E-18</v>
      </c>
      <c r="AC154" s="22">
        <f t="shared" ref="AC154:AC203" si="163">SUM(Z154:AB154)</f>
        <v>0.27406907548443188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-8.5265128291212022E-14</v>
      </c>
      <c r="AJ154" s="13">
        <f>AI154*VLOOKUP('Données projet'!$B$10,Paramètres!$A$1:$I$89,3,0)*VLOOKUP('Données projet'!$B$10,Paramètres!$A$1:$I$89,5,0)</f>
        <v>-6.9167072069831198E-14</v>
      </c>
      <c r="AK154" s="13" t="e">
        <f t="shared" ref="AK154:AK203" si="164">EXP(-1.0587+0.8836*LN(AJ154)+0.284)</f>
        <v>#NUM!</v>
      </c>
      <c r="AL154" s="20" t="e">
        <f t="shared" ref="AL154:AL203" si="165">(AJ154+AK154)*0.475*44/12</f>
        <v>#NUM!</v>
      </c>
      <c r="AM154" s="59" t="e">
        <f t="shared" si="113"/>
        <v>#NUM!</v>
      </c>
      <c r="AN154" s="59">
        <f ca="1">AVERAGE(OFFSET($AM$3,0,0,'Données projet'!$E$10+1,1))-AVERAGE(OFFSET($H$3,0,0,'Données projet'!$E$10+1,1))</f>
        <v>145.3656871223958</v>
      </c>
      <c r="AO154" s="59">
        <f t="shared" si="144"/>
        <v>180.54762778843178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0</v>
      </c>
      <c r="AV154" s="21">
        <f>EXP(-LN(2)/25)*AV153+(1-EXP(-LN(2)/25))/(LN(2)/25)*Calculateur!AQ154*Calculateur!AS154*VLOOKUP('Données projet'!$B$10,Paramètres!$A$1:$I$89,3,0)*0.475*44/12</f>
        <v>0.19416735730697238</v>
      </c>
      <c r="AW154" s="21">
        <f>EXP(-LN(2)/2)*AW153+(1-EXP(-LN(2)/2))/(LN(2)/2)*AQ154*AT154*VLOOKUP('Données projet'!$B$10,Paramètres!$A$1:$I$89,3,0)*0.475*44/12</f>
        <v>5.0059923224247678E-18</v>
      </c>
      <c r="AX154" s="21">
        <f t="shared" ref="AX154:AX203" si="166">SUM(AU154:AW154)</f>
        <v>0.19416735730697238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2.8421709430404007E-14</v>
      </c>
      <c r="BE154" s="13">
        <f>BD154*VLOOKUP('Données projet'!$B$11,Paramètres!$A$1:$I$89,3,0)*VLOOKUP('Données projet'!$B$11,Paramètres!$A$1:$I$89,5,0)</f>
        <v>2.5715962692629544E-14</v>
      </c>
      <c r="BF154" s="13">
        <f t="shared" ref="BF154:BF203" si="167">EXP(-1.0587+0.8836*LN(BE154)+0.284)</f>
        <v>4.5248818890525812E-13</v>
      </c>
      <c r="BG154" s="20">
        <f t="shared" ref="BG154:BG203" si="168">(BE154+BF154)*0.475*44/12</f>
        <v>8.3287223069965432E-13</v>
      </c>
      <c r="BH154" s="59">
        <f t="shared" si="116"/>
        <v>293.33333333333417</v>
      </c>
      <c r="BI154" s="59">
        <f ca="1">AVERAGE(OFFSET($BH$3,0,0,'Données projet'!$E$11+1,1))-AVERAGE(OFFSET($H$3,0,0,'Données projet'!$E$11+1,1))</f>
        <v>138.8931001150624</v>
      </c>
      <c r="BJ154" s="59">
        <f t="shared" si="146"/>
        <v>48.964659354096625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>
        <f>EXP(-LN(2)/35)*BP153+(1-EXP(-LN(2)/35))/(LN(2)/35)*BL154*BM154*VLOOKUP('Données projet'!$B$11,Paramètres!$A$1:$I$89,3,0)*0.475*44/12</f>
        <v>0</v>
      </c>
      <c r="BQ154" s="21">
        <f>EXP(-LN(2)/25)*BQ153+(1-EXP(-LN(2)/25))/(LN(2)/25)*Calculateur!BL154*Calculateur!BN154*VLOOKUP('Données projet'!$B$11,Paramètres!$A$1:$I$89,3,0)*0.475*44/12</f>
        <v>0</v>
      </c>
      <c r="BR154" s="21">
        <f>EXP(-LN(2)/2)*BR153+(1-EXP(-LN(2)/2))/(LN(2)/2)*BL154*BO154*VLOOKUP('Données projet'!$B$11,Paramètres!$A$1:$I$89,3,0)*0.475*44/12</f>
        <v>0</v>
      </c>
      <c r="BS154" s="22">
        <f t="shared" ref="BS154:BS203" si="169">SUM(BP154:BR154)</f>
        <v>0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1.1368683772161603E-13</v>
      </c>
      <c r="BZ154" s="13">
        <f>BY154*VLOOKUP('Données projet'!$B$12,Paramètres!$A$1:$I$89,3,0)*VLOOKUP('Données projet'!$B$12,Paramètres!$A$1:$I$89,5,0)</f>
        <v>1.0995790944434703E-13</v>
      </c>
      <c r="CA154" s="13">
        <f t="shared" ref="CA154:CA203" si="170">EXP(-1.0587+0.8836*LN(BZ154)+0.284)</f>
        <v>1.6337280948049956E-12</v>
      </c>
      <c r="CB154" s="20">
        <f t="shared" ref="CB154:CB203" si="171">(BZ154+CA154)*0.475*44/12</f>
        <v>3.036919790734272E-12</v>
      </c>
      <c r="CC154" s="59">
        <f t="shared" si="119"/>
        <v>293.33333333333633</v>
      </c>
      <c r="CD154" s="59">
        <f ca="1">AVERAGE(OFFSET($CC$3,0,0,'Données projet'!$E$12+1,1))-AVERAGE(OFFSET($H$3,0,0,'Données projet'!$E$12+1,1))</f>
        <v>154.93882427988234</v>
      </c>
      <c r="CE154" s="59">
        <f t="shared" si="148"/>
        <v>56.347130462109817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>
        <f>EXP(-LN(2)/35)*CK153+(1-EXP(-LN(2)/35))/(LN(2)/35)*CG154*CH154*VLOOKUP('Données projet'!$B$12,Paramètres!$A$1:$I$89,3,0)*0.475*44/12</f>
        <v>0</v>
      </c>
      <c r="CL154" s="21">
        <f>EXP(-LN(2)/25)*CL153+(1-EXP(-LN(2)/25))/(LN(2)/25)*Calculateur!CG154*Calculateur!CI154*VLOOKUP('Données projet'!$B$12,Paramètres!$A$1:$I$89,3,0)*0.475*44/12</f>
        <v>0</v>
      </c>
      <c r="CM154" s="21">
        <f>EXP(-LN(2)/2)*CM153+(1-EXP(-LN(2)/2))/(LN(2)/2)*CG154*CJ154*VLOOKUP('Données projet'!$B$12,Paramètres!$A$1:$I$89,3,0)*0.475*44/12</f>
        <v>0</v>
      </c>
      <c r="CN154" s="22">
        <f t="shared" ref="CN154:CN203" si="172">SUM(CK154:CM154)</f>
        <v>0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135.15840000000014</v>
      </c>
      <c r="D155" s="11">
        <f t="shared" si="140"/>
        <v>35.185601260048031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1314.9361500775651</v>
      </c>
      <c r="H155" s="67">
        <f t="shared" si="110"/>
        <v>590.0158021945839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0</v>
      </c>
      <c r="O155" s="13">
        <f>N155*VLOOKUP('Données projet'!$B$9,Paramètres!$A$1:$I$89,3,0)*VLOOKUP('Données projet'!$B$9,Paramètres!$A$1:$I$89,5,0)</f>
        <v>0</v>
      </c>
      <c r="P155" s="13" t="e">
        <f t="shared" si="141"/>
        <v>#NUM!</v>
      </c>
      <c r="Q155" s="20" t="e">
        <f t="shared" si="162"/>
        <v>#NUM!</v>
      </c>
      <c r="R155" s="59" t="e">
        <f t="shared" si="109"/>
        <v>#NUM!</v>
      </c>
      <c r="S155" s="59">
        <f ca="1">AVERAGE(OFFSET($R$3,0,0,'Données projet'!$E$9+1,1))-AVERAGE(OFFSET($H$3,0,0,'Données projet'!$E$9+1,1))</f>
        <v>72.647148358003676</v>
      </c>
      <c r="T155" s="59">
        <f t="shared" si="142"/>
        <v>87.231299224620898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0.11359171532433925</v>
      </c>
      <c r="AA155" s="21">
        <f>EXP(-LN(2)/25)*AA154+(1-EXP(-LN(2)/25))/(LN(2)/25)*Calculateur!V155*Calculateur!X155*VLOOKUP('Données projet'!$B$9,Paramètres!$A$1:$I$89,3,0)*0.475*44/12</f>
        <v>0.15387920961169543</v>
      </c>
      <c r="AB155" s="21">
        <f>EXP(-LN(2)/2)*AB154+(1-EXP(-LN(2)/2))/(LN(2)/2)*V155*Y155*VLOOKUP('Données projet'!$B$9,Paramètres!$A$1:$I$89,3,0)*0.475*44/12</f>
        <v>9.8918100978981404E-19</v>
      </c>
      <c r="AC155" s="22">
        <f t="shared" si="163"/>
        <v>0.26747092493603469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-8.5265128291212022E-14</v>
      </c>
      <c r="AJ155" s="13">
        <f>AI155*VLOOKUP('Données projet'!$B$10,Paramètres!$A$1:$I$89,3,0)*VLOOKUP('Données projet'!$B$10,Paramètres!$A$1:$I$89,5,0)</f>
        <v>-6.9167072069831198E-14</v>
      </c>
      <c r="AK155" s="13" t="e">
        <f t="shared" si="164"/>
        <v>#NUM!</v>
      </c>
      <c r="AL155" s="20" t="e">
        <f t="shared" si="165"/>
        <v>#NUM!</v>
      </c>
      <c r="AM155" s="59" t="e">
        <f t="shared" si="113"/>
        <v>#NUM!</v>
      </c>
      <c r="AN155" s="59">
        <f ca="1">AVERAGE(OFFSET($AM$3,0,0,'Données projet'!$E$10+1,1))-AVERAGE(OFFSET($H$3,0,0,'Données projet'!$E$10+1,1))</f>
        <v>145.3656871223958</v>
      </c>
      <c r="AO155" s="59">
        <f t="shared" si="144"/>
        <v>180.54762778843178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0</v>
      </c>
      <c r="AV155" s="21">
        <f>EXP(-LN(2)/25)*AV154+(1-EXP(-LN(2)/25))/(LN(2)/25)*Calculateur!AQ155*Calculateur!AS155*VLOOKUP('Données projet'!$B$10,Paramètres!$A$1:$I$89,3,0)*0.475*44/12</f>
        <v>0.18885784071059566</v>
      </c>
      <c r="AW155" s="21">
        <f>EXP(-LN(2)/2)*AW154+(1-EXP(-LN(2)/2))/(LN(2)/2)*AQ155*AT155*VLOOKUP('Données projet'!$B$10,Paramètres!$A$1:$I$89,3,0)*0.475*44/12</f>
        <v>3.5397711177543471E-18</v>
      </c>
      <c r="AX155" s="21">
        <f t="shared" si="166"/>
        <v>0.18885784071059566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2.8421709430404007E-14</v>
      </c>
      <c r="BE155" s="13">
        <f>BD155*VLOOKUP('Données projet'!$B$11,Paramètres!$A$1:$I$89,3,0)*VLOOKUP('Données projet'!$B$11,Paramètres!$A$1:$I$89,5,0)</f>
        <v>2.5715962692629544E-14</v>
      </c>
      <c r="BF155" s="13">
        <f t="shared" si="167"/>
        <v>4.5248818890525812E-13</v>
      </c>
      <c r="BG155" s="20">
        <f t="shared" si="168"/>
        <v>8.3287223069965432E-13</v>
      </c>
      <c r="BH155" s="59">
        <f t="shared" si="116"/>
        <v>293.33333333333417</v>
      </c>
      <c r="BI155" s="59">
        <f ca="1">AVERAGE(OFFSET($BH$3,0,0,'Données projet'!$E$11+1,1))-AVERAGE(OFFSET($H$3,0,0,'Données projet'!$E$11+1,1))</f>
        <v>138.8931001150624</v>
      </c>
      <c r="BJ155" s="59">
        <f t="shared" si="146"/>
        <v>48.964659354096625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>
        <f>EXP(-LN(2)/35)*BP154+(1-EXP(-LN(2)/35))/(LN(2)/35)*BL155*BM155*VLOOKUP('Données projet'!$B$11,Paramètres!$A$1:$I$89,3,0)*0.475*44/12</f>
        <v>0</v>
      </c>
      <c r="BQ155" s="21">
        <f>EXP(-LN(2)/25)*BQ154+(1-EXP(-LN(2)/25))/(LN(2)/25)*Calculateur!BL155*Calculateur!BN155*VLOOKUP('Données projet'!$B$11,Paramètres!$A$1:$I$89,3,0)*0.475*44/12</f>
        <v>0</v>
      </c>
      <c r="BR155" s="21">
        <f>EXP(-LN(2)/2)*BR154+(1-EXP(-LN(2)/2))/(LN(2)/2)*BL155*BO155*VLOOKUP('Données projet'!$B$11,Paramètres!$A$1:$I$89,3,0)*0.475*44/12</f>
        <v>0</v>
      </c>
      <c r="BS155" s="22">
        <f t="shared" si="169"/>
        <v>0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1.1368683772161603E-13</v>
      </c>
      <c r="BZ155" s="13">
        <f>BY155*VLOOKUP('Données projet'!$B$12,Paramètres!$A$1:$I$89,3,0)*VLOOKUP('Données projet'!$B$12,Paramètres!$A$1:$I$89,5,0)</f>
        <v>1.0995790944434703E-13</v>
      </c>
      <c r="CA155" s="13">
        <f t="shared" si="170"/>
        <v>1.6337280948049956E-12</v>
      </c>
      <c r="CB155" s="20">
        <f t="shared" si="171"/>
        <v>3.036919790734272E-12</v>
      </c>
      <c r="CC155" s="59">
        <f t="shared" si="119"/>
        <v>293.33333333333633</v>
      </c>
      <c r="CD155" s="59">
        <f ca="1">AVERAGE(OFFSET($CC$3,0,0,'Données projet'!$E$12+1,1))-AVERAGE(OFFSET($H$3,0,0,'Données projet'!$E$12+1,1))</f>
        <v>154.93882427988234</v>
      </c>
      <c r="CE155" s="59">
        <f t="shared" si="148"/>
        <v>56.347130462109817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>
        <f>EXP(-LN(2)/35)*CK154+(1-EXP(-LN(2)/35))/(LN(2)/35)*CG155*CH155*VLOOKUP('Données projet'!$B$12,Paramètres!$A$1:$I$89,3,0)*0.475*44/12</f>
        <v>0</v>
      </c>
      <c r="CL155" s="21">
        <f>EXP(-LN(2)/25)*CL154+(1-EXP(-LN(2)/25))/(LN(2)/25)*Calculateur!CG155*Calculateur!CI155*VLOOKUP('Données projet'!$B$12,Paramètres!$A$1:$I$89,3,0)*0.475*44/12</f>
        <v>0</v>
      </c>
      <c r="CM155" s="21">
        <f>EXP(-LN(2)/2)*CM154+(1-EXP(-LN(2)/2))/(LN(2)/2)*CG155*CJ155*VLOOKUP('Données projet'!$B$12,Paramètres!$A$1:$I$89,3,0)*0.475*44/12</f>
        <v>0</v>
      </c>
      <c r="CN155" s="22">
        <f t="shared" si="172"/>
        <v>0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136.04760000000013</v>
      </c>
      <c r="D156" s="11">
        <f t="shared" si="140"/>
        <v>35.390062589787611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1323.3784480615195</v>
      </c>
      <c r="H156" s="67">
        <f t="shared" si="110"/>
        <v>591.92059567721367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0</v>
      </c>
      <c r="O156" s="13">
        <f>N156*VLOOKUP('Données projet'!$B$9,Paramètres!$A$1:$I$89,3,0)*VLOOKUP('Données projet'!$B$9,Paramètres!$A$1:$I$89,5,0)</f>
        <v>0</v>
      </c>
      <c r="P156" s="13" t="e">
        <f t="shared" si="141"/>
        <v>#NUM!</v>
      </c>
      <c r="Q156" s="20" t="e">
        <f t="shared" si="162"/>
        <v>#NUM!</v>
      </c>
      <c r="R156" s="59" t="e">
        <f t="shared" si="109"/>
        <v>#NUM!</v>
      </c>
      <c r="S156" s="59">
        <f ca="1">AVERAGE(OFFSET($R$3,0,0,'Données projet'!$E$9+1,1))-AVERAGE(OFFSET($H$3,0,0,'Données projet'!$E$9+1,1))</f>
        <v>72.647148358003676</v>
      </c>
      <c r="T156" s="59">
        <f t="shared" si="142"/>
        <v>87.231299224620898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0.11136425107093406</v>
      </c>
      <c r="AA156" s="21">
        <f>EXP(-LN(2)/25)*AA155+(1-EXP(-LN(2)/25))/(LN(2)/25)*Calculateur!V156*Calculateur!X156*VLOOKUP('Données projet'!$B$9,Paramètres!$A$1:$I$89,3,0)*0.475*44/12</f>
        <v>0.14967137453270768</v>
      </c>
      <c r="AB156" s="21">
        <f>EXP(-LN(2)/2)*AB155+(1-EXP(-LN(2)/2))/(LN(2)/2)*V156*Y156*VLOOKUP('Données projet'!$B$9,Paramètres!$A$1:$I$89,3,0)*0.475*44/12</f>
        <v>6.9945659984333417E-19</v>
      </c>
      <c r="AC156" s="22">
        <f t="shared" si="163"/>
        <v>0.26103562560364174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-8.5265128291212022E-14</v>
      </c>
      <c r="AJ156" s="13">
        <f>AI156*VLOOKUP('Données projet'!$B$10,Paramètres!$A$1:$I$89,3,0)*VLOOKUP('Données projet'!$B$10,Paramètres!$A$1:$I$89,5,0)</f>
        <v>-6.9167072069831198E-14</v>
      </c>
      <c r="AK156" s="13" t="e">
        <f t="shared" si="164"/>
        <v>#NUM!</v>
      </c>
      <c r="AL156" s="20" t="e">
        <f t="shared" si="165"/>
        <v>#NUM!</v>
      </c>
      <c r="AM156" s="59" t="e">
        <f t="shared" si="113"/>
        <v>#NUM!</v>
      </c>
      <c r="AN156" s="59">
        <f ca="1">AVERAGE(OFFSET($AM$3,0,0,'Données projet'!$E$10+1,1))-AVERAGE(OFFSET($H$3,0,0,'Données projet'!$E$10+1,1))</f>
        <v>145.3656871223958</v>
      </c>
      <c r="AO156" s="59">
        <f t="shared" si="144"/>
        <v>180.54762778843178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0</v>
      </c>
      <c r="AV156" s="21">
        <f>EXP(-LN(2)/25)*AV155+(1-EXP(-LN(2)/25))/(LN(2)/25)*Calculateur!AQ156*Calculateur!AS156*VLOOKUP('Données projet'!$B$10,Paramètres!$A$1:$I$89,3,0)*0.475*44/12</f>
        <v>0.18369351312476223</v>
      </c>
      <c r="AW156" s="21">
        <f>EXP(-LN(2)/2)*AW155+(1-EXP(-LN(2)/2))/(LN(2)/2)*AQ156*AT156*VLOOKUP('Données projet'!$B$10,Paramètres!$A$1:$I$89,3,0)*0.475*44/12</f>
        <v>2.5029961612123839E-18</v>
      </c>
      <c r="AX156" s="21">
        <f t="shared" si="166"/>
        <v>0.18369351312476223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2.8421709430404007E-14</v>
      </c>
      <c r="BE156" s="13">
        <f>BD156*VLOOKUP('Données projet'!$B$11,Paramètres!$A$1:$I$89,3,0)*VLOOKUP('Données projet'!$B$11,Paramètres!$A$1:$I$89,5,0)</f>
        <v>2.5715962692629544E-14</v>
      </c>
      <c r="BF156" s="13">
        <f t="shared" si="167"/>
        <v>4.5248818890525812E-13</v>
      </c>
      <c r="BG156" s="20">
        <f t="shared" si="168"/>
        <v>8.3287223069965432E-13</v>
      </c>
      <c r="BH156" s="59">
        <f t="shared" si="116"/>
        <v>293.33333333333417</v>
      </c>
      <c r="BI156" s="59">
        <f ca="1">AVERAGE(OFFSET($BH$3,0,0,'Données projet'!$E$11+1,1))-AVERAGE(OFFSET($H$3,0,0,'Données projet'!$E$11+1,1))</f>
        <v>138.8931001150624</v>
      </c>
      <c r="BJ156" s="59">
        <f t="shared" si="146"/>
        <v>48.964659354096625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>
        <f>EXP(-LN(2)/35)*BP155+(1-EXP(-LN(2)/35))/(LN(2)/35)*BL156*BM156*VLOOKUP('Données projet'!$B$11,Paramètres!$A$1:$I$89,3,0)*0.475*44/12</f>
        <v>0</v>
      </c>
      <c r="BQ156" s="21">
        <f>EXP(-LN(2)/25)*BQ155+(1-EXP(-LN(2)/25))/(LN(2)/25)*Calculateur!BL156*Calculateur!BN156*VLOOKUP('Données projet'!$B$11,Paramètres!$A$1:$I$89,3,0)*0.475*44/12</f>
        <v>0</v>
      </c>
      <c r="BR156" s="21">
        <f>EXP(-LN(2)/2)*BR155+(1-EXP(-LN(2)/2))/(LN(2)/2)*BL156*BO156*VLOOKUP('Données projet'!$B$11,Paramètres!$A$1:$I$89,3,0)*0.475*44/12</f>
        <v>0</v>
      </c>
      <c r="BS156" s="22">
        <f t="shared" si="169"/>
        <v>0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1.1368683772161603E-13</v>
      </c>
      <c r="BZ156" s="13">
        <f>BY156*VLOOKUP('Données projet'!$B$12,Paramètres!$A$1:$I$89,3,0)*VLOOKUP('Données projet'!$B$12,Paramètres!$A$1:$I$89,5,0)</f>
        <v>1.0995790944434703E-13</v>
      </c>
      <c r="CA156" s="13">
        <f t="shared" si="170"/>
        <v>1.6337280948049956E-12</v>
      </c>
      <c r="CB156" s="20">
        <f t="shared" si="171"/>
        <v>3.036919790734272E-12</v>
      </c>
      <c r="CC156" s="59">
        <f t="shared" si="119"/>
        <v>293.33333333333633</v>
      </c>
      <c r="CD156" s="59">
        <f ca="1">AVERAGE(OFFSET($CC$3,0,0,'Données projet'!$E$12+1,1))-AVERAGE(OFFSET($H$3,0,0,'Données projet'!$E$12+1,1))</f>
        <v>154.93882427988234</v>
      </c>
      <c r="CE156" s="59">
        <f t="shared" si="148"/>
        <v>56.347130462109817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>
        <f>EXP(-LN(2)/35)*CK155+(1-EXP(-LN(2)/35))/(LN(2)/35)*CG156*CH156*VLOOKUP('Données projet'!$B$12,Paramètres!$A$1:$I$89,3,0)*0.475*44/12</f>
        <v>0</v>
      </c>
      <c r="CL156" s="21">
        <f>EXP(-LN(2)/25)*CL155+(1-EXP(-LN(2)/25))/(LN(2)/25)*Calculateur!CG156*Calculateur!CI156*VLOOKUP('Données projet'!$B$12,Paramètres!$A$1:$I$89,3,0)*0.475*44/12</f>
        <v>0</v>
      </c>
      <c r="CM156" s="21">
        <f>EXP(-LN(2)/2)*CM155+(1-EXP(-LN(2)/2))/(LN(2)/2)*CG156*CJ156*VLOOKUP('Données projet'!$B$12,Paramètres!$A$1:$I$89,3,0)*0.475*44/12</f>
        <v>0</v>
      </c>
      <c r="CN156" s="22">
        <f t="shared" si="172"/>
        <v>0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136.93680000000012</v>
      </c>
      <c r="D157" s="11">
        <f t="shared" si="140"/>
        <v>35.594368426539035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1331.8195457487234</v>
      </c>
      <c r="H157" s="67">
        <f t="shared" si="110"/>
        <v>593.82511834288903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0</v>
      </c>
      <c r="O157" s="13">
        <f>N157*VLOOKUP('Données projet'!$B$9,Paramètres!$A$1:$I$89,3,0)*VLOOKUP('Données projet'!$B$9,Paramètres!$A$1:$I$89,5,0)</f>
        <v>0</v>
      </c>
      <c r="P157" s="13" t="e">
        <f t="shared" si="141"/>
        <v>#NUM!</v>
      </c>
      <c r="Q157" s="20" t="e">
        <f t="shared" si="162"/>
        <v>#NUM!</v>
      </c>
      <c r="R157" s="59" t="e">
        <f t="shared" si="109"/>
        <v>#NUM!</v>
      </c>
      <c r="S157" s="59">
        <f ca="1">AVERAGE(OFFSET($R$3,0,0,'Données projet'!$E$9+1,1))-AVERAGE(OFFSET($H$3,0,0,'Données projet'!$E$9+1,1))</f>
        <v>72.647148358003676</v>
      </c>
      <c r="T157" s="59">
        <f t="shared" si="142"/>
        <v>87.231299224620898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0.10918046603291912</v>
      </c>
      <c r="AA157" s="21">
        <f>EXP(-LN(2)/25)*AA156+(1-EXP(-LN(2)/25))/(LN(2)/25)*Calculateur!V157*Calculateur!X157*VLOOKUP('Données projet'!$B$9,Paramètres!$A$1:$I$89,3,0)*0.475*44/12</f>
        <v>0.14557860292523528</v>
      </c>
      <c r="AB157" s="21">
        <f>EXP(-LN(2)/2)*AB156+(1-EXP(-LN(2)/2))/(LN(2)/2)*V157*Y157*VLOOKUP('Données projet'!$B$9,Paramètres!$A$1:$I$89,3,0)*0.475*44/12</f>
        <v>4.9459050489490702E-19</v>
      </c>
      <c r="AC157" s="22">
        <f t="shared" si="163"/>
        <v>0.25475906895815437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-8.5265128291212022E-14</v>
      </c>
      <c r="AJ157" s="13">
        <f>AI157*VLOOKUP('Données projet'!$B$10,Paramètres!$A$1:$I$89,3,0)*VLOOKUP('Données projet'!$B$10,Paramètres!$A$1:$I$89,5,0)</f>
        <v>-6.9167072069831198E-14</v>
      </c>
      <c r="AK157" s="13" t="e">
        <f t="shared" si="164"/>
        <v>#NUM!</v>
      </c>
      <c r="AL157" s="20" t="e">
        <f t="shared" si="165"/>
        <v>#NUM!</v>
      </c>
      <c r="AM157" s="59" t="e">
        <f t="shared" si="113"/>
        <v>#NUM!</v>
      </c>
      <c r="AN157" s="59">
        <f ca="1">AVERAGE(OFFSET($AM$3,0,0,'Données projet'!$E$10+1,1))-AVERAGE(OFFSET($H$3,0,0,'Données projet'!$E$10+1,1))</f>
        <v>145.3656871223958</v>
      </c>
      <c r="AO157" s="59">
        <f t="shared" si="144"/>
        <v>180.54762778843178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0</v>
      </c>
      <c r="AV157" s="21">
        <f>EXP(-LN(2)/25)*AV156+(1-EXP(-LN(2)/25))/(LN(2)/25)*Calculateur!AQ157*Calculateur!AS157*VLOOKUP('Données projet'!$B$10,Paramètres!$A$1:$I$89,3,0)*0.475*44/12</f>
        <v>0.17867040434834358</v>
      </c>
      <c r="AW157" s="21">
        <f>EXP(-LN(2)/2)*AW156+(1-EXP(-LN(2)/2))/(LN(2)/2)*AQ157*AT157*VLOOKUP('Données projet'!$B$10,Paramètres!$A$1:$I$89,3,0)*0.475*44/12</f>
        <v>1.7698855588771736E-18</v>
      </c>
      <c r="AX157" s="21">
        <f t="shared" si="166"/>
        <v>0.17867040434834358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2.8421709430404007E-14</v>
      </c>
      <c r="BE157" s="13">
        <f>BD157*VLOOKUP('Données projet'!$B$11,Paramètres!$A$1:$I$89,3,0)*VLOOKUP('Données projet'!$B$11,Paramètres!$A$1:$I$89,5,0)</f>
        <v>2.5715962692629544E-14</v>
      </c>
      <c r="BF157" s="13">
        <f t="shared" si="167"/>
        <v>4.5248818890525812E-13</v>
      </c>
      <c r="BG157" s="20">
        <f t="shared" si="168"/>
        <v>8.3287223069965432E-13</v>
      </c>
      <c r="BH157" s="59">
        <f t="shared" si="116"/>
        <v>293.33333333333417</v>
      </c>
      <c r="BI157" s="59">
        <f ca="1">AVERAGE(OFFSET($BH$3,0,0,'Données projet'!$E$11+1,1))-AVERAGE(OFFSET($H$3,0,0,'Données projet'!$E$11+1,1))</f>
        <v>138.8931001150624</v>
      </c>
      <c r="BJ157" s="59">
        <f t="shared" si="146"/>
        <v>48.964659354096625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>
        <f>EXP(-LN(2)/35)*BP156+(1-EXP(-LN(2)/35))/(LN(2)/35)*BL157*BM157*VLOOKUP('Données projet'!$B$11,Paramètres!$A$1:$I$89,3,0)*0.475*44/12</f>
        <v>0</v>
      </c>
      <c r="BQ157" s="21">
        <f>EXP(-LN(2)/25)*BQ156+(1-EXP(-LN(2)/25))/(LN(2)/25)*Calculateur!BL157*Calculateur!BN157*VLOOKUP('Données projet'!$B$11,Paramètres!$A$1:$I$89,3,0)*0.475*44/12</f>
        <v>0</v>
      </c>
      <c r="BR157" s="21">
        <f>EXP(-LN(2)/2)*BR156+(1-EXP(-LN(2)/2))/(LN(2)/2)*BL157*BO157*VLOOKUP('Données projet'!$B$11,Paramètres!$A$1:$I$89,3,0)*0.475*44/12</f>
        <v>0</v>
      </c>
      <c r="BS157" s="22">
        <f t="shared" si="169"/>
        <v>0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1.1368683772161603E-13</v>
      </c>
      <c r="BZ157" s="13">
        <f>BY157*VLOOKUP('Données projet'!$B$12,Paramètres!$A$1:$I$89,3,0)*VLOOKUP('Données projet'!$B$12,Paramètres!$A$1:$I$89,5,0)</f>
        <v>1.0995790944434703E-13</v>
      </c>
      <c r="CA157" s="13">
        <f t="shared" si="170"/>
        <v>1.6337280948049956E-12</v>
      </c>
      <c r="CB157" s="20">
        <f t="shared" si="171"/>
        <v>3.036919790734272E-12</v>
      </c>
      <c r="CC157" s="59">
        <f t="shared" si="119"/>
        <v>293.33333333333633</v>
      </c>
      <c r="CD157" s="59">
        <f ca="1">AVERAGE(OFFSET($CC$3,0,0,'Données projet'!$E$12+1,1))-AVERAGE(OFFSET($H$3,0,0,'Données projet'!$E$12+1,1))</f>
        <v>154.93882427988234</v>
      </c>
      <c r="CE157" s="59">
        <f t="shared" si="148"/>
        <v>56.347130462109817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>
        <f>EXP(-LN(2)/35)*CK156+(1-EXP(-LN(2)/35))/(LN(2)/35)*CG157*CH157*VLOOKUP('Données projet'!$B$12,Paramètres!$A$1:$I$89,3,0)*0.475*44/12</f>
        <v>0</v>
      </c>
      <c r="CL157" s="21">
        <f>EXP(-LN(2)/25)*CL156+(1-EXP(-LN(2)/25))/(LN(2)/25)*Calculateur!CG157*Calculateur!CI157*VLOOKUP('Données projet'!$B$12,Paramètres!$A$1:$I$89,3,0)*0.475*44/12</f>
        <v>0</v>
      </c>
      <c r="CM157" s="21">
        <f>EXP(-LN(2)/2)*CM156+(1-EXP(-LN(2)/2))/(LN(2)/2)*CG157*CJ157*VLOOKUP('Données projet'!$B$12,Paramètres!$A$1:$I$89,3,0)*0.475*44/12</f>
        <v>0</v>
      </c>
      <c r="CN157" s="22">
        <f t="shared" si="172"/>
        <v>0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137.82600000000011</v>
      </c>
      <c r="D158" s="11">
        <f t="shared" si="140"/>
        <v>35.798519897115533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1340.2594518373839</v>
      </c>
      <c r="H158" s="67">
        <f t="shared" si="110"/>
        <v>595.72937215414299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0</v>
      </c>
      <c r="O158" s="13">
        <f>N158*VLOOKUP('Données projet'!$B$9,Paramètres!$A$1:$I$89,3,0)*VLOOKUP('Données projet'!$B$9,Paramètres!$A$1:$I$89,5,0)</f>
        <v>0</v>
      </c>
      <c r="P158" s="13" t="e">
        <f t="shared" si="141"/>
        <v>#NUM!</v>
      </c>
      <c r="Q158" s="20" t="e">
        <f t="shared" si="162"/>
        <v>#NUM!</v>
      </c>
      <c r="R158" s="59" t="e">
        <f t="shared" si="109"/>
        <v>#NUM!</v>
      </c>
      <c r="S158" s="59">
        <f ca="1">AVERAGE(OFFSET($R$3,0,0,'Données projet'!$E$9+1,1))-AVERAGE(OFFSET($H$3,0,0,'Données projet'!$E$9+1,1))</f>
        <v>72.647148358003676</v>
      </c>
      <c r="T158" s="59">
        <f t="shared" si="142"/>
        <v>87.231299224620898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0.10703950368752228</v>
      </c>
      <c r="AA158" s="21">
        <f>EXP(-LN(2)/25)*AA157+(1-EXP(-LN(2)/25))/(LN(2)/25)*Calculateur!V158*Calculateur!X158*VLOOKUP('Données projet'!$B$9,Paramètres!$A$1:$I$89,3,0)*0.475*44/12</f>
        <v>0.14159774837259873</v>
      </c>
      <c r="AB158" s="21">
        <f>EXP(-LN(2)/2)*AB157+(1-EXP(-LN(2)/2))/(LN(2)/2)*V158*Y158*VLOOKUP('Données projet'!$B$9,Paramètres!$A$1:$I$89,3,0)*0.475*44/12</f>
        <v>3.4972829992166708E-19</v>
      </c>
      <c r="AC158" s="22">
        <f t="shared" si="163"/>
        <v>0.24863725206012099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-8.5265128291212022E-14</v>
      </c>
      <c r="AJ158" s="13">
        <f>AI158*VLOOKUP('Données projet'!$B$10,Paramètres!$A$1:$I$89,3,0)*VLOOKUP('Données projet'!$B$10,Paramètres!$A$1:$I$89,5,0)</f>
        <v>-6.9167072069831198E-14</v>
      </c>
      <c r="AK158" s="13" t="e">
        <f t="shared" si="164"/>
        <v>#NUM!</v>
      </c>
      <c r="AL158" s="20" t="e">
        <f t="shared" si="165"/>
        <v>#NUM!</v>
      </c>
      <c r="AM158" s="59" t="e">
        <f t="shared" si="113"/>
        <v>#NUM!</v>
      </c>
      <c r="AN158" s="59">
        <f ca="1">AVERAGE(OFFSET($AM$3,0,0,'Données projet'!$E$10+1,1))-AVERAGE(OFFSET($H$3,0,0,'Données projet'!$E$10+1,1))</f>
        <v>145.3656871223958</v>
      </c>
      <c r="AO158" s="59">
        <f t="shared" si="144"/>
        <v>180.54762778843178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0</v>
      </c>
      <c r="AV158" s="21">
        <f>EXP(-LN(2)/25)*AV157+(1-EXP(-LN(2)/25))/(LN(2)/25)*Calculateur!AQ158*Calculateur!AS158*VLOOKUP('Données projet'!$B$10,Paramètres!$A$1:$I$89,3,0)*0.475*44/12</f>
        <v>0.17378465274556992</v>
      </c>
      <c r="AW158" s="21">
        <f>EXP(-LN(2)/2)*AW157+(1-EXP(-LN(2)/2))/(LN(2)/2)*AQ158*AT158*VLOOKUP('Données projet'!$B$10,Paramètres!$A$1:$I$89,3,0)*0.475*44/12</f>
        <v>1.251498080606192E-18</v>
      </c>
      <c r="AX158" s="21">
        <f t="shared" si="166"/>
        <v>0.17378465274556992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2.8421709430404007E-14</v>
      </c>
      <c r="BE158" s="13">
        <f>BD158*VLOOKUP('Données projet'!$B$11,Paramètres!$A$1:$I$89,3,0)*VLOOKUP('Données projet'!$B$11,Paramètres!$A$1:$I$89,5,0)</f>
        <v>2.5715962692629544E-14</v>
      </c>
      <c r="BF158" s="13">
        <f t="shared" si="167"/>
        <v>4.5248818890525812E-13</v>
      </c>
      <c r="BG158" s="20">
        <f t="shared" si="168"/>
        <v>8.3287223069965432E-13</v>
      </c>
      <c r="BH158" s="59">
        <f t="shared" si="116"/>
        <v>293.33333333333417</v>
      </c>
      <c r="BI158" s="59">
        <f ca="1">AVERAGE(OFFSET($BH$3,0,0,'Données projet'!$E$11+1,1))-AVERAGE(OFFSET($H$3,0,0,'Données projet'!$E$11+1,1))</f>
        <v>138.8931001150624</v>
      </c>
      <c r="BJ158" s="59">
        <f t="shared" si="146"/>
        <v>48.964659354096625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>
        <f>EXP(-LN(2)/35)*BP157+(1-EXP(-LN(2)/35))/(LN(2)/35)*BL158*BM158*VLOOKUP('Données projet'!$B$11,Paramètres!$A$1:$I$89,3,0)*0.475*44/12</f>
        <v>0</v>
      </c>
      <c r="BQ158" s="21">
        <f>EXP(-LN(2)/25)*BQ157+(1-EXP(-LN(2)/25))/(LN(2)/25)*Calculateur!BL158*Calculateur!BN158*VLOOKUP('Données projet'!$B$11,Paramètres!$A$1:$I$89,3,0)*0.475*44/12</f>
        <v>0</v>
      </c>
      <c r="BR158" s="21">
        <f>EXP(-LN(2)/2)*BR157+(1-EXP(-LN(2)/2))/(LN(2)/2)*BL158*BO158*VLOOKUP('Données projet'!$B$11,Paramètres!$A$1:$I$89,3,0)*0.475*44/12</f>
        <v>0</v>
      </c>
      <c r="BS158" s="22">
        <f t="shared" si="169"/>
        <v>0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1.1368683772161603E-13</v>
      </c>
      <c r="BZ158" s="13">
        <f>BY158*VLOOKUP('Données projet'!$B$12,Paramètres!$A$1:$I$89,3,0)*VLOOKUP('Données projet'!$B$12,Paramètres!$A$1:$I$89,5,0)</f>
        <v>1.0995790944434703E-13</v>
      </c>
      <c r="CA158" s="13">
        <f t="shared" si="170"/>
        <v>1.6337280948049956E-12</v>
      </c>
      <c r="CB158" s="20">
        <f t="shared" si="171"/>
        <v>3.036919790734272E-12</v>
      </c>
      <c r="CC158" s="59">
        <f t="shared" si="119"/>
        <v>293.33333333333633</v>
      </c>
      <c r="CD158" s="59">
        <f ca="1">AVERAGE(OFFSET($CC$3,0,0,'Données projet'!$E$12+1,1))-AVERAGE(OFFSET($H$3,0,0,'Données projet'!$E$12+1,1))</f>
        <v>154.93882427988234</v>
      </c>
      <c r="CE158" s="59">
        <f t="shared" si="148"/>
        <v>56.347130462109817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>
        <f>EXP(-LN(2)/35)*CK157+(1-EXP(-LN(2)/35))/(LN(2)/35)*CG158*CH158*VLOOKUP('Données projet'!$B$12,Paramètres!$A$1:$I$89,3,0)*0.475*44/12</f>
        <v>0</v>
      </c>
      <c r="CL158" s="21">
        <f>EXP(-LN(2)/25)*CL157+(1-EXP(-LN(2)/25))/(LN(2)/25)*Calculateur!CG158*Calculateur!CI158*VLOOKUP('Données projet'!$B$12,Paramètres!$A$1:$I$89,3,0)*0.475*44/12</f>
        <v>0</v>
      </c>
      <c r="CM158" s="21">
        <f>EXP(-LN(2)/2)*CM157+(1-EXP(-LN(2)/2))/(LN(2)/2)*CG158*CJ158*VLOOKUP('Données projet'!$B$12,Paramètres!$A$1:$I$89,3,0)*0.475*44/12</f>
        <v>0</v>
      </c>
      <c r="CN158" s="22">
        <f t="shared" si="172"/>
        <v>0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138.7152000000001</v>
      </c>
      <c r="D159" s="11">
        <f t="shared" si="140"/>
        <v>36.002518112950014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1348.6981749069832</v>
      </c>
      <c r="H159" s="67">
        <f t="shared" si="110"/>
        <v>597.63335904672135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0</v>
      </c>
      <c r="O159" s="13">
        <f>N159*VLOOKUP('Données projet'!$B$9,Paramètres!$A$1:$I$89,3,0)*VLOOKUP('Données projet'!$B$9,Paramètres!$A$1:$I$89,5,0)</f>
        <v>0</v>
      </c>
      <c r="P159" s="13" t="e">
        <f t="shared" si="141"/>
        <v>#NUM!</v>
      </c>
      <c r="Q159" s="20" t="e">
        <f t="shared" si="162"/>
        <v>#NUM!</v>
      </c>
      <c r="R159" s="59" t="e">
        <f t="shared" si="109"/>
        <v>#NUM!</v>
      </c>
      <c r="S159" s="59">
        <f ca="1">AVERAGE(OFFSET($R$3,0,0,'Données projet'!$E$9+1,1))-AVERAGE(OFFSET($H$3,0,0,'Données projet'!$E$9+1,1))</f>
        <v>72.647148358003676</v>
      </c>
      <c r="T159" s="59">
        <f t="shared" si="142"/>
        <v>87.231299224620898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0.10494052430786061</v>
      </c>
      <c r="AA159" s="21">
        <f>EXP(-LN(2)/25)*AA158+(1-EXP(-LN(2)/25))/(LN(2)/25)*Calculateur!V159*Calculateur!X159*VLOOKUP('Données projet'!$B$9,Paramètres!$A$1:$I$89,3,0)*0.475*44/12</f>
        <v>0.13772575049704805</v>
      </c>
      <c r="AB159" s="21">
        <f>EXP(-LN(2)/2)*AB158+(1-EXP(-LN(2)/2))/(LN(2)/2)*V159*Y159*VLOOKUP('Données projet'!$B$9,Paramètres!$A$1:$I$89,3,0)*0.475*44/12</f>
        <v>2.4729525244745351E-19</v>
      </c>
      <c r="AC159" s="22">
        <f t="shared" si="163"/>
        <v>0.24266627480490865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-8.5265128291212022E-14</v>
      </c>
      <c r="AJ159" s="13">
        <f>AI159*VLOOKUP('Données projet'!$B$10,Paramètres!$A$1:$I$89,3,0)*VLOOKUP('Données projet'!$B$10,Paramètres!$A$1:$I$89,5,0)</f>
        <v>-6.9167072069831198E-14</v>
      </c>
      <c r="AK159" s="13" t="e">
        <f t="shared" si="164"/>
        <v>#NUM!</v>
      </c>
      <c r="AL159" s="20" t="e">
        <f t="shared" si="165"/>
        <v>#NUM!</v>
      </c>
      <c r="AM159" s="59" t="e">
        <f t="shared" si="113"/>
        <v>#NUM!</v>
      </c>
      <c r="AN159" s="59">
        <f ca="1">AVERAGE(OFFSET($AM$3,0,0,'Données projet'!$E$10+1,1))-AVERAGE(OFFSET($H$3,0,0,'Données projet'!$E$10+1,1))</f>
        <v>145.3656871223958</v>
      </c>
      <c r="AO159" s="59">
        <f t="shared" si="144"/>
        <v>180.54762778843178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0</v>
      </c>
      <c r="AV159" s="21">
        <f>EXP(-LN(2)/25)*AV158+(1-EXP(-LN(2)/25))/(LN(2)/25)*Calculateur!AQ159*Calculateur!AS159*VLOOKUP('Données projet'!$B$10,Paramètres!$A$1:$I$89,3,0)*0.475*44/12</f>
        <v>0.16903250227730462</v>
      </c>
      <c r="AW159" s="21">
        <f>EXP(-LN(2)/2)*AW158+(1-EXP(-LN(2)/2))/(LN(2)/2)*AQ159*AT159*VLOOKUP('Données projet'!$B$10,Paramètres!$A$1:$I$89,3,0)*0.475*44/12</f>
        <v>8.8494277943858678E-19</v>
      </c>
      <c r="AX159" s="21">
        <f t="shared" si="166"/>
        <v>0.16903250227730462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2.8421709430404007E-14</v>
      </c>
      <c r="BE159" s="13">
        <f>BD159*VLOOKUP('Données projet'!$B$11,Paramètres!$A$1:$I$89,3,0)*VLOOKUP('Données projet'!$B$11,Paramètres!$A$1:$I$89,5,0)</f>
        <v>2.5715962692629544E-14</v>
      </c>
      <c r="BF159" s="13">
        <f t="shared" si="167"/>
        <v>4.5248818890525812E-13</v>
      </c>
      <c r="BG159" s="20">
        <f t="shared" si="168"/>
        <v>8.3287223069965432E-13</v>
      </c>
      <c r="BH159" s="59">
        <f t="shared" si="116"/>
        <v>293.33333333333417</v>
      </c>
      <c r="BI159" s="59">
        <f ca="1">AVERAGE(OFFSET($BH$3,0,0,'Données projet'!$E$11+1,1))-AVERAGE(OFFSET($H$3,0,0,'Données projet'!$E$11+1,1))</f>
        <v>138.8931001150624</v>
      </c>
      <c r="BJ159" s="59">
        <f t="shared" si="146"/>
        <v>48.964659354096625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>
        <f>EXP(-LN(2)/35)*BP158+(1-EXP(-LN(2)/35))/(LN(2)/35)*BL159*BM159*VLOOKUP('Données projet'!$B$11,Paramètres!$A$1:$I$89,3,0)*0.475*44/12</f>
        <v>0</v>
      </c>
      <c r="BQ159" s="21">
        <f>EXP(-LN(2)/25)*BQ158+(1-EXP(-LN(2)/25))/(LN(2)/25)*Calculateur!BL159*Calculateur!BN159*VLOOKUP('Données projet'!$B$11,Paramètres!$A$1:$I$89,3,0)*0.475*44/12</f>
        <v>0</v>
      </c>
      <c r="BR159" s="21">
        <f>EXP(-LN(2)/2)*BR158+(1-EXP(-LN(2)/2))/(LN(2)/2)*BL159*BO159*VLOOKUP('Données projet'!$B$11,Paramètres!$A$1:$I$89,3,0)*0.475*44/12</f>
        <v>0</v>
      </c>
      <c r="BS159" s="22">
        <f t="shared" si="169"/>
        <v>0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1.1368683772161603E-13</v>
      </c>
      <c r="BZ159" s="13">
        <f>BY159*VLOOKUP('Données projet'!$B$12,Paramètres!$A$1:$I$89,3,0)*VLOOKUP('Données projet'!$B$12,Paramètres!$A$1:$I$89,5,0)</f>
        <v>1.0995790944434703E-13</v>
      </c>
      <c r="CA159" s="13">
        <f t="shared" si="170"/>
        <v>1.6337280948049956E-12</v>
      </c>
      <c r="CB159" s="20">
        <f t="shared" si="171"/>
        <v>3.036919790734272E-12</v>
      </c>
      <c r="CC159" s="59">
        <f t="shared" si="119"/>
        <v>293.33333333333633</v>
      </c>
      <c r="CD159" s="59">
        <f ca="1">AVERAGE(OFFSET($CC$3,0,0,'Données projet'!$E$12+1,1))-AVERAGE(OFFSET($H$3,0,0,'Données projet'!$E$12+1,1))</f>
        <v>154.93882427988234</v>
      </c>
      <c r="CE159" s="59">
        <f t="shared" si="148"/>
        <v>56.347130462109817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>
        <f>EXP(-LN(2)/35)*CK158+(1-EXP(-LN(2)/35))/(LN(2)/35)*CG159*CH159*VLOOKUP('Données projet'!$B$12,Paramètres!$A$1:$I$89,3,0)*0.475*44/12</f>
        <v>0</v>
      </c>
      <c r="CL159" s="21">
        <f>EXP(-LN(2)/25)*CL158+(1-EXP(-LN(2)/25))/(LN(2)/25)*Calculateur!CG159*Calculateur!CI159*VLOOKUP('Données projet'!$B$12,Paramètres!$A$1:$I$89,3,0)*0.475*44/12</f>
        <v>0</v>
      </c>
      <c r="CM159" s="21">
        <f>EXP(-LN(2)/2)*CM158+(1-EXP(-LN(2)/2))/(LN(2)/2)*CG159*CJ159*VLOOKUP('Données projet'!$B$12,Paramètres!$A$1:$I$89,3,0)*0.475*44/12</f>
        <v>0</v>
      </c>
      <c r="CN159" s="22">
        <f t="shared" si="172"/>
        <v>0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139.60440000000008</v>
      </c>
      <c r="D160" s="11">
        <f t="shared" si="140"/>
        <v>36.206364170402217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1357.1357234206496</v>
      </c>
      <c r="H160" s="67">
        <f t="shared" si="110"/>
        <v>599.53708093011733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0</v>
      </c>
      <c r="O160" s="13">
        <f>N160*VLOOKUP('Données projet'!$B$9,Paramètres!$A$1:$I$89,3,0)*VLOOKUP('Données projet'!$B$9,Paramètres!$A$1:$I$89,5,0)</f>
        <v>0</v>
      </c>
      <c r="P160" s="13" t="e">
        <f t="shared" si="141"/>
        <v>#NUM!</v>
      </c>
      <c r="Q160" s="20" t="e">
        <f t="shared" si="162"/>
        <v>#NUM!</v>
      </c>
      <c r="R160" s="59" t="e">
        <f t="shared" si="109"/>
        <v>#NUM!</v>
      </c>
      <c r="S160" s="59">
        <f ca="1">AVERAGE(OFFSET($R$3,0,0,'Données projet'!$E$9+1,1))-AVERAGE(OFFSET($H$3,0,0,'Données projet'!$E$9+1,1))</f>
        <v>72.647148358003676</v>
      </c>
      <c r="T160" s="59">
        <f t="shared" si="142"/>
        <v>87.231299224620898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0.10288270463358308</v>
      </c>
      <c r="AA160" s="21">
        <f>EXP(-LN(2)/25)*AA159+(1-EXP(-LN(2)/25))/(LN(2)/25)*Calculateur!V160*Calculateur!X160*VLOOKUP('Données projet'!$B$9,Paramètres!$A$1:$I$89,3,0)*0.475*44/12</f>
        <v>0.13395963260702382</v>
      </c>
      <c r="AB160" s="21">
        <f>EXP(-LN(2)/2)*AB159+(1-EXP(-LN(2)/2))/(LN(2)/2)*V160*Y160*VLOOKUP('Données projet'!$B$9,Paramètres!$A$1:$I$89,3,0)*0.475*44/12</f>
        <v>1.7486414996083354E-19</v>
      </c>
      <c r="AC160" s="22">
        <f t="shared" si="163"/>
        <v>0.23684233724060688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-8.5265128291212022E-14</v>
      </c>
      <c r="AJ160" s="13">
        <f>AI160*VLOOKUP('Données projet'!$B$10,Paramètres!$A$1:$I$89,3,0)*VLOOKUP('Données projet'!$B$10,Paramètres!$A$1:$I$89,5,0)</f>
        <v>-6.9167072069831198E-14</v>
      </c>
      <c r="AK160" s="13" t="e">
        <f t="shared" si="164"/>
        <v>#NUM!</v>
      </c>
      <c r="AL160" s="20" t="e">
        <f t="shared" si="165"/>
        <v>#NUM!</v>
      </c>
      <c r="AM160" s="59" t="e">
        <f t="shared" si="113"/>
        <v>#NUM!</v>
      </c>
      <c r="AN160" s="59">
        <f ca="1">AVERAGE(OFFSET($AM$3,0,0,'Données projet'!$E$10+1,1))-AVERAGE(OFFSET($H$3,0,0,'Données projet'!$E$10+1,1))</f>
        <v>145.3656871223958</v>
      </c>
      <c r="AO160" s="59">
        <f t="shared" si="144"/>
        <v>180.54762778843178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0</v>
      </c>
      <c r="AV160" s="21">
        <f>EXP(-LN(2)/25)*AV159+(1-EXP(-LN(2)/25))/(LN(2)/25)*Calculateur!AQ160*Calculateur!AS160*VLOOKUP('Données projet'!$B$10,Paramètres!$A$1:$I$89,3,0)*0.475*44/12</f>
        <v>0.16441029961349876</v>
      </c>
      <c r="AW160" s="21">
        <f>EXP(-LN(2)/2)*AW159+(1-EXP(-LN(2)/2))/(LN(2)/2)*AQ160*AT160*VLOOKUP('Données projet'!$B$10,Paramètres!$A$1:$I$89,3,0)*0.475*44/12</f>
        <v>6.2574904030309598E-19</v>
      </c>
      <c r="AX160" s="21">
        <f t="shared" si="166"/>
        <v>0.16441029961349876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2.8421709430404007E-14</v>
      </c>
      <c r="BE160" s="13">
        <f>BD160*VLOOKUP('Données projet'!$B$11,Paramètres!$A$1:$I$89,3,0)*VLOOKUP('Données projet'!$B$11,Paramètres!$A$1:$I$89,5,0)</f>
        <v>2.5715962692629544E-14</v>
      </c>
      <c r="BF160" s="13">
        <f t="shared" si="167"/>
        <v>4.5248818890525812E-13</v>
      </c>
      <c r="BG160" s="20">
        <f t="shared" si="168"/>
        <v>8.3287223069965432E-13</v>
      </c>
      <c r="BH160" s="59">
        <f t="shared" si="116"/>
        <v>293.33333333333417</v>
      </c>
      <c r="BI160" s="59">
        <f ca="1">AVERAGE(OFFSET($BH$3,0,0,'Données projet'!$E$11+1,1))-AVERAGE(OFFSET($H$3,0,0,'Données projet'!$E$11+1,1))</f>
        <v>138.8931001150624</v>
      </c>
      <c r="BJ160" s="59">
        <f t="shared" si="146"/>
        <v>48.964659354096625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>
        <f>EXP(-LN(2)/35)*BP159+(1-EXP(-LN(2)/35))/(LN(2)/35)*BL160*BM160*VLOOKUP('Données projet'!$B$11,Paramètres!$A$1:$I$89,3,0)*0.475*44/12</f>
        <v>0</v>
      </c>
      <c r="BQ160" s="21">
        <f>EXP(-LN(2)/25)*BQ159+(1-EXP(-LN(2)/25))/(LN(2)/25)*Calculateur!BL160*Calculateur!BN160*VLOOKUP('Données projet'!$B$11,Paramètres!$A$1:$I$89,3,0)*0.475*44/12</f>
        <v>0</v>
      </c>
      <c r="BR160" s="21">
        <f>EXP(-LN(2)/2)*BR159+(1-EXP(-LN(2)/2))/(LN(2)/2)*BL160*BO160*VLOOKUP('Données projet'!$B$11,Paramètres!$A$1:$I$89,3,0)*0.475*44/12</f>
        <v>0</v>
      </c>
      <c r="BS160" s="22">
        <f t="shared" si="169"/>
        <v>0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1.1368683772161603E-13</v>
      </c>
      <c r="BZ160" s="13">
        <f>BY160*VLOOKUP('Données projet'!$B$12,Paramètres!$A$1:$I$89,3,0)*VLOOKUP('Données projet'!$B$12,Paramètres!$A$1:$I$89,5,0)</f>
        <v>1.0995790944434703E-13</v>
      </c>
      <c r="CA160" s="13">
        <f t="shared" si="170"/>
        <v>1.6337280948049956E-12</v>
      </c>
      <c r="CB160" s="20">
        <f t="shared" si="171"/>
        <v>3.036919790734272E-12</v>
      </c>
      <c r="CC160" s="59">
        <f t="shared" si="119"/>
        <v>293.33333333333633</v>
      </c>
      <c r="CD160" s="59">
        <f ca="1">AVERAGE(OFFSET($CC$3,0,0,'Données projet'!$E$12+1,1))-AVERAGE(OFFSET($H$3,0,0,'Données projet'!$E$12+1,1))</f>
        <v>154.93882427988234</v>
      </c>
      <c r="CE160" s="59">
        <f t="shared" si="148"/>
        <v>56.347130462109817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>
        <f>EXP(-LN(2)/35)*CK159+(1-EXP(-LN(2)/35))/(LN(2)/35)*CG160*CH160*VLOOKUP('Données projet'!$B$12,Paramètres!$A$1:$I$89,3,0)*0.475*44/12</f>
        <v>0</v>
      </c>
      <c r="CL160" s="21">
        <f>EXP(-LN(2)/25)*CL159+(1-EXP(-LN(2)/25))/(LN(2)/25)*Calculateur!CG160*Calculateur!CI160*VLOOKUP('Données projet'!$B$12,Paramètres!$A$1:$I$89,3,0)*0.475*44/12</f>
        <v>0</v>
      </c>
      <c r="CM160" s="21">
        <f>EXP(-LN(2)/2)*CM159+(1-EXP(-LN(2)/2))/(LN(2)/2)*CG160*CJ160*VLOOKUP('Données projet'!$B$12,Paramètres!$A$1:$I$89,3,0)*0.475*44/12</f>
        <v>0</v>
      </c>
      <c r="CN160" s="22">
        <f t="shared" si="172"/>
        <v>0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140.49360000000007</v>
      </c>
      <c r="D161" s="11">
        <f t="shared" si="140"/>
        <v>36.410059151057943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1365.5721057274657</v>
      </c>
      <c r="H161" s="67">
        <f t="shared" si="110"/>
        <v>601.44053968809271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0</v>
      </c>
      <c r="O161" s="13">
        <f>N161*VLOOKUP('Données projet'!$B$9,Paramètres!$A$1:$I$89,3,0)*VLOOKUP('Données projet'!$B$9,Paramètres!$A$1:$I$89,5,0)</f>
        <v>0</v>
      </c>
      <c r="P161" s="13" t="e">
        <f t="shared" si="141"/>
        <v>#NUM!</v>
      </c>
      <c r="Q161" s="20" t="e">
        <f t="shared" si="162"/>
        <v>#NUM!</v>
      </c>
      <c r="R161" s="59" t="e">
        <f t="shared" si="109"/>
        <v>#NUM!</v>
      </c>
      <c r="S161" s="59">
        <f ca="1">AVERAGE(OFFSET($R$3,0,0,'Données projet'!$E$9+1,1))-AVERAGE(OFFSET($H$3,0,0,'Données projet'!$E$9+1,1))</f>
        <v>72.647148358003676</v>
      </c>
      <c r="T161" s="59">
        <f t="shared" si="142"/>
        <v>87.231299224620898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0.10086523754797207</v>
      </c>
      <c r="AA161" s="21">
        <f>EXP(-LN(2)/25)*AA160+(1-EXP(-LN(2)/25))/(LN(2)/25)*Calculateur!V161*Calculateur!X161*VLOOKUP('Données projet'!$B$9,Paramètres!$A$1:$I$89,3,0)*0.475*44/12</f>
        <v>0.13029649940875385</v>
      </c>
      <c r="AB161" s="21">
        <f>EXP(-LN(2)/2)*AB160+(1-EXP(-LN(2)/2))/(LN(2)/2)*V161*Y161*VLOOKUP('Données projet'!$B$9,Paramètres!$A$1:$I$89,3,0)*0.475*44/12</f>
        <v>1.2364762622372675E-19</v>
      </c>
      <c r="AC161" s="22">
        <f t="shared" si="163"/>
        <v>0.23116173695672593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-8.5265128291212022E-14</v>
      </c>
      <c r="AJ161" s="13">
        <f>AI161*VLOOKUP('Données projet'!$B$10,Paramètres!$A$1:$I$89,3,0)*VLOOKUP('Données projet'!$B$10,Paramètres!$A$1:$I$89,5,0)</f>
        <v>-6.9167072069831198E-14</v>
      </c>
      <c r="AK161" s="13" t="e">
        <f t="shared" si="164"/>
        <v>#NUM!</v>
      </c>
      <c r="AL161" s="20" t="e">
        <f t="shared" si="165"/>
        <v>#NUM!</v>
      </c>
      <c r="AM161" s="59" t="e">
        <f t="shared" si="113"/>
        <v>#NUM!</v>
      </c>
      <c r="AN161" s="59">
        <f ca="1">AVERAGE(OFFSET($AM$3,0,0,'Données projet'!$E$10+1,1))-AVERAGE(OFFSET($H$3,0,0,'Données projet'!$E$10+1,1))</f>
        <v>145.3656871223958</v>
      </c>
      <c r="AO161" s="59">
        <f t="shared" si="144"/>
        <v>180.54762778843178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0</v>
      </c>
      <c r="AV161" s="21">
        <f>EXP(-LN(2)/25)*AV160+(1-EXP(-LN(2)/25))/(LN(2)/25)*Calculateur!AQ161*Calculateur!AS161*VLOOKUP('Données projet'!$B$10,Paramètres!$A$1:$I$89,3,0)*0.475*44/12</f>
        <v>0.15991449132460575</v>
      </c>
      <c r="AW161" s="21">
        <f>EXP(-LN(2)/2)*AW160+(1-EXP(-LN(2)/2))/(LN(2)/2)*AQ161*AT161*VLOOKUP('Données projet'!$B$10,Paramètres!$A$1:$I$89,3,0)*0.475*44/12</f>
        <v>4.4247138971929339E-19</v>
      </c>
      <c r="AX161" s="21">
        <f t="shared" si="166"/>
        <v>0.15991449132460575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2.8421709430404007E-14</v>
      </c>
      <c r="BE161" s="13">
        <f>BD161*VLOOKUP('Données projet'!$B$11,Paramètres!$A$1:$I$89,3,0)*VLOOKUP('Données projet'!$B$11,Paramètres!$A$1:$I$89,5,0)</f>
        <v>2.5715962692629544E-14</v>
      </c>
      <c r="BF161" s="13">
        <f t="shared" si="167"/>
        <v>4.5248818890525812E-13</v>
      </c>
      <c r="BG161" s="20">
        <f t="shared" si="168"/>
        <v>8.3287223069965432E-13</v>
      </c>
      <c r="BH161" s="59">
        <f t="shared" si="116"/>
        <v>293.33333333333417</v>
      </c>
      <c r="BI161" s="59">
        <f ca="1">AVERAGE(OFFSET($BH$3,0,0,'Données projet'!$E$11+1,1))-AVERAGE(OFFSET($H$3,0,0,'Données projet'!$E$11+1,1))</f>
        <v>138.8931001150624</v>
      </c>
      <c r="BJ161" s="59">
        <f t="shared" si="146"/>
        <v>48.964659354096625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>
        <f>EXP(-LN(2)/35)*BP160+(1-EXP(-LN(2)/35))/(LN(2)/35)*BL161*BM161*VLOOKUP('Données projet'!$B$11,Paramètres!$A$1:$I$89,3,0)*0.475*44/12</f>
        <v>0</v>
      </c>
      <c r="BQ161" s="21">
        <f>EXP(-LN(2)/25)*BQ160+(1-EXP(-LN(2)/25))/(LN(2)/25)*Calculateur!BL161*Calculateur!BN161*VLOOKUP('Données projet'!$B$11,Paramètres!$A$1:$I$89,3,0)*0.475*44/12</f>
        <v>0</v>
      </c>
      <c r="BR161" s="21">
        <f>EXP(-LN(2)/2)*BR160+(1-EXP(-LN(2)/2))/(LN(2)/2)*BL161*BO161*VLOOKUP('Données projet'!$B$11,Paramètres!$A$1:$I$89,3,0)*0.475*44/12</f>
        <v>0</v>
      </c>
      <c r="BS161" s="22">
        <f t="shared" si="169"/>
        <v>0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1.1368683772161603E-13</v>
      </c>
      <c r="BZ161" s="13">
        <f>BY161*VLOOKUP('Données projet'!$B$12,Paramètres!$A$1:$I$89,3,0)*VLOOKUP('Données projet'!$B$12,Paramètres!$A$1:$I$89,5,0)</f>
        <v>1.0995790944434703E-13</v>
      </c>
      <c r="CA161" s="13">
        <f t="shared" si="170"/>
        <v>1.6337280948049956E-12</v>
      </c>
      <c r="CB161" s="20">
        <f t="shared" si="171"/>
        <v>3.036919790734272E-12</v>
      </c>
      <c r="CC161" s="59">
        <f t="shared" si="119"/>
        <v>293.33333333333633</v>
      </c>
      <c r="CD161" s="59">
        <f ca="1">AVERAGE(OFFSET($CC$3,0,0,'Données projet'!$E$12+1,1))-AVERAGE(OFFSET($H$3,0,0,'Données projet'!$E$12+1,1))</f>
        <v>154.93882427988234</v>
      </c>
      <c r="CE161" s="59">
        <f t="shared" si="148"/>
        <v>56.347130462109817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>
        <f>EXP(-LN(2)/35)*CK160+(1-EXP(-LN(2)/35))/(LN(2)/35)*CG161*CH161*VLOOKUP('Données projet'!$B$12,Paramètres!$A$1:$I$89,3,0)*0.475*44/12</f>
        <v>0</v>
      </c>
      <c r="CL161" s="21">
        <f>EXP(-LN(2)/25)*CL160+(1-EXP(-LN(2)/25))/(LN(2)/25)*Calculateur!CG161*Calculateur!CI161*VLOOKUP('Données projet'!$B$12,Paramètres!$A$1:$I$89,3,0)*0.475*44/12</f>
        <v>0</v>
      </c>
      <c r="CM161" s="21">
        <f>EXP(-LN(2)/2)*CM160+(1-EXP(-LN(2)/2))/(LN(2)/2)*CG161*CJ161*VLOOKUP('Données projet'!$B$12,Paramètres!$A$1:$I$89,3,0)*0.475*44/12</f>
        <v>0</v>
      </c>
      <c r="CN161" s="22">
        <f t="shared" si="172"/>
        <v>0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141.38280000000006</v>
      </c>
      <c r="D162" s="11">
        <f t="shared" si="140"/>
        <v>36.613604122020263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1374.0073300647182</v>
      </c>
      <c r="H162" s="67">
        <f t="shared" si="110"/>
        <v>603.34373717918538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0</v>
      </c>
      <c r="O162" s="13">
        <f>N162*VLOOKUP('Données projet'!$B$9,Paramètres!$A$1:$I$89,3,0)*VLOOKUP('Données projet'!$B$9,Paramètres!$A$1:$I$89,5,0)</f>
        <v>0</v>
      </c>
      <c r="P162" s="13" t="e">
        <f t="shared" si="141"/>
        <v>#NUM!</v>
      </c>
      <c r="Q162" s="20" t="e">
        <f t="shared" si="162"/>
        <v>#NUM!</v>
      </c>
      <c r="R162" s="59" t="e">
        <f t="shared" si="109"/>
        <v>#NUM!</v>
      </c>
      <c r="S162" s="59">
        <f ca="1">AVERAGE(OFFSET($R$3,0,0,'Données projet'!$E$9+1,1))-AVERAGE(OFFSET($H$3,0,0,'Données projet'!$E$9+1,1))</f>
        <v>72.647148358003676</v>
      </c>
      <c r="T162" s="59">
        <f t="shared" si="142"/>
        <v>87.231299224620898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9.8887331761376471E-2</v>
      </c>
      <c r="AA162" s="21">
        <f>EXP(-LN(2)/25)*AA161+(1-EXP(-LN(2)/25))/(LN(2)/25)*Calculateur!V162*Calculateur!X162*VLOOKUP('Données projet'!$B$9,Paramètres!$A$1:$I$89,3,0)*0.475*44/12</f>
        <v>0.12673353478042637</v>
      </c>
      <c r="AB162" s="21">
        <f>EXP(-LN(2)/2)*AB161+(1-EXP(-LN(2)/2))/(LN(2)/2)*V162*Y162*VLOOKUP('Données projet'!$B$9,Paramètres!$A$1:$I$89,3,0)*0.475*44/12</f>
        <v>8.7432074980416771E-20</v>
      </c>
      <c r="AC162" s="22">
        <f t="shared" si="163"/>
        <v>0.22562086654180286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-8.5265128291212022E-14</v>
      </c>
      <c r="AJ162" s="13">
        <f>AI162*VLOOKUP('Données projet'!$B$10,Paramètres!$A$1:$I$89,3,0)*VLOOKUP('Données projet'!$B$10,Paramètres!$A$1:$I$89,5,0)</f>
        <v>-6.9167072069831198E-14</v>
      </c>
      <c r="AK162" s="13" t="e">
        <f t="shared" si="164"/>
        <v>#NUM!</v>
      </c>
      <c r="AL162" s="20" t="e">
        <f t="shared" si="165"/>
        <v>#NUM!</v>
      </c>
      <c r="AM162" s="59" t="e">
        <f t="shared" si="113"/>
        <v>#NUM!</v>
      </c>
      <c r="AN162" s="59">
        <f ca="1">AVERAGE(OFFSET($AM$3,0,0,'Données projet'!$E$10+1,1))-AVERAGE(OFFSET($H$3,0,0,'Données projet'!$E$10+1,1))</f>
        <v>145.3656871223958</v>
      </c>
      <c r="AO162" s="59">
        <f t="shared" si="144"/>
        <v>180.54762778843178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0</v>
      </c>
      <c r="AV162" s="21">
        <f>EXP(-LN(2)/25)*AV161+(1-EXP(-LN(2)/25))/(LN(2)/25)*Calculateur!AQ162*Calculateur!AS162*VLOOKUP('Données projet'!$B$10,Paramètres!$A$1:$I$89,3,0)*0.475*44/12</f>
        <v>0.1555416211497968</v>
      </c>
      <c r="AW162" s="21">
        <f>EXP(-LN(2)/2)*AW161+(1-EXP(-LN(2)/2))/(LN(2)/2)*AQ162*AT162*VLOOKUP('Données projet'!$B$10,Paramètres!$A$1:$I$89,3,0)*0.475*44/12</f>
        <v>3.1287452015154799E-19</v>
      </c>
      <c r="AX162" s="21">
        <f t="shared" si="166"/>
        <v>0.1555416211497968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2.8421709430404007E-14</v>
      </c>
      <c r="BE162" s="13">
        <f>BD162*VLOOKUP('Données projet'!$B$11,Paramètres!$A$1:$I$89,3,0)*VLOOKUP('Données projet'!$B$11,Paramètres!$A$1:$I$89,5,0)</f>
        <v>2.5715962692629544E-14</v>
      </c>
      <c r="BF162" s="13">
        <f t="shared" si="167"/>
        <v>4.5248818890525812E-13</v>
      </c>
      <c r="BG162" s="20">
        <f t="shared" si="168"/>
        <v>8.3287223069965432E-13</v>
      </c>
      <c r="BH162" s="59">
        <f t="shared" si="116"/>
        <v>293.33333333333417</v>
      </c>
      <c r="BI162" s="59">
        <f ca="1">AVERAGE(OFFSET($BH$3,0,0,'Données projet'!$E$11+1,1))-AVERAGE(OFFSET($H$3,0,0,'Données projet'!$E$11+1,1))</f>
        <v>138.8931001150624</v>
      </c>
      <c r="BJ162" s="59">
        <f t="shared" si="146"/>
        <v>48.964659354096625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>
        <f>EXP(-LN(2)/35)*BP161+(1-EXP(-LN(2)/35))/(LN(2)/35)*BL162*BM162*VLOOKUP('Données projet'!$B$11,Paramètres!$A$1:$I$89,3,0)*0.475*44/12</f>
        <v>0</v>
      </c>
      <c r="BQ162" s="21">
        <f>EXP(-LN(2)/25)*BQ161+(1-EXP(-LN(2)/25))/(LN(2)/25)*Calculateur!BL162*Calculateur!BN162*VLOOKUP('Données projet'!$B$11,Paramètres!$A$1:$I$89,3,0)*0.475*44/12</f>
        <v>0</v>
      </c>
      <c r="BR162" s="21">
        <f>EXP(-LN(2)/2)*BR161+(1-EXP(-LN(2)/2))/(LN(2)/2)*BL162*BO162*VLOOKUP('Données projet'!$B$11,Paramètres!$A$1:$I$89,3,0)*0.475*44/12</f>
        <v>0</v>
      </c>
      <c r="BS162" s="22">
        <f t="shared" si="169"/>
        <v>0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1.1368683772161603E-13</v>
      </c>
      <c r="BZ162" s="13">
        <f>BY162*VLOOKUP('Données projet'!$B$12,Paramètres!$A$1:$I$89,3,0)*VLOOKUP('Données projet'!$B$12,Paramètres!$A$1:$I$89,5,0)</f>
        <v>1.0995790944434703E-13</v>
      </c>
      <c r="CA162" s="13">
        <f t="shared" si="170"/>
        <v>1.6337280948049956E-12</v>
      </c>
      <c r="CB162" s="20">
        <f t="shared" si="171"/>
        <v>3.036919790734272E-12</v>
      </c>
      <c r="CC162" s="59">
        <f t="shared" si="119"/>
        <v>293.33333333333633</v>
      </c>
      <c r="CD162" s="59">
        <f ca="1">AVERAGE(OFFSET($CC$3,0,0,'Données projet'!$E$12+1,1))-AVERAGE(OFFSET($H$3,0,0,'Données projet'!$E$12+1,1))</f>
        <v>154.93882427988234</v>
      </c>
      <c r="CE162" s="59">
        <f t="shared" si="148"/>
        <v>56.347130462109817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>
        <f>EXP(-LN(2)/35)*CK161+(1-EXP(-LN(2)/35))/(LN(2)/35)*CG162*CH162*VLOOKUP('Données projet'!$B$12,Paramètres!$A$1:$I$89,3,0)*0.475*44/12</f>
        <v>0</v>
      </c>
      <c r="CL162" s="21">
        <f>EXP(-LN(2)/25)*CL161+(1-EXP(-LN(2)/25))/(LN(2)/25)*Calculateur!CG162*Calculateur!CI162*VLOOKUP('Données projet'!$B$12,Paramètres!$A$1:$I$89,3,0)*0.475*44/12</f>
        <v>0</v>
      </c>
      <c r="CM162" s="21">
        <f>EXP(-LN(2)/2)*CM161+(1-EXP(-LN(2)/2))/(LN(2)/2)*CG162*CJ162*VLOOKUP('Données projet'!$B$12,Paramètres!$A$1:$I$89,3,0)*0.475*44/12</f>
        <v>0</v>
      </c>
      <c r="CN162" s="22">
        <f t="shared" si="172"/>
        <v>0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142.27200000000005</v>
      </c>
      <c r="D163" s="11">
        <f t="shared" si="140"/>
        <v>36.817000136193258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1382.4414045600888</v>
      </c>
      <c r="H163" s="67">
        <f t="shared" si="110"/>
        <v>605.24667523720336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0</v>
      </c>
      <c r="O163" s="13">
        <f>N163*VLOOKUP('Données projet'!$B$9,Paramètres!$A$1:$I$89,3,0)*VLOOKUP('Données projet'!$B$9,Paramètres!$A$1:$I$89,5,0)</f>
        <v>0</v>
      </c>
      <c r="P163" s="13" t="e">
        <f t="shared" si="141"/>
        <v>#NUM!</v>
      </c>
      <c r="Q163" s="20" t="e">
        <f t="shared" si="162"/>
        <v>#NUM!</v>
      </c>
      <c r="R163" s="59" t="e">
        <f t="shared" si="109"/>
        <v>#NUM!</v>
      </c>
      <c r="S163" s="59">
        <f ca="1">AVERAGE(OFFSET($R$3,0,0,'Données projet'!$E$9+1,1))-AVERAGE(OFFSET($H$3,0,0,'Données projet'!$E$9+1,1))</f>
        <v>72.647148358003676</v>
      </c>
      <c r="T163" s="59">
        <f t="shared" si="142"/>
        <v>87.231299224620898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9.6948211500852616E-2</v>
      </c>
      <c r="AA163" s="21">
        <f>EXP(-LN(2)/25)*AA162+(1-EXP(-LN(2)/25))/(LN(2)/25)*Calculateur!V163*Calculateur!X163*VLOOKUP('Données projet'!$B$9,Paramètres!$A$1:$I$89,3,0)*0.475*44/12</f>
        <v>0.12326799960722867</v>
      </c>
      <c r="AB163" s="21">
        <f>EXP(-LN(2)/2)*AB162+(1-EXP(-LN(2)/2))/(LN(2)/2)*V163*Y163*VLOOKUP('Données projet'!$B$9,Paramètres!$A$1:$I$89,3,0)*0.475*44/12</f>
        <v>6.1823813111863377E-20</v>
      </c>
      <c r="AC163" s="22">
        <f t="shared" si="163"/>
        <v>0.22021621110808129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-8.5265128291212022E-14</v>
      </c>
      <c r="AJ163" s="13">
        <f>AI163*VLOOKUP('Données projet'!$B$10,Paramètres!$A$1:$I$89,3,0)*VLOOKUP('Données projet'!$B$10,Paramètres!$A$1:$I$89,5,0)</f>
        <v>-6.9167072069831198E-14</v>
      </c>
      <c r="AK163" s="13" t="e">
        <f t="shared" si="164"/>
        <v>#NUM!</v>
      </c>
      <c r="AL163" s="20" t="e">
        <f t="shared" si="165"/>
        <v>#NUM!</v>
      </c>
      <c r="AM163" s="59" t="e">
        <f t="shared" si="113"/>
        <v>#NUM!</v>
      </c>
      <c r="AN163" s="59">
        <f ca="1">AVERAGE(OFFSET($AM$3,0,0,'Données projet'!$E$10+1,1))-AVERAGE(OFFSET($H$3,0,0,'Données projet'!$E$10+1,1))</f>
        <v>145.3656871223958</v>
      </c>
      <c r="AO163" s="59">
        <f t="shared" si="144"/>
        <v>180.54762778843178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0</v>
      </c>
      <c r="AV163" s="21">
        <f>EXP(-LN(2)/25)*AV162+(1-EXP(-LN(2)/25))/(LN(2)/25)*Calculateur!AQ163*Calculateur!AS163*VLOOKUP('Données projet'!$B$10,Paramètres!$A$1:$I$89,3,0)*0.475*44/12</f>
        <v>0.15128832733987724</v>
      </c>
      <c r="AW163" s="21">
        <f>EXP(-LN(2)/2)*AW162+(1-EXP(-LN(2)/2))/(LN(2)/2)*AQ163*AT163*VLOOKUP('Données projet'!$B$10,Paramètres!$A$1:$I$89,3,0)*0.475*44/12</f>
        <v>2.212356948596467E-19</v>
      </c>
      <c r="AX163" s="21">
        <f t="shared" si="166"/>
        <v>0.15128832733987724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2.8421709430404007E-14</v>
      </c>
      <c r="BE163" s="13">
        <f>BD163*VLOOKUP('Données projet'!$B$11,Paramètres!$A$1:$I$89,3,0)*VLOOKUP('Données projet'!$B$11,Paramètres!$A$1:$I$89,5,0)</f>
        <v>2.5715962692629544E-14</v>
      </c>
      <c r="BF163" s="13">
        <f t="shared" si="167"/>
        <v>4.5248818890525812E-13</v>
      </c>
      <c r="BG163" s="20">
        <f t="shared" si="168"/>
        <v>8.3287223069965432E-13</v>
      </c>
      <c r="BH163" s="59">
        <f t="shared" si="116"/>
        <v>293.33333333333417</v>
      </c>
      <c r="BI163" s="59">
        <f ca="1">AVERAGE(OFFSET($BH$3,0,0,'Données projet'!$E$11+1,1))-AVERAGE(OFFSET($H$3,0,0,'Données projet'!$E$11+1,1))</f>
        <v>138.8931001150624</v>
      </c>
      <c r="BJ163" s="59">
        <f t="shared" si="146"/>
        <v>48.964659354096625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>
        <f>EXP(-LN(2)/35)*BP162+(1-EXP(-LN(2)/35))/(LN(2)/35)*BL163*BM163*VLOOKUP('Données projet'!$B$11,Paramètres!$A$1:$I$89,3,0)*0.475*44/12</f>
        <v>0</v>
      </c>
      <c r="BQ163" s="21">
        <f>EXP(-LN(2)/25)*BQ162+(1-EXP(-LN(2)/25))/(LN(2)/25)*Calculateur!BL163*Calculateur!BN163*VLOOKUP('Données projet'!$B$11,Paramètres!$A$1:$I$89,3,0)*0.475*44/12</f>
        <v>0</v>
      </c>
      <c r="BR163" s="21">
        <f>EXP(-LN(2)/2)*BR162+(1-EXP(-LN(2)/2))/(LN(2)/2)*BL163*BO163*VLOOKUP('Données projet'!$B$11,Paramètres!$A$1:$I$89,3,0)*0.475*44/12</f>
        <v>0</v>
      </c>
      <c r="BS163" s="22">
        <f t="shared" si="169"/>
        <v>0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1.1368683772161603E-13</v>
      </c>
      <c r="BZ163" s="13">
        <f>BY163*VLOOKUP('Données projet'!$B$12,Paramètres!$A$1:$I$89,3,0)*VLOOKUP('Données projet'!$B$12,Paramètres!$A$1:$I$89,5,0)</f>
        <v>1.0995790944434703E-13</v>
      </c>
      <c r="CA163" s="13">
        <f t="shared" si="170"/>
        <v>1.6337280948049956E-12</v>
      </c>
      <c r="CB163" s="20">
        <f t="shared" si="171"/>
        <v>3.036919790734272E-12</v>
      </c>
      <c r="CC163" s="59">
        <f t="shared" si="119"/>
        <v>293.33333333333633</v>
      </c>
      <c r="CD163" s="59">
        <f ca="1">AVERAGE(OFFSET($CC$3,0,0,'Données projet'!$E$12+1,1))-AVERAGE(OFFSET($H$3,0,0,'Données projet'!$E$12+1,1))</f>
        <v>154.93882427988234</v>
      </c>
      <c r="CE163" s="59">
        <f t="shared" si="148"/>
        <v>56.347130462109817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>
        <f>EXP(-LN(2)/35)*CK162+(1-EXP(-LN(2)/35))/(LN(2)/35)*CG163*CH163*VLOOKUP('Données projet'!$B$12,Paramètres!$A$1:$I$89,3,0)*0.475*44/12</f>
        <v>0</v>
      </c>
      <c r="CL163" s="21">
        <f>EXP(-LN(2)/25)*CL162+(1-EXP(-LN(2)/25))/(LN(2)/25)*Calculateur!CG163*Calculateur!CI163*VLOOKUP('Données projet'!$B$12,Paramètres!$A$1:$I$89,3,0)*0.475*44/12</f>
        <v>0</v>
      </c>
      <c r="CM163" s="21">
        <f>EXP(-LN(2)/2)*CM162+(1-EXP(-LN(2)/2))/(LN(2)/2)*CG163*CJ163*VLOOKUP('Données projet'!$B$12,Paramètres!$A$1:$I$89,3,0)*0.475*44/12</f>
        <v>0</v>
      </c>
      <c r="CN163" s="22">
        <f t="shared" si="172"/>
        <v>0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143.16120000000004</v>
      </c>
      <c r="D164" s="11">
        <f t="shared" si="140"/>
        <v>37.020248232558458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1390.8743372337849</v>
      </c>
      <c r="H164" s="67">
        <f t="shared" si="110"/>
        <v>607.14935567170596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0</v>
      </c>
      <c r="O164" s="13">
        <f>N164*VLOOKUP('Données projet'!$B$9,Paramètres!$A$1:$I$89,3,0)*VLOOKUP('Données projet'!$B$9,Paramètres!$A$1:$I$89,5,0)</f>
        <v>0</v>
      </c>
      <c r="P164" s="13" t="e">
        <f t="shared" si="141"/>
        <v>#NUM!</v>
      </c>
      <c r="Q164" s="20" t="e">
        <f t="shared" si="162"/>
        <v>#NUM!</v>
      </c>
      <c r="R164" s="59" t="e">
        <f t="shared" si="109"/>
        <v>#NUM!</v>
      </c>
      <c r="S164" s="59">
        <f ca="1">AVERAGE(OFFSET($R$3,0,0,'Données projet'!$E$9+1,1))-AVERAGE(OFFSET($H$3,0,0,'Données projet'!$E$9+1,1))</f>
        <v>72.647148358003676</v>
      </c>
      <c r="T164" s="59">
        <f t="shared" si="142"/>
        <v>87.231299224620898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9.5047116205891055E-2</v>
      </c>
      <c r="AA164" s="21">
        <f>EXP(-LN(2)/25)*AA163+(1-EXP(-LN(2)/25))/(LN(2)/25)*Calculateur!V164*Calculateur!X164*VLOOKUP('Données projet'!$B$9,Paramètres!$A$1:$I$89,3,0)*0.475*44/12</f>
        <v>0.11989722967558664</v>
      </c>
      <c r="AB164" s="21">
        <f>EXP(-LN(2)/2)*AB163+(1-EXP(-LN(2)/2))/(LN(2)/2)*V164*Y164*VLOOKUP('Données projet'!$B$9,Paramètres!$A$1:$I$89,3,0)*0.475*44/12</f>
        <v>4.3716037490208385E-20</v>
      </c>
      <c r="AC164" s="22">
        <f t="shared" si="163"/>
        <v>0.21494434588147771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-8.5265128291212022E-14</v>
      </c>
      <c r="AJ164" s="13">
        <f>AI164*VLOOKUP('Données projet'!$B$10,Paramètres!$A$1:$I$89,3,0)*VLOOKUP('Données projet'!$B$10,Paramètres!$A$1:$I$89,5,0)</f>
        <v>-6.9167072069831198E-14</v>
      </c>
      <c r="AK164" s="13" t="e">
        <f t="shared" si="164"/>
        <v>#NUM!</v>
      </c>
      <c r="AL164" s="20" t="e">
        <f t="shared" si="165"/>
        <v>#NUM!</v>
      </c>
      <c r="AM164" s="59" t="e">
        <f t="shared" si="113"/>
        <v>#NUM!</v>
      </c>
      <c r="AN164" s="59">
        <f ca="1">AVERAGE(OFFSET($AM$3,0,0,'Données projet'!$E$10+1,1))-AVERAGE(OFFSET($H$3,0,0,'Données projet'!$E$10+1,1))</f>
        <v>145.3656871223958</v>
      </c>
      <c r="AO164" s="59">
        <f t="shared" si="144"/>
        <v>180.54762778843178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0</v>
      </c>
      <c r="AV164" s="21">
        <f>EXP(-LN(2)/25)*AV163+(1-EXP(-LN(2)/25))/(LN(2)/25)*Calculateur!AQ164*Calculateur!AS164*VLOOKUP('Données projet'!$B$10,Paramètres!$A$1:$I$89,3,0)*0.475*44/12</f>
        <v>0.14715134007286093</v>
      </c>
      <c r="AW164" s="21">
        <f>EXP(-LN(2)/2)*AW163+(1-EXP(-LN(2)/2))/(LN(2)/2)*AQ164*AT164*VLOOKUP('Données projet'!$B$10,Paramètres!$A$1:$I$89,3,0)*0.475*44/12</f>
        <v>1.56437260075774E-19</v>
      </c>
      <c r="AX164" s="21">
        <f t="shared" si="166"/>
        <v>0.14715134007286093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2.8421709430404007E-14</v>
      </c>
      <c r="BE164" s="13">
        <f>BD164*VLOOKUP('Données projet'!$B$11,Paramètres!$A$1:$I$89,3,0)*VLOOKUP('Données projet'!$B$11,Paramètres!$A$1:$I$89,5,0)</f>
        <v>2.5715962692629544E-14</v>
      </c>
      <c r="BF164" s="13">
        <f t="shared" si="167"/>
        <v>4.5248818890525812E-13</v>
      </c>
      <c r="BG164" s="20">
        <f t="shared" si="168"/>
        <v>8.3287223069965432E-13</v>
      </c>
      <c r="BH164" s="59">
        <f t="shared" si="116"/>
        <v>293.33333333333417</v>
      </c>
      <c r="BI164" s="59">
        <f ca="1">AVERAGE(OFFSET($BH$3,0,0,'Données projet'!$E$11+1,1))-AVERAGE(OFFSET($H$3,0,0,'Données projet'!$E$11+1,1))</f>
        <v>138.8931001150624</v>
      </c>
      <c r="BJ164" s="59">
        <f t="shared" si="146"/>
        <v>48.964659354096625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>
        <f>EXP(-LN(2)/35)*BP163+(1-EXP(-LN(2)/35))/(LN(2)/35)*BL164*BM164*VLOOKUP('Données projet'!$B$11,Paramètres!$A$1:$I$89,3,0)*0.475*44/12</f>
        <v>0</v>
      </c>
      <c r="BQ164" s="21">
        <f>EXP(-LN(2)/25)*BQ163+(1-EXP(-LN(2)/25))/(LN(2)/25)*Calculateur!BL164*Calculateur!BN164*VLOOKUP('Données projet'!$B$11,Paramètres!$A$1:$I$89,3,0)*0.475*44/12</f>
        <v>0</v>
      </c>
      <c r="BR164" s="21">
        <f>EXP(-LN(2)/2)*BR163+(1-EXP(-LN(2)/2))/(LN(2)/2)*BL164*BO164*VLOOKUP('Données projet'!$B$11,Paramètres!$A$1:$I$89,3,0)*0.475*44/12</f>
        <v>0</v>
      </c>
      <c r="BS164" s="22">
        <f t="shared" si="169"/>
        <v>0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1.1368683772161603E-13</v>
      </c>
      <c r="BZ164" s="13">
        <f>BY164*VLOOKUP('Données projet'!$B$12,Paramètres!$A$1:$I$89,3,0)*VLOOKUP('Données projet'!$B$12,Paramètres!$A$1:$I$89,5,0)</f>
        <v>1.0995790944434703E-13</v>
      </c>
      <c r="CA164" s="13">
        <f t="shared" si="170"/>
        <v>1.6337280948049956E-12</v>
      </c>
      <c r="CB164" s="20">
        <f t="shared" si="171"/>
        <v>3.036919790734272E-12</v>
      </c>
      <c r="CC164" s="59">
        <f t="shared" si="119"/>
        <v>293.33333333333633</v>
      </c>
      <c r="CD164" s="59">
        <f ca="1">AVERAGE(OFFSET($CC$3,0,0,'Données projet'!$E$12+1,1))-AVERAGE(OFFSET($H$3,0,0,'Données projet'!$E$12+1,1))</f>
        <v>154.93882427988234</v>
      </c>
      <c r="CE164" s="59">
        <f t="shared" si="148"/>
        <v>56.347130462109817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>
        <f>EXP(-LN(2)/35)*CK163+(1-EXP(-LN(2)/35))/(LN(2)/35)*CG164*CH164*VLOOKUP('Données projet'!$B$12,Paramètres!$A$1:$I$89,3,0)*0.475*44/12</f>
        <v>0</v>
      </c>
      <c r="CL164" s="21">
        <f>EXP(-LN(2)/25)*CL163+(1-EXP(-LN(2)/25))/(LN(2)/25)*Calculateur!CG164*Calculateur!CI164*VLOOKUP('Données projet'!$B$12,Paramètres!$A$1:$I$89,3,0)*0.475*44/12</f>
        <v>0</v>
      </c>
      <c r="CM164" s="21">
        <f>EXP(-LN(2)/2)*CM163+(1-EXP(-LN(2)/2))/(LN(2)/2)*CG164*CJ164*VLOOKUP('Données projet'!$B$12,Paramètres!$A$1:$I$89,3,0)*0.475*44/12</f>
        <v>0</v>
      </c>
      <c r="CN164" s="22">
        <f t="shared" si="172"/>
        <v>0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144.05040000000002</v>
      </c>
      <c r="D165" s="11">
        <f t="shared" si="140"/>
        <v>37.223349436444416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1399.3061360006238</v>
      </c>
      <c r="H165" s="67">
        <f t="shared" si="110"/>
        <v>609.05178026847398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0</v>
      </c>
      <c r="O165" s="13">
        <f>N165*VLOOKUP('Données projet'!$B$9,Paramètres!$A$1:$I$89,3,0)*VLOOKUP('Données projet'!$B$9,Paramètres!$A$1:$I$89,5,0)</f>
        <v>0</v>
      </c>
      <c r="P165" s="13" t="e">
        <f t="shared" si="141"/>
        <v>#NUM!</v>
      </c>
      <c r="Q165" s="20" t="e">
        <f t="shared" si="162"/>
        <v>#NUM!</v>
      </c>
      <c r="R165" s="59" t="e">
        <f t="shared" si="109"/>
        <v>#NUM!</v>
      </c>
      <c r="S165" s="59">
        <f ca="1">AVERAGE(OFFSET($R$3,0,0,'Données projet'!$E$9+1,1))-AVERAGE(OFFSET($H$3,0,0,'Données projet'!$E$9+1,1))</f>
        <v>72.647148358003676</v>
      </c>
      <c r="T165" s="59">
        <f t="shared" si="142"/>
        <v>87.231299224620898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9.3183300230110053E-2</v>
      </c>
      <c r="AA165" s="21">
        <f>EXP(-LN(2)/25)*AA164+(1-EXP(-LN(2)/25))/(LN(2)/25)*Calculateur!V165*Calculateur!X165*VLOOKUP('Données projet'!$B$9,Paramètres!$A$1:$I$89,3,0)*0.475*44/12</f>
        <v>0.11661863362498644</v>
      </c>
      <c r="AB165" s="21">
        <f>EXP(-LN(2)/2)*AB164+(1-EXP(-LN(2)/2))/(LN(2)/2)*V165*Y165*VLOOKUP('Données projet'!$B$9,Paramètres!$A$1:$I$89,3,0)*0.475*44/12</f>
        <v>3.0911906555931689E-20</v>
      </c>
      <c r="AC165" s="22">
        <f t="shared" si="163"/>
        <v>0.20980193385509649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-8.5265128291212022E-14</v>
      </c>
      <c r="AJ165" s="13">
        <f>AI165*VLOOKUP('Données projet'!$B$10,Paramètres!$A$1:$I$89,3,0)*VLOOKUP('Données projet'!$B$10,Paramètres!$A$1:$I$89,5,0)</f>
        <v>-6.9167072069831198E-14</v>
      </c>
      <c r="AK165" s="13" t="e">
        <f t="shared" si="164"/>
        <v>#NUM!</v>
      </c>
      <c r="AL165" s="20" t="e">
        <f t="shared" si="165"/>
        <v>#NUM!</v>
      </c>
      <c r="AM165" s="59" t="e">
        <f t="shared" si="113"/>
        <v>#NUM!</v>
      </c>
      <c r="AN165" s="59">
        <f ca="1">AVERAGE(OFFSET($AM$3,0,0,'Données projet'!$E$10+1,1))-AVERAGE(OFFSET($H$3,0,0,'Données projet'!$E$10+1,1))</f>
        <v>145.3656871223958</v>
      </c>
      <c r="AO165" s="59">
        <f t="shared" si="144"/>
        <v>180.54762778843178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0</v>
      </c>
      <c r="AV165" s="21">
        <f>EXP(-LN(2)/25)*AV164+(1-EXP(-LN(2)/25))/(LN(2)/25)*Calculateur!AQ165*Calculateur!AS165*VLOOKUP('Données projet'!$B$10,Paramètres!$A$1:$I$89,3,0)*0.475*44/12</f>
        <v>0.14312747894021588</v>
      </c>
      <c r="AW165" s="21">
        <f>EXP(-LN(2)/2)*AW164+(1-EXP(-LN(2)/2))/(LN(2)/2)*AQ165*AT165*VLOOKUP('Données projet'!$B$10,Paramètres!$A$1:$I$89,3,0)*0.475*44/12</f>
        <v>1.1061784742982335E-19</v>
      </c>
      <c r="AX165" s="21">
        <f t="shared" si="166"/>
        <v>0.14312747894021588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2.8421709430404007E-14</v>
      </c>
      <c r="BE165" s="13">
        <f>BD165*VLOOKUP('Données projet'!$B$11,Paramètres!$A$1:$I$89,3,0)*VLOOKUP('Données projet'!$B$11,Paramètres!$A$1:$I$89,5,0)</f>
        <v>2.5715962692629544E-14</v>
      </c>
      <c r="BF165" s="13">
        <f t="shared" si="167"/>
        <v>4.5248818890525812E-13</v>
      </c>
      <c r="BG165" s="20">
        <f t="shared" si="168"/>
        <v>8.3287223069965432E-13</v>
      </c>
      <c r="BH165" s="59">
        <f t="shared" si="116"/>
        <v>293.33333333333417</v>
      </c>
      <c r="BI165" s="59">
        <f ca="1">AVERAGE(OFFSET($BH$3,0,0,'Données projet'!$E$11+1,1))-AVERAGE(OFFSET($H$3,0,0,'Données projet'!$E$11+1,1))</f>
        <v>138.8931001150624</v>
      </c>
      <c r="BJ165" s="59">
        <f t="shared" si="146"/>
        <v>48.964659354096625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>
        <f>EXP(-LN(2)/35)*BP164+(1-EXP(-LN(2)/35))/(LN(2)/35)*BL165*BM165*VLOOKUP('Données projet'!$B$11,Paramètres!$A$1:$I$89,3,0)*0.475*44/12</f>
        <v>0</v>
      </c>
      <c r="BQ165" s="21">
        <f>EXP(-LN(2)/25)*BQ164+(1-EXP(-LN(2)/25))/(LN(2)/25)*Calculateur!BL165*Calculateur!BN165*VLOOKUP('Données projet'!$B$11,Paramètres!$A$1:$I$89,3,0)*0.475*44/12</f>
        <v>0</v>
      </c>
      <c r="BR165" s="21">
        <f>EXP(-LN(2)/2)*BR164+(1-EXP(-LN(2)/2))/(LN(2)/2)*BL165*BO165*VLOOKUP('Données projet'!$B$11,Paramètres!$A$1:$I$89,3,0)*0.475*44/12</f>
        <v>0</v>
      </c>
      <c r="BS165" s="22">
        <f t="shared" si="169"/>
        <v>0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1.1368683772161603E-13</v>
      </c>
      <c r="BZ165" s="13">
        <f>BY165*VLOOKUP('Données projet'!$B$12,Paramètres!$A$1:$I$89,3,0)*VLOOKUP('Données projet'!$B$12,Paramètres!$A$1:$I$89,5,0)</f>
        <v>1.0995790944434703E-13</v>
      </c>
      <c r="CA165" s="13">
        <f t="shared" si="170"/>
        <v>1.6337280948049956E-12</v>
      </c>
      <c r="CB165" s="20">
        <f t="shared" si="171"/>
        <v>3.036919790734272E-12</v>
      </c>
      <c r="CC165" s="59">
        <f t="shared" si="119"/>
        <v>293.33333333333633</v>
      </c>
      <c r="CD165" s="59">
        <f ca="1">AVERAGE(OFFSET($CC$3,0,0,'Données projet'!$E$12+1,1))-AVERAGE(OFFSET($H$3,0,0,'Données projet'!$E$12+1,1))</f>
        <v>154.93882427988234</v>
      </c>
      <c r="CE165" s="59">
        <f t="shared" si="148"/>
        <v>56.347130462109817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>
        <f>EXP(-LN(2)/35)*CK164+(1-EXP(-LN(2)/35))/(LN(2)/35)*CG165*CH165*VLOOKUP('Données projet'!$B$12,Paramètres!$A$1:$I$89,3,0)*0.475*44/12</f>
        <v>0</v>
      </c>
      <c r="CL165" s="21">
        <f>EXP(-LN(2)/25)*CL164+(1-EXP(-LN(2)/25))/(LN(2)/25)*Calculateur!CG165*Calculateur!CI165*VLOOKUP('Données projet'!$B$12,Paramètres!$A$1:$I$89,3,0)*0.475*44/12</f>
        <v>0</v>
      </c>
      <c r="CM165" s="21">
        <f>EXP(-LN(2)/2)*CM164+(1-EXP(-LN(2)/2))/(LN(2)/2)*CG165*CJ165*VLOOKUP('Données projet'!$B$12,Paramètres!$A$1:$I$89,3,0)*0.475*44/12</f>
        <v>0</v>
      </c>
      <c r="CN165" s="22">
        <f t="shared" si="172"/>
        <v>0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144.93960000000001</v>
      </c>
      <c r="D166" s="11">
        <f t="shared" si="140"/>
        <v>37.426304759789126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1407.7368086720564</v>
      </c>
      <c r="H166" s="67">
        <f t="shared" si="110"/>
        <v>610.95395078996603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0</v>
      </c>
      <c r="O166" s="13">
        <f>N166*VLOOKUP('Données projet'!$B$9,Paramètres!$A$1:$I$89,3,0)*VLOOKUP('Données projet'!$B$9,Paramètres!$A$1:$I$89,5,0)</f>
        <v>0</v>
      </c>
      <c r="P166" s="13" t="e">
        <f t="shared" si="141"/>
        <v>#NUM!</v>
      </c>
      <c r="Q166" s="20" t="e">
        <f t="shared" si="162"/>
        <v>#NUM!</v>
      </c>
      <c r="R166" s="59" t="e">
        <f t="shared" si="109"/>
        <v>#NUM!</v>
      </c>
      <c r="S166" s="59">
        <f ca="1">AVERAGE(OFFSET($R$3,0,0,'Données projet'!$E$9+1,1))-AVERAGE(OFFSET($H$3,0,0,'Données projet'!$E$9+1,1))</f>
        <v>72.647148358003676</v>
      </c>
      <c r="T166" s="59">
        <f t="shared" si="142"/>
        <v>87.231299224620898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9.1356032548798621E-2</v>
      </c>
      <c r="AA166" s="21">
        <f>EXP(-LN(2)/25)*AA165+(1-EXP(-LN(2)/25))/(LN(2)/25)*Calculateur!V166*Calculateur!X166*VLOOKUP('Données projet'!$B$9,Paramètres!$A$1:$I$89,3,0)*0.475*44/12</f>
        <v>0.11342969095580377</v>
      </c>
      <c r="AB166" s="21">
        <f>EXP(-LN(2)/2)*AB165+(1-EXP(-LN(2)/2))/(LN(2)/2)*V166*Y166*VLOOKUP('Données projet'!$B$9,Paramètres!$A$1:$I$89,3,0)*0.475*44/12</f>
        <v>2.1858018745104193E-20</v>
      </c>
      <c r="AC166" s="22">
        <f t="shared" si="163"/>
        <v>0.20478572350460239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-8.5265128291212022E-14</v>
      </c>
      <c r="AJ166" s="13">
        <f>AI166*VLOOKUP('Données projet'!$B$10,Paramètres!$A$1:$I$89,3,0)*VLOOKUP('Données projet'!$B$10,Paramètres!$A$1:$I$89,5,0)</f>
        <v>-6.9167072069831198E-14</v>
      </c>
      <c r="AK166" s="13" t="e">
        <f t="shared" si="164"/>
        <v>#NUM!</v>
      </c>
      <c r="AL166" s="20" t="e">
        <f t="shared" si="165"/>
        <v>#NUM!</v>
      </c>
      <c r="AM166" s="59" t="e">
        <f t="shared" si="113"/>
        <v>#NUM!</v>
      </c>
      <c r="AN166" s="59">
        <f ca="1">AVERAGE(OFFSET($AM$3,0,0,'Données projet'!$E$10+1,1))-AVERAGE(OFFSET($H$3,0,0,'Données projet'!$E$10+1,1))</f>
        <v>145.3656871223958</v>
      </c>
      <c r="AO166" s="59">
        <f t="shared" si="144"/>
        <v>180.54762778843178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0</v>
      </c>
      <c r="AV166" s="21">
        <f>EXP(-LN(2)/25)*AV165+(1-EXP(-LN(2)/25))/(LN(2)/25)*Calculateur!AQ166*Calculateur!AS166*VLOOKUP('Données projet'!$B$10,Paramètres!$A$1:$I$89,3,0)*0.475*44/12</f>
        <v>0.13921365050184867</v>
      </c>
      <c r="AW166" s="21">
        <f>EXP(-LN(2)/2)*AW165+(1-EXP(-LN(2)/2))/(LN(2)/2)*AQ166*AT166*VLOOKUP('Données projet'!$B$10,Paramètres!$A$1:$I$89,3,0)*0.475*44/12</f>
        <v>7.8218630037886998E-20</v>
      </c>
      <c r="AX166" s="21">
        <f t="shared" si="166"/>
        <v>0.13921365050184867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2.8421709430404007E-14</v>
      </c>
      <c r="BE166" s="13">
        <f>BD166*VLOOKUP('Données projet'!$B$11,Paramètres!$A$1:$I$89,3,0)*VLOOKUP('Données projet'!$B$11,Paramètres!$A$1:$I$89,5,0)</f>
        <v>2.5715962692629544E-14</v>
      </c>
      <c r="BF166" s="13">
        <f t="shared" si="167"/>
        <v>4.5248818890525812E-13</v>
      </c>
      <c r="BG166" s="20">
        <f t="shared" si="168"/>
        <v>8.3287223069965432E-13</v>
      </c>
      <c r="BH166" s="59">
        <f t="shared" si="116"/>
        <v>293.33333333333417</v>
      </c>
      <c r="BI166" s="59">
        <f ca="1">AVERAGE(OFFSET($BH$3,0,0,'Données projet'!$E$11+1,1))-AVERAGE(OFFSET($H$3,0,0,'Données projet'!$E$11+1,1))</f>
        <v>138.8931001150624</v>
      </c>
      <c r="BJ166" s="59">
        <f t="shared" si="146"/>
        <v>48.964659354096625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>
        <f>EXP(-LN(2)/35)*BP165+(1-EXP(-LN(2)/35))/(LN(2)/35)*BL166*BM166*VLOOKUP('Données projet'!$B$11,Paramètres!$A$1:$I$89,3,0)*0.475*44/12</f>
        <v>0</v>
      </c>
      <c r="BQ166" s="21">
        <f>EXP(-LN(2)/25)*BQ165+(1-EXP(-LN(2)/25))/(LN(2)/25)*Calculateur!BL166*Calculateur!BN166*VLOOKUP('Données projet'!$B$11,Paramètres!$A$1:$I$89,3,0)*0.475*44/12</f>
        <v>0</v>
      </c>
      <c r="BR166" s="21">
        <f>EXP(-LN(2)/2)*BR165+(1-EXP(-LN(2)/2))/(LN(2)/2)*BL166*BO166*VLOOKUP('Données projet'!$B$11,Paramètres!$A$1:$I$89,3,0)*0.475*44/12</f>
        <v>0</v>
      </c>
      <c r="BS166" s="22">
        <f t="shared" si="169"/>
        <v>0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1.1368683772161603E-13</v>
      </c>
      <c r="BZ166" s="13">
        <f>BY166*VLOOKUP('Données projet'!$B$12,Paramètres!$A$1:$I$89,3,0)*VLOOKUP('Données projet'!$B$12,Paramètres!$A$1:$I$89,5,0)</f>
        <v>1.0995790944434703E-13</v>
      </c>
      <c r="CA166" s="13">
        <f t="shared" si="170"/>
        <v>1.6337280948049956E-12</v>
      </c>
      <c r="CB166" s="20">
        <f t="shared" si="171"/>
        <v>3.036919790734272E-12</v>
      </c>
      <c r="CC166" s="59">
        <f t="shared" si="119"/>
        <v>293.33333333333633</v>
      </c>
      <c r="CD166" s="59">
        <f ca="1">AVERAGE(OFFSET($CC$3,0,0,'Données projet'!$E$12+1,1))-AVERAGE(OFFSET($H$3,0,0,'Données projet'!$E$12+1,1))</f>
        <v>154.93882427988234</v>
      </c>
      <c r="CE166" s="59">
        <f t="shared" si="148"/>
        <v>56.347130462109817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>
        <f>EXP(-LN(2)/35)*CK165+(1-EXP(-LN(2)/35))/(LN(2)/35)*CG166*CH166*VLOOKUP('Données projet'!$B$12,Paramètres!$A$1:$I$89,3,0)*0.475*44/12</f>
        <v>0</v>
      </c>
      <c r="CL166" s="21">
        <f>EXP(-LN(2)/25)*CL165+(1-EXP(-LN(2)/25))/(LN(2)/25)*Calculateur!CG166*Calculateur!CI166*VLOOKUP('Données projet'!$B$12,Paramètres!$A$1:$I$89,3,0)*0.475*44/12</f>
        <v>0</v>
      </c>
      <c r="CM166" s="21">
        <f>EXP(-LN(2)/2)*CM165+(1-EXP(-LN(2)/2))/(LN(2)/2)*CG166*CJ166*VLOOKUP('Données projet'!$B$12,Paramètres!$A$1:$I$89,3,0)*0.475*44/12</f>
        <v>0</v>
      </c>
      <c r="CN166" s="22">
        <f t="shared" si="172"/>
        <v>0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145.8288</v>
      </c>
      <c r="D167" s="11">
        <f t="shared" si="140"/>
        <v>37.629115201395898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1416.1663629581437</v>
      </c>
      <c r="H167" s="67">
        <f t="shared" si="110"/>
        <v>612.85586897576445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0</v>
      </c>
      <c r="O167" s="13">
        <f>N167*VLOOKUP('Données projet'!$B$9,Paramètres!$A$1:$I$89,3,0)*VLOOKUP('Données projet'!$B$9,Paramètres!$A$1:$I$89,5,0)</f>
        <v>0</v>
      </c>
      <c r="P167" s="13" t="e">
        <f t="shared" si="141"/>
        <v>#NUM!</v>
      </c>
      <c r="Q167" s="20" t="e">
        <f t="shared" si="162"/>
        <v>#NUM!</v>
      </c>
      <c r="R167" s="59" t="e">
        <f t="shared" si="109"/>
        <v>#NUM!</v>
      </c>
      <c r="S167" s="59">
        <f ca="1">AVERAGE(OFFSET($R$3,0,0,'Données projet'!$E$9+1,1))-AVERAGE(OFFSET($H$3,0,0,'Données projet'!$E$9+1,1))</f>
        <v>72.647148358003676</v>
      </c>
      <c r="T167" s="59">
        <f t="shared" si="142"/>
        <v>87.231299224620898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8.9564596472194474E-2</v>
      </c>
      <c r="AA167" s="21">
        <f>EXP(-LN(2)/25)*AA166+(1-EXP(-LN(2)/25))/(LN(2)/25)*Calculateur!V167*Calculateur!X167*VLOOKUP('Données projet'!$B$9,Paramètres!$A$1:$I$89,3,0)*0.475*44/12</f>
        <v>0.11032795009160912</v>
      </c>
      <c r="AB167" s="21">
        <f>EXP(-LN(2)/2)*AB166+(1-EXP(-LN(2)/2))/(LN(2)/2)*V167*Y167*VLOOKUP('Données projet'!$B$9,Paramètres!$A$1:$I$89,3,0)*0.475*44/12</f>
        <v>1.5455953277965844E-20</v>
      </c>
      <c r="AC167" s="22">
        <f t="shared" si="163"/>
        <v>0.19989254656380359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-8.5265128291212022E-14</v>
      </c>
      <c r="AJ167" s="13">
        <f>AI167*VLOOKUP('Données projet'!$B$10,Paramètres!$A$1:$I$89,3,0)*VLOOKUP('Données projet'!$B$10,Paramètres!$A$1:$I$89,5,0)</f>
        <v>-6.9167072069831198E-14</v>
      </c>
      <c r="AK167" s="13" t="e">
        <f t="shared" si="164"/>
        <v>#NUM!</v>
      </c>
      <c r="AL167" s="20" t="e">
        <f t="shared" si="165"/>
        <v>#NUM!</v>
      </c>
      <c r="AM167" s="59" t="e">
        <f t="shared" si="113"/>
        <v>#NUM!</v>
      </c>
      <c r="AN167" s="59">
        <f ca="1">AVERAGE(OFFSET($AM$3,0,0,'Données projet'!$E$10+1,1))-AVERAGE(OFFSET($H$3,0,0,'Données projet'!$E$10+1,1))</f>
        <v>145.3656871223958</v>
      </c>
      <c r="AO167" s="59">
        <f t="shared" si="144"/>
        <v>180.54762778843178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0</v>
      </c>
      <c r="AV167" s="21">
        <f>EXP(-LN(2)/25)*AV166+(1-EXP(-LN(2)/25))/(LN(2)/25)*Calculateur!AQ167*Calculateur!AS167*VLOOKUP('Données projet'!$B$10,Paramètres!$A$1:$I$89,3,0)*0.475*44/12</f>
        <v>0.13540684590794791</v>
      </c>
      <c r="AW167" s="21">
        <f>EXP(-LN(2)/2)*AW166+(1-EXP(-LN(2)/2))/(LN(2)/2)*AQ167*AT167*VLOOKUP('Données projet'!$B$10,Paramètres!$A$1:$I$89,3,0)*0.475*44/12</f>
        <v>5.5308923714911674E-20</v>
      </c>
      <c r="AX167" s="21">
        <f t="shared" si="166"/>
        <v>0.13540684590794791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2.8421709430404007E-14</v>
      </c>
      <c r="BE167" s="13">
        <f>BD167*VLOOKUP('Données projet'!$B$11,Paramètres!$A$1:$I$89,3,0)*VLOOKUP('Données projet'!$B$11,Paramètres!$A$1:$I$89,5,0)</f>
        <v>2.5715962692629544E-14</v>
      </c>
      <c r="BF167" s="13">
        <f t="shared" si="167"/>
        <v>4.5248818890525812E-13</v>
      </c>
      <c r="BG167" s="20">
        <f t="shared" si="168"/>
        <v>8.3287223069965432E-13</v>
      </c>
      <c r="BH167" s="59">
        <f t="shared" si="116"/>
        <v>293.33333333333417</v>
      </c>
      <c r="BI167" s="59">
        <f ca="1">AVERAGE(OFFSET($BH$3,0,0,'Données projet'!$E$11+1,1))-AVERAGE(OFFSET($H$3,0,0,'Données projet'!$E$11+1,1))</f>
        <v>138.8931001150624</v>
      </c>
      <c r="BJ167" s="59">
        <f t="shared" si="146"/>
        <v>48.964659354096625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>
        <f>EXP(-LN(2)/35)*BP166+(1-EXP(-LN(2)/35))/(LN(2)/35)*BL167*BM167*VLOOKUP('Données projet'!$B$11,Paramètres!$A$1:$I$89,3,0)*0.475*44/12</f>
        <v>0</v>
      </c>
      <c r="BQ167" s="21">
        <f>EXP(-LN(2)/25)*BQ166+(1-EXP(-LN(2)/25))/(LN(2)/25)*Calculateur!BL167*Calculateur!BN167*VLOOKUP('Données projet'!$B$11,Paramètres!$A$1:$I$89,3,0)*0.475*44/12</f>
        <v>0</v>
      </c>
      <c r="BR167" s="21">
        <f>EXP(-LN(2)/2)*BR166+(1-EXP(-LN(2)/2))/(LN(2)/2)*BL167*BO167*VLOOKUP('Données projet'!$B$11,Paramètres!$A$1:$I$89,3,0)*0.475*44/12</f>
        <v>0</v>
      </c>
      <c r="BS167" s="22">
        <f t="shared" si="169"/>
        <v>0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1.1368683772161603E-13</v>
      </c>
      <c r="BZ167" s="13">
        <f>BY167*VLOOKUP('Données projet'!$B$12,Paramètres!$A$1:$I$89,3,0)*VLOOKUP('Données projet'!$B$12,Paramètres!$A$1:$I$89,5,0)</f>
        <v>1.0995790944434703E-13</v>
      </c>
      <c r="CA167" s="13">
        <f t="shared" si="170"/>
        <v>1.6337280948049956E-12</v>
      </c>
      <c r="CB167" s="20">
        <f t="shared" si="171"/>
        <v>3.036919790734272E-12</v>
      </c>
      <c r="CC167" s="59">
        <f t="shared" si="119"/>
        <v>293.33333333333633</v>
      </c>
      <c r="CD167" s="59">
        <f ca="1">AVERAGE(OFFSET($CC$3,0,0,'Données projet'!$E$12+1,1))-AVERAGE(OFFSET($H$3,0,0,'Données projet'!$E$12+1,1))</f>
        <v>154.93882427988234</v>
      </c>
      <c r="CE167" s="59">
        <f t="shared" si="148"/>
        <v>56.347130462109817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>
        <f>EXP(-LN(2)/35)*CK166+(1-EXP(-LN(2)/35))/(LN(2)/35)*CG167*CH167*VLOOKUP('Données projet'!$B$12,Paramètres!$A$1:$I$89,3,0)*0.475*44/12</f>
        <v>0</v>
      </c>
      <c r="CL167" s="21">
        <f>EXP(-LN(2)/25)*CL166+(1-EXP(-LN(2)/25))/(LN(2)/25)*Calculateur!CG167*Calculateur!CI167*VLOOKUP('Données projet'!$B$12,Paramètres!$A$1:$I$89,3,0)*0.475*44/12</f>
        <v>0</v>
      </c>
      <c r="CM167" s="21">
        <f>EXP(-LN(2)/2)*CM166+(1-EXP(-LN(2)/2))/(LN(2)/2)*CG167*CJ167*VLOOKUP('Données projet'!$B$12,Paramètres!$A$1:$I$89,3,0)*0.475*44/12</f>
        <v>0</v>
      </c>
      <c r="CN167" s="22">
        <f t="shared" si="172"/>
        <v>0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146.71799999999999</v>
      </c>
      <c r="D168" s="11">
        <f t="shared" si="140"/>
        <v>37.831781747183037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1424.594806469483</v>
      </c>
      <c r="H168" s="67">
        <f t="shared" si="110"/>
        <v>614.75753654301047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0</v>
      </c>
      <c r="O168" s="13">
        <f>N168*VLOOKUP('Données projet'!$B$9,Paramètres!$A$1:$I$89,3,0)*VLOOKUP('Données projet'!$B$9,Paramètres!$A$1:$I$89,5,0)</f>
        <v>0</v>
      </c>
      <c r="P168" s="13" t="e">
        <f t="shared" si="141"/>
        <v>#NUM!</v>
      </c>
      <c r="Q168" s="20" t="e">
        <f t="shared" si="162"/>
        <v>#NUM!</v>
      </c>
      <c r="R168" s="59" t="e">
        <f t="shared" si="109"/>
        <v>#NUM!</v>
      </c>
      <c r="S168" s="59">
        <f ca="1">AVERAGE(OFFSET($R$3,0,0,'Données projet'!$E$9+1,1))-AVERAGE(OFFSET($H$3,0,0,'Données projet'!$E$9+1,1))</f>
        <v>72.647148358003676</v>
      </c>
      <c r="T168" s="59">
        <f t="shared" si="142"/>
        <v>87.231299224620898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8.7808289364384423E-2</v>
      </c>
      <c r="AA168" s="21">
        <f>EXP(-LN(2)/25)*AA167+(1-EXP(-LN(2)/25))/(LN(2)/25)*Calculateur!V168*Calculateur!X168*VLOOKUP('Données projet'!$B$9,Paramètres!$A$1:$I$89,3,0)*0.475*44/12</f>
        <v>0.10731102649445932</v>
      </c>
      <c r="AB168" s="21">
        <f>EXP(-LN(2)/2)*AB167+(1-EXP(-LN(2)/2))/(LN(2)/2)*V168*Y168*VLOOKUP('Données projet'!$B$9,Paramètres!$A$1:$I$89,3,0)*0.475*44/12</f>
        <v>1.0929009372552096E-20</v>
      </c>
      <c r="AC168" s="22">
        <f t="shared" si="163"/>
        <v>0.19511931585884373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-8.5265128291212022E-14</v>
      </c>
      <c r="AJ168" s="13">
        <f>AI168*VLOOKUP('Données projet'!$B$10,Paramètres!$A$1:$I$89,3,0)*VLOOKUP('Données projet'!$B$10,Paramètres!$A$1:$I$89,5,0)</f>
        <v>-6.9167072069831198E-14</v>
      </c>
      <c r="AK168" s="13" t="e">
        <f t="shared" si="164"/>
        <v>#NUM!</v>
      </c>
      <c r="AL168" s="20" t="e">
        <f t="shared" si="165"/>
        <v>#NUM!</v>
      </c>
      <c r="AM168" s="59" t="e">
        <f t="shared" si="113"/>
        <v>#NUM!</v>
      </c>
      <c r="AN168" s="59">
        <f ca="1">AVERAGE(OFFSET($AM$3,0,0,'Données projet'!$E$10+1,1))-AVERAGE(OFFSET($H$3,0,0,'Données projet'!$E$10+1,1))</f>
        <v>145.3656871223958</v>
      </c>
      <c r="AO168" s="59">
        <f t="shared" si="144"/>
        <v>180.54762778843178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0</v>
      </c>
      <c r="AV168" s="21">
        <f>EXP(-LN(2)/25)*AV167+(1-EXP(-LN(2)/25))/(LN(2)/25)*Calculateur!AQ168*Calculateur!AS168*VLOOKUP('Données projet'!$B$10,Paramètres!$A$1:$I$89,3,0)*0.475*44/12</f>
        <v>0.13170413858585853</v>
      </c>
      <c r="AW168" s="21">
        <f>EXP(-LN(2)/2)*AW167+(1-EXP(-LN(2)/2))/(LN(2)/2)*AQ168*AT168*VLOOKUP('Données projet'!$B$10,Paramètres!$A$1:$I$89,3,0)*0.475*44/12</f>
        <v>3.9109315018943499E-20</v>
      </c>
      <c r="AX168" s="21">
        <f t="shared" si="166"/>
        <v>0.13170413858585853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2.8421709430404007E-14</v>
      </c>
      <c r="BE168" s="13">
        <f>BD168*VLOOKUP('Données projet'!$B$11,Paramètres!$A$1:$I$89,3,0)*VLOOKUP('Données projet'!$B$11,Paramètres!$A$1:$I$89,5,0)</f>
        <v>2.5715962692629544E-14</v>
      </c>
      <c r="BF168" s="13">
        <f t="shared" si="167"/>
        <v>4.5248818890525812E-13</v>
      </c>
      <c r="BG168" s="20">
        <f t="shared" si="168"/>
        <v>8.3287223069965432E-13</v>
      </c>
      <c r="BH168" s="59">
        <f t="shared" si="116"/>
        <v>293.33333333333417</v>
      </c>
      <c r="BI168" s="59">
        <f ca="1">AVERAGE(OFFSET($BH$3,0,0,'Données projet'!$E$11+1,1))-AVERAGE(OFFSET($H$3,0,0,'Données projet'!$E$11+1,1))</f>
        <v>138.8931001150624</v>
      </c>
      <c r="BJ168" s="59">
        <f t="shared" si="146"/>
        <v>48.964659354096625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>
        <f>EXP(-LN(2)/35)*BP167+(1-EXP(-LN(2)/35))/(LN(2)/35)*BL168*BM168*VLOOKUP('Données projet'!$B$11,Paramètres!$A$1:$I$89,3,0)*0.475*44/12</f>
        <v>0</v>
      </c>
      <c r="BQ168" s="21">
        <f>EXP(-LN(2)/25)*BQ167+(1-EXP(-LN(2)/25))/(LN(2)/25)*Calculateur!BL168*Calculateur!BN168*VLOOKUP('Données projet'!$B$11,Paramètres!$A$1:$I$89,3,0)*0.475*44/12</f>
        <v>0</v>
      </c>
      <c r="BR168" s="21">
        <f>EXP(-LN(2)/2)*BR167+(1-EXP(-LN(2)/2))/(LN(2)/2)*BL168*BO168*VLOOKUP('Données projet'!$B$11,Paramètres!$A$1:$I$89,3,0)*0.475*44/12</f>
        <v>0</v>
      </c>
      <c r="BS168" s="22">
        <f t="shared" si="169"/>
        <v>0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1.1368683772161603E-13</v>
      </c>
      <c r="BZ168" s="13">
        <f>BY168*VLOOKUP('Données projet'!$B$12,Paramètres!$A$1:$I$89,3,0)*VLOOKUP('Données projet'!$B$12,Paramètres!$A$1:$I$89,5,0)</f>
        <v>1.0995790944434703E-13</v>
      </c>
      <c r="CA168" s="13">
        <f t="shared" si="170"/>
        <v>1.6337280948049956E-12</v>
      </c>
      <c r="CB168" s="20">
        <f t="shared" si="171"/>
        <v>3.036919790734272E-12</v>
      </c>
      <c r="CC168" s="59">
        <f t="shared" si="119"/>
        <v>293.33333333333633</v>
      </c>
      <c r="CD168" s="59">
        <f ca="1">AVERAGE(OFFSET($CC$3,0,0,'Données projet'!$E$12+1,1))-AVERAGE(OFFSET($H$3,0,0,'Données projet'!$E$12+1,1))</f>
        <v>154.93882427988234</v>
      </c>
      <c r="CE168" s="59">
        <f t="shared" si="148"/>
        <v>56.347130462109817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>
        <f>EXP(-LN(2)/35)*CK167+(1-EXP(-LN(2)/35))/(LN(2)/35)*CG168*CH168*VLOOKUP('Données projet'!$B$12,Paramètres!$A$1:$I$89,3,0)*0.475*44/12</f>
        <v>0</v>
      </c>
      <c r="CL168" s="21">
        <f>EXP(-LN(2)/25)*CL167+(1-EXP(-LN(2)/25))/(LN(2)/25)*Calculateur!CG168*Calculateur!CI168*VLOOKUP('Données projet'!$B$12,Paramètres!$A$1:$I$89,3,0)*0.475*44/12</f>
        <v>0</v>
      </c>
      <c r="CM168" s="21">
        <f>EXP(-LN(2)/2)*CM167+(1-EXP(-LN(2)/2))/(LN(2)/2)*CG168*CJ168*VLOOKUP('Données projet'!$B$12,Paramètres!$A$1:$I$89,3,0)*0.475*44/12</f>
        <v>0</v>
      </c>
      <c r="CN168" s="22">
        <f t="shared" si="172"/>
        <v>0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147.60719999999998</v>
      </c>
      <c r="D169" s="11">
        <f t="shared" si="140"/>
        <v>38.034305370426985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1433.0221467190852</v>
      </c>
      <c r="H169" s="67">
        <f t="shared" si="110"/>
        <v>616.65895518682692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0</v>
      </c>
      <c r="O169" s="13">
        <f>N169*VLOOKUP('Données projet'!$B$9,Paramètres!$A$1:$I$89,3,0)*VLOOKUP('Données projet'!$B$9,Paramètres!$A$1:$I$89,5,0)</f>
        <v>0</v>
      </c>
      <c r="P169" s="13" t="e">
        <f t="shared" si="141"/>
        <v>#NUM!</v>
      </c>
      <c r="Q169" s="20" t="e">
        <f t="shared" si="162"/>
        <v>#NUM!</v>
      </c>
      <c r="R169" s="59" t="e">
        <f t="shared" si="109"/>
        <v>#NUM!</v>
      </c>
      <c r="S169" s="59">
        <f ca="1">AVERAGE(OFFSET($R$3,0,0,'Données projet'!$E$9+1,1))-AVERAGE(OFFSET($H$3,0,0,'Données projet'!$E$9+1,1))</f>
        <v>72.647148358003676</v>
      </c>
      <c r="T169" s="59">
        <f t="shared" si="142"/>
        <v>87.231299224620898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8.6086422367716964E-2</v>
      </c>
      <c r="AA169" s="21">
        <f>EXP(-LN(2)/25)*AA168+(1-EXP(-LN(2)/25))/(LN(2)/25)*Calculateur!V169*Calculateur!X169*VLOOKUP('Données projet'!$B$9,Paramètres!$A$1:$I$89,3,0)*0.475*44/12</f>
        <v>0.10437660083172672</v>
      </c>
      <c r="AB169" s="21">
        <f>EXP(-LN(2)/2)*AB168+(1-EXP(-LN(2)/2))/(LN(2)/2)*V169*Y169*VLOOKUP('Données projet'!$B$9,Paramètres!$A$1:$I$89,3,0)*0.475*44/12</f>
        <v>7.7279766389829222E-21</v>
      </c>
      <c r="AC169" s="22">
        <f t="shared" si="163"/>
        <v>0.19046302319944369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-8.5265128291212022E-14</v>
      </c>
      <c r="AJ169" s="13">
        <f>AI169*VLOOKUP('Données projet'!$B$10,Paramètres!$A$1:$I$89,3,0)*VLOOKUP('Données projet'!$B$10,Paramètres!$A$1:$I$89,5,0)</f>
        <v>-6.9167072069831198E-14</v>
      </c>
      <c r="AK169" s="13" t="e">
        <f t="shared" si="164"/>
        <v>#NUM!</v>
      </c>
      <c r="AL169" s="20" t="e">
        <f t="shared" si="165"/>
        <v>#NUM!</v>
      </c>
      <c r="AM169" s="59" t="e">
        <f t="shared" si="113"/>
        <v>#NUM!</v>
      </c>
      <c r="AN169" s="59">
        <f ca="1">AVERAGE(OFFSET($AM$3,0,0,'Données projet'!$E$10+1,1))-AVERAGE(OFFSET($H$3,0,0,'Données projet'!$E$10+1,1))</f>
        <v>145.3656871223958</v>
      </c>
      <c r="AO169" s="59">
        <f t="shared" si="144"/>
        <v>180.54762778843178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0</v>
      </c>
      <c r="AV169" s="21">
        <f>EXP(-LN(2)/25)*AV168+(1-EXP(-LN(2)/25))/(LN(2)/25)*Calculateur!AQ169*Calculateur!AS169*VLOOKUP('Données projet'!$B$10,Paramètres!$A$1:$I$89,3,0)*0.475*44/12</f>
        <v>0.12810268199020858</v>
      </c>
      <c r="AW169" s="21">
        <f>EXP(-LN(2)/2)*AW168+(1-EXP(-LN(2)/2))/(LN(2)/2)*AQ169*AT169*VLOOKUP('Données projet'!$B$10,Paramètres!$A$1:$I$89,3,0)*0.475*44/12</f>
        <v>2.7654461857455837E-20</v>
      </c>
      <c r="AX169" s="21">
        <f t="shared" si="166"/>
        <v>0.12810268199020858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2.8421709430404007E-14</v>
      </c>
      <c r="BE169" s="13">
        <f>BD169*VLOOKUP('Données projet'!$B$11,Paramètres!$A$1:$I$89,3,0)*VLOOKUP('Données projet'!$B$11,Paramètres!$A$1:$I$89,5,0)</f>
        <v>2.5715962692629544E-14</v>
      </c>
      <c r="BF169" s="13">
        <f t="shared" si="167"/>
        <v>4.5248818890525812E-13</v>
      </c>
      <c r="BG169" s="20">
        <f t="shared" si="168"/>
        <v>8.3287223069965432E-13</v>
      </c>
      <c r="BH169" s="59">
        <f t="shared" si="116"/>
        <v>293.33333333333417</v>
      </c>
      <c r="BI169" s="59">
        <f ca="1">AVERAGE(OFFSET($BH$3,0,0,'Données projet'!$E$11+1,1))-AVERAGE(OFFSET($H$3,0,0,'Données projet'!$E$11+1,1))</f>
        <v>138.8931001150624</v>
      </c>
      <c r="BJ169" s="59">
        <f t="shared" si="146"/>
        <v>48.964659354096625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>
        <f>EXP(-LN(2)/35)*BP168+(1-EXP(-LN(2)/35))/(LN(2)/35)*BL169*BM169*VLOOKUP('Données projet'!$B$11,Paramètres!$A$1:$I$89,3,0)*0.475*44/12</f>
        <v>0</v>
      </c>
      <c r="BQ169" s="21">
        <f>EXP(-LN(2)/25)*BQ168+(1-EXP(-LN(2)/25))/(LN(2)/25)*Calculateur!BL169*Calculateur!BN169*VLOOKUP('Données projet'!$B$11,Paramètres!$A$1:$I$89,3,0)*0.475*44/12</f>
        <v>0</v>
      </c>
      <c r="BR169" s="21">
        <f>EXP(-LN(2)/2)*BR168+(1-EXP(-LN(2)/2))/(LN(2)/2)*BL169*BO169*VLOOKUP('Données projet'!$B$11,Paramètres!$A$1:$I$89,3,0)*0.475*44/12</f>
        <v>0</v>
      </c>
      <c r="BS169" s="22">
        <f t="shared" si="169"/>
        <v>0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1.1368683772161603E-13</v>
      </c>
      <c r="BZ169" s="13">
        <f>BY169*VLOOKUP('Données projet'!$B$12,Paramètres!$A$1:$I$89,3,0)*VLOOKUP('Données projet'!$B$12,Paramètres!$A$1:$I$89,5,0)</f>
        <v>1.0995790944434703E-13</v>
      </c>
      <c r="CA169" s="13">
        <f t="shared" si="170"/>
        <v>1.6337280948049956E-12</v>
      </c>
      <c r="CB169" s="20">
        <f t="shared" si="171"/>
        <v>3.036919790734272E-12</v>
      </c>
      <c r="CC169" s="59">
        <f t="shared" si="119"/>
        <v>293.33333333333633</v>
      </c>
      <c r="CD169" s="59">
        <f ca="1">AVERAGE(OFFSET($CC$3,0,0,'Données projet'!$E$12+1,1))-AVERAGE(OFFSET($H$3,0,0,'Données projet'!$E$12+1,1))</f>
        <v>154.93882427988234</v>
      </c>
      <c r="CE169" s="59">
        <f t="shared" si="148"/>
        <v>56.347130462109817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>
        <f>EXP(-LN(2)/35)*CK168+(1-EXP(-LN(2)/35))/(LN(2)/35)*CG169*CH169*VLOOKUP('Données projet'!$B$12,Paramètres!$A$1:$I$89,3,0)*0.475*44/12</f>
        <v>0</v>
      </c>
      <c r="CL169" s="21">
        <f>EXP(-LN(2)/25)*CL168+(1-EXP(-LN(2)/25))/(LN(2)/25)*Calculateur!CG169*Calculateur!CI169*VLOOKUP('Données projet'!$B$12,Paramètres!$A$1:$I$89,3,0)*0.475*44/12</f>
        <v>0</v>
      </c>
      <c r="CM169" s="21">
        <f>EXP(-LN(2)/2)*CM168+(1-EXP(-LN(2)/2))/(LN(2)/2)*CG169*CJ169*VLOOKUP('Données projet'!$B$12,Paramètres!$A$1:$I$89,3,0)*0.475*44/12</f>
        <v>0</v>
      </c>
      <c r="CN169" s="22">
        <f t="shared" si="172"/>
        <v>0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148.49639999999997</v>
      </c>
      <c r="D170" s="11">
        <f t="shared" si="140"/>
        <v>38.23668703199958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1441.4483911242071</v>
      </c>
      <c r="H170" s="67">
        <f t="shared" si="110"/>
        <v>618.56012658073257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0</v>
      </c>
      <c r="O170" s="13">
        <f>N170*VLOOKUP('Données projet'!$B$9,Paramètres!$A$1:$I$89,3,0)*VLOOKUP('Données projet'!$B$9,Paramètres!$A$1:$I$89,5,0)</f>
        <v>0</v>
      </c>
      <c r="P170" s="13" t="e">
        <f t="shared" si="141"/>
        <v>#NUM!</v>
      </c>
      <c r="Q170" s="20" t="e">
        <f t="shared" si="162"/>
        <v>#NUM!</v>
      </c>
      <c r="R170" s="59" t="e">
        <f t="shared" si="109"/>
        <v>#NUM!</v>
      </c>
      <c r="S170" s="59">
        <f ca="1">AVERAGE(OFFSET($R$3,0,0,'Données projet'!$E$9+1,1))-AVERAGE(OFFSET($H$3,0,0,'Données projet'!$E$9+1,1))</f>
        <v>72.647148358003676</v>
      </c>
      <c r="T170" s="59">
        <f t="shared" si="142"/>
        <v>87.231299224620898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8.4398320132618984E-2</v>
      </c>
      <c r="AA170" s="21">
        <f>EXP(-LN(2)/25)*AA169+(1-EXP(-LN(2)/25))/(LN(2)/25)*Calculateur!V170*Calculateur!X170*VLOOKUP('Données projet'!$B$9,Paramètres!$A$1:$I$89,3,0)*0.475*44/12</f>
        <v>0.10152241719305627</v>
      </c>
      <c r="AB170" s="21">
        <f>EXP(-LN(2)/2)*AB169+(1-EXP(-LN(2)/2))/(LN(2)/2)*V170*Y170*VLOOKUP('Données projet'!$B$9,Paramètres!$A$1:$I$89,3,0)*0.475*44/12</f>
        <v>5.4645046862760482E-21</v>
      </c>
      <c r="AC170" s="22">
        <f t="shared" si="163"/>
        <v>0.18592073732567527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-8.5265128291212022E-14</v>
      </c>
      <c r="AJ170" s="13">
        <f>AI170*VLOOKUP('Données projet'!$B$10,Paramètres!$A$1:$I$89,3,0)*VLOOKUP('Données projet'!$B$10,Paramètres!$A$1:$I$89,5,0)</f>
        <v>-6.9167072069831198E-14</v>
      </c>
      <c r="AK170" s="13" t="e">
        <f t="shared" si="164"/>
        <v>#NUM!</v>
      </c>
      <c r="AL170" s="20" t="e">
        <f t="shared" si="165"/>
        <v>#NUM!</v>
      </c>
      <c r="AM170" s="59" t="e">
        <f t="shared" si="113"/>
        <v>#NUM!</v>
      </c>
      <c r="AN170" s="59">
        <f ca="1">AVERAGE(OFFSET($AM$3,0,0,'Données projet'!$E$10+1,1))-AVERAGE(OFFSET($H$3,0,0,'Données projet'!$E$10+1,1))</f>
        <v>145.3656871223958</v>
      </c>
      <c r="AO170" s="59">
        <f t="shared" si="144"/>
        <v>180.54762778843178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0</v>
      </c>
      <c r="AV170" s="21">
        <f>EXP(-LN(2)/25)*AV169+(1-EXP(-LN(2)/25))/(LN(2)/25)*Calculateur!AQ170*Calculateur!AS170*VLOOKUP('Données projet'!$B$10,Paramètres!$A$1:$I$89,3,0)*0.475*44/12</f>
        <v>0.12459970741455906</v>
      </c>
      <c r="AW170" s="21">
        <f>EXP(-LN(2)/2)*AW169+(1-EXP(-LN(2)/2))/(LN(2)/2)*AQ170*AT170*VLOOKUP('Données projet'!$B$10,Paramètres!$A$1:$I$89,3,0)*0.475*44/12</f>
        <v>1.9554657509471749E-20</v>
      </c>
      <c r="AX170" s="21">
        <f t="shared" si="166"/>
        <v>0.12459970741455906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2.8421709430404007E-14</v>
      </c>
      <c r="BE170" s="13">
        <f>BD170*VLOOKUP('Données projet'!$B$11,Paramètres!$A$1:$I$89,3,0)*VLOOKUP('Données projet'!$B$11,Paramètres!$A$1:$I$89,5,0)</f>
        <v>2.5715962692629544E-14</v>
      </c>
      <c r="BF170" s="13">
        <f t="shared" si="167"/>
        <v>4.5248818890525812E-13</v>
      </c>
      <c r="BG170" s="20">
        <f t="shared" si="168"/>
        <v>8.3287223069965432E-13</v>
      </c>
      <c r="BH170" s="59">
        <f t="shared" si="116"/>
        <v>293.33333333333417</v>
      </c>
      <c r="BI170" s="59">
        <f ca="1">AVERAGE(OFFSET($BH$3,0,0,'Données projet'!$E$11+1,1))-AVERAGE(OFFSET($H$3,0,0,'Données projet'!$E$11+1,1))</f>
        <v>138.8931001150624</v>
      </c>
      <c r="BJ170" s="59">
        <f t="shared" si="146"/>
        <v>48.964659354096625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>
        <f>EXP(-LN(2)/35)*BP169+(1-EXP(-LN(2)/35))/(LN(2)/35)*BL170*BM170*VLOOKUP('Données projet'!$B$11,Paramètres!$A$1:$I$89,3,0)*0.475*44/12</f>
        <v>0</v>
      </c>
      <c r="BQ170" s="21">
        <f>EXP(-LN(2)/25)*BQ169+(1-EXP(-LN(2)/25))/(LN(2)/25)*Calculateur!BL170*Calculateur!BN170*VLOOKUP('Données projet'!$B$11,Paramètres!$A$1:$I$89,3,0)*0.475*44/12</f>
        <v>0</v>
      </c>
      <c r="BR170" s="21">
        <f>EXP(-LN(2)/2)*BR169+(1-EXP(-LN(2)/2))/(LN(2)/2)*BL170*BO170*VLOOKUP('Données projet'!$B$11,Paramètres!$A$1:$I$89,3,0)*0.475*44/12</f>
        <v>0</v>
      </c>
      <c r="BS170" s="22">
        <f t="shared" si="169"/>
        <v>0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1.1368683772161603E-13</v>
      </c>
      <c r="BZ170" s="13">
        <f>BY170*VLOOKUP('Données projet'!$B$12,Paramètres!$A$1:$I$89,3,0)*VLOOKUP('Données projet'!$B$12,Paramètres!$A$1:$I$89,5,0)</f>
        <v>1.0995790944434703E-13</v>
      </c>
      <c r="CA170" s="13">
        <f t="shared" si="170"/>
        <v>1.6337280948049956E-12</v>
      </c>
      <c r="CB170" s="20">
        <f t="shared" si="171"/>
        <v>3.036919790734272E-12</v>
      </c>
      <c r="CC170" s="59">
        <f t="shared" si="119"/>
        <v>293.33333333333633</v>
      </c>
      <c r="CD170" s="59">
        <f ca="1">AVERAGE(OFFSET($CC$3,0,0,'Données projet'!$E$12+1,1))-AVERAGE(OFFSET($H$3,0,0,'Données projet'!$E$12+1,1))</f>
        <v>154.93882427988234</v>
      </c>
      <c r="CE170" s="59">
        <f t="shared" si="148"/>
        <v>56.347130462109817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>
        <f>EXP(-LN(2)/35)*CK169+(1-EXP(-LN(2)/35))/(LN(2)/35)*CG170*CH170*VLOOKUP('Données projet'!$B$12,Paramètres!$A$1:$I$89,3,0)*0.475*44/12</f>
        <v>0</v>
      </c>
      <c r="CL170" s="21">
        <f>EXP(-LN(2)/25)*CL169+(1-EXP(-LN(2)/25))/(LN(2)/25)*Calculateur!CG170*Calculateur!CI170*VLOOKUP('Données projet'!$B$12,Paramètres!$A$1:$I$89,3,0)*0.475*44/12</f>
        <v>0</v>
      </c>
      <c r="CM170" s="21">
        <f>EXP(-LN(2)/2)*CM169+(1-EXP(-LN(2)/2))/(LN(2)/2)*CG170*CJ170*VLOOKUP('Données projet'!$B$12,Paramètres!$A$1:$I$89,3,0)*0.475*44/12</f>
        <v>0</v>
      </c>
      <c r="CN170" s="22">
        <f t="shared" si="172"/>
        <v>0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149.38559999999995</v>
      </c>
      <c r="D171" s="11">
        <f t="shared" si="140"/>
        <v>38.438927680599591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1449.8735470081367</v>
      </c>
      <c r="H171" s="67">
        <f t="shared" si="110"/>
        <v>620.46105237704421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0</v>
      </c>
      <c r="O171" s="13">
        <f>N171*VLOOKUP('Données projet'!$B$9,Paramètres!$A$1:$I$89,3,0)*VLOOKUP('Données projet'!$B$9,Paramètres!$A$1:$I$89,5,0)</f>
        <v>0</v>
      </c>
      <c r="P171" s="13" t="e">
        <f t="shared" si="141"/>
        <v>#NUM!</v>
      </c>
      <c r="Q171" s="20" t="e">
        <f t="shared" si="162"/>
        <v>#NUM!</v>
      </c>
      <c r="R171" s="59" t="e">
        <f t="shared" si="109"/>
        <v>#NUM!</v>
      </c>
      <c r="S171" s="59">
        <f ca="1">AVERAGE(OFFSET($R$3,0,0,'Données projet'!$E$9+1,1))-AVERAGE(OFFSET($H$3,0,0,'Données projet'!$E$9+1,1))</f>
        <v>72.647148358003676</v>
      </c>
      <c r="T171" s="59">
        <f t="shared" si="142"/>
        <v>87.231299224620898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8.2743320552710581E-2</v>
      </c>
      <c r="AA171" s="21">
        <f>EXP(-LN(2)/25)*AA170+(1-EXP(-LN(2)/25))/(LN(2)/25)*Calculateur!V171*Calculateur!X171*VLOOKUP('Données projet'!$B$9,Paramètres!$A$1:$I$89,3,0)*0.475*44/12</f>
        <v>9.8746281356080254E-2</v>
      </c>
      <c r="AB171" s="21">
        <f>EXP(-LN(2)/2)*AB170+(1-EXP(-LN(2)/2))/(LN(2)/2)*V171*Y171*VLOOKUP('Données projet'!$B$9,Paramètres!$A$1:$I$89,3,0)*0.475*44/12</f>
        <v>3.8639883194914611E-21</v>
      </c>
      <c r="AC171" s="22">
        <f t="shared" si="163"/>
        <v>0.18148960190879082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-8.5265128291212022E-14</v>
      </c>
      <c r="AJ171" s="13">
        <f>AI171*VLOOKUP('Données projet'!$B$10,Paramètres!$A$1:$I$89,3,0)*VLOOKUP('Données projet'!$B$10,Paramètres!$A$1:$I$89,5,0)</f>
        <v>-6.9167072069831198E-14</v>
      </c>
      <c r="AK171" s="13" t="e">
        <f t="shared" si="164"/>
        <v>#NUM!</v>
      </c>
      <c r="AL171" s="20" t="e">
        <f t="shared" si="165"/>
        <v>#NUM!</v>
      </c>
      <c r="AM171" s="59" t="e">
        <f t="shared" si="113"/>
        <v>#NUM!</v>
      </c>
      <c r="AN171" s="59">
        <f ca="1">AVERAGE(OFFSET($AM$3,0,0,'Données projet'!$E$10+1,1))-AVERAGE(OFFSET($H$3,0,0,'Données projet'!$E$10+1,1))</f>
        <v>145.3656871223958</v>
      </c>
      <c r="AO171" s="59">
        <f t="shared" si="144"/>
        <v>180.54762778843178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0</v>
      </c>
      <c r="AV171" s="21">
        <f>EXP(-LN(2)/25)*AV170+(1-EXP(-LN(2)/25))/(LN(2)/25)*Calculateur!AQ171*Calculateur!AS171*VLOOKUP('Données projet'!$B$10,Paramètres!$A$1:$I$89,3,0)*0.475*44/12</f>
        <v>0.1211925218628941</v>
      </c>
      <c r="AW171" s="21">
        <f>EXP(-LN(2)/2)*AW170+(1-EXP(-LN(2)/2))/(LN(2)/2)*AQ171*AT171*VLOOKUP('Données projet'!$B$10,Paramètres!$A$1:$I$89,3,0)*0.475*44/12</f>
        <v>1.3827230928727918E-20</v>
      </c>
      <c r="AX171" s="21">
        <f t="shared" si="166"/>
        <v>0.1211925218628941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2.8421709430404007E-14</v>
      </c>
      <c r="BE171" s="13">
        <f>BD171*VLOOKUP('Données projet'!$B$11,Paramètres!$A$1:$I$89,3,0)*VLOOKUP('Données projet'!$B$11,Paramètres!$A$1:$I$89,5,0)</f>
        <v>2.5715962692629544E-14</v>
      </c>
      <c r="BF171" s="13">
        <f t="shared" si="167"/>
        <v>4.5248818890525812E-13</v>
      </c>
      <c r="BG171" s="20">
        <f t="shared" si="168"/>
        <v>8.3287223069965432E-13</v>
      </c>
      <c r="BH171" s="59">
        <f t="shared" si="116"/>
        <v>293.33333333333417</v>
      </c>
      <c r="BI171" s="59">
        <f ca="1">AVERAGE(OFFSET($BH$3,0,0,'Données projet'!$E$11+1,1))-AVERAGE(OFFSET($H$3,0,0,'Données projet'!$E$11+1,1))</f>
        <v>138.8931001150624</v>
      </c>
      <c r="BJ171" s="59">
        <f t="shared" si="146"/>
        <v>48.964659354096625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>
        <f>EXP(-LN(2)/35)*BP170+(1-EXP(-LN(2)/35))/(LN(2)/35)*BL171*BM171*VLOOKUP('Données projet'!$B$11,Paramètres!$A$1:$I$89,3,0)*0.475*44/12</f>
        <v>0</v>
      </c>
      <c r="BQ171" s="21">
        <f>EXP(-LN(2)/25)*BQ170+(1-EXP(-LN(2)/25))/(LN(2)/25)*Calculateur!BL171*Calculateur!BN171*VLOOKUP('Données projet'!$B$11,Paramètres!$A$1:$I$89,3,0)*0.475*44/12</f>
        <v>0</v>
      </c>
      <c r="BR171" s="21">
        <f>EXP(-LN(2)/2)*BR170+(1-EXP(-LN(2)/2))/(LN(2)/2)*BL171*BO171*VLOOKUP('Données projet'!$B$11,Paramètres!$A$1:$I$89,3,0)*0.475*44/12</f>
        <v>0</v>
      </c>
      <c r="BS171" s="22">
        <f t="shared" si="169"/>
        <v>0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1.1368683772161603E-13</v>
      </c>
      <c r="BZ171" s="13">
        <f>BY171*VLOOKUP('Données projet'!$B$12,Paramètres!$A$1:$I$89,3,0)*VLOOKUP('Données projet'!$B$12,Paramètres!$A$1:$I$89,5,0)</f>
        <v>1.0995790944434703E-13</v>
      </c>
      <c r="CA171" s="13">
        <f t="shared" si="170"/>
        <v>1.6337280948049956E-12</v>
      </c>
      <c r="CB171" s="20">
        <f t="shared" si="171"/>
        <v>3.036919790734272E-12</v>
      </c>
      <c r="CC171" s="59">
        <f t="shared" si="119"/>
        <v>293.33333333333633</v>
      </c>
      <c r="CD171" s="59">
        <f ca="1">AVERAGE(OFFSET($CC$3,0,0,'Données projet'!$E$12+1,1))-AVERAGE(OFFSET($H$3,0,0,'Données projet'!$E$12+1,1))</f>
        <v>154.93882427988234</v>
      </c>
      <c r="CE171" s="59">
        <f t="shared" si="148"/>
        <v>56.347130462109817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>
        <f>EXP(-LN(2)/35)*CK170+(1-EXP(-LN(2)/35))/(LN(2)/35)*CG171*CH171*VLOOKUP('Données projet'!$B$12,Paramètres!$A$1:$I$89,3,0)*0.475*44/12</f>
        <v>0</v>
      </c>
      <c r="CL171" s="21">
        <f>EXP(-LN(2)/25)*CL170+(1-EXP(-LN(2)/25))/(LN(2)/25)*Calculateur!CG171*Calculateur!CI171*VLOOKUP('Données projet'!$B$12,Paramètres!$A$1:$I$89,3,0)*0.475*44/12</f>
        <v>0</v>
      </c>
      <c r="CM171" s="21">
        <f>EXP(-LN(2)/2)*CM170+(1-EXP(-LN(2)/2))/(LN(2)/2)*CG171*CJ171*VLOOKUP('Données projet'!$B$12,Paramètres!$A$1:$I$89,3,0)*0.475*44/12</f>
        <v>0</v>
      </c>
      <c r="CN171" s="22">
        <f t="shared" si="172"/>
        <v>0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150.27479999999994</v>
      </c>
      <c r="D172" s="11">
        <f t="shared" si="140"/>
        <v>38.641028252978323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1458.2976216019376</v>
      </c>
      <c r="H172" s="67">
        <f t="shared" si="110"/>
        <v>622.36173420727039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0</v>
      </c>
      <c r="O172" s="13">
        <f>N172*VLOOKUP('Données projet'!$B$9,Paramètres!$A$1:$I$89,3,0)*VLOOKUP('Données projet'!$B$9,Paramètres!$A$1:$I$89,5,0)</f>
        <v>0</v>
      </c>
      <c r="P172" s="13" t="e">
        <f t="shared" si="141"/>
        <v>#NUM!</v>
      </c>
      <c r="Q172" s="20" t="e">
        <f t="shared" si="162"/>
        <v>#NUM!</v>
      </c>
      <c r="R172" s="59" t="e">
        <f t="shared" si="109"/>
        <v>#NUM!</v>
      </c>
      <c r="S172" s="59">
        <f ca="1">AVERAGE(OFFSET($R$3,0,0,'Données projet'!$E$9+1,1))-AVERAGE(OFFSET($H$3,0,0,'Données projet'!$E$9+1,1))</f>
        <v>72.647148358003676</v>
      </c>
      <c r="T172" s="59">
        <f t="shared" si="142"/>
        <v>87.231299224620898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8.1120774505114124E-2</v>
      </c>
      <c r="AA172" s="21">
        <f>EXP(-LN(2)/25)*AA171+(1-EXP(-LN(2)/25))/(LN(2)/25)*Calculateur!V172*Calculateur!X172*VLOOKUP('Données projet'!$B$9,Paramètres!$A$1:$I$89,3,0)*0.475*44/12</f>
        <v>9.6046059099556991E-2</v>
      </c>
      <c r="AB172" s="21">
        <f>EXP(-LN(2)/2)*AB171+(1-EXP(-LN(2)/2))/(LN(2)/2)*V172*Y172*VLOOKUP('Données projet'!$B$9,Paramètres!$A$1:$I$89,3,0)*0.475*44/12</f>
        <v>2.7322523431380241E-21</v>
      </c>
      <c r="AC172" s="22">
        <f t="shared" si="163"/>
        <v>0.17716683360467111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-8.5265128291212022E-14</v>
      </c>
      <c r="AJ172" s="13">
        <f>AI172*VLOOKUP('Données projet'!$B$10,Paramètres!$A$1:$I$89,3,0)*VLOOKUP('Données projet'!$B$10,Paramètres!$A$1:$I$89,5,0)</f>
        <v>-6.9167072069831198E-14</v>
      </c>
      <c r="AK172" s="13" t="e">
        <f t="shared" si="164"/>
        <v>#NUM!</v>
      </c>
      <c r="AL172" s="20" t="e">
        <f t="shared" si="165"/>
        <v>#NUM!</v>
      </c>
      <c r="AM172" s="59" t="e">
        <f t="shared" si="113"/>
        <v>#NUM!</v>
      </c>
      <c r="AN172" s="59">
        <f ca="1">AVERAGE(OFFSET($AM$3,0,0,'Données projet'!$E$10+1,1))-AVERAGE(OFFSET($H$3,0,0,'Données projet'!$E$10+1,1))</f>
        <v>145.3656871223958</v>
      </c>
      <c r="AO172" s="59">
        <f t="shared" si="144"/>
        <v>180.54762778843178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0</v>
      </c>
      <c r="AV172" s="21">
        <f>EXP(-LN(2)/25)*AV171+(1-EXP(-LN(2)/25))/(LN(2)/25)*Calculateur!AQ172*Calculateur!AS172*VLOOKUP('Données projet'!$B$10,Paramètres!$A$1:$I$89,3,0)*0.475*44/12</f>
        <v>0.11787850597931553</v>
      </c>
      <c r="AW172" s="21">
        <f>EXP(-LN(2)/2)*AW171+(1-EXP(-LN(2)/2))/(LN(2)/2)*AQ172*AT172*VLOOKUP('Données projet'!$B$10,Paramètres!$A$1:$I$89,3,0)*0.475*44/12</f>
        <v>9.7773287547358747E-21</v>
      </c>
      <c r="AX172" s="21">
        <f t="shared" si="166"/>
        <v>0.11787850597931553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2.8421709430404007E-14</v>
      </c>
      <c r="BE172" s="13">
        <f>BD172*VLOOKUP('Données projet'!$B$11,Paramètres!$A$1:$I$89,3,0)*VLOOKUP('Données projet'!$B$11,Paramètres!$A$1:$I$89,5,0)</f>
        <v>2.5715962692629544E-14</v>
      </c>
      <c r="BF172" s="13">
        <f t="shared" si="167"/>
        <v>4.5248818890525812E-13</v>
      </c>
      <c r="BG172" s="20">
        <f t="shared" si="168"/>
        <v>8.3287223069965432E-13</v>
      </c>
      <c r="BH172" s="59">
        <f t="shared" si="116"/>
        <v>293.33333333333417</v>
      </c>
      <c r="BI172" s="59">
        <f ca="1">AVERAGE(OFFSET($BH$3,0,0,'Données projet'!$E$11+1,1))-AVERAGE(OFFSET($H$3,0,0,'Données projet'!$E$11+1,1))</f>
        <v>138.8931001150624</v>
      </c>
      <c r="BJ172" s="59">
        <f t="shared" si="146"/>
        <v>48.964659354096625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>
        <f>EXP(-LN(2)/35)*BP171+(1-EXP(-LN(2)/35))/(LN(2)/35)*BL172*BM172*VLOOKUP('Données projet'!$B$11,Paramètres!$A$1:$I$89,3,0)*0.475*44/12</f>
        <v>0</v>
      </c>
      <c r="BQ172" s="21">
        <f>EXP(-LN(2)/25)*BQ171+(1-EXP(-LN(2)/25))/(LN(2)/25)*Calculateur!BL172*Calculateur!BN172*VLOOKUP('Données projet'!$B$11,Paramètres!$A$1:$I$89,3,0)*0.475*44/12</f>
        <v>0</v>
      </c>
      <c r="BR172" s="21">
        <f>EXP(-LN(2)/2)*BR171+(1-EXP(-LN(2)/2))/(LN(2)/2)*BL172*BO172*VLOOKUP('Données projet'!$B$11,Paramètres!$A$1:$I$89,3,0)*0.475*44/12</f>
        <v>0</v>
      </c>
      <c r="BS172" s="22">
        <f t="shared" si="169"/>
        <v>0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1.1368683772161603E-13</v>
      </c>
      <c r="BZ172" s="13">
        <f>BY172*VLOOKUP('Données projet'!$B$12,Paramètres!$A$1:$I$89,3,0)*VLOOKUP('Données projet'!$B$12,Paramètres!$A$1:$I$89,5,0)</f>
        <v>1.0995790944434703E-13</v>
      </c>
      <c r="CA172" s="13">
        <f t="shared" si="170"/>
        <v>1.6337280948049956E-12</v>
      </c>
      <c r="CB172" s="20">
        <f t="shared" si="171"/>
        <v>3.036919790734272E-12</v>
      </c>
      <c r="CC172" s="59">
        <f t="shared" si="119"/>
        <v>293.33333333333633</v>
      </c>
      <c r="CD172" s="59">
        <f ca="1">AVERAGE(OFFSET($CC$3,0,0,'Données projet'!$E$12+1,1))-AVERAGE(OFFSET($H$3,0,0,'Données projet'!$E$12+1,1))</f>
        <v>154.93882427988234</v>
      </c>
      <c r="CE172" s="59">
        <f t="shared" si="148"/>
        <v>56.347130462109817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>
        <f>EXP(-LN(2)/35)*CK171+(1-EXP(-LN(2)/35))/(LN(2)/35)*CG172*CH172*VLOOKUP('Données projet'!$B$12,Paramètres!$A$1:$I$89,3,0)*0.475*44/12</f>
        <v>0</v>
      </c>
      <c r="CL172" s="21">
        <f>EXP(-LN(2)/25)*CL171+(1-EXP(-LN(2)/25))/(LN(2)/25)*Calculateur!CG172*Calculateur!CI172*VLOOKUP('Données projet'!$B$12,Paramètres!$A$1:$I$89,3,0)*0.475*44/12</f>
        <v>0</v>
      </c>
      <c r="CM172" s="21">
        <f>EXP(-LN(2)/2)*CM171+(1-EXP(-LN(2)/2))/(LN(2)/2)*CG172*CJ172*VLOOKUP('Données projet'!$B$12,Paramètres!$A$1:$I$89,3,0)*0.475*44/12</f>
        <v>0</v>
      </c>
      <c r="CN172" s="22">
        <f t="shared" si="172"/>
        <v>0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151.16399999999993</v>
      </c>
      <c r="D173" s="11">
        <f t="shared" si="140"/>
        <v>38.842989674159945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1466.7206220461464</v>
      </c>
      <c r="H173" s="67">
        <f t="shared" si="110"/>
        <v>624.26217368249513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0</v>
      </c>
      <c r="O173" s="13">
        <f>N173*VLOOKUP('Données projet'!$B$9,Paramètres!$A$1:$I$89,3,0)*VLOOKUP('Données projet'!$B$9,Paramètres!$A$1:$I$89,5,0)</f>
        <v>0</v>
      </c>
      <c r="P173" s="13" t="e">
        <f t="shared" si="141"/>
        <v>#NUM!</v>
      </c>
      <c r="Q173" s="20" t="e">
        <f t="shared" si="162"/>
        <v>#NUM!</v>
      </c>
      <c r="R173" s="59" t="e">
        <f t="shared" si="109"/>
        <v>#NUM!</v>
      </c>
      <c r="S173" s="59">
        <f ca="1">AVERAGE(OFFSET($R$3,0,0,'Données projet'!$E$9+1,1))-AVERAGE(OFFSET($H$3,0,0,'Données projet'!$E$9+1,1))</f>
        <v>72.647148358003676</v>
      </c>
      <c r="T173" s="59">
        <f t="shared" si="142"/>
        <v>87.231299224620898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7.9530045595855664E-2</v>
      </c>
      <c r="AA173" s="21">
        <f>EXP(-LN(2)/25)*AA172+(1-EXP(-LN(2)/25))/(LN(2)/25)*Calculateur!V173*Calculateur!X173*VLOOKUP('Données projet'!$B$9,Paramètres!$A$1:$I$89,3,0)*0.475*44/12</f>
        <v>9.3419674562636876E-2</v>
      </c>
      <c r="AB173" s="21">
        <f>EXP(-LN(2)/2)*AB172+(1-EXP(-LN(2)/2))/(LN(2)/2)*V173*Y173*VLOOKUP('Données projet'!$B$9,Paramètres!$A$1:$I$89,3,0)*0.475*44/12</f>
        <v>1.9319941597457305E-21</v>
      </c>
      <c r="AC173" s="22">
        <f t="shared" si="163"/>
        <v>0.17294972015849253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-8.5265128291212022E-14</v>
      </c>
      <c r="AJ173" s="13">
        <f>AI173*VLOOKUP('Données projet'!$B$10,Paramètres!$A$1:$I$89,3,0)*VLOOKUP('Données projet'!$B$10,Paramètres!$A$1:$I$89,5,0)</f>
        <v>-6.9167072069831198E-14</v>
      </c>
      <c r="AK173" s="13" t="e">
        <f t="shared" si="164"/>
        <v>#NUM!</v>
      </c>
      <c r="AL173" s="20" t="e">
        <f t="shared" si="165"/>
        <v>#NUM!</v>
      </c>
      <c r="AM173" s="59" t="e">
        <f t="shared" si="113"/>
        <v>#NUM!</v>
      </c>
      <c r="AN173" s="59">
        <f ca="1">AVERAGE(OFFSET($AM$3,0,0,'Données projet'!$E$10+1,1))-AVERAGE(OFFSET($H$3,0,0,'Données projet'!$E$10+1,1))</f>
        <v>145.3656871223958</v>
      </c>
      <c r="AO173" s="59">
        <f t="shared" si="144"/>
        <v>180.54762778843178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0</v>
      </c>
      <c r="AV173" s="21">
        <f>EXP(-LN(2)/25)*AV172+(1-EXP(-LN(2)/25))/(LN(2)/25)*Calculateur!AQ173*Calculateur!AS173*VLOOKUP('Données projet'!$B$10,Paramètres!$A$1:$I$89,3,0)*0.475*44/12</f>
        <v>0.11465511203434993</v>
      </c>
      <c r="AW173" s="21">
        <f>EXP(-LN(2)/2)*AW172+(1-EXP(-LN(2)/2))/(LN(2)/2)*AQ173*AT173*VLOOKUP('Données projet'!$B$10,Paramètres!$A$1:$I$89,3,0)*0.475*44/12</f>
        <v>6.9136154643639592E-21</v>
      </c>
      <c r="AX173" s="21">
        <f t="shared" si="166"/>
        <v>0.11465511203434993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2.8421709430404007E-14</v>
      </c>
      <c r="BE173" s="13">
        <f>BD173*VLOOKUP('Données projet'!$B$11,Paramètres!$A$1:$I$89,3,0)*VLOOKUP('Données projet'!$B$11,Paramètres!$A$1:$I$89,5,0)</f>
        <v>2.5715962692629544E-14</v>
      </c>
      <c r="BF173" s="13">
        <f t="shared" si="167"/>
        <v>4.5248818890525812E-13</v>
      </c>
      <c r="BG173" s="20">
        <f t="shared" si="168"/>
        <v>8.3287223069965432E-13</v>
      </c>
      <c r="BH173" s="59">
        <f t="shared" si="116"/>
        <v>293.33333333333417</v>
      </c>
      <c r="BI173" s="59">
        <f ca="1">AVERAGE(OFFSET($BH$3,0,0,'Données projet'!$E$11+1,1))-AVERAGE(OFFSET($H$3,0,0,'Données projet'!$E$11+1,1))</f>
        <v>138.8931001150624</v>
      </c>
      <c r="BJ173" s="59">
        <f t="shared" si="146"/>
        <v>48.964659354096625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>
        <f>EXP(-LN(2)/35)*BP172+(1-EXP(-LN(2)/35))/(LN(2)/35)*BL173*BM173*VLOOKUP('Données projet'!$B$11,Paramètres!$A$1:$I$89,3,0)*0.475*44/12</f>
        <v>0</v>
      </c>
      <c r="BQ173" s="21">
        <f>EXP(-LN(2)/25)*BQ172+(1-EXP(-LN(2)/25))/(LN(2)/25)*Calculateur!BL173*Calculateur!BN173*VLOOKUP('Données projet'!$B$11,Paramètres!$A$1:$I$89,3,0)*0.475*44/12</f>
        <v>0</v>
      </c>
      <c r="BR173" s="21">
        <f>EXP(-LN(2)/2)*BR172+(1-EXP(-LN(2)/2))/(LN(2)/2)*BL173*BO173*VLOOKUP('Données projet'!$B$11,Paramètres!$A$1:$I$89,3,0)*0.475*44/12</f>
        <v>0</v>
      </c>
      <c r="BS173" s="22">
        <f t="shared" si="169"/>
        <v>0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1.1368683772161603E-13</v>
      </c>
      <c r="BZ173" s="13">
        <f>BY173*VLOOKUP('Données projet'!$B$12,Paramètres!$A$1:$I$89,3,0)*VLOOKUP('Données projet'!$B$12,Paramètres!$A$1:$I$89,5,0)</f>
        <v>1.0995790944434703E-13</v>
      </c>
      <c r="CA173" s="13">
        <f t="shared" si="170"/>
        <v>1.6337280948049956E-12</v>
      </c>
      <c r="CB173" s="20">
        <f t="shared" si="171"/>
        <v>3.036919790734272E-12</v>
      </c>
      <c r="CC173" s="59">
        <f t="shared" si="119"/>
        <v>293.33333333333633</v>
      </c>
      <c r="CD173" s="59">
        <f ca="1">AVERAGE(OFFSET($CC$3,0,0,'Données projet'!$E$12+1,1))-AVERAGE(OFFSET($H$3,0,0,'Données projet'!$E$12+1,1))</f>
        <v>154.93882427988234</v>
      </c>
      <c r="CE173" s="59">
        <f t="shared" si="148"/>
        <v>56.347130462109817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>
        <f>EXP(-LN(2)/35)*CK172+(1-EXP(-LN(2)/35))/(LN(2)/35)*CG173*CH173*VLOOKUP('Données projet'!$B$12,Paramètres!$A$1:$I$89,3,0)*0.475*44/12</f>
        <v>0</v>
      </c>
      <c r="CL173" s="21">
        <f>EXP(-LN(2)/25)*CL172+(1-EXP(-LN(2)/25))/(LN(2)/25)*Calculateur!CG173*Calculateur!CI173*VLOOKUP('Données projet'!$B$12,Paramètres!$A$1:$I$89,3,0)*0.475*44/12</f>
        <v>0</v>
      </c>
      <c r="CM173" s="21">
        <f>EXP(-LN(2)/2)*CM172+(1-EXP(-LN(2)/2))/(LN(2)/2)*CG173*CJ173*VLOOKUP('Données projet'!$B$12,Paramètres!$A$1:$I$89,3,0)*0.475*44/12</f>
        <v>0</v>
      </c>
      <c r="CN173" s="22">
        <f t="shared" si="172"/>
        <v>0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152.05319999999992</v>
      </c>
      <c r="D174" s="11">
        <f t="shared" si="140"/>
        <v>39.044812857656339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1475.1425553924346</v>
      </c>
      <c r="H174" s="67">
        <f t="shared" si="110"/>
        <v>626.1623723937513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0</v>
      </c>
      <c r="O174" s="13">
        <f>N174*VLOOKUP('Données projet'!$B$9,Paramètres!$A$1:$I$89,3,0)*VLOOKUP('Données projet'!$B$9,Paramètres!$A$1:$I$89,5,0)</f>
        <v>0</v>
      </c>
      <c r="P174" s="13" t="e">
        <f t="shared" si="141"/>
        <v>#NUM!</v>
      </c>
      <c r="Q174" s="20" t="e">
        <f t="shared" si="162"/>
        <v>#NUM!</v>
      </c>
      <c r="R174" s="59" t="e">
        <f t="shared" si="109"/>
        <v>#NUM!</v>
      </c>
      <c r="S174" s="59">
        <f ca="1">AVERAGE(OFFSET($R$3,0,0,'Données projet'!$E$9+1,1))-AVERAGE(OFFSET($H$3,0,0,'Données projet'!$E$9+1,1))</f>
        <v>72.647148358003676</v>
      </c>
      <c r="T174" s="59">
        <f t="shared" si="142"/>
        <v>87.231299224620898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7.7970509910258931E-2</v>
      </c>
      <c r="AA174" s="21">
        <f>EXP(-LN(2)/25)*AA173+(1-EXP(-LN(2)/25))/(LN(2)/25)*Calculateur!V174*Calculateur!X174*VLOOKUP('Données projet'!$B$9,Paramètres!$A$1:$I$89,3,0)*0.475*44/12</f>
        <v>9.08651086489944E-2</v>
      </c>
      <c r="AB174" s="21">
        <f>EXP(-LN(2)/2)*AB173+(1-EXP(-LN(2)/2))/(LN(2)/2)*V174*Y174*VLOOKUP('Données projet'!$B$9,Paramètres!$A$1:$I$89,3,0)*0.475*44/12</f>
        <v>1.366126171569012E-21</v>
      </c>
      <c r="AC174" s="22">
        <f t="shared" si="163"/>
        <v>0.16883561855925333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-8.5265128291212022E-14</v>
      </c>
      <c r="AJ174" s="13">
        <f>AI174*VLOOKUP('Données projet'!$B$10,Paramètres!$A$1:$I$89,3,0)*VLOOKUP('Données projet'!$B$10,Paramètres!$A$1:$I$89,5,0)</f>
        <v>-6.9167072069831198E-14</v>
      </c>
      <c r="AK174" s="13" t="e">
        <f t="shared" si="164"/>
        <v>#NUM!</v>
      </c>
      <c r="AL174" s="20" t="e">
        <f t="shared" si="165"/>
        <v>#NUM!</v>
      </c>
      <c r="AM174" s="59" t="e">
        <f t="shared" si="113"/>
        <v>#NUM!</v>
      </c>
      <c r="AN174" s="59">
        <f ca="1">AVERAGE(OFFSET($AM$3,0,0,'Données projet'!$E$10+1,1))-AVERAGE(OFFSET($H$3,0,0,'Données projet'!$E$10+1,1))</f>
        <v>145.3656871223958</v>
      </c>
      <c r="AO174" s="59">
        <f t="shared" si="144"/>
        <v>180.54762778843178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0</v>
      </c>
      <c r="AV174" s="21">
        <f>EXP(-LN(2)/25)*AV173+(1-EXP(-LN(2)/25))/(LN(2)/25)*Calculateur!AQ174*Calculateur!AS174*VLOOKUP('Données projet'!$B$10,Paramètres!$A$1:$I$89,3,0)*0.475*44/12</f>
        <v>0.11151986196632034</v>
      </c>
      <c r="AW174" s="21">
        <f>EXP(-LN(2)/2)*AW173+(1-EXP(-LN(2)/2))/(LN(2)/2)*AQ174*AT174*VLOOKUP('Données projet'!$B$10,Paramètres!$A$1:$I$89,3,0)*0.475*44/12</f>
        <v>4.8886643773679373E-21</v>
      </c>
      <c r="AX174" s="21">
        <f t="shared" si="166"/>
        <v>0.11151986196632034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2.8421709430404007E-14</v>
      </c>
      <c r="BE174" s="13">
        <f>BD174*VLOOKUP('Données projet'!$B$11,Paramètres!$A$1:$I$89,3,0)*VLOOKUP('Données projet'!$B$11,Paramètres!$A$1:$I$89,5,0)</f>
        <v>2.5715962692629544E-14</v>
      </c>
      <c r="BF174" s="13">
        <f t="shared" si="167"/>
        <v>4.5248818890525812E-13</v>
      </c>
      <c r="BG174" s="20">
        <f t="shared" si="168"/>
        <v>8.3287223069965432E-13</v>
      </c>
      <c r="BH174" s="59">
        <f t="shared" si="116"/>
        <v>293.33333333333417</v>
      </c>
      <c r="BI174" s="59">
        <f ca="1">AVERAGE(OFFSET($BH$3,0,0,'Données projet'!$E$11+1,1))-AVERAGE(OFFSET($H$3,0,0,'Données projet'!$E$11+1,1))</f>
        <v>138.8931001150624</v>
      </c>
      <c r="BJ174" s="59">
        <f t="shared" si="146"/>
        <v>48.964659354096625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>
        <f>EXP(-LN(2)/35)*BP173+(1-EXP(-LN(2)/35))/(LN(2)/35)*BL174*BM174*VLOOKUP('Données projet'!$B$11,Paramètres!$A$1:$I$89,3,0)*0.475*44/12</f>
        <v>0</v>
      </c>
      <c r="BQ174" s="21">
        <f>EXP(-LN(2)/25)*BQ173+(1-EXP(-LN(2)/25))/(LN(2)/25)*Calculateur!BL174*Calculateur!BN174*VLOOKUP('Données projet'!$B$11,Paramètres!$A$1:$I$89,3,0)*0.475*44/12</f>
        <v>0</v>
      </c>
      <c r="BR174" s="21">
        <f>EXP(-LN(2)/2)*BR173+(1-EXP(-LN(2)/2))/(LN(2)/2)*BL174*BO174*VLOOKUP('Données projet'!$B$11,Paramètres!$A$1:$I$89,3,0)*0.475*44/12</f>
        <v>0</v>
      </c>
      <c r="BS174" s="22">
        <f t="shared" si="169"/>
        <v>0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1.1368683772161603E-13</v>
      </c>
      <c r="BZ174" s="13">
        <f>BY174*VLOOKUP('Données projet'!$B$12,Paramètres!$A$1:$I$89,3,0)*VLOOKUP('Données projet'!$B$12,Paramètres!$A$1:$I$89,5,0)</f>
        <v>1.0995790944434703E-13</v>
      </c>
      <c r="CA174" s="13">
        <f t="shared" si="170"/>
        <v>1.6337280948049956E-12</v>
      </c>
      <c r="CB174" s="20">
        <f t="shared" si="171"/>
        <v>3.036919790734272E-12</v>
      </c>
      <c r="CC174" s="59">
        <f t="shared" si="119"/>
        <v>293.33333333333633</v>
      </c>
      <c r="CD174" s="59">
        <f ca="1">AVERAGE(OFFSET($CC$3,0,0,'Données projet'!$E$12+1,1))-AVERAGE(OFFSET($H$3,0,0,'Données projet'!$E$12+1,1))</f>
        <v>154.93882427988234</v>
      </c>
      <c r="CE174" s="59">
        <f t="shared" si="148"/>
        <v>56.347130462109817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>
        <f>EXP(-LN(2)/35)*CK173+(1-EXP(-LN(2)/35))/(LN(2)/35)*CG174*CH174*VLOOKUP('Données projet'!$B$12,Paramètres!$A$1:$I$89,3,0)*0.475*44/12</f>
        <v>0</v>
      </c>
      <c r="CL174" s="21">
        <f>EXP(-LN(2)/25)*CL173+(1-EXP(-LN(2)/25))/(LN(2)/25)*Calculateur!CG174*Calculateur!CI174*VLOOKUP('Données projet'!$B$12,Paramètres!$A$1:$I$89,3,0)*0.475*44/12</f>
        <v>0</v>
      </c>
      <c r="CM174" s="21">
        <f>EXP(-LN(2)/2)*CM173+(1-EXP(-LN(2)/2))/(LN(2)/2)*CG174*CJ174*VLOOKUP('Données projet'!$B$12,Paramètres!$A$1:$I$89,3,0)*0.475*44/12</f>
        <v>0</v>
      </c>
      <c r="CN174" s="22">
        <f t="shared" si="172"/>
        <v>0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152.94239999999991</v>
      </c>
      <c r="D175" s="11">
        <f t="shared" si="140"/>
        <v>39.246498705676842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1483.5634286052243</v>
      </c>
      <c r="H175" s="67">
        <f t="shared" si="110"/>
        <v>628.06233191238698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0</v>
      </c>
      <c r="O175" s="13">
        <f>N175*VLOOKUP('Données projet'!$B$9,Paramètres!$A$1:$I$89,3,0)*VLOOKUP('Données projet'!$B$9,Paramètres!$A$1:$I$89,5,0)</f>
        <v>0</v>
      </c>
      <c r="P175" s="13" t="e">
        <f t="shared" si="141"/>
        <v>#NUM!</v>
      </c>
      <c r="Q175" s="20" t="e">
        <f t="shared" si="162"/>
        <v>#NUM!</v>
      </c>
      <c r="R175" s="59" t="e">
        <f t="shared" si="109"/>
        <v>#NUM!</v>
      </c>
      <c r="S175" s="59">
        <f ca="1">AVERAGE(OFFSET($R$3,0,0,'Données projet'!$E$9+1,1))-AVERAGE(OFFSET($H$3,0,0,'Données projet'!$E$9+1,1))</f>
        <v>72.647148358003676</v>
      </c>
      <c r="T175" s="59">
        <f t="shared" si="142"/>
        <v>87.231299224620898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7.6441555768233901E-2</v>
      </c>
      <c r="AA175" s="21">
        <f>EXP(-LN(2)/25)*AA174+(1-EXP(-LN(2)/25))/(LN(2)/25)*Calculateur!V175*Calculateur!X175*VLOOKUP('Données projet'!$B$9,Paramètres!$A$1:$I$89,3,0)*0.475*44/12</f>
        <v>8.8380397474599262E-2</v>
      </c>
      <c r="AB175" s="21">
        <f>EXP(-LN(2)/2)*AB174+(1-EXP(-LN(2)/2))/(LN(2)/2)*V175*Y175*VLOOKUP('Données projet'!$B$9,Paramètres!$A$1:$I$89,3,0)*0.475*44/12</f>
        <v>9.6599707987286527E-22</v>
      </c>
      <c r="AC175" s="22">
        <f t="shared" si="163"/>
        <v>0.16482195324283316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-8.5265128291212022E-14</v>
      </c>
      <c r="AJ175" s="13">
        <f>AI175*VLOOKUP('Données projet'!$B$10,Paramètres!$A$1:$I$89,3,0)*VLOOKUP('Données projet'!$B$10,Paramètres!$A$1:$I$89,5,0)</f>
        <v>-6.9167072069831198E-14</v>
      </c>
      <c r="AK175" s="13" t="e">
        <f t="shared" si="164"/>
        <v>#NUM!</v>
      </c>
      <c r="AL175" s="20" t="e">
        <f t="shared" si="165"/>
        <v>#NUM!</v>
      </c>
      <c r="AM175" s="59" t="e">
        <f t="shared" si="113"/>
        <v>#NUM!</v>
      </c>
      <c r="AN175" s="59">
        <f ca="1">AVERAGE(OFFSET($AM$3,0,0,'Données projet'!$E$10+1,1))-AVERAGE(OFFSET($H$3,0,0,'Données projet'!$E$10+1,1))</f>
        <v>145.3656871223958</v>
      </c>
      <c r="AO175" s="59">
        <f t="shared" si="144"/>
        <v>180.54762778843178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0</v>
      </c>
      <c r="AV175" s="21">
        <f>EXP(-LN(2)/25)*AV174+(1-EXP(-LN(2)/25))/(LN(2)/25)*Calculateur!AQ175*Calculateur!AS175*VLOOKUP('Données projet'!$B$10,Paramètres!$A$1:$I$89,3,0)*0.475*44/12</f>
        <v>0.10847034547627665</v>
      </c>
      <c r="AW175" s="21">
        <f>EXP(-LN(2)/2)*AW174+(1-EXP(-LN(2)/2))/(LN(2)/2)*AQ175*AT175*VLOOKUP('Données projet'!$B$10,Paramètres!$A$1:$I$89,3,0)*0.475*44/12</f>
        <v>3.4568077321819796E-21</v>
      </c>
      <c r="AX175" s="21">
        <f t="shared" si="166"/>
        <v>0.10847034547627665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2.8421709430404007E-14</v>
      </c>
      <c r="BE175" s="13">
        <f>BD175*VLOOKUP('Données projet'!$B$11,Paramètres!$A$1:$I$89,3,0)*VLOOKUP('Données projet'!$B$11,Paramètres!$A$1:$I$89,5,0)</f>
        <v>2.5715962692629544E-14</v>
      </c>
      <c r="BF175" s="13">
        <f t="shared" si="167"/>
        <v>4.5248818890525812E-13</v>
      </c>
      <c r="BG175" s="20">
        <f t="shared" si="168"/>
        <v>8.3287223069965432E-13</v>
      </c>
      <c r="BH175" s="59">
        <f t="shared" si="116"/>
        <v>293.33333333333417</v>
      </c>
      <c r="BI175" s="59">
        <f ca="1">AVERAGE(OFFSET($BH$3,0,0,'Données projet'!$E$11+1,1))-AVERAGE(OFFSET($H$3,0,0,'Données projet'!$E$11+1,1))</f>
        <v>138.8931001150624</v>
      </c>
      <c r="BJ175" s="59">
        <f t="shared" si="146"/>
        <v>48.964659354096625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>
        <f>EXP(-LN(2)/35)*BP174+(1-EXP(-LN(2)/35))/(LN(2)/35)*BL175*BM175*VLOOKUP('Données projet'!$B$11,Paramètres!$A$1:$I$89,3,0)*0.475*44/12</f>
        <v>0</v>
      </c>
      <c r="BQ175" s="21">
        <f>EXP(-LN(2)/25)*BQ174+(1-EXP(-LN(2)/25))/(LN(2)/25)*Calculateur!BL175*Calculateur!BN175*VLOOKUP('Données projet'!$B$11,Paramètres!$A$1:$I$89,3,0)*0.475*44/12</f>
        <v>0</v>
      </c>
      <c r="BR175" s="21">
        <f>EXP(-LN(2)/2)*BR174+(1-EXP(-LN(2)/2))/(LN(2)/2)*BL175*BO175*VLOOKUP('Données projet'!$B$11,Paramètres!$A$1:$I$89,3,0)*0.475*44/12</f>
        <v>0</v>
      </c>
      <c r="BS175" s="22">
        <f t="shared" si="169"/>
        <v>0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1.1368683772161603E-13</v>
      </c>
      <c r="BZ175" s="13">
        <f>BY175*VLOOKUP('Données projet'!$B$12,Paramètres!$A$1:$I$89,3,0)*VLOOKUP('Données projet'!$B$12,Paramètres!$A$1:$I$89,5,0)</f>
        <v>1.0995790944434703E-13</v>
      </c>
      <c r="CA175" s="13">
        <f t="shared" si="170"/>
        <v>1.6337280948049956E-12</v>
      </c>
      <c r="CB175" s="20">
        <f t="shared" si="171"/>
        <v>3.036919790734272E-12</v>
      </c>
      <c r="CC175" s="59">
        <f t="shared" si="119"/>
        <v>293.33333333333633</v>
      </c>
      <c r="CD175" s="59">
        <f ca="1">AVERAGE(OFFSET($CC$3,0,0,'Données projet'!$E$12+1,1))-AVERAGE(OFFSET($H$3,0,0,'Données projet'!$E$12+1,1))</f>
        <v>154.93882427988234</v>
      </c>
      <c r="CE175" s="59">
        <f t="shared" si="148"/>
        <v>56.347130462109817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>
        <f>EXP(-LN(2)/35)*CK174+(1-EXP(-LN(2)/35))/(LN(2)/35)*CG175*CH175*VLOOKUP('Données projet'!$B$12,Paramètres!$A$1:$I$89,3,0)*0.475*44/12</f>
        <v>0</v>
      </c>
      <c r="CL175" s="21">
        <f>EXP(-LN(2)/25)*CL174+(1-EXP(-LN(2)/25))/(LN(2)/25)*Calculateur!CG175*Calculateur!CI175*VLOOKUP('Données projet'!$B$12,Paramètres!$A$1:$I$89,3,0)*0.475*44/12</f>
        <v>0</v>
      </c>
      <c r="CM175" s="21">
        <f>EXP(-LN(2)/2)*CM174+(1-EXP(-LN(2)/2))/(LN(2)/2)*CG175*CJ175*VLOOKUP('Données projet'!$B$12,Paramètres!$A$1:$I$89,3,0)*0.475*44/12</f>
        <v>0</v>
      </c>
      <c r="CN175" s="22">
        <f t="shared" si="172"/>
        <v>0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153.8315999999999</v>
      </c>
      <c r="D176" s="11">
        <f t="shared" si="140"/>
        <v>39.448048109333072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1491.9832485632724</v>
      </c>
      <c r="H176" s="67">
        <f t="shared" si="110"/>
        <v>629.96205379042158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0</v>
      </c>
      <c r="O176" s="13">
        <f>N176*VLOOKUP('Données projet'!$B$9,Paramètres!$A$1:$I$89,3,0)*VLOOKUP('Données projet'!$B$9,Paramètres!$A$1:$I$89,5,0)</f>
        <v>0</v>
      </c>
      <c r="P176" s="13" t="e">
        <f t="shared" si="141"/>
        <v>#NUM!</v>
      </c>
      <c r="Q176" s="20" t="e">
        <f t="shared" si="162"/>
        <v>#NUM!</v>
      </c>
      <c r="R176" s="59" t="e">
        <f t="shared" si="109"/>
        <v>#NUM!</v>
      </c>
      <c r="S176" s="59">
        <f ca="1">AVERAGE(OFFSET($R$3,0,0,'Données projet'!$E$9+1,1))-AVERAGE(OFFSET($H$3,0,0,'Données projet'!$E$9+1,1))</f>
        <v>72.647148358003676</v>
      </c>
      <c r="T176" s="59">
        <f t="shared" si="142"/>
        <v>87.231299224620898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7.4942583484364042E-2</v>
      </c>
      <c r="AA176" s="21">
        <f>EXP(-LN(2)/25)*AA175+(1-EXP(-LN(2)/25))/(LN(2)/25)*Calculateur!V176*Calculateur!X176*VLOOKUP('Données projet'!$B$9,Paramètres!$A$1:$I$89,3,0)*0.475*44/12</f>
        <v>8.5963630857933238E-2</v>
      </c>
      <c r="AB176" s="21">
        <f>EXP(-LN(2)/2)*AB175+(1-EXP(-LN(2)/2))/(LN(2)/2)*V176*Y176*VLOOKUP('Données projet'!$B$9,Paramètres!$A$1:$I$89,3,0)*0.475*44/12</f>
        <v>6.8306308578450602E-22</v>
      </c>
      <c r="AC176" s="22">
        <f t="shared" si="163"/>
        <v>0.16090621434229729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-8.5265128291212022E-14</v>
      </c>
      <c r="AJ176" s="13">
        <f>AI176*VLOOKUP('Données projet'!$B$10,Paramètres!$A$1:$I$89,3,0)*VLOOKUP('Données projet'!$B$10,Paramètres!$A$1:$I$89,5,0)</f>
        <v>-6.9167072069831198E-14</v>
      </c>
      <c r="AK176" s="13" t="e">
        <f t="shared" si="164"/>
        <v>#NUM!</v>
      </c>
      <c r="AL176" s="20" t="e">
        <f t="shared" si="165"/>
        <v>#NUM!</v>
      </c>
      <c r="AM176" s="59" t="e">
        <f t="shared" si="113"/>
        <v>#NUM!</v>
      </c>
      <c r="AN176" s="59">
        <f ca="1">AVERAGE(OFFSET($AM$3,0,0,'Données projet'!$E$10+1,1))-AVERAGE(OFFSET($H$3,0,0,'Données projet'!$E$10+1,1))</f>
        <v>145.3656871223958</v>
      </c>
      <c r="AO176" s="59">
        <f t="shared" si="144"/>
        <v>180.54762778843178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0</v>
      </c>
      <c r="AV176" s="21">
        <f>EXP(-LN(2)/25)*AV175+(1-EXP(-LN(2)/25))/(LN(2)/25)*Calculateur!AQ176*Calculateur!AS176*VLOOKUP('Données projet'!$B$10,Paramètres!$A$1:$I$89,3,0)*0.475*44/12</f>
        <v>0.10550421817502031</v>
      </c>
      <c r="AW176" s="21">
        <f>EXP(-LN(2)/2)*AW175+(1-EXP(-LN(2)/2))/(LN(2)/2)*AQ176*AT176*VLOOKUP('Données projet'!$B$10,Paramètres!$A$1:$I$89,3,0)*0.475*44/12</f>
        <v>2.4443321886839687E-21</v>
      </c>
      <c r="AX176" s="21">
        <f t="shared" si="166"/>
        <v>0.10550421817502031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2.8421709430404007E-14</v>
      </c>
      <c r="BE176" s="13">
        <f>BD176*VLOOKUP('Données projet'!$B$11,Paramètres!$A$1:$I$89,3,0)*VLOOKUP('Données projet'!$B$11,Paramètres!$A$1:$I$89,5,0)</f>
        <v>2.5715962692629544E-14</v>
      </c>
      <c r="BF176" s="13">
        <f t="shared" si="167"/>
        <v>4.5248818890525812E-13</v>
      </c>
      <c r="BG176" s="20">
        <f t="shared" si="168"/>
        <v>8.3287223069965432E-13</v>
      </c>
      <c r="BH176" s="59">
        <f t="shared" si="116"/>
        <v>293.33333333333417</v>
      </c>
      <c r="BI176" s="59">
        <f ca="1">AVERAGE(OFFSET($BH$3,0,0,'Données projet'!$E$11+1,1))-AVERAGE(OFFSET($H$3,0,0,'Données projet'!$E$11+1,1))</f>
        <v>138.8931001150624</v>
      </c>
      <c r="BJ176" s="59">
        <f t="shared" si="146"/>
        <v>48.964659354096625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>
        <f>EXP(-LN(2)/35)*BP175+(1-EXP(-LN(2)/35))/(LN(2)/35)*BL176*BM176*VLOOKUP('Données projet'!$B$11,Paramètres!$A$1:$I$89,3,0)*0.475*44/12</f>
        <v>0</v>
      </c>
      <c r="BQ176" s="21">
        <f>EXP(-LN(2)/25)*BQ175+(1-EXP(-LN(2)/25))/(LN(2)/25)*Calculateur!BL176*Calculateur!BN176*VLOOKUP('Données projet'!$B$11,Paramètres!$A$1:$I$89,3,0)*0.475*44/12</f>
        <v>0</v>
      </c>
      <c r="BR176" s="21">
        <f>EXP(-LN(2)/2)*BR175+(1-EXP(-LN(2)/2))/(LN(2)/2)*BL176*BO176*VLOOKUP('Données projet'!$B$11,Paramètres!$A$1:$I$89,3,0)*0.475*44/12</f>
        <v>0</v>
      </c>
      <c r="BS176" s="22">
        <f t="shared" si="169"/>
        <v>0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1.1368683772161603E-13</v>
      </c>
      <c r="BZ176" s="13">
        <f>BY176*VLOOKUP('Données projet'!$B$12,Paramètres!$A$1:$I$89,3,0)*VLOOKUP('Données projet'!$B$12,Paramètres!$A$1:$I$89,5,0)</f>
        <v>1.0995790944434703E-13</v>
      </c>
      <c r="CA176" s="13">
        <f t="shared" si="170"/>
        <v>1.6337280948049956E-12</v>
      </c>
      <c r="CB176" s="20">
        <f t="shared" si="171"/>
        <v>3.036919790734272E-12</v>
      </c>
      <c r="CC176" s="59">
        <f t="shared" si="119"/>
        <v>293.33333333333633</v>
      </c>
      <c r="CD176" s="59">
        <f ca="1">AVERAGE(OFFSET($CC$3,0,0,'Données projet'!$E$12+1,1))-AVERAGE(OFFSET($H$3,0,0,'Données projet'!$E$12+1,1))</f>
        <v>154.93882427988234</v>
      </c>
      <c r="CE176" s="59">
        <f t="shared" si="148"/>
        <v>56.347130462109817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>
        <f>EXP(-LN(2)/35)*CK175+(1-EXP(-LN(2)/35))/(LN(2)/35)*CG176*CH176*VLOOKUP('Données projet'!$B$12,Paramètres!$A$1:$I$89,3,0)*0.475*44/12</f>
        <v>0</v>
      </c>
      <c r="CL176" s="21">
        <f>EXP(-LN(2)/25)*CL175+(1-EXP(-LN(2)/25))/(LN(2)/25)*Calculateur!CG176*Calculateur!CI176*VLOOKUP('Données projet'!$B$12,Paramètres!$A$1:$I$89,3,0)*0.475*44/12</f>
        <v>0</v>
      </c>
      <c r="CM176" s="21">
        <f>EXP(-LN(2)/2)*CM175+(1-EXP(-LN(2)/2))/(LN(2)/2)*CG176*CJ176*VLOOKUP('Données projet'!$B$12,Paramètres!$A$1:$I$89,3,0)*0.475*44/12</f>
        <v>0</v>
      </c>
      <c r="CN176" s="22">
        <f t="shared" si="172"/>
        <v>0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154.72079999999988</v>
      </c>
      <c r="D177" s="11">
        <f t="shared" si="140"/>
        <v>39.649461948838557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1500.4020220612092</v>
      </c>
      <c r="H177" s="67">
        <f t="shared" si="110"/>
        <v>631.86153956089356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0</v>
      </c>
      <c r="O177" s="13">
        <f>N177*VLOOKUP('Données projet'!$B$9,Paramètres!$A$1:$I$89,3,0)*VLOOKUP('Données projet'!$B$9,Paramètres!$A$1:$I$89,5,0)</f>
        <v>0</v>
      </c>
      <c r="P177" s="13" t="e">
        <f t="shared" si="141"/>
        <v>#NUM!</v>
      </c>
      <c r="Q177" s="20" t="e">
        <f t="shared" si="162"/>
        <v>#NUM!</v>
      </c>
      <c r="R177" s="59" t="e">
        <f t="shared" si="109"/>
        <v>#NUM!</v>
      </c>
      <c r="S177" s="59">
        <f ca="1">AVERAGE(OFFSET($R$3,0,0,'Données projet'!$E$9+1,1))-AVERAGE(OFFSET($H$3,0,0,'Données projet'!$E$9+1,1))</f>
        <v>72.647148358003676</v>
      </c>
      <c r="T177" s="59">
        <f t="shared" si="142"/>
        <v>87.231299224620898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7.3473005132698055E-2</v>
      </c>
      <c r="AA177" s="21">
        <f>EXP(-LN(2)/25)*AA176+(1-EXP(-LN(2)/25))/(LN(2)/25)*Calculateur!V177*Calculateur!X177*VLOOKUP('Données projet'!$B$9,Paramètres!$A$1:$I$89,3,0)*0.475*44/12</f>
        <v>8.3612950851492174E-2</v>
      </c>
      <c r="AB177" s="21">
        <f>EXP(-LN(2)/2)*AB176+(1-EXP(-LN(2)/2))/(LN(2)/2)*V177*Y177*VLOOKUP('Données projet'!$B$9,Paramètres!$A$1:$I$89,3,0)*0.475*44/12</f>
        <v>4.8299853993643264E-22</v>
      </c>
      <c r="AC177" s="22">
        <f t="shared" si="163"/>
        <v>0.15708595598419023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-8.5265128291212022E-14</v>
      </c>
      <c r="AJ177" s="13">
        <f>AI177*VLOOKUP('Données projet'!$B$10,Paramètres!$A$1:$I$89,3,0)*VLOOKUP('Données projet'!$B$10,Paramètres!$A$1:$I$89,5,0)</f>
        <v>-6.9167072069831198E-14</v>
      </c>
      <c r="AK177" s="13" t="e">
        <f t="shared" si="164"/>
        <v>#NUM!</v>
      </c>
      <c r="AL177" s="20" t="e">
        <f t="shared" si="165"/>
        <v>#NUM!</v>
      </c>
      <c r="AM177" s="59" t="e">
        <f t="shared" si="113"/>
        <v>#NUM!</v>
      </c>
      <c r="AN177" s="59">
        <f ca="1">AVERAGE(OFFSET($AM$3,0,0,'Données projet'!$E$10+1,1))-AVERAGE(OFFSET($H$3,0,0,'Données projet'!$E$10+1,1))</f>
        <v>145.3656871223958</v>
      </c>
      <c r="AO177" s="59">
        <f t="shared" si="144"/>
        <v>180.54762778843178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0</v>
      </c>
      <c r="AV177" s="21">
        <f>EXP(-LN(2)/25)*AV176+(1-EXP(-LN(2)/25))/(LN(2)/25)*Calculateur!AQ177*Calculateur!AS177*VLOOKUP('Données projet'!$B$10,Paramètres!$A$1:$I$89,3,0)*0.475*44/12</f>
        <v>0.10261919978079868</v>
      </c>
      <c r="AW177" s="21">
        <f>EXP(-LN(2)/2)*AW176+(1-EXP(-LN(2)/2))/(LN(2)/2)*AQ177*AT177*VLOOKUP('Données projet'!$B$10,Paramètres!$A$1:$I$89,3,0)*0.475*44/12</f>
        <v>1.7284038660909898E-21</v>
      </c>
      <c r="AX177" s="21">
        <f t="shared" si="166"/>
        <v>0.10261919978079868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2.8421709430404007E-14</v>
      </c>
      <c r="BE177" s="13">
        <f>BD177*VLOOKUP('Données projet'!$B$11,Paramètres!$A$1:$I$89,3,0)*VLOOKUP('Données projet'!$B$11,Paramètres!$A$1:$I$89,5,0)</f>
        <v>2.5715962692629544E-14</v>
      </c>
      <c r="BF177" s="13">
        <f t="shared" si="167"/>
        <v>4.5248818890525812E-13</v>
      </c>
      <c r="BG177" s="20">
        <f t="shared" si="168"/>
        <v>8.3287223069965432E-13</v>
      </c>
      <c r="BH177" s="59">
        <f t="shared" si="116"/>
        <v>293.33333333333417</v>
      </c>
      <c r="BI177" s="59">
        <f ca="1">AVERAGE(OFFSET($BH$3,0,0,'Données projet'!$E$11+1,1))-AVERAGE(OFFSET($H$3,0,0,'Données projet'!$E$11+1,1))</f>
        <v>138.8931001150624</v>
      </c>
      <c r="BJ177" s="59">
        <f t="shared" si="146"/>
        <v>48.964659354096625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>
        <f>EXP(-LN(2)/35)*BP176+(1-EXP(-LN(2)/35))/(LN(2)/35)*BL177*BM177*VLOOKUP('Données projet'!$B$11,Paramètres!$A$1:$I$89,3,0)*0.475*44/12</f>
        <v>0</v>
      </c>
      <c r="BQ177" s="21">
        <f>EXP(-LN(2)/25)*BQ176+(1-EXP(-LN(2)/25))/(LN(2)/25)*Calculateur!BL177*Calculateur!BN177*VLOOKUP('Données projet'!$B$11,Paramètres!$A$1:$I$89,3,0)*0.475*44/12</f>
        <v>0</v>
      </c>
      <c r="BR177" s="21">
        <f>EXP(-LN(2)/2)*BR176+(1-EXP(-LN(2)/2))/(LN(2)/2)*BL177*BO177*VLOOKUP('Données projet'!$B$11,Paramètres!$A$1:$I$89,3,0)*0.475*44/12</f>
        <v>0</v>
      </c>
      <c r="BS177" s="22">
        <f t="shared" si="169"/>
        <v>0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1.1368683772161603E-13</v>
      </c>
      <c r="BZ177" s="13">
        <f>BY177*VLOOKUP('Données projet'!$B$12,Paramètres!$A$1:$I$89,3,0)*VLOOKUP('Données projet'!$B$12,Paramètres!$A$1:$I$89,5,0)</f>
        <v>1.0995790944434703E-13</v>
      </c>
      <c r="CA177" s="13">
        <f t="shared" si="170"/>
        <v>1.6337280948049956E-12</v>
      </c>
      <c r="CB177" s="20">
        <f t="shared" si="171"/>
        <v>3.036919790734272E-12</v>
      </c>
      <c r="CC177" s="59">
        <f t="shared" si="119"/>
        <v>293.33333333333633</v>
      </c>
      <c r="CD177" s="59">
        <f ca="1">AVERAGE(OFFSET($CC$3,0,0,'Données projet'!$E$12+1,1))-AVERAGE(OFFSET($H$3,0,0,'Données projet'!$E$12+1,1))</f>
        <v>154.93882427988234</v>
      </c>
      <c r="CE177" s="59">
        <f t="shared" si="148"/>
        <v>56.347130462109817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>
        <f>EXP(-LN(2)/35)*CK176+(1-EXP(-LN(2)/35))/(LN(2)/35)*CG177*CH177*VLOOKUP('Données projet'!$B$12,Paramètres!$A$1:$I$89,3,0)*0.475*44/12</f>
        <v>0</v>
      </c>
      <c r="CL177" s="21">
        <f>EXP(-LN(2)/25)*CL176+(1-EXP(-LN(2)/25))/(LN(2)/25)*Calculateur!CG177*Calculateur!CI177*VLOOKUP('Données projet'!$B$12,Paramètres!$A$1:$I$89,3,0)*0.475*44/12</f>
        <v>0</v>
      </c>
      <c r="CM177" s="21">
        <f>EXP(-LN(2)/2)*CM176+(1-EXP(-LN(2)/2))/(LN(2)/2)*CG177*CJ177*VLOOKUP('Données projet'!$B$12,Paramètres!$A$1:$I$89,3,0)*0.475*44/12</f>
        <v>0</v>
      </c>
      <c r="CN177" s="22">
        <f t="shared" si="172"/>
        <v>0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155.60999999999987</v>
      </c>
      <c r="D178" s="11">
        <f t="shared" si="140"/>
        <v>39.850741093704151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1508.8197558110487</v>
      </c>
      <c r="H178" s="67">
        <f t="shared" si="110"/>
        <v>633.76079073820119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0</v>
      </c>
      <c r="O178" s="13">
        <f>N178*VLOOKUP('Données projet'!$B$9,Paramètres!$A$1:$I$89,3,0)*VLOOKUP('Données projet'!$B$9,Paramètres!$A$1:$I$89,5,0)</f>
        <v>0</v>
      </c>
      <c r="P178" s="13" t="e">
        <f t="shared" si="141"/>
        <v>#NUM!</v>
      </c>
      <c r="Q178" s="20" t="e">
        <f t="shared" si="162"/>
        <v>#NUM!</v>
      </c>
      <c r="R178" s="59" t="e">
        <f t="shared" si="109"/>
        <v>#NUM!</v>
      </c>
      <c r="S178" s="59">
        <f ca="1">AVERAGE(OFFSET($R$3,0,0,'Données projet'!$E$9+1,1))-AVERAGE(OFFSET($H$3,0,0,'Données projet'!$E$9+1,1))</f>
        <v>72.647148358003676</v>
      </c>
      <c r="T178" s="59">
        <f t="shared" si="142"/>
        <v>87.231299224620898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7.2032244316153946E-2</v>
      </c>
      <c r="AA178" s="21">
        <f>EXP(-LN(2)/25)*AA177+(1-EXP(-LN(2)/25))/(LN(2)/25)*Calculateur!V178*Calculateur!X178*VLOOKUP('Données projet'!$B$9,Paramètres!$A$1:$I$89,3,0)*0.475*44/12</f>
        <v>8.1326550313444129E-2</v>
      </c>
      <c r="AB178" s="21">
        <f>EXP(-LN(2)/2)*AB177+(1-EXP(-LN(2)/2))/(LN(2)/2)*V178*Y178*VLOOKUP('Données projet'!$B$9,Paramètres!$A$1:$I$89,3,0)*0.475*44/12</f>
        <v>3.4153154289225301E-22</v>
      </c>
      <c r="AC178" s="22">
        <f t="shared" si="163"/>
        <v>0.15335879462959806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-8.5265128291212022E-14</v>
      </c>
      <c r="AJ178" s="13">
        <f>AI178*VLOOKUP('Données projet'!$B$10,Paramètres!$A$1:$I$89,3,0)*VLOOKUP('Données projet'!$B$10,Paramètres!$A$1:$I$89,5,0)</f>
        <v>-6.9167072069831198E-14</v>
      </c>
      <c r="AK178" s="13" t="e">
        <f t="shared" si="164"/>
        <v>#NUM!</v>
      </c>
      <c r="AL178" s="20" t="e">
        <f t="shared" si="165"/>
        <v>#NUM!</v>
      </c>
      <c r="AM178" s="59" t="e">
        <f t="shared" si="113"/>
        <v>#NUM!</v>
      </c>
      <c r="AN178" s="59">
        <f ca="1">AVERAGE(OFFSET($AM$3,0,0,'Données projet'!$E$10+1,1))-AVERAGE(OFFSET($H$3,0,0,'Données projet'!$E$10+1,1))</f>
        <v>145.3656871223958</v>
      </c>
      <c r="AO178" s="59">
        <f t="shared" si="144"/>
        <v>180.54762778843178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0</v>
      </c>
      <c r="AV178" s="21">
        <f>EXP(-LN(2)/25)*AV177+(1-EXP(-LN(2)/25))/(LN(2)/25)*Calculateur!AQ178*Calculateur!AS178*VLOOKUP('Données projet'!$B$10,Paramètres!$A$1:$I$89,3,0)*0.475*44/12</f>
        <v>9.9813072366283562E-2</v>
      </c>
      <c r="AW178" s="21">
        <f>EXP(-LN(2)/2)*AW177+(1-EXP(-LN(2)/2))/(LN(2)/2)*AQ178*AT178*VLOOKUP('Données projet'!$B$10,Paramètres!$A$1:$I$89,3,0)*0.475*44/12</f>
        <v>1.2221660943419843E-21</v>
      </c>
      <c r="AX178" s="21">
        <f t="shared" si="166"/>
        <v>9.9813072366283562E-2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2.8421709430404007E-14</v>
      </c>
      <c r="BE178" s="13">
        <f>BD178*VLOOKUP('Données projet'!$B$11,Paramètres!$A$1:$I$89,3,0)*VLOOKUP('Données projet'!$B$11,Paramètres!$A$1:$I$89,5,0)</f>
        <v>2.5715962692629544E-14</v>
      </c>
      <c r="BF178" s="13">
        <f t="shared" si="167"/>
        <v>4.5248818890525812E-13</v>
      </c>
      <c r="BG178" s="20">
        <f t="shared" si="168"/>
        <v>8.3287223069965432E-13</v>
      </c>
      <c r="BH178" s="59">
        <f t="shared" si="116"/>
        <v>293.33333333333417</v>
      </c>
      <c r="BI178" s="59">
        <f ca="1">AVERAGE(OFFSET($BH$3,0,0,'Données projet'!$E$11+1,1))-AVERAGE(OFFSET($H$3,0,0,'Données projet'!$E$11+1,1))</f>
        <v>138.8931001150624</v>
      </c>
      <c r="BJ178" s="59">
        <f t="shared" si="146"/>
        <v>48.964659354096625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>
        <f>EXP(-LN(2)/35)*BP177+(1-EXP(-LN(2)/35))/(LN(2)/35)*BL178*BM178*VLOOKUP('Données projet'!$B$11,Paramètres!$A$1:$I$89,3,0)*0.475*44/12</f>
        <v>0</v>
      </c>
      <c r="BQ178" s="21">
        <f>EXP(-LN(2)/25)*BQ177+(1-EXP(-LN(2)/25))/(LN(2)/25)*Calculateur!BL178*Calculateur!BN178*VLOOKUP('Données projet'!$B$11,Paramètres!$A$1:$I$89,3,0)*0.475*44/12</f>
        <v>0</v>
      </c>
      <c r="BR178" s="21">
        <f>EXP(-LN(2)/2)*BR177+(1-EXP(-LN(2)/2))/(LN(2)/2)*BL178*BO178*VLOOKUP('Données projet'!$B$11,Paramètres!$A$1:$I$89,3,0)*0.475*44/12</f>
        <v>0</v>
      </c>
      <c r="BS178" s="22">
        <f t="shared" si="169"/>
        <v>0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1.1368683772161603E-13</v>
      </c>
      <c r="BZ178" s="13">
        <f>BY178*VLOOKUP('Données projet'!$B$12,Paramètres!$A$1:$I$89,3,0)*VLOOKUP('Données projet'!$B$12,Paramètres!$A$1:$I$89,5,0)</f>
        <v>1.0995790944434703E-13</v>
      </c>
      <c r="CA178" s="13">
        <f t="shared" si="170"/>
        <v>1.6337280948049956E-12</v>
      </c>
      <c r="CB178" s="20">
        <f t="shared" si="171"/>
        <v>3.036919790734272E-12</v>
      </c>
      <c r="CC178" s="59">
        <f t="shared" si="119"/>
        <v>293.33333333333633</v>
      </c>
      <c r="CD178" s="59">
        <f ca="1">AVERAGE(OFFSET($CC$3,0,0,'Données projet'!$E$12+1,1))-AVERAGE(OFFSET($H$3,0,0,'Données projet'!$E$12+1,1))</f>
        <v>154.93882427988234</v>
      </c>
      <c r="CE178" s="59">
        <f t="shared" si="148"/>
        <v>56.347130462109817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>
        <f>EXP(-LN(2)/35)*CK177+(1-EXP(-LN(2)/35))/(LN(2)/35)*CG178*CH178*VLOOKUP('Données projet'!$B$12,Paramètres!$A$1:$I$89,3,0)*0.475*44/12</f>
        <v>0</v>
      </c>
      <c r="CL178" s="21">
        <f>EXP(-LN(2)/25)*CL177+(1-EXP(-LN(2)/25))/(LN(2)/25)*Calculateur!CG178*Calculateur!CI178*VLOOKUP('Données projet'!$B$12,Paramètres!$A$1:$I$89,3,0)*0.475*44/12</f>
        <v>0</v>
      </c>
      <c r="CM178" s="21">
        <f>EXP(-LN(2)/2)*CM177+(1-EXP(-LN(2)/2))/(LN(2)/2)*CG178*CJ178*VLOOKUP('Données projet'!$B$12,Paramètres!$A$1:$I$89,3,0)*0.475*44/12</f>
        <v>0</v>
      </c>
      <c r="CN178" s="22">
        <f t="shared" si="172"/>
        <v>0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156.49919999999986</v>
      </c>
      <c r="D179" s="11">
        <f t="shared" si="140"/>
        <v>40.051886402928353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1517.2364564436564</v>
      </c>
      <c r="H179" s="67">
        <f t="shared" si="110"/>
        <v>635.65980881843325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0</v>
      </c>
      <c r="O179" s="13">
        <f>N179*VLOOKUP('Données projet'!$B$9,Paramètres!$A$1:$I$89,3,0)*VLOOKUP('Données projet'!$B$9,Paramètres!$A$1:$I$89,5,0)</f>
        <v>0</v>
      </c>
      <c r="P179" s="13" t="e">
        <f t="shared" si="141"/>
        <v>#NUM!</v>
      </c>
      <c r="Q179" s="20" t="e">
        <f t="shared" si="162"/>
        <v>#NUM!</v>
      </c>
      <c r="R179" s="59" t="e">
        <f t="shared" si="109"/>
        <v>#NUM!</v>
      </c>
      <c r="S179" s="59">
        <f ca="1">AVERAGE(OFFSET($R$3,0,0,'Données projet'!$E$9+1,1))-AVERAGE(OFFSET($H$3,0,0,'Données projet'!$E$9+1,1))</f>
        <v>72.647148358003676</v>
      </c>
      <c r="T179" s="59">
        <f t="shared" si="142"/>
        <v>87.231299224620898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7.0619735940444947E-2</v>
      </c>
      <c r="AA179" s="21">
        <f>EXP(-LN(2)/25)*AA178+(1-EXP(-LN(2)/25))/(LN(2)/25)*Calculateur!V179*Calculateur!X179*VLOOKUP('Données projet'!$B$9,Paramètres!$A$1:$I$89,3,0)*0.475*44/12</f>
        <v>7.9102671518345588E-2</v>
      </c>
      <c r="AB179" s="21">
        <f>EXP(-LN(2)/2)*AB178+(1-EXP(-LN(2)/2))/(LN(2)/2)*V179*Y179*VLOOKUP('Données projet'!$B$9,Paramètres!$A$1:$I$89,3,0)*0.475*44/12</f>
        <v>2.4149926996821632E-22</v>
      </c>
      <c r="AC179" s="22">
        <f t="shared" si="163"/>
        <v>0.14972240745879054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-8.5265128291212022E-14</v>
      </c>
      <c r="AJ179" s="13">
        <f>AI179*VLOOKUP('Données projet'!$B$10,Paramètres!$A$1:$I$89,3,0)*VLOOKUP('Données projet'!$B$10,Paramètres!$A$1:$I$89,5,0)</f>
        <v>-6.9167072069831198E-14</v>
      </c>
      <c r="AK179" s="13" t="e">
        <f t="shared" si="164"/>
        <v>#NUM!</v>
      </c>
      <c r="AL179" s="20" t="e">
        <f t="shared" si="165"/>
        <v>#NUM!</v>
      </c>
      <c r="AM179" s="59" t="e">
        <f t="shared" si="113"/>
        <v>#NUM!</v>
      </c>
      <c r="AN179" s="59">
        <f ca="1">AVERAGE(OFFSET($AM$3,0,0,'Données projet'!$E$10+1,1))-AVERAGE(OFFSET($H$3,0,0,'Données projet'!$E$10+1,1))</f>
        <v>145.3656871223958</v>
      </c>
      <c r="AO179" s="59">
        <f t="shared" si="144"/>
        <v>180.54762778843178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0</v>
      </c>
      <c r="AV179" s="21">
        <f>EXP(-LN(2)/25)*AV178+(1-EXP(-LN(2)/25))/(LN(2)/25)*Calculateur!AQ179*Calculateur!AS179*VLOOKUP('Données projet'!$B$10,Paramètres!$A$1:$I$89,3,0)*0.475*44/12</f>
        <v>9.7083678653486188E-2</v>
      </c>
      <c r="AW179" s="21">
        <f>EXP(-LN(2)/2)*AW178+(1-EXP(-LN(2)/2))/(LN(2)/2)*AQ179*AT179*VLOOKUP('Données projet'!$B$10,Paramètres!$A$1:$I$89,3,0)*0.475*44/12</f>
        <v>8.642019330454949E-22</v>
      </c>
      <c r="AX179" s="21">
        <f t="shared" si="166"/>
        <v>9.7083678653486188E-2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2.8421709430404007E-14</v>
      </c>
      <c r="BE179" s="13">
        <f>BD179*VLOOKUP('Données projet'!$B$11,Paramètres!$A$1:$I$89,3,0)*VLOOKUP('Données projet'!$B$11,Paramètres!$A$1:$I$89,5,0)</f>
        <v>2.5715962692629544E-14</v>
      </c>
      <c r="BF179" s="13">
        <f t="shared" si="167"/>
        <v>4.5248818890525812E-13</v>
      </c>
      <c r="BG179" s="20">
        <f t="shared" si="168"/>
        <v>8.3287223069965432E-13</v>
      </c>
      <c r="BH179" s="59">
        <f t="shared" si="116"/>
        <v>293.33333333333417</v>
      </c>
      <c r="BI179" s="59">
        <f ca="1">AVERAGE(OFFSET($BH$3,0,0,'Données projet'!$E$11+1,1))-AVERAGE(OFFSET($H$3,0,0,'Données projet'!$E$11+1,1))</f>
        <v>138.8931001150624</v>
      </c>
      <c r="BJ179" s="59">
        <f t="shared" si="146"/>
        <v>48.964659354096625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>
        <f>EXP(-LN(2)/35)*BP178+(1-EXP(-LN(2)/35))/(LN(2)/35)*BL179*BM179*VLOOKUP('Données projet'!$B$11,Paramètres!$A$1:$I$89,3,0)*0.475*44/12</f>
        <v>0</v>
      </c>
      <c r="BQ179" s="21">
        <f>EXP(-LN(2)/25)*BQ178+(1-EXP(-LN(2)/25))/(LN(2)/25)*Calculateur!BL179*Calculateur!BN179*VLOOKUP('Données projet'!$B$11,Paramètres!$A$1:$I$89,3,0)*0.475*44/12</f>
        <v>0</v>
      </c>
      <c r="BR179" s="21">
        <f>EXP(-LN(2)/2)*BR178+(1-EXP(-LN(2)/2))/(LN(2)/2)*BL179*BO179*VLOOKUP('Données projet'!$B$11,Paramètres!$A$1:$I$89,3,0)*0.475*44/12</f>
        <v>0</v>
      </c>
      <c r="BS179" s="22">
        <f t="shared" si="169"/>
        <v>0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1.1368683772161603E-13</v>
      </c>
      <c r="BZ179" s="13">
        <f>BY179*VLOOKUP('Données projet'!$B$12,Paramètres!$A$1:$I$89,3,0)*VLOOKUP('Données projet'!$B$12,Paramètres!$A$1:$I$89,5,0)</f>
        <v>1.0995790944434703E-13</v>
      </c>
      <c r="CA179" s="13">
        <f t="shared" si="170"/>
        <v>1.6337280948049956E-12</v>
      </c>
      <c r="CB179" s="20">
        <f t="shared" si="171"/>
        <v>3.036919790734272E-12</v>
      </c>
      <c r="CC179" s="59">
        <f t="shared" si="119"/>
        <v>293.33333333333633</v>
      </c>
      <c r="CD179" s="59">
        <f ca="1">AVERAGE(OFFSET($CC$3,0,0,'Données projet'!$E$12+1,1))-AVERAGE(OFFSET($H$3,0,0,'Données projet'!$E$12+1,1))</f>
        <v>154.93882427988234</v>
      </c>
      <c r="CE179" s="59">
        <f t="shared" si="148"/>
        <v>56.347130462109817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>
        <f>EXP(-LN(2)/35)*CK178+(1-EXP(-LN(2)/35))/(LN(2)/35)*CG179*CH179*VLOOKUP('Données projet'!$B$12,Paramètres!$A$1:$I$89,3,0)*0.475*44/12</f>
        <v>0</v>
      </c>
      <c r="CL179" s="21">
        <f>EXP(-LN(2)/25)*CL178+(1-EXP(-LN(2)/25))/(LN(2)/25)*Calculateur!CG179*Calculateur!CI179*VLOOKUP('Données projet'!$B$12,Paramètres!$A$1:$I$89,3,0)*0.475*44/12</f>
        <v>0</v>
      </c>
      <c r="CM179" s="21">
        <f>EXP(-LN(2)/2)*CM178+(1-EXP(-LN(2)/2))/(LN(2)/2)*CG179*CJ179*VLOOKUP('Données projet'!$B$12,Paramètres!$A$1:$I$89,3,0)*0.475*44/12</f>
        <v>0</v>
      </c>
      <c r="CN179" s="22">
        <f t="shared" si="172"/>
        <v>0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157.38839999999985</v>
      </c>
      <c r="D180" s="11">
        <f t="shared" si="140"/>
        <v>40.252898725183421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1525.6521305101869</v>
      </c>
      <c r="H180" s="67">
        <f t="shared" si="110"/>
        <v>637.55859527969415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0</v>
      </c>
      <c r="O180" s="13">
        <f>N180*VLOOKUP('Données projet'!$B$9,Paramètres!$A$1:$I$89,3,0)*VLOOKUP('Données projet'!$B$9,Paramètres!$A$1:$I$89,5,0)</f>
        <v>0</v>
      </c>
      <c r="P180" s="13" t="e">
        <f t="shared" si="141"/>
        <v>#NUM!</v>
      </c>
      <c r="Q180" s="20" t="e">
        <f t="shared" si="162"/>
        <v>#NUM!</v>
      </c>
      <c r="R180" s="59" t="e">
        <f t="shared" si="109"/>
        <v>#NUM!</v>
      </c>
      <c r="S180" s="59">
        <f ca="1">AVERAGE(OFFSET($R$3,0,0,'Données projet'!$E$9+1,1))-AVERAGE(OFFSET($H$3,0,0,'Données projet'!$E$9+1,1))</f>
        <v>72.647148358003676</v>
      </c>
      <c r="T180" s="59">
        <f t="shared" si="142"/>
        <v>87.231299224620898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6.9234925992438565E-2</v>
      </c>
      <c r="AA180" s="21">
        <f>EXP(-LN(2)/25)*AA179+(1-EXP(-LN(2)/25))/(LN(2)/25)*Calculateur!V180*Calculateur!X180*VLOOKUP('Données projet'!$B$9,Paramètres!$A$1:$I$89,3,0)*0.475*44/12</f>
        <v>7.6939604805847731E-2</v>
      </c>
      <c r="AB180" s="21">
        <f>EXP(-LN(2)/2)*AB179+(1-EXP(-LN(2)/2))/(LN(2)/2)*V180*Y180*VLOOKUP('Données projet'!$B$9,Paramètres!$A$1:$I$89,3,0)*0.475*44/12</f>
        <v>1.7076577144612651E-22</v>
      </c>
      <c r="AC180" s="22">
        <f t="shared" si="163"/>
        <v>0.1461745307982863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-8.5265128291212022E-14</v>
      </c>
      <c r="AJ180" s="13">
        <f>AI180*VLOOKUP('Données projet'!$B$10,Paramètres!$A$1:$I$89,3,0)*VLOOKUP('Données projet'!$B$10,Paramètres!$A$1:$I$89,5,0)</f>
        <v>-6.9167072069831198E-14</v>
      </c>
      <c r="AK180" s="13" t="e">
        <f t="shared" si="164"/>
        <v>#NUM!</v>
      </c>
      <c r="AL180" s="20" t="e">
        <f t="shared" si="165"/>
        <v>#NUM!</v>
      </c>
      <c r="AM180" s="59" t="e">
        <f t="shared" si="113"/>
        <v>#NUM!</v>
      </c>
      <c r="AN180" s="59">
        <f ca="1">AVERAGE(OFFSET($AM$3,0,0,'Données projet'!$E$10+1,1))-AVERAGE(OFFSET($H$3,0,0,'Données projet'!$E$10+1,1))</f>
        <v>145.3656871223958</v>
      </c>
      <c r="AO180" s="59">
        <f t="shared" si="144"/>
        <v>180.54762778843178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0</v>
      </c>
      <c r="AV180" s="21">
        <f>EXP(-LN(2)/25)*AV179+(1-EXP(-LN(2)/25))/(LN(2)/25)*Calculateur!AQ180*Calculateur!AS180*VLOOKUP('Données projet'!$B$10,Paramètres!$A$1:$I$89,3,0)*0.475*44/12</f>
        <v>9.4428920355297832E-2</v>
      </c>
      <c r="AW180" s="21">
        <f>EXP(-LN(2)/2)*AW179+(1-EXP(-LN(2)/2))/(LN(2)/2)*AQ180*AT180*VLOOKUP('Données projet'!$B$10,Paramètres!$A$1:$I$89,3,0)*0.475*44/12</f>
        <v>6.1108304717099217E-22</v>
      </c>
      <c r="AX180" s="21">
        <f t="shared" si="166"/>
        <v>9.4428920355297832E-2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2.8421709430404007E-14</v>
      </c>
      <c r="BE180" s="13">
        <f>BD180*VLOOKUP('Données projet'!$B$11,Paramètres!$A$1:$I$89,3,0)*VLOOKUP('Données projet'!$B$11,Paramètres!$A$1:$I$89,5,0)</f>
        <v>2.5715962692629544E-14</v>
      </c>
      <c r="BF180" s="13">
        <f t="shared" si="167"/>
        <v>4.5248818890525812E-13</v>
      </c>
      <c r="BG180" s="20">
        <f t="shared" si="168"/>
        <v>8.3287223069965432E-13</v>
      </c>
      <c r="BH180" s="59">
        <f t="shared" si="116"/>
        <v>293.33333333333417</v>
      </c>
      <c r="BI180" s="59">
        <f ca="1">AVERAGE(OFFSET($BH$3,0,0,'Données projet'!$E$11+1,1))-AVERAGE(OFFSET($H$3,0,0,'Données projet'!$E$11+1,1))</f>
        <v>138.8931001150624</v>
      </c>
      <c r="BJ180" s="59">
        <f t="shared" si="146"/>
        <v>48.964659354096625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>
        <f>EXP(-LN(2)/35)*BP179+(1-EXP(-LN(2)/35))/(LN(2)/35)*BL180*BM180*VLOOKUP('Données projet'!$B$11,Paramètres!$A$1:$I$89,3,0)*0.475*44/12</f>
        <v>0</v>
      </c>
      <c r="BQ180" s="21">
        <f>EXP(-LN(2)/25)*BQ179+(1-EXP(-LN(2)/25))/(LN(2)/25)*Calculateur!BL180*Calculateur!BN180*VLOOKUP('Données projet'!$B$11,Paramètres!$A$1:$I$89,3,0)*0.475*44/12</f>
        <v>0</v>
      </c>
      <c r="BR180" s="21">
        <f>EXP(-LN(2)/2)*BR179+(1-EXP(-LN(2)/2))/(LN(2)/2)*BL180*BO180*VLOOKUP('Données projet'!$B$11,Paramètres!$A$1:$I$89,3,0)*0.475*44/12</f>
        <v>0</v>
      </c>
      <c r="BS180" s="22">
        <f t="shared" si="169"/>
        <v>0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1.1368683772161603E-13</v>
      </c>
      <c r="BZ180" s="13">
        <f>BY180*VLOOKUP('Données projet'!$B$12,Paramètres!$A$1:$I$89,3,0)*VLOOKUP('Données projet'!$B$12,Paramètres!$A$1:$I$89,5,0)</f>
        <v>1.0995790944434703E-13</v>
      </c>
      <c r="CA180" s="13">
        <f t="shared" si="170"/>
        <v>1.6337280948049956E-12</v>
      </c>
      <c r="CB180" s="20">
        <f t="shared" si="171"/>
        <v>3.036919790734272E-12</v>
      </c>
      <c r="CC180" s="59">
        <f t="shared" si="119"/>
        <v>293.33333333333633</v>
      </c>
      <c r="CD180" s="59">
        <f ca="1">AVERAGE(OFFSET($CC$3,0,0,'Données projet'!$E$12+1,1))-AVERAGE(OFFSET($H$3,0,0,'Données projet'!$E$12+1,1))</f>
        <v>154.93882427988234</v>
      </c>
      <c r="CE180" s="59">
        <f t="shared" si="148"/>
        <v>56.347130462109817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>
        <f>EXP(-LN(2)/35)*CK179+(1-EXP(-LN(2)/35))/(LN(2)/35)*CG180*CH180*VLOOKUP('Données projet'!$B$12,Paramètres!$A$1:$I$89,3,0)*0.475*44/12</f>
        <v>0</v>
      </c>
      <c r="CL180" s="21">
        <f>EXP(-LN(2)/25)*CL179+(1-EXP(-LN(2)/25))/(LN(2)/25)*Calculateur!CG180*Calculateur!CI180*VLOOKUP('Données projet'!$B$12,Paramètres!$A$1:$I$89,3,0)*0.475*44/12</f>
        <v>0</v>
      </c>
      <c r="CM180" s="21">
        <f>EXP(-LN(2)/2)*CM179+(1-EXP(-LN(2)/2))/(LN(2)/2)*CG180*CJ180*VLOOKUP('Données projet'!$B$12,Paramètres!$A$1:$I$89,3,0)*0.475*44/12</f>
        <v>0</v>
      </c>
      <c r="CN180" s="22">
        <f t="shared" si="172"/>
        <v>0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158.27759999999984</v>
      </c>
      <c r="D181" s="11">
        <f t="shared" si="140"/>
        <v>40.45377889899725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1534.0667844834863</v>
      </c>
      <c r="H181" s="67">
        <f t="shared" si="110"/>
        <v>639.4571515824199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0</v>
      </c>
      <c r="O181" s="13">
        <f>N181*VLOOKUP('Données projet'!$B$9,Paramètres!$A$1:$I$89,3,0)*VLOOKUP('Données projet'!$B$9,Paramètres!$A$1:$I$89,5,0)</f>
        <v>0</v>
      </c>
      <c r="P181" s="13" t="e">
        <f t="shared" si="141"/>
        <v>#NUM!</v>
      </c>
      <c r="Q181" s="20" t="e">
        <f t="shared" si="162"/>
        <v>#NUM!</v>
      </c>
      <c r="R181" s="59" t="e">
        <f t="shared" si="109"/>
        <v>#NUM!</v>
      </c>
      <c r="S181" s="59">
        <f ca="1">AVERAGE(OFFSET($R$3,0,0,'Données projet'!$E$9+1,1))-AVERAGE(OFFSET($H$3,0,0,'Données projet'!$E$9+1,1))</f>
        <v>72.647148358003676</v>
      </c>
      <c r="T181" s="59">
        <f t="shared" si="142"/>
        <v>87.231299224620898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6.7877271322861921E-2</v>
      </c>
      <c r="AA181" s="21">
        <f>EXP(-LN(2)/25)*AA180+(1-EXP(-LN(2)/25))/(LN(2)/25)*Calculateur!V181*Calculateur!X181*VLOOKUP('Données projet'!$B$9,Paramètres!$A$1:$I$89,3,0)*0.475*44/12</f>
        <v>7.4835687266353854E-2</v>
      </c>
      <c r="AB181" s="21">
        <f>EXP(-LN(2)/2)*AB180+(1-EXP(-LN(2)/2))/(LN(2)/2)*V181*Y181*VLOOKUP('Données projet'!$B$9,Paramètres!$A$1:$I$89,3,0)*0.475*44/12</f>
        <v>1.2074963498410816E-22</v>
      </c>
      <c r="AC181" s="22">
        <f t="shared" si="163"/>
        <v>0.14271295858921579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-8.5265128291212022E-14</v>
      </c>
      <c r="AJ181" s="13">
        <f>AI181*VLOOKUP('Données projet'!$B$10,Paramètres!$A$1:$I$89,3,0)*VLOOKUP('Données projet'!$B$10,Paramètres!$A$1:$I$89,5,0)</f>
        <v>-6.9167072069831198E-14</v>
      </c>
      <c r="AK181" s="13" t="e">
        <f t="shared" si="164"/>
        <v>#NUM!</v>
      </c>
      <c r="AL181" s="20" t="e">
        <f t="shared" si="165"/>
        <v>#NUM!</v>
      </c>
      <c r="AM181" s="59" t="e">
        <f t="shared" si="113"/>
        <v>#NUM!</v>
      </c>
      <c r="AN181" s="59">
        <f ca="1">AVERAGE(OFFSET($AM$3,0,0,'Données projet'!$E$10+1,1))-AVERAGE(OFFSET($H$3,0,0,'Données projet'!$E$10+1,1))</f>
        <v>145.3656871223958</v>
      </c>
      <c r="AO181" s="59">
        <f t="shared" si="144"/>
        <v>180.54762778843178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0</v>
      </c>
      <c r="AV181" s="21">
        <f>EXP(-LN(2)/25)*AV180+(1-EXP(-LN(2)/25))/(LN(2)/25)*Calculateur!AQ181*Calculateur!AS181*VLOOKUP('Données projet'!$B$10,Paramètres!$A$1:$I$89,3,0)*0.475*44/12</f>
        <v>9.1846756562381116E-2</v>
      </c>
      <c r="AW181" s="21">
        <f>EXP(-LN(2)/2)*AW180+(1-EXP(-LN(2)/2))/(LN(2)/2)*AQ181*AT181*VLOOKUP('Données projet'!$B$10,Paramètres!$A$1:$I$89,3,0)*0.475*44/12</f>
        <v>4.3210096652274745E-22</v>
      </c>
      <c r="AX181" s="21">
        <f t="shared" si="166"/>
        <v>9.1846756562381116E-2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2.8421709430404007E-14</v>
      </c>
      <c r="BE181" s="13">
        <f>BD181*VLOOKUP('Données projet'!$B$11,Paramètres!$A$1:$I$89,3,0)*VLOOKUP('Données projet'!$B$11,Paramètres!$A$1:$I$89,5,0)</f>
        <v>2.5715962692629544E-14</v>
      </c>
      <c r="BF181" s="13">
        <f t="shared" si="167"/>
        <v>4.5248818890525812E-13</v>
      </c>
      <c r="BG181" s="20">
        <f t="shared" si="168"/>
        <v>8.3287223069965432E-13</v>
      </c>
      <c r="BH181" s="59">
        <f t="shared" si="116"/>
        <v>293.33333333333417</v>
      </c>
      <c r="BI181" s="59">
        <f ca="1">AVERAGE(OFFSET($BH$3,0,0,'Données projet'!$E$11+1,1))-AVERAGE(OFFSET($H$3,0,0,'Données projet'!$E$11+1,1))</f>
        <v>138.8931001150624</v>
      </c>
      <c r="BJ181" s="59">
        <f t="shared" si="146"/>
        <v>48.964659354096625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>
        <f>EXP(-LN(2)/35)*BP180+(1-EXP(-LN(2)/35))/(LN(2)/35)*BL181*BM181*VLOOKUP('Données projet'!$B$11,Paramètres!$A$1:$I$89,3,0)*0.475*44/12</f>
        <v>0</v>
      </c>
      <c r="BQ181" s="21">
        <f>EXP(-LN(2)/25)*BQ180+(1-EXP(-LN(2)/25))/(LN(2)/25)*Calculateur!BL181*Calculateur!BN181*VLOOKUP('Données projet'!$B$11,Paramètres!$A$1:$I$89,3,0)*0.475*44/12</f>
        <v>0</v>
      </c>
      <c r="BR181" s="21">
        <f>EXP(-LN(2)/2)*BR180+(1-EXP(-LN(2)/2))/(LN(2)/2)*BL181*BO181*VLOOKUP('Données projet'!$B$11,Paramètres!$A$1:$I$89,3,0)*0.475*44/12</f>
        <v>0</v>
      </c>
      <c r="BS181" s="22">
        <f t="shared" si="169"/>
        <v>0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1.1368683772161603E-13</v>
      </c>
      <c r="BZ181" s="13">
        <f>BY181*VLOOKUP('Données projet'!$B$12,Paramètres!$A$1:$I$89,3,0)*VLOOKUP('Données projet'!$B$12,Paramètres!$A$1:$I$89,5,0)</f>
        <v>1.0995790944434703E-13</v>
      </c>
      <c r="CA181" s="13">
        <f t="shared" si="170"/>
        <v>1.6337280948049956E-12</v>
      </c>
      <c r="CB181" s="20">
        <f t="shared" si="171"/>
        <v>3.036919790734272E-12</v>
      </c>
      <c r="CC181" s="59">
        <f t="shared" si="119"/>
        <v>293.33333333333633</v>
      </c>
      <c r="CD181" s="59">
        <f ca="1">AVERAGE(OFFSET($CC$3,0,0,'Données projet'!$E$12+1,1))-AVERAGE(OFFSET($H$3,0,0,'Données projet'!$E$12+1,1))</f>
        <v>154.93882427988234</v>
      </c>
      <c r="CE181" s="59">
        <f t="shared" si="148"/>
        <v>56.347130462109817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>
        <f>EXP(-LN(2)/35)*CK180+(1-EXP(-LN(2)/35))/(LN(2)/35)*CG181*CH181*VLOOKUP('Données projet'!$B$12,Paramètres!$A$1:$I$89,3,0)*0.475*44/12</f>
        <v>0</v>
      </c>
      <c r="CL181" s="21">
        <f>EXP(-LN(2)/25)*CL180+(1-EXP(-LN(2)/25))/(LN(2)/25)*Calculateur!CG181*Calculateur!CI181*VLOOKUP('Données projet'!$B$12,Paramètres!$A$1:$I$89,3,0)*0.475*44/12</f>
        <v>0</v>
      </c>
      <c r="CM181" s="21">
        <f>EXP(-LN(2)/2)*CM180+(1-EXP(-LN(2)/2))/(LN(2)/2)*CG181*CJ181*VLOOKUP('Données projet'!$B$12,Paramètres!$A$1:$I$89,3,0)*0.475*44/12</f>
        <v>0</v>
      </c>
      <c r="CN181" s="22">
        <f t="shared" si="172"/>
        <v>0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159.16679999999982</v>
      </c>
      <c r="D182" s="11">
        <f t="shared" si="140"/>
        <v>40.654527752930711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1542.4804247594639</v>
      </c>
      <c r="H182" s="67">
        <f t="shared" si="110"/>
        <v>641.35547916968733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0</v>
      </c>
      <c r="O182" s="13">
        <f>N182*VLOOKUP('Données projet'!$B$9,Paramètres!$A$1:$I$89,3,0)*VLOOKUP('Données projet'!$B$9,Paramètres!$A$1:$I$89,5,0)</f>
        <v>0</v>
      </c>
      <c r="P182" s="13" t="e">
        <f t="shared" si="141"/>
        <v>#NUM!</v>
      </c>
      <c r="Q182" s="20" t="e">
        <f t="shared" si="162"/>
        <v>#NUM!</v>
      </c>
      <c r="R182" s="59" t="e">
        <f t="shared" si="109"/>
        <v>#NUM!</v>
      </c>
      <c r="S182" s="59">
        <f ca="1">AVERAGE(OFFSET($R$3,0,0,'Données projet'!$E$9+1,1))-AVERAGE(OFFSET($H$3,0,0,'Données projet'!$E$9+1,1))</f>
        <v>72.647148358003676</v>
      </c>
      <c r="T182" s="59">
        <f t="shared" si="142"/>
        <v>87.231299224620898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6.6546239433268095E-2</v>
      </c>
      <c r="AA182" s="21">
        <f>EXP(-LN(2)/25)*AA181+(1-EXP(-LN(2)/25))/(LN(2)/25)*Calculateur!V182*Calculateur!X182*VLOOKUP('Données projet'!$B$9,Paramètres!$A$1:$I$89,3,0)*0.475*44/12</f>
        <v>7.2789301462617653E-2</v>
      </c>
      <c r="AB182" s="21">
        <f>EXP(-LN(2)/2)*AB181+(1-EXP(-LN(2)/2))/(LN(2)/2)*V182*Y182*VLOOKUP('Données projet'!$B$9,Paramètres!$A$1:$I$89,3,0)*0.475*44/12</f>
        <v>8.5382885723063253E-23</v>
      </c>
      <c r="AC182" s="22">
        <f t="shared" si="163"/>
        <v>0.13933554089588573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-8.5265128291212022E-14</v>
      </c>
      <c r="AJ182" s="13">
        <f>AI182*VLOOKUP('Données projet'!$B$10,Paramètres!$A$1:$I$89,3,0)*VLOOKUP('Données projet'!$B$10,Paramètres!$A$1:$I$89,5,0)</f>
        <v>-6.9167072069831198E-14</v>
      </c>
      <c r="AK182" s="13" t="e">
        <f t="shared" si="164"/>
        <v>#NUM!</v>
      </c>
      <c r="AL182" s="20" t="e">
        <f t="shared" si="165"/>
        <v>#NUM!</v>
      </c>
      <c r="AM182" s="59" t="e">
        <f t="shared" si="113"/>
        <v>#NUM!</v>
      </c>
      <c r="AN182" s="59">
        <f ca="1">AVERAGE(OFFSET($AM$3,0,0,'Données projet'!$E$10+1,1))-AVERAGE(OFFSET($H$3,0,0,'Données projet'!$E$10+1,1))</f>
        <v>145.3656871223958</v>
      </c>
      <c r="AO182" s="59">
        <f t="shared" si="144"/>
        <v>180.54762778843178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0</v>
      </c>
      <c r="AV182" s="21">
        <f>EXP(-LN(2)/25)*AV181+(1-EXP(-LN(2)/25))/(LN(2)/25)*Calculateur!AQ182*Calculateur!AS182*VLOOKUP('Données projet'!$B$10,Paramètres!$A$1:$I$89,3,0)*0.475*44/12</f>
        <v>8.9335202174171791E-2</v>
      </c>
      <c r="AW182" s="21">
        <f>EXP(-LN(2)/2)*AW181+(1-EXP(-LN(2)/2))/(LN(2)/2)*AQ182*AT182*VLOOKUP('Données projet'!$B$10,Paramètres!$A$1:$I$89,3,0)*0.475*44/12</f>
        <v>3.0554152358549608E-22</v>
      </c>
      <c r="AX182" s="21">
        <f t="shared" si="166"/>
        <v>8.9335202174171791E-2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2.8421709430404007E-14</v>
      </c>
      <c r="BE182" s="13">
        <f>BD182*VLOOKUP('Données projet'!$B$11,Paramètres!$A$1:$I$89,3,0)*VLOOKUP('Données projet'!$B$11,Paramètres!$A$1:$I$89,5,0)</f>
        <v>2.5715962692629544E-14</v>
      </c>
      <c r="BF182" s="13">
        <f t="shared" si="167"/>
        <v>4.5248818890525812E-13</v>
      </c>
      <c r="BG182" s="20">
        <f t="shared" si="168"/>
        <v>8.3287223069965432E-13</v>
      </c>
      <c r="BH182" s="59">
        <f t="shared" si="116"/>
        <v>293.33333333333417</v>
      </c>
      <c r="BI182" s="59">
        <f ca="1">AVERAGE(OFFSET($BH$3,0,0,'Données projet'!$E$11+1,1))-AVERAGE(OFFSET($H$3,0,0,'Données projet'!$E$11+1,1))</f>
        <v>138.8931001150624</v>
      </c>
      <c r="BJ182" s="59">
        <f t="shared" si="146"/>
        <v>48.964659354096625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>
        <f>EXP(-LN(2)/35)*BP181+(1-EXP(-LN(2)/35))/(LN(2)/35)*BL182*BM182*VLOOKUP('Données projet'!$B$11,Paramètres!$A$1:$I$89,3,0)*0.475*44/12</f>
        <v>0</v>
      </c>
      <c r="BQ182" s="21">
        <f>EXP(-LN(2)/25)*BQ181+(1-EXP(-LN(2)/25))/(LN(2)/25)*Calculateur!BL182*Calculateur!BN182*VLOOKUP('Données projet'!$B$11,Paramètres!$A$1:$I$89,3,0)*0.475*44/12</f>
        <v>0</v>
      </c>
      <c r="BR182" s="21">
        <f>EXP(-LN(2)/2)*BR181+(1-EXP(-LN(2)/2))/(LN(2)/2)*BL182*BO182*VLOOKUP('Données projet'!$B$11,Paramètres!$A$1:$I$89,3,0)*0.475*44/12</f>
        <v>0</v>
      </c>
      <c r="BS182" s="22">
        <f t="shared" si="169"/>
        <v>0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1.1368683772161603E-13</v>
      </c>
      <c r="BZ182" s="13">
        <f>BY182*VLOOKUP('Données projet'!$B$12,Paramètres!$A$1:$I$89,3,0)*VLOOKUP('Données projet'!$B$12,Paramètres!$A$1:$I$89,5,0)</f>
        <v>1.0995790944434703E-13</v>
      </c>
      <c r="CA182" s="13">
        <f t="shared" si="170"/>
        <v>1.6337280948049956E-12</v>
      </c>
      <c r="CB182" s="20">
        <f t="shared" si="171"/>
        <v>3.036919790734272E-12</v>
      </c>
      <c r="CC182" s="59">
        <f t="shared" si="119"/>
        <v>293.33333333333633</v>
      </c>
      <c r="CD182" s="59">
        <f ca="1">AVERAGE(OFFSET($CC$3,0,0,'Données projet'!$E$12+1,1))-AVERAGE(OFFSET($H$3,0,0,'Données projet'!$E$12+1,1))</f>
        <v>154.93882427988234</v>
      </c>
      <c r="CE182" s="59">
        <f t="shared" si="148"/>
        <v>56.347130462109817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>
        <f>EXP(-LN(2)/35)*CK181+(1-EXP(-LN(2)/35))/(LN(2)/35)*CG182*CH182*VLOOKUP('Données projet'!$B$12,Paramètres!$A$1:$I$89,3,0)*0.475*44/12</f>
        <v>0</v>
      </c>
      <c r="CL182" s="21">
        <f>EXP(-LN(2)/25)*CL181+(1-EXP(-LN(2)/25))/(LN(2)/25)*Calculateur!CG182*Calculateur!CI182*VLOOKUP('Données projet'!$B$12,Paramètres!$A$1:$I$89,3,0)*0.475*44/12</f>
        <v>0</v>
      </c>
      <c r="CM182" s="21">
        <f>EXP(-LN(2)/2)*CM181+(1-EXP(-LN(2)/2))/(LN(2)/2)*CG182*CJ182*VLOOKUP('Données projet'!$B$12,Paramètres!$A$1:$I$89,3,0)*0.475*44/12</f>
        <v>0</v>
      </c>
      <c r="CN182" s="22">
        <f t="shared" si="172"/>
        <v>0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160.05599999999981</v>
      </c>
      <c r="D183" s="11">
        <f t="shared" si="140"/>
        <v>40.855146105751388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1550.8930576584305</v>
      </c>
      <c r="H183" s="67">
        <f t="shared" si="110"/>
        <v>643.2535794675166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0</v>
      </c>
      <c r="O183" s="13">
        <f>N183*VLOOKUP('Données projet'!$B$9,Paramètres!$A$1:$I$89,3,0)*VLOOKUP('Données projet'!$B$9,Paramètres!$A$1:$I$89,5,0)</f>
        <v>0</v>
      </c>
      <c r="P183" s="13" t="e">
        <f t="shared" si="141"/>
        <v>#NUM!</v>
      </c>
      <c r="Q183" s="20" t="e">
        <f t="shared" si="162"/>
        <v>#NUM!</v>
      </c>
      <c r="R183" s="59" t="e">
        <f t="shared" si="109"/>
        <v>#NUM!</v>
      </c>
      <c r="S183" s="59">
        <f ca="1">AVERAGE(OFFSET($R$3,0,0,'Données projet'!$E$9+1,1))-AVERAGE(OFFSET($H$3,0,0,'Données projet'!$E$9+1,1))</f>
        <v>72.647148358003676</v>
      </c>
      <c r="T183" s="59">
        <f t="shared" si="142"/>
        <v>87.231299224620898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6.5241308267179915E-2</v>
      </c>
      <c r="AA183" s="21">
        <f>EXP(-LN(2)/25)*AA182+(1-EXP(-LN(2)/25))/(LN(2)/25)*Calculateur!V183*Calculateur!X183*VLOOKUP('Données projet'!$B$9,Paramètres!$A$1:$I$89,3,0)*0.475*44/12</f>
        <v>7.0798874186299376E-2</v>
      </c>
      <c r="AB183" s="21">
        <f>EXP(-LN(2)/2)*AB182+(1-EXP(-LN(2)/2))/(LN(2)/2)*V183*Y183*VLOOKUP('Données projet'!$B$9,Paramètres!$A$1:$I$89,3,0)*0.475*44/12</f>
        <v>6.0374817492054079E-23</v>
      </c>
      <c r="AC183" s="22">
        <f t="shared" si="163"/>
        <v>0.13604018245347929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-8.5265128291212022E-14</v>
      </c>
      <c r="AJ183" s="13">
        <f>AI183*VLOOKUP('Données projet'!$B$10,Paramètres!$A$1:$I$89,3,0)*VLOOKUP('Données projet'!$B$10,Paramètres!$A$1:$I$89,5,0)</f>
        <v>-6.9167072069831198E-14</v>
      </c>
      <c r="AK183" s="13" t="e">
        <f t="shared" si="164"/>
        <v>#NUM!</v>
      </c>
      <c r="AL183" s="20" t="e">
        <f t="shared" si="165"/>
        <v>#NUM!</v>
      </c>
      <c r="AM183" s="59" t="e">
        <f t="shared" si="113"/>
        <v>#NUM!</v>
      </c>
      <c r="AN183" s="59">
        <f ca="1">AVERAGE(OFFSET($AM$3,0,0,'Données projet'!$E$10+1,1))-AVERAGE(OFFSET($H$3,0,0,'Données projet'!$E$10+1,1))</f>
        <v>145.3656871223958</v>
      </c>
      <c r="AO183" s="59">
        <f t="shared" si="144"/>
        <v>180.54762778843178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0</v>
      </c>
      <c r="AV183" s="21">
        <f>EXP(-LN(2)/25)*AV182+(1-EXP(-LN(2)/25))/(LN(2)/25)*Calculateur!AQ183*Calculateur!AS183*VLOOKUP('Données projet'!$B$10,Paramètres!$A$1:$I$89,3,0)*0.475*44/12</f>
        <v>8.6892326372784962E-2</v>
      </c>
      <c r="AW183" s="21">
        <f>EXP(-LN(2)/2)*AW182+(1-EXP(-LN(2)/2))/(LN(2)/2)*AQ183*AT183*VLOOKUP('Données projet'!$B$10,Paramètres!$A$1:$I$89,3,0)*0.475*44/12</f>
        <v>2.1605048326137373E-22</v>
      </c>
      <c r="AX183" s="21">
        <f t="shared" si="166"/>
        <v>8.6892326372784962E-2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2.8421709430404007E-14</v>
      </c>
      <c r="BE183" s="13">
        <f>BD183*VLOOKUP('Données projet'!$B$11,Paramètres!$A$1:$I$89,3,0)*VLOOKUP('Données projet'!$B$11,Paramètres!$A$1:$I$89,5,0)</f>
        <v>2.5715962692629544E-14</v>
      </c>
      <c r="BF183" s="13">
        <f t="shared" si="167"/>
        <v>4.5248818890525812E-13</v>
      </c>
      <c r="BG183" s="20">
        <f t="shared" si="168"/>
        <v>8.3287223069965432E-13</v>
      </c>
      <c r="BH183" s="59">
        <f t="shared" si="116"/>
        <v>293.33333333333417</v>
      </c>
      <c r="BI183" s="59">
        <f ca="1">AVERAGE(OFFSET($BH$3,0,0,'Données projet'!$E$11+1,1))-AVERAGE(OFFSET($H$3,0,0,'Données projet'!$E$11+1,1))</f>
        <v>138.8931001150624</v>
      </c>
      <c r="BJ183" s="59">
        <f t="shared" si="146"/>
        <v>48.964659354096625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>
        <f>EXP(-LN(2)/35)*BP182+(1-EXP(-LN(2)/35))/(LN(2)/35)*BL183*BM183*VLOOKUP('Données projet'!$B$11,Paramètres!$A$1:$I$89,3,0)*0.475*44/12</f>
        <v>0</v>
      </c>
      <c r="BQ183" s="21">
        <f>EXP(-LN(2)/25)*BQ182+(1-EXP(-LN(2)/25))/(LN(2)/25)*Calculateur!BL183*Calculateur!BN183*VLOOKUP('Données projet'!$B$11,Paramètres!$A$1:$I$89,3,0)*0.475*44/12</f>
        <v>0</v>
      </c>
      <c r="BR183" s="21">
        <f>EXP(-LN(2)/2)*BR182+(1-EXP(-LN(2)/2))/(LN(2)/2)*BL183*BO183*VLOOKUP('Données projet'!$B$11,Paramètres!$A$1:$I$89,3,0)*0.475*44/12</f>
        <v>0</v>
      </c>
      <c r="BS183" s="22">
        <f t="shared" si="169"/>
        <v>0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1.1368683772161603E-13</v>
      </c>
      <c r="BZ183" s="13">
        <f>BY183*VLOOKUP('Données projet'!$B$12,Paramètres!$A$1:$I$89,3,0)*VLOOKUP('Données projet'!$B$12,Paramètres!$A$1:$I$89,5,0)</f>
        <v>1.0995790944434703E-13</v>
      </c>
      <c r="CA183" s="13">
        <f t="shared" si="170"/>
        <v>1.6337280948049956E-12</v>
      </c>
      <c r="CB183" s="20">
        <f t="shared" si="171"/>
        <v>3.036919790734272E-12</v>
      </c>
      <c r="CC183" s="59">
        <f t="shared" si="119"/>
        <v>293.33333333333633</v>
      </c>
      <c r="CD183" s="59">
        <f ca="1">AVERAGE(OFFSET($CC$3,0,0,'Données projet'!$E$12+1,1))-AVERAGE(OFFSET($H$3,0,0,'Données projet'!$E$12+1,1))</f>
        <v>154.93882427988234</v>
      </c>
      <c r="CE183" s="59">
        <f t="shared" si="148"/>
        <v>56.347130462109817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>
        <f>EXP(-LN(2)/35)*CK182+(1-EXP(-LN(2)/35))/(LN(2)/35)*CG183*CH183*VLOOKUP('Données projet'!$B$12,Paramètres!$A$1:$I$89,3,0)*0.475*44/12</f>
        <v>0</v>
      </c>
      <c r="CL183" s="21">
        <f>EXP(-LN(2)/25)*CL182+(1-EXP(-LN(2)/25))/(LN(2)/25)*Calculateur!CG183*Calculateur!CI183*VLOOKUP('Données projet'!$B$12,Paramètres!$A$1:$I$89,3,0)*0.475*44/12</f>
        <v>0</v>
      </c>
      <c r="CM183" s="21">
        <f>EXP(-LN(2)/2)*CM182+(1-EXP(-LN(2)/2))/(LN(2)/2)*CG183*CJ183*VLOOKUP('Données projet'!$B$12,Paramètres!$A$1:$I$89,3,0)*0.475*44/12</f>
        <v>0</v>
      </c>
      <c r="CN183" s="22">
        <f t="shared" si="172"/>
        <v>0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160.9451999999998</v>
      </c>
      <c r="D184" s="11">
        <f t="shared" si="140"/>
        <v>41.055634766602871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1559.3046894264069</v>
      </c>
      <c r="H184" s="67">
        <f t="shared" si="110"/>
        <v>645.15145388516635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0</v>
      </c>
      <c r="O184" s="13">
        <f>N184*VLOOKUP('Données projet'!$B$9,Paramètres!$A$1:$I$89,3,0)*VLOOKUP('Données projet'!$B$9,Paramètres!$A$1:$I$89,5,0)</f>
        <v>0</v>
      </c>
      <c r="P184" s="13" t="e">
        <f t="shared" si="141"/>
        <v>#NUM!</v>
      </c>
      <c r="Q184" s="20" t="e">
        <f t="shared" si="162"/>
        <v>#NUM!</v>
      </c>
      <c r="R184" s="59" t="e">
        <f t="shared" si="109"/>
        <v>#NUM!</v>
      </c>
      <c r="S184" s="59">
        <f ca="1">AVERAGE(OFFSET($R$3,0,0,'Données projet'!$E$9+1,1))-AVERAGE(OFFSET($H$3,0,0,'Données projet'!$E$9+1,1))</f>
        <v>72.647148358003676</v>
      </c>
      <c r="T184" s="59">
        <f t="shared" si="142"/>
        <v>87.231299224620898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6.3961966005329302E-2</v>
      </c>
      <c r="AA184" s="21">
        <f>EXP(-LN(2)/25)*AA183+(1-EXP(-LN(2)/25))/(LN(2)/25)*Calculateur!V184*Calculateur!X184*VLOOKUP('Données projet'!$B$9,Paramètres!$A$1:$I$89,3,0)*0.475*44/12</f>
        <v>6.8862875248524039E-2</v>
      </c>
      <c r="AB184" s="21">
        <f>EXP(-LN(2)/2)*AB183+(1-EXP(-LN(2)/2))/(LN(2)/2)*V184*Y184*VLOOKUP('Données projet'!$B$9,Paramètres!$A$1:$I$89,3,0)*0.475*44/12</f>
        <v>4.2691442861531626E-23</v>
      </c>
      <c r="AC184" s="22">
        <f t="shared" si="163"/>
        <v>0.13282484125385335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-8.5265128291212022E-14</v>
      </c>
      <c r="AJ184" s="13">
        <f>AI184*VLOOKUP('Données projet'!$B$10,Paramètres!$A$1:$I$89,3,0)*VLOOKUP('Données projet'!$B$10,Paramètres!$A$1:$I$89,5,0)</f>
        <v>-6.9167072069831198E-14</v>
      </c>
      <c r="AK184" s="13" t="e">
        <f t="shared" si="164"/>
        <v>#NUM!</v>
      </c>
      <c r="AL184" s="20" t="e">
        <f t="shared" si="165"/>
        <v>#NUM!</v>
      </c>
      <c r="AM184" s="59" t="e">
        <f t="shared" si="113"/>
        <v>#NUM!</v>
      </c>
      <c r="AN184" s="59">
        <f ca="1">AVERAGE(OFFSET($AM$3,0,0,'Données projet'!$E$10+1,1))-AVERAGE(OFFSET($H$3,0,0,'Données projet'!$E$10+1,1))</f>
        <v>145.3656871223958</v>
      </c>
      <c r="AO184" s="59">
        <f t="shared" si="144"/>
        <v>180.54762778843178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0</v>
      </c>
      <c r="AV184" s="21">
        <f>EXP(-LN(2)/25)*AV183+(1-EXP(-LN(2)/25))/(LN(2)/25)*Calculateur!AQ184*Calculateur!AS184*VLOOKUP('Données projet'!$B$10,Paramètres!$A$1:$I$89,3,0)*0.475*44/12</f>
        <v>8.4516251138652312E-2</v>
      </c>
      <c r="AW184" s="21">
        <f>EXP(-LN(2)/2)*AW183+(1-EXP(-LN(2)/2))/(LN(2)/2)*AQ184*AT184*VLOOKUP('Données projet'!$B$10,Paramètres!$A$1:$I$89,3,0)*0.475*44/12</f>
        <v>1.5277076179274804E-22</v>
      </c>
      <c r="AX184" s="21">
        <f t="shared" si="166"/>
        <v>8.4516251138652312E-2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2.8421709430404007E-14</v>
      </c>
      <c r="BE184" s="13">
        <f>BD184*VLOOKUP('Données projet'!$B$11,Paramètres!$A$1:$I$89,3,0)*VLOOKUP('Données projet'!$B$11,Paramètres!$A$1:$I$89,5,0)</f>
        <v>2.5715962692629544E-14</v>
      </c>
      <c r="BF184" s="13">
        <f t="shared" si="167"/>
        <v>4.5248818890525812E-13</v>
      </c>
      <c r="BG184" s="20">
        <f t="shared" si="168"/>
        <v>8.3287223069965432E-13</v>
      </c>
      <c r="BH184" s="59">
        <f t="shared" si="116"/>
        <v>293.33333333333417</v>
      </c>
      <c r="BI184" s="59">
        <f ca="1">AVERAGE(OFFSET($BH$3,0,0,'Données projet'!$E$11+1,1))-AVERAGE(OFFSET($H$3,0,0,'Données projet'!$E$11+1,1))</f>
        <v>138.8931001150624</v>
      </c>
      <c r="BJ184" s="59">
        <f t="shared" si="146"/>
        <v>48.964659354096625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>
        <f>EXP(-LN(2)/35)*BP183+(1-EXP(-LN(2)/35))/(LN(2)/35)*BL184*BM184*VLOOKUP('Données projet'!$B$11,Paramètres!$A$1:$I$89,3,0)*0.475*44/12</f>
        <v>0</v>
      </c>
      <c r="BQ184" s="21">
        <f>EXP(-LN(2)/25)*BQ183+(1-EXP(-LN(2)/25))/(LN(2)/25)*Calculateur!BL184*Calculateur!BN184*VLOOKUP('Données projet'!$B$11,Paramètres!$A$1:$I$89,3,0)*0.475*44/12</f>
        <v>0</v>
      </c>
      <c r="BR184" s="21">
        <f>EXP(-LN(2)/2)*BR183+(1-EXP(-LN(2)/2))/(LN(2)/2)*BL184*BO184*VLOOKUP('Données projet'!$B$11,Paramètres!$A$1:$I$89,3,0)*0.475*44/12</f>
        <v>0</v>
      </c>
      <c r="BS184" s="22">
        <f t="shared" si="169"/>
        <v>0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1.1368683772161603E-13</v>
      </c>
      <c r="BZ184" s="13">
        <f>BY184*VLOOKUP('Données projet'!$B$12,Paramètres!$A$1:$I$89,3,0)*VLOOKUP('Données projet'!$B$12,Paramètres!$A$1:$I$89,5,0)</f>
        <v>1.0995790944434703E-13</v>
      </c>
      <c r="CA184" s="13">
        <f t="shared" si="170"/>
        <v>1.6337280948049956E-12</v>
      </c>
      <c r="CB184" s="20">
        <f t="shared" si="171"/>
        <v>3.036919790734272E-12</v>
      </c>
      <c r="CC184" s="59">
        <f t="shared" si="119"/>
        <v>293.33333333333633</v>
      </c>
      <c r="CD184" s="59">
        <f ca="1">AVERAGE(OFFSET($CC$3,0,0,'Données projet'!$E$12+1,1))-AVERAGE(OFFSET($H$3,0,0,'Données projet'!$E$12+1,1))</f>
        <v>154.93882427988234</v>
      </c>
      <c r="CE184" s="59">
        <f t="shared" si="148"/>
        <v>56.347130462109817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>
        <f>EXP(-LN(2)/35)*CK183+(1-EXP(-LN(2)/35))/(LN(2)/35)*CG184*CH184*VLOOKUP('Données projet'!$B$12,Paramètres!$A$1:$I$89,3,0)*0.475*44/12</f>
        <v>0</v>
      </c>
      <c r="CL184" s="21">
        <f>EXP(-LN(2)/25)*CL183+(1-EXP(-LN(2)/25))/(LN(2)/25)*Calculateur!CG184*Calculateur!CI184*VLOOKUP('Données projet'!$B$12,Paramètres!$A$1:$I$89,3,0)*0.475*44/12</f>
        <v>0</v>
      </c>
      <c r="CM184" s="21">
        <f>EXP(-LN(2)/2)*CM183+(1-EXP(-LN(2)/2))/(LN(2)/2)*CG184*CJ184*VLOOKUP('Données projet'!$B$12,Paramètres!$A$1:$I$89,3,0)*0.475*44/12</f>
        <v>0</v>
      </c>
      <c r="CN184" s="22">
        <f t="shared" si="172"/>
        <v>0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161.83439999999979</v>
      </c>
      <c r="D185" s="11">
        <f t="shared" si="140"/>
        <v>41.255994535170444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1567.7153262364018</v>
      </c>
      <c r="H185" s="67">
        <f t="shared" si="110"/>
        <v>647.0491038154214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0</v>
      </c>
      <c r="O185" s="13">
        <f>N185*VLOOKUP('Données projet'!$B$9,Paramètres!$A$1:$I$89,3,0)*VLOOKUP('Données projet'!$B$9,Paramètres!$A$1:$I$89,5,0)</f>
        <v>0</v>
      </c>
      <c r="P185" s="13" t="e">
        <f t="shared" si="141"/>
        <v>#NUM!</v>
      </c>
      <c r="Q185" s="20" t="e">
        <f t="shared" si="162"/>
        <v>#NUM!</v>
      </c>
      <c r="R185" s="59" t="e">
        <f t="shared" si="109"/>
        <v>#NUM!</v>
      </c>
      <c r="S185" s="59">
        <f ca="1">AVERAGE(OFFSET($R$3,0,0,'Données projet'!$E$9+1,1))-AVERAGE(OFFSET($H$3,0,0,'Données projet'!$E$9+1,1))</f>
        <v>72.647148358003676</v>
      </c>
      <c r="T185" s="59">
        <f t="shared" si="142"/>
        <v>87.231299224620898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6.270771086491185E-2</v>
      </c>
      <c r="AA185" s="21">
        <f>EXP(-LN(2)/25)*AA184+(1-EXP(-LN(2)/25))/(LN(2)/25)*Calculateur!V185*Calculateur!X185*VLOOKUP('Données projet'!$B$9,Paramètres!$A$1:$I$89,3,0)*0.475*44/12</f>
        <v>6.6979816303511922E-2</v>
      </c>
      <c r="AB185" s="21">
        <f>EXP(-LN(2)/2)*AB184+(1-EXP(-LN(2)/2))/(LN(2)/2)*V185*Y185*VLOOKUP('Données projet'!$B$9,Paramètres!$A$1:$I$89,3,0)*0.475*44/12</f>
        <v>3.018740874602704E-23</v>
      </c>
      <c r="AC185" s="22">
        <f t="shared" si="163"/>
        <v>0.12968752716842377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-8.5265128291212022E-14</v>
      </c>
      <c r="AJ185" s="13">
        <f>AI185*VLOOKUP('Données projet'!$B$10,Paramètres!$A$1:$I$89,3,0)*VLOOKUP('Données projet'!$B$10,Paramètres!$A$1:$I$89,5,0)</f>
        <v>-6.9167072069831198E-14</v>
      </c>
      <c r="AK185" s="13" t="e">
        <f t="shared" si="164"/>
        <v>#NUM!</v>
      </c>
      <c r="AL185" s="20" t="e">
        <f t="shared" si="165"/>
        <v>#NUM!</v>
      </c>
      <c r="AM185" s="59" t="e">
        <f t="shared" si="113"/>
        <v>#NUM!</v>
      </c>
      <c r="AN185" s="59">
        <f ca="1">AVERAGE(OFFSET($AM$3,0,0,'Données projet'!$E$10+1,1))-AVERAGE(OFFSET($H$3,0,0,'Données projet'!$E$10+1,1))</f>
        <v>145.3656871223958</v>
      </c>
      <c r="AO185" s="59">
        <f t="shared" si="144"/>
        <v>180.54762778843178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0</v>
      </c>
      <c r="AV185" s="21">
        <f>EXP(-LN(2)/25)*AV184+(1-EXP(-LN(2)/25))/(LN(2)/25)*Calculateur!AQ185*Calculateur!AS185*VLOOKUP('Données projet'!$B$10,Paramètres!$A$1:$I$89,3,0)*0.475*44/12</f>
        <v>8.2205149806749381E-2</v>
      </c>
      <c r="AW185" s="21">
        <f>EXP(-LN(2)/2)*AW184+(1-EXP(-LN(2)/2))/(LN(2)/2)*AQ185*AT185*VLOOKUP('Données projet'!$B$10,Paramètres!$A$1:$I$89,3,0)*0.475*44/12</f>
        <v>1.0802524163068686E-22</v>
      </c>
      <c r="AX185" s="21">
        <f t="shared" si="166"/>
        <v>8.2205149806749381E-2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2.8421709430404007E-14</v>
      </c>
      <c r="BE185" s="13">
        <f>BD185*VLOOKUP('Données projet'!$B$11,Paramètres!$A$1:$I$89,3,0)*VLOOKUP('Données projet'!$B$11,Paramètres!$A$1:$I$89,5,0)</f>
        <v>2.5715962692629544E-14</v>
      </c>
      <c r="BF185" s="13">
        <f t="shared" si="167"/>
        <v>4.5248818890525812E-13</v>
      </c>
      <c r="BG185" s="20">
        <f t="shared" si="168"/>
        <v>8.3287223069965432E-13</v>
      </c>
      <c r="BH185" s="59">
        <f t="shared" si="116"/>
        <v>293.33333333333417</v>
      </c>
      <c r="BI185" s="59">
        <f ca="1">AVERAGE(OFFSET($BH$3,0,0,'Données projet'!$E$11+1,1))-AVERAGE(OFFSET($H$3,0,0,'Données projet'!$E$11+1,1))</f>
        <v>138.8931001150624</v>
      </c>
      <c r="BJ185" s="59">
        <f t="shared" si="146"/>
        <v>48.964659354096625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>
        <f>EXP(-LN(2)/35)*BP184+(1-EXP(-LN(2)/35))/(LN(2)/35)*BL185*BM185*VLOOKUP('Données projet'!$B$11,Paramètres!$A$1:$I$89,3,0)*0.475*44/12</f>
        <v>0</v>
      </c>
      <c r="BQ185" s="21">
        <f>EXP(-LN(2)/25)*BQ184+(1-EXP(-LN(2)/25))/(LN(2)/25)*Calculateur!BL185*Calculateur!BN185*VLOOKUP('Données projet'!$B$11,Paramètres!$A$1:$I$89,3,0)*0.475*44/12</f>
        <v>0</v>
      </c>
      <c r="BR185" s="21">
        <f>EXP(-LN(2)/2)*BR184+(1-EXP(-LN(2)/2))/(LN(2)/2)*BL185*BO185*VLOOKUP('Données projet'!$B$11,Paramètres!$A$1:$I$89,3,0)*0.475*44/12</f>
        <v>0</v>
      </c>
      <c r="BS185" s="22">
        <f t="shared" si="169"/>
        <v>0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1.1368683772161603E-13</v>
      </c>
      <c r="BZ185" s="13">
        <f>BY185*VLOOKUP('Données projet'!$B$12,Paramètres!$A$1:$I$89,3,0)*VLOOKUP('Données projet'!$B$12,Paramètres!$A$1:$I$89,5,0)</f>
        <v>1.0995790944434703E-13</v>
      </c>
      <c r="CA185" s="13">
        <f t="shared" si="170"/>
        <v>1.6337280948049956E-12</v>
      </c>
      <c r="CB185" s="20">
        <f t="shared" si="171"/>
        <v>3.036919790734272E-12</v>
      </c>
      <c r="CC185" s="59">
        <f t="shared" si="119"/>
        <v>293.33333333333633</v>
      </c>
      <c r="CD185" s="59">
        <f ca="1">AVERAGE(OFFSET($CC$3,0,0,'Données projet'!$E$12+1,1))-AVERAGE(OFFSET($H$3,0,0,'Données projet'!$E$12+1,1))</f>
        <v>154.93882427988234</v>
      </c>
      <c r="CE185" s="59">
        <f t="shared" si="148"/>
        <v>56.347130462109817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>
        <f>EXP(-LN(2)/35)*CK184+(1-EXP(-LN(2)/35))/(LN(2)/35)*CG185*CH185*VLOOKUP('Données projet'!$B$12,Paramètres!$A$1:$I$89,3,0)*0.475*44/12</f>
        <v>0</v>
      </c>
      <c r="CL185" s="21">
        <f>EXP(-LN(2)/25)*CL184+(1-EXP(-LN(2)/25))/(LN(2)/25)*Calculateur!CG185*Calculateur!CI185*VLOOKUP('Données projet'!$B$12,Paramètres!$A$1:$I$89,3,0)*0.475*44/12</f>
        <v>0</v>
      </c>
      <c r="CM185" s="21">
        <f>EXP(-LN(2)/2)*CM184+(1-EXP(-LN(2)/2))/(LN(2)/2)*CG185*CJ185*VLOOKUP('Données projet'!$B$12,Paramètres!$A$1:$I$89,3,0)*0.475*44/12</f>
        <v>0</v>
      </c>
      <c r="CN185" s="22">
        <f t="shared" si="172"/>
        <v>0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162.72359999999978</v>
      </c>
      <c r="D186" s="11">
        <f t="shared" si="140"/>
        <v>41.456226201843137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1576.1249741896645</v>
      </c>
      <c r="H186" s="67">
        <f t="shared" si="110"/>
        <v>648.94653063487635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0</v>
      </c>
      <c r="O186" s="13">
        <f>N186*VLOOKUP('Données projet'!$B$9,Paramètres!$A$1:$I$89,3,0)*VLOOKUP('Données projet'!$B$9,Paramètres!$A$1:$I$89,5,0)</f>
        <v>0</v>
      </c>
      <c r="P186" s="13" t="e">
        <f t="shared" si="141"/>
        <v>#NUM!</v>
      </c>
      <c r="Q186" s="20" t="e">
        <f t="shared" si="162"/>
        <v>#NUM!</v>
      </c>
      <c r="R186" s="59" t="e">
        <f t="shared" si="109"/>
        <v>#NUM!</v>
      </c>
      <c r="S186" s="59">
        <f ca="1">AVERAGE(OFFSET($R$3,0,0,'Données projet'!$E$9+1,1))-AVERAGE(OFFSET($H$3,0,0,'Données projet'!$E$9+1,1))</f>
        <v>72.647148358003676</v>
      </c>
      <c r="T186" s="59">
        <f t="shared" si="142"/>
        <v>87.231299224620898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6.1478050902777887E-2</v>
      </c>
      <c r="AA186" s="21">
        <f>EXP(-LN(2)/25)*AA185+(1-EXP(-LN(2)/25))/(LN(2)/25)*Calculateur!V186*Calculateur!X186*VLOOKUP('Données projet'!$B$9,Paramètres!$A$1:$I$89,3,0)*0.475*44/12</f>
        <v>6.5148249704376937E-2</v>
      </c>
      <c r="AB186" s="21">
        <f>EXP(-LN(2)/2)*AB185+(1-EXP(-LN(2)/2))/(LN(2)/2)*V186*Y186*VLOOKUP('Données projet'!$B$9,Paramètres!$A$1:$I$89,3,0)*0.475*44/12</f>
        <v>2.1345721430765813E-23</v>
      </c>
      <c r="AC186" s="22">
        <f t="shared" si="163"/>
        <v>0.12662630060715482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-8.5265128291212022E-14</v>
      </c>
      <c r="AJ186" s="13">
        <f>AI186*VLOOKUP('Données projet'!$B$10,Paramètres!$A$1:$I$89,3,0)*VLOOKUP('Données projet'!$B$10,Paramètres!$A$1:$I$89,5,0)</f>
        <v>-6.9167072069831198E-14</v>
      </c>
      <c r="AK186" s="13" t="e">
        <f t="shared" si="164"/>
        <v>#NUM!</v>
      </c>
      <c r="AL186" s="20" t="e">
        <f t="shared" si="165"/>
        <v>#NUM!</v>
      </c>
      <c r="AM186" s="59" t="e">
        <f t="shared" si="113"/>
        <v>#NUM!</v>
      </c>
      <c r="AN186" s="59">
        <f ca="1">AVERAGE(OFFSET($AM$3,0,0,'Données projet'!$E$10+1,1))-AVERAGE(OFFSET($H$3,0,0,'Données projet'!$E$10+1,1))</f>
        <v>145.3656871223958</v>
      </c>
      <c r="AO186" s="59">
        <f t="shared" si="144"/>
        <v>180.54762778843178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0</v>
      </c>
      <c r="AV186" s="21">
        <f>EXP(-LN(2)/25)*AV185+(1-EXP(-LN(2)/25))/(LN(2)/25)*Calculateur!AQ186*Calculateur!AS186*VLOOKUP('Données projet'!$B$10,Paramètres!$A$1:$I$89,3,0)*0.475*44/12</f>
        <v>7.9957245662302875E-2</v>
      </c>
      <c r="AW186" s="21">
        <f>EXP(-LN(2)/2)*AW185+(1-EXP(-LN(2)/2))/(LN(2)/2)*AQ186*AT186*VLOOKUP('Données projet'!$B$10,Paramètres!$A$1:$I$89,3,0)*0.475*44/12</f>
        <v>7.6385380896374021E-23</v>
      </c>
      <c r="AX186" s="21">
        <f t="shared" si="166"/>
        <v>7.9957245662302875E-2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2.8421709430404007E-14</v>
      </c>
      <c r="BE186" s="13">
        <f>BD186*VLOOKUP('Données projet'!$B$11,Paramètres!$A$1:$I$89,3,0)*VLOOKUP('Données projet'!$B$11,Paramètres!$A$1:$I$89,5,0)</f>
        <v>2.5715962692629544E-14</v>
      </c>
      <c r="BF186" s="13">
        <f t="shared" si="167"/>
        <v>4.5248818890525812E-13</v>
      </c>
      <c r="BG186" s="20">
        <f t="shared" si="168"/>
        <v>8.3287223069965432E-13</v>
      </c>
      <c r="BH186" s="59">
        <f t="shared" si="116"/>
        <v>293.33333333333417</v>
      </c>
      <c r="BI186" s="59">
        <f ca="1">AVERAGE(OFFSET($BH$3,0,0,'Données projet'!$E$11+1,1))-AVERAGE(OFFSET($H$3,0,0,'Données projet'!$E$11+1,1))</f>
        <v>138.8931001150624</v>
      </c>
      <c r="BJ186" s="59">
        <f t="shared" si="146"/>
        <v>48.964659354096625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>
        <f>EXP(-LN(2)/35)*BP185+(1-EXP(-LN(2)/35))/(LN(2)/35)*BL186*BM186*VLOOKUP('Données projet'!$B$11,Paramètres!$A$1:$I$89,3,0)*0.475*44/12</f>
        <v>0</v>
      </c>
      <c r="BQ186" s="21">
        <f>EXP(-LN(2)/25)*BQ185+(1-EXP(-LN(2)/25))/(LN(2)/25)*Calculateur!BL186*Calculateur!BN186*VLOOKUP('Données projet'!$B$11,Paramètres!$A$1:$I$89,3,0)*0.475*44/12</f>
        <v>0</v>
      </c>
      <c r="BR186" s="21">
        <f>EXP(-LN(2)/2)*BR185+(1-EXP(-LN(2)/2))/(LN(2)/2)*BL186*BO186*VLOOKUP('Données projet'!$B$11,Paramètres!$A$1:$I$89,3,0)*0.475*44/12</f>
        <v>0</v>
      </c>
      <c r="BS186" s="22">
        <f t="shared" si="169"/>
        <v>0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1.1368683772161603E-13</v>
      </c>
      <c r="BZ186" s="13">
        <f>BY186*VLOOKUP('Données projet'!$B$12,Paramètres!$A$1:$I$89,3,0)*VLOOKUP('Données projet'!$B$12,Paramètres!$A$1:$I$89,5,0)</f>
        <v>1.0995790944434703E-13</v>
      </c>
      <c r="CA186" s="13">
        <f t="shared" si="170"/>
        <v>1.6337280948049956E-12</v>
      </c>
      <c r="CB186" s="20">
        <f t="shared" si="171"/>
        <v>3.036919790734272E-12</v>
      </c>
      <c r="CC186" s="59">
        <f t="shared" si="119"/>
        <v>293.33333333333633</v>
      </c>
      <c r="CD186" s="59">
        <f ca="1">AVERAGE(OFFSET($CC$3,0,0,'Données projet'!$E$12+1,1))-AVERAGE(OFFSET($H$3,0,0,'Données projet'!$E$12+1,1))</f>
        <v>154.93882427988234</v>
      </c>
      <c r="CE186" s="59">
        <f t="shared" si="148"/>
        <v>56.347130462109817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>
        <f>EXP(-LN(2)/35)*CK185+(1-EXP(-LN(2)/35))/(LN(2)/35)*CG186*CH186*VLOOKUP('Données projet'!$B$12,Paramètres!$A$1:$I$89,3,0)*0.475*44/12</f>
        <v>0</v>
      </c>
      <c r="CL186" s="21">
        <f>EXP(-LN(2)/25)*CL185+(1-EXP(-LN(2)/25))/(LN(2)/25)*Calculateur!CG186*Calculateur!CI186*VLOOKUP('Données projet'!$B$12,Paramètres!$A$1:$I$89,3,0)*0.475*44/12</f>
        <v>0</v>
      </c>
      <c r="CM186" s="21">
        <f>EXP(-LN(2)/2)*CM185+(1-EXP(-LN(2)/2))/(LN(2)/2)*CG186*CJ186*VLOOKUP('Données projet'!$B$12,Paramètres!$A$1:$I$89,3,0)*0.475*44/12</f>
        <v>0</v>
      </c>
      <c r="CN186" s="22">
        <f t="shared" si="172"/>
        <v>0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163.61279999999977</v>
      </c>
      <c r="D187" s="11">
        <f t="shared" si="140"/>
        <v>41.656330547871768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1584.533639316903</v>
      </c>
      <c r="H187" s="67">
        <f t="shared" si="110"/>
        <v>650.84373570420951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0</v>
      </c>
      <c r="O187" s="13">
        <f>N187*VLOOKUP('Données projet'!$B$9,Paramètres!$A$1:$I$89,3,0)*VLOOKUP('Données projet'!$B$9,Paramètres!$A$1:$I$89,5,0)</f>
        <v>0</v>
      </c>
      <c r="P187" s="13" t="e">
        <f t="shared" si="141"/>
        <v>#NUM!</v>
      </c>
      <c r="Q187" s="20" t="e">
        <f t="shared" si="162"/>
        <v>#NUM!</v>
      </c>
      <c r="R187" s="59" t="e">
        <f t="shared" si="109"/>
        <v>#NUM!</v>
      </c>
      <c r="S187" s="59">
        <f ca="1">AVERAGE(OFFSET($R$3,0,0,'Données projet'!$E$9+1,1))-AVERAGE(OFFSET($H$3,0,0,'Données projet'!$E$9+1,1))</f>
        <v>72.647148358003676</v>
      </c>
      <c r="T187" s="59">
        <f t="shared" si="142"/>
        <v>87.231299224620898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6.0272503822482851E-2</v>
      </c>
      <c r="AA187" s="21">
        <f>EXP(-LN(2)/25)*AA186+(1-EXP(-LN(2)/25))/(LN(2)/25)*Calculateur!V187*Calculateur!X187*VLOOKUP('Données projet'!$B$9,Paramètres!$A$1:$I$89,3,0)*0.475*44/12</f>
        <v>6.3366767390213199E-2</v>
      </c>
      <c r="AB187" s="21">
        <f>EXP(-LN(2)/2)*AB186+(1-EXP(-LN(2)/2))/(LN(2)/2)*V187*Y187*VLOOKUP('Données projet'!$B$9,Paramètres!$A$1:$I$89,3,0)*0.475*44/12</f>
        <v>1.509370437301352E-23</v>
      </c>
      <c r="AC187" s="22">
        <f t="shared" si="163"/>
        <v>0.12363927121269605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-8.5265128291212022E-14</v>
      </c>
      <c r="AJ187" s="13">
        <f>AI187*VLOOKUP('Données projet'!$B$10,Paramètres!$A$1:$I$89,3,0)*VLOOKUP('Données projet'!$B$10,Paramètres!$A$1:$I$89,5,0)</f>
        <v>-6.9167072069831198E-14</v>
      </c>
      <c r="AK187" s="13" t="e">
        <f t="shared" si="164"/>
        <v>#NUM!</v>
      </c>
      <c r="AL187" s="20" t="e">
        <f t="shared" si="165"/>
        <v>#NUM!</v>
      </c>
      <c r="AM187" s="59" t="e">
        <f t="shared" si="113"/>
        <v>#NUM!</v>
      </c>
      <c r="AN187" s="59">
        <f ca="1">AVERAGE(OFFSET($AM$3,0,0,'Données projet'!$E$10+1,1))-AVERAGE(OFFSET($H$3,0,0,'Données projet'!$E$10+1,1))</f>
        <v>145.3656871223958</v>
      </c>
      <c r="AO187" s="59">
        <f t="shared" si="144"/>
        <v>180.54762778843178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0</v>
      </c>
      <c r="AV187" s="21">
        <f>EXP(-LN(2)/25)*AV186+(1-EXP(-LN(2)/25))/(LN(2)/25)*Calculateur!AQ187*Calculateur!AS187*VLOOKUP('Données projet'!$B$10,Paramètres!$A$1:$I$89,3,0)*0.475*44/12</f>
        <v>7.7770810574898402E-2</v>
      </c>
      <c r="AW187" s="21">
        <f>EXP(-LN(2)/2)*AW186+(1-EXP(-LN(2)/2))/(LN(2)/2)*AQ187*AT187*VLOOKUP('Données projet'!$B$10,Paramètres!$A$1:$I$89,3,0)*0.475*44/12</f>
        <v>5.4012620815343432E-23</v>
      </c>
      <c r="AX187" s="21">
        <f t="shared" si="166"/>
        <v>7.7770810574898402E-2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2.8421709430404007E-14</v>
      </c>
      <c r="BE187" s="13">
        <f>BD187*VLOOKUP('Données projet'!$B$11,Paramètres!$A$1:$I$89,3,0)*VLOOKUP('Données projet'!$B$11,Paramètres!$A$1:$I$89,5,0)</f>
        <v>2.5715962692629544E-14</v>
      </c>
      <c r="BF187" s="13">
        <f t="shared" si="167"/>
        <v>4.5248818890525812E-13</v>
      </c>
      <c r="BG187" s="20">
        <f t="shared" si="168"/>
        <v>8.3287223069965432E-13</v>
      </c>
      <c r="BH187" s="59">
        <f t="shared" si="116"/>
        <v>293.33333333333417</v>
      </c>
      <c r="BI187" s="59">
        <f ca="1">AVERAGE(OFFSET($BH$3,0,0,'Données projet'!$E$11+1,1))-AVERAGE(OFFSET($H$3,0,0,'Données projet'!$E$11+1,1))</f>
        <v>138.8931001150624</v>
      </c>
      <c r="BJ187" s="59">
        <f t="shared" si="146"/>
        <v>48.964659354096625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>
        <f>EXP(-LN(2)/35)*BP186+(1-EXP(-LN(2)/35))/(LN(2)/35)*BL187*BM187*VLOOKUP('Données projet'!$B$11,Paramètres!$A$1:$I$89,3,0)*0.475*44/12</f>
        <v>0</v>
      </c>
      <c r="BQ187" s="21">
        <f>EXP(-LN(2)/25)*BQ186+(1-EXP(-LN(2)/25))/(LN(2)/25)*Calculateur!BL187*Calculateur!BN187*VLOOKUP('Données projet'!$B$11,Paramètres!$A$1:$I$89,3,0)*0.475*44/12</f>
        <v>0</v>
      </c>
      <c r="BR187" s="21">
        <f>EXP(-LN(2)/2)*BR186+(1-EXP(-LN(2)/2))/(LN(2)/2)*BL187*BO187*VLOOKUP('Données projet'!$B$11,Paramètres!$A$1:$I$89,3,0)*0.475*44/12</f>
        <v>0</v>
      </c>
      <c r="BS187" s="22">
        <f t="shared" si="169"/>
        <v>0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1.1368683772161603E-13</v>
      </c>
      <c r="BZ187" s="13">
        <f>BY187*VLOOKUP('Données projet'!$B$12,Paramètres!$A$1:$I$89,3,0)*VLOOKUP('Données projet'!$B$12,Paramètres!$A$1:$I$89,5,0)</f>
        <v>1.0995790944434703E-13</v>
      </c>
      <c r="CA187" s="13">
        <f t="shared" si="170"/>
        <v>1.6337280948049956E-12</v>
      </c>
      <c r="CB187" s="20">
        <f t="shared" si="171"/>
        <v>3.036919790734272E-12</v>
      </c>
      <c r="CC187" s="59">
        <f t="shared" si="119"/>
        <v>293.33333333333633</v>
      </c>
      <c r="CD187" s="59">
        <f ca="1">AVERAGE(OFFSET($CC$3,0,0,'Données projet'!$E$12+1,1))-AVERAGE(OFFSET($H$3,0,0,'Données projet'!$E$12+1,1))</f>
        <v>154.93882427988234</v>
      </c>
      <c r="CE187" s="59">
        <f t="shared" si="148"/>
        <v>56.347130462109817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>
        <f>EXP(-LN(2)/35)*CK186+(1-EXP(-LN(2)/35))/(LN(2)/35)*CG187*CH187*VLOOKUP('Données projet'!$B$12,Paramètres!$A$1:$I$89,3,0)*0.475*44/12</f>
        <v>0</v>
      </c>
      <c r="CL187" s="21">
        <f>EXP(-LN(2)/25)*CL186+(1-EXP(-LN(2)/25))/(LN(2)/25)*Calculateur!CG187*Calculateur!CI187*VLOOKUP('Données projet'!$B$12,Paramètres!$A$1:$I$89,3,0)*0.475*44/12</f>
        <v>0</v>
      </c>
      <c r="CM187" s="21">
        <f>EXP(-LN(2)/2)*CM186+(1-EXP(-LN(2)/2))/(LN(2)/2)*CG187*CJ187*VLOOKUP('Données projet'!$B$12,Paramètres!$A$1:$I$89,3,0)*0.475*44/12</f>
        <v>0</v>
      </c>
      <c r="CN187" s="22">
        <f t="shared" si="172"/>
        <v>0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164.50199999999975</v>
      </c>
      <c r="D188" s="11">
        <f t="shared" si="140"/>
        <v>41.856308345523843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1592.9413275794805</v>
      </c>
      <c r="H188" s="67">
        <f t="shared" si="110"/>
        <v>652.74072036845359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0</v>
      </c>
      <c r="O188" s="13">
        <f>N188*VLOOKUP('Données projet'!$B$9,Paramètres!$A$1:$I$89,3,0)*VLOOKUP('Données projet'!$B$9,Paramètres!$A$1:$I$89,5,0)</f>
        <v>0</v>
      </c>
      <c r="P188" s="13" t="e">
        <f t="shared" si="141"/>
        <v>#NUM!</v>
      </c>
      <c r="Q188" s="20" t="e">
        <f t="shared" si="162"/>
        <v>#NUM!</v>
      </c>
      <c r="R188" s="59" t="e">
        <f t="shared" si="109"/>
        <v>#NUM!</v>
      </c>
      <c r="S188" s="59">
        <f ca="1">AVERAGE(OFFSET($R$3,0,0,'Données projet'!$E$9+1,1))-AVERAGE(OFFSET($H$3,0,0,'Données projet'!$E$9+1,1))</f>
        <v>72.647148358003676</v>
      </c>
      <c r="T188" s="59">
        <f t="shared" si="142"/>
        <v>87.231299224620898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5.909059678512129E-2</v>
      </c>
      <c r="AA188" s="21">
        <f>EXP(-LN(2)/25)*AA187+(1-EXP(-LN(2)/25))/(LN(2)/25)*Calculateur!V188*Calculateur!X188*VLOOKUP('Données projet'!$B$9,Paramètres!$A$1:$I$89,3,0)*0.475*44/12</f>
        <v>6.163399980361435E-2</v>
      </c>
      <c r="AB188" s="21">
        <f>EXP(-LN(2)/2)*AB187+(1-EXP(-LN(2)/2))/(LN(2)/2)*V188*Y188*VLOOKUP('Données projet'!$B$9,Paramètres!$A$1:$I$89,3,0)*0.475*44/12</f>
        <v>1.0672860715382907E-23</v>
      </c>
      <c r="AC188" s="22">
        <f t="shared" si="163"/>
        <v>0.12072459658873563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-8.5265128291212022E-14</v>
      </c>
      <c r="AJ188" s="13">
        <f>AI188*VLOOKUP('Données projet'!$B$10,Paramètres!$A$1:$I$89,3,0)*VLOOKUP('Données projet'!$B$10,Paramètres!$A$1:$I$89,5,0)</f>
        <v>-6.9167072069831198E-14</v>
      </c>
      <c r="AK188" s="13" t="e">
        <f t="shared" si="164"/>
        <v>#NUM!</v>
      </c>
      <c r="AL188" s="20" t="e">
        <f t="shared" si="165"/>
        <v>#NUM!</v>
      </c>
      <c r="AM188" s="59" t="e">
        <f t="shared" si="113"/>
        <v>#NUM!</v>
      </c>
      <c r="AN188" s="59">
        <f ca="1">AVERAGE(OFFSET($AM$3,0,0,'Données projet'!$E$10+1,1))-AVERAGE(OFFSET($H$3,0,0,'Données projet'!$E$10+1,1))</f>
        <v>145.3656871223958</v>
      </c>
      <c r="AO188" s="59">
        <f t="shared" si="144"/>
        <v>180.54762778843178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0</v>
      </c>
      <c r="AV188" s="21">
        <f>EXP(-LN(2)/25)*AV187+(1-EXP(-LN(2)/25))/(LN(2)/25)*Calculateur!AQ188*Calculateur!AS188*VLOOKUP('Données projet'!$B$10,Paramètres!$A$1:$I$89,3,0)*0.475*44/12</f>
        <v>7.5644163669938619E-2</v>
      </c>
      <c r="AW188" s="21">
        <f>EXP(-LN(2)/2)*AW187+(1-EXP(-LN(2)/2))/(LN(2)/2)*AQ188*AT188*VLOOKUP('Données projet'!$B$10,Paramètres!$A$1:$I$89,3,0)*0.475*44/12</f>
        <v>3.819269044818701E-23</v>
      </c>
      <c r="AX188" s="21">
        <f t="shared" si="166"/>
        <v>7.5644163669938619E-2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2.8421709430404007E-14</v>
      </c>
      <c r="BE188" s="13">
        <f>BD188*VLOOKUP('Données projet'!$B$11,Paramètres!$A$1:$I$89,3,0)*VLOOKUP('Données projet'!$B$11,Paramètres!$A$1:$I$89,5,0)</f>
        <v>2.5715962692629544E-14</v>
      </c>
      <c r="BF188" s="13">
        <f t="shared" si="167"/>
        <v>4.5248818890525812E-13</v>
      </c>
      <c r="BG188" s="20">
        <f t="shared" si="168"/>
        <v>8.3287223069965432E-13</v>
      </c>
      <c r="BH188" s="59">
        <f t="shared" si="116"/>
        <v>293.33333333333417</v>
      </c>
      <c r="BI188" s="59">
        <f ca="1">AVERAGE(OFFSET($BH$3,0,0,'Données projet'!$E$11+1,1))-AVERAGE(OFFSET($H$3,0,0,'Données projet'!$E$11+1,1))</f>
        <v>138.8931001150624</v>
      </c>
      <c r="BJ188" s="59">
        <f t="shared" si="146"/>
        <v>48.964659354096625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>
        <f>EXP(-LN(2)/35)*BP187+(1-EXP(-LN(2)/35))/(LN(2)/35)*BL188*BM188*VLOOKUP('Données projet'!$B$11,Paramètres!$A$1:$I$89,3,0)*0.475*44/12</f>
        <v>0</v>
      </c>
      <c r="BQ188" s="21">
        <f>EXP(-LN(2)/25)*BQ187+(1-EXP(-LN(2)/25))/(LN(2)/25)*Calculateur!BL188*Calculateur!BN188*VLOOKUP('Données projet'!$B$11,Paramètres!$A$1:$I$89,3,0)*0.475*44/12</f>
        <v>0</v>
      </c>
      <c r="BR188" s="21">
        <f>EXP(-LN(2)/2)*BR187+(1-EXP(-LN(2)/2))/(LN(2)/2)*BL188*BO188*VLOOKUP('Données projet'!$B$11,Paramètres!$A$1:$I$89,3,0)*0.475*44/12</f>
        <v>0</v>
      </c>
      <c r="BS188" s="22">
        <f t="shared" si="169"/>
        <v>0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1.1368683772161603E-13</v>
      </c>
      <c r="BZ188" s="13">
        <f>BY188*VLOOKUP('Données projet'!$B$12,Paramètres!$A$1:$I$89,3,0)*VLOOKUP('Données projet'!$B$12,Paramètres!$A$1:$I$89,5,0)</f>
        <v>1.0995790944434703E-13</v>
      </c>
      <c r="CA188" s="13">
        <f t="shared" si="170"/>
        <v>1.6337280948049956E-12</v>
      </c>
      <c r="CB188" s="20">
        <f t="shared" si="171"/>
        <v>3.036919790734272E-12</v>
      </c>
      <c r="CC188" s="59">
        <f t="shared" si="119"/>
        <v>293.33333333333633</v>
      </c>
      <c r="CD188" s="59">
        <f ca="1">AVERAGE(OFFSET($CC$3,0,0,'Données projet'!$E$12+1,1))-AVERAGE(OFFSET($H$3,0,0,'Données projet'!$E$12+1,1))</f>
        <v>154.93882427988234</v>
      </c>
      <c r="CE188" s="59">
        <f t="shared" si="148"/>
        <v>56.347130462109817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>
        <f>EXP(-LN(2)/35)*CK187+(1-EXP(-LN(2)/35))/(LN(2)/35)*CG188*CH188*VLOOKUP('Données projet'!$B$12,Paramètres!$A$1:$I$89,3,0)*0.475*44/12</f>
        <v>0</v>
      </c>
      <c r="CL188" s="21">
        <f>EXP(-LN(2)/25)*CL187+(1-EXP(-LN(2)/25))/(LN(2)/25)*Calculateur!CG188*Calculateur!CI188*VLOOKUP('Données projet'!$B$12,Paramètres!$A$1:$I$89,3,0)*0.475*44/12</f>
        <v>0</v>
      </c>
      <c r="CM188" s="21">
        <f>EXP(-LN(2)/2)*CM187+(1-EXP(-LN(2)/2))/(LN(2)/2)*CG188*CJ188*VLOOKUP('Données projet'!$B$12,Paramètres!$A$1:$I$89,3,0)*0.475*44/12</f>
        <v>0</v>
      </c>
      <c r="CN188" s="22">
        <f t="shared" si="172"/>
        <v>0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165.39119999999974</v>
      </c>
      <c r="D189" s="11">
        <f t="shared" si="140"/>
        <v>42.056160358234798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1601.3480448705823</v>
      </c>
      <c r="H189" s="67">
        <f t="shared" si="110"/>
        <v>654.63748595725838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0</v>
      </c>
      <c r="O189" s="13">
        <f>N189*VLOOKUP('Données projet'!$B$9,Paramètres!$A$1:$I$89,3,0)*VLOOKUP('Données projet'!$B$9,Paramètres!$A$1:$I$89,5,0)</f>
        <v>0</v>
      </c>
      <c r="P189" s="13" t="e">
        <f t="shared" si="141"/>
        <v>#NUM!</v>
      </c>
      <c r="Q189" s="20" t="e">
        <f t="shared" si="162"/>
        <v>#NUM!</v>
      </c>
      <c r="R189" s="59" t="e">
        <f t="shared" si="109"/>
        <v>#NUM!</v>
      </c>
      <c r="S189" s="59">
        <f ca="1">AVERAGE(OFFSET($R$3,0,0,'Données projet'!$E$9+1,1))-AVERAGE(OFFSET($H$3,0,0,'Données projet'!$E$9+1,1))</f>
        <v>72.647148358003676</v>
      </c>
      <c r="T189" s="59">
        <f t="shared" si="142"/>
        <v>87.231299224620898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5.7931866223870275E-2</v>
      </c>
      <c r="AA189" s="21">
        <f>EXP(-LN(2)/25)*AA188+(1-EXP(-LN(2)/25))/(LN(2)/25)*Calculateur!V189*Calculateur!X189*VLOOKUP('Données projet'!$B$9,Paramètres!$A$1:$I$89,3,0)*0.475*44/12</f>
        <v>5.9948614837793332E-2</v>
      </c>
      <c r="AB189" s="21">
        <f>EXP(-LN(2)/2)*AB188+(1-EXP(-LN(2)/2))/(LN(2)/2)*V189*Y189*VLOOKUP('Données projet'!$B$9,Paramètres!$A$1:$I$89,3,0)*0.475*44/12</f>
        <v>7.5468521865067599E-24</v>
      </c>
      <c r="AC189" s="22">
        <f t="shared" si="163"/>
        <v>0.1178804810616636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-8.5265128291212022E-14</v>
      </c>
      <c r="AJ189" s="13">
        <f>AI189*VLOOKUP('Données projet'!$B$10,Paramètres!$A$1:$I$89,3,0)*VLOOKUP('Données projet'!$B$10,Paramètres!$A$1:$I$89,5,0)</f>
        <v>-6.9167072069831198E-14</v>
      </c>
      <c r="AK189" s="13" t="e">
        <f t="shared" si="164"/>
        <v>#NUM!</v>
      </c>
      <c r="AL189" s="20" t="e">
        <f t="shared" si="165"/>
        <v>#NUM!</v>
      </c>
      <c r="AM189" s="59" t="e">
        <f t="shared" si="113"/>
        <v>#NUM!</v>
      </c>
      <c r="AN189" s="59">
        <f ca="1">AVERAGE(OFFSET($AM$3,0,0,'Données projet'!$E$10+1,1))-AVERAGE(OFFSET($H$3,0,0,'Données projet'!$E$10+1,1))</f>
        <v>145.3656871223958</v>
      </c>
      <c r="AO189" s="59">
        <f t="shared" si="144"/>
        <v>180.54762778843178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0</v>
      </c>
      <c r="AV189" s="21">
        <f>EXP(-LN(2)/25)*AV188+(1-EXP(-LN(2)/25))/(LN(2)/25)*Calculateur!AQ189*Calculateur!AS189*VLOOKUP('Données projet'!$B$10,Paramètres!$A$1:$I$89,3,0)*0.475*44/12</f>
        <v>7.3575670036430466E-2</v>
      </c>
      <c r="AW189" s="21">
        <f>EXP(-LN(2)/2)*AW188+(1-EXP(-LN(2)/2))/(LN(2)/2)*AQ189*AT189*VLOOKUP('Données projet'!$B$10,Paramètres!$A$1:$I$89,3,0)*0.475*44/12</f>
        <v>2.7006310407671716E-23</v>
      </c>
      <c r="AX189" s="21">
        <f t="shared" si="166"/>
        <v>7.3575670036430466E-2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2.8421709430404007E-14</v>
      </c>
      <c r="BE189" s="13">
        <f>BD189*VLOOKUP('Données projet'!$B$11,Paramètres!$A$1:$I$89,3,0)*VLOOKUP('Données projet'!$B$11,Paramètres!$A$1:$I$89,5,0)</f>
        <v>2.5715962692629544E-14</v>
      </c>
      <c r="BF189" s="13">
        <f t="shared" si="167"/>
        <v>4.5248818890525812E-13</v>
      </c>
      <c r="BG189" s="20">
        <f t="shared" si="168"/>
        <v>8.3287223069965432E-13</v>
      </c>
      <c r="BH189" s="59">
        <f t="shared" si="116"/>
        <v>293.33333333333417</v>
      </c>
      <c r="BI189" s="59">
        <f ca="1">AVERAGE(OFFSET($BH$3,0,0,'Données projet'!$E$11+1,1))-AVERAGE(OFFSET($H$3,0,0,'Données projet'!$E$11+1,1))</f>
        <v>138.8931001150624</v>
      </c>
      <c r="BJ189" s="59">
        <f t="shared" si="146"/>
        <v>48.964659354096625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>
        <f>EXP(-LN(2)/35)*BP188+(1-EXP(-LN(2)/35))/(LN(2)/35)*BL189*BM189*VLOOKUP('Données projet'!$B$11,Paramètres!$A$1:$I$89,3,0)*0.475*44/12</f>
        <v>0</v>
      </c>
      <c r="BQ189" s="21">
        <f>EXP(-LN(2)/25)*BQ188+(1-EXP(-LN(2)/25))/(LN(2)/25)*Calculateur!BL189*Calculateur!BN189*VLOOKUP('Données projet'!$B$11,Paramètres!$A$1:$I$89,3,0)*0.475*44/12</f>
        <v>0</v>
      </c>
      <c r="BR189" s="21">
        <f>EXP(-LN(2)/2)*BR188+(1-EXP(-LN(2)/2))/(LN(2)/2)*BL189*BO189*VLOOKUP('Données projet'!$B$11,Paramètres!$A$1:$I$89,3,0)*0.475*44/12</f>
        <v>0</v>
      </c>
      <c r="BS189" s="22">
        <f t="shared" si="169"/>
        <v>0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1.1368683772161603E-13</v>
      </c>
      <c r="BZ189" s="13">
        <f>BY189*VLOOKUP('Données projet'!$B$12,Paramètres!$A$1:$I$89,3,0)*VLOOKUP('Données projet'!$B$12,Paramètres!$A$1:$I$89,5,0)</f>
        <v>1.0995790944434703E-13</v>
      </c>
      <c r="CA189" s="13">
        <f t="shared" si="170"/>
        <v>1.6337280948049956E-12</v>
      </c>
      <c r="CB189" s="20">
        <f t="shared" si="171"/>
        <v>3.036919790734272E-12</v>
      </c>
      <c r="CC189" s="59">
        <f t="shared" si="119"/>
        <v>293.33333333333633</v>
      </c>
      <c r="CD189" s="59">
        <f ca="1">AVERAGE(OFFSET($CC$3,0,0,'Données projet'!$E$12+1,1))-AVERAGE(OFFSET($H$3,0,0,'Données projet'!$E$12+1,1))</f>
        <v>154.93882427988234</v>
      </c>
      <c r="CE189" s="59">
        <f t="shared" si="148"/>
        <v>56.347130462109817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>
        <f>EXP(-LN(2)/35)*CK188+(1-EXP(-LN(2)/35))/(LN(2)/35)*CG189*CH189*VLOOKUP('Données projet'!$B$12,Paramètres!$A$1:$I$89,3,0)*0.475*44/12</f>
        <v>0</v>
      </c>
      <c r="CL189" s="21">
        <f>EXP(-LN(2)/25)*CL188+(1-EXP(-LN(2)/25))/(LN(2)/25)*Calculateur!CG189*Calculateur!CI189*VLOOKUP('Données projet'!$B$12,Paramètres!$A$1:$I$89,3,0)*0.475*44/12</f>
        <v>0</v>
      </c>
      <c r="CM189" s="21">
        <f>EXP(-LN(2)/2)*CM188+(1-EXP(-LN(2)/2))/(LN(2)/2)*CG189*CJ189*VLOOKUP('Données projet'!$B$12,Paramètres!$A$1:$I$89,3,0)*0.475*44/12</f>
        <v>0</v>
      </c>
      <c r="CN189" s="22">
        <f t="shared" si="172"/>
        <v>0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166.28039999999973</v>
      </c>
      <c r="D190" s="11">
        <f t="shared" si="140"/>
        <v>42.255887340755834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1609.7537970163587</v>
      </c>
      <c r="H190" s="67">
        <f t="shared" si="110"/>
        <v>656.53403378514918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0</v>
      </c>
      <c r="O190" s="13">
        <f>N190*VLOOKUP('Données projet'!$B$9,Paramètres!$A$1:$I$89,3,0)*VLOOKUP('Données projet'!$B$9,Paramètres!$A$1:$I$89,5,0)</f>
        <v>0</v>
      </c>
      <c r="P190" s="13" t="e">
        <f t="shared" si="141"/>
        <v>#NUM!</v>
      </c>
      <c r="Q190" s="20" t="e">
        <f t="shared" si="162"/>
        <v>#NUM!</v>
      </c>
      <c r="R190" s="59" t="e">
        <f t="shared" si="109"/>
        <v>#NUM!</v>
      </c>
      <c r="S190" s="59">
        <f ca="1">AVERAGE(OFFSET($R$3,0,0,'Données projet'!$E$9+1,1))-AVERAGE(OFFSET($H$3,0,0,'Données projet'!$E$9+1,1))</f>
        <v>72.647148358003676</v>
      </c>
      <c r="T190" s="59">
        <f t="shared" si="142"/>
        <v>87.231299224620898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5.679585766216954E-2</v>
      </c>
      <c r="AA190" s="21">
        <f>EXP(-LN(2)/25)*AA189+(1-EXP(-LN(2)/25))/(LN(2)/25)*Calculateur!V190*Calculateur!X190*VLOOKUP('Données projet'!$B$9,Paramètres!$A$1:$I$89,3,0)*0.475*44/12</f>
        <v>5.8309316812493232E-2</v>
      </c>
      <c r="AB190" s="21">
        <f>EXP(-LN(2)/2)*AB189+(1-EXP(-LN(2)/2))/(LN(2)/2)*V190*Y190*VLOOKUP('Données projet'!$B$9,Paramètres!$A$1:$I$89,3,0)*0.475*44/12</f>
        <v>5.3364303576914533E-24</v>
      </c>
      <c r="AC190" s="22">
        <f t="shared" si="163"/>
        <v>0.11510517447466277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-8.5265128291212022E-14</v>
      </c>
      <c r="AJ190" s="13">
        <f>AI190*VLOOKUP('Données projet'!$B$10,Paramètres!$A$1:$I$89,3,0)*VLOOKUP('Données projet'!$B$10,Paramètres!$A$1:$I$89,5,0)</f>
        <v>-6.9167072069831198E-14</v>
      </c>
      <c r="AK190" s="13" t="e">
        <f t="shared" si="164"/>
        <v>#NUM!</v>
      </c>
      <c r="AL190" s="20" t="e">
        <f t="shared" si="165"/>
        <v>#NUM!</v>
      </c>
      <c r="AM190" s="59" t="e">
        <f t="shared" si="113"/>
        <v>#NUM!</v>
      </c>
      <c r="AN190" s="59">
        <f ca="1">AVERAGE(OFFSET($AM$3,0,0,'Données projet'!$E$10+1,1))-AVERAGE(OFFSET($H$3,0,0,'Données projet'!$E$10+1,1))</f>
        <v>145.3656871223958</v>
      </c>
      <c r="AO190" s="59">
        <f t="shared" si="144"/>
        <v>180.54762778843178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0</v>
      </c>
      <c r="AV190" s="21">
        <f>EXP(-LN(2)/25)*AV189+(1-EXP(-LN(2)/25))/(LN(2)/25)*Calculateur!AQ190*Calculateur!AS190*VLOOKUP('Données projet'!$B$10,Paramètres!$A$1:$I$89,3,0)*0.475*44/12</f>
        <v>7.156373947010794E-2</v>
      </c>
      <c r="AW190" s="21">
        <f>EXP(-LN(2)/2)*AW189+(1-EXP(-LN(2)/2))/(LN(2)/2)*AQ190*AT190*VLOOKUP('Données projet'!$B$10,Paramètres!$A$1:$I$89,3,0)*0.475*44/12</f>
        <v>1.9096345224093505E-23</v>
      </c>
      <c r="AX190" s="21">
        <f t="shared" si="166"/>
        <v>7.156373947010794E-2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2.8421709430404007E-14</v>
      </c>
      <c r="BE190" s="13">
        <f>BD190*VLOOKUP('Données projet'!$B$11,Paramètres!$A$1:$I$89,3,0)*VLOOKUP('Données projet'!$B$11,Paramètres!$A$1:$I$89,5,0)</f>
        <v>2.5715962692629544E-14</v>
      </c>
      <c r="BF190" s="13">
        <f t="shared" si="167"/>
        <v>4.5248818890525812E-13</v>
      </c>
      <c r="BG190" s="20">
        <f t="shared" si="168"/>
        <v>8.3287223069965432E-13</v>
      </c>
      <c r="BH190" s="59">
        <f t="shared" si="116"/>
        <v>293.33333333333417</v>
      </c>
      <c r="BI190" s="59">
        <f ca="1">AVERAGE(OFFSET($BH$3,0,0,'Données projet'!$E$11+1,1))-AVERAGE(OFFSET($H$3,0,0,'Données projet'!$E$11+1,1))</f>
        <v>138.8931001150624</v>
      </c>
      <c r="BJ190" s="59">
        <f t="shared" si="146"/>
        <v>48.964659354096625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>
        <f>EXP(-LN(2)/35)*BP189+(1-EXP(-LN(2)/35))/(LN(2)/35)*BL190*BM190*VLOOKUP('Données projet'!$B$11,Paramètres!$A$1:$I$89,3,0)*0.475*44/12</f>
        <v>0</v>
      </c>
      <c r="BQ190" s="21">
        <f>EXP(-LN(2)/25)*BQ189+(1-EXP(-LN(2)/25))/(LN(2)/25)*Calculateur!BL190*Calculateur!BN190*VLOOKUP('Données projet'!$B$11,Paramètres!$A$1:$I$89,3,0)*0.475*44/12</f>
        <v>0</v>
      </c>
      <c r="BR190" s="21">
        <f>EXP(-LN(2)/2)*BR189+(1-EXP(-LN(2)/2))/(LN(2)/2)*BL190*BO190*VLOOKUP('Données projet'!$B$11,Paramètres!$A$1:$I$89,3,0)*0.475*44/12</f>
        <v>0</v>
      </c>
      <c r="BS190" s="22">
        <f t="shared" si="169"/>
        <v>0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1.1368683772161603E-13</v>
      </c>
      <c r="BZ190" s="13">
        <f>BY190*VLOOKUP('Données projet'!$B$12,Paramètres!$A$1:$I$89,3,0)*VLOOKUP('Données projet'!$B$12,Paramètres!$A$1:$I$89,5,0)</f>
        <v>1.0995790944434703E-13</v>
      </c>
      <c r="CA190" s="13">
        <f t="shared" si="170"/>
        <v>1.6337280948049956E-12</v>
      </c>
      <c r="CB190" s="20">
        <f t="shared" si="171"/>
        <v>3.036919790734272E-12</v>
      </c>
      <c r="CC190" s="59">
        <f t="shared" si="119"/>
        <v>293.33333333333633</v>
      </c>
      <c r="CD190" s="59">
        <f ca="1">AVERAGE(OFFSET($CC$3,0,0,'Données projet'!$E$12+1,1))-AVERAGE(OFFSET($H$3,0,0,'Données projet'!$E$12+1,1))</f>
        <v>154.93882427988234</v>
      </c>
      <c r="CE190" s="59">
        <f t="shared" si="148"/>
        <v>56.347130462109817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>
        <f>EXP(-LN(2)/35)*CK189+(1-EXP(-LN(2)/35))/(LN(2)/35)*CG190*CH190*VLOOKUP('Données projet'!$B$12,Paramètres!$A$1:$I$89,3,0)*0.475*44/12</f>
        <v>0</v>
      </c>
      <c r="CL190" s="21">
        <f>EXP(-LN(2)/25)*CL189+(1-EXP(-LN(2)/25))/(LN(2)/25)*Calculateur!CG190*Calculateur!CI190*VLOOKUP('Données projet'!$B$12,Paramètres!$A$1:$I$89,3,0)*0.475*44/12</f>
        <v>0</v>
      </c>
      <c r="CM190" s="21">
        <f>EXP(-LN(2)/2)*CM189+(1-EXP(-LN(2)/2))/(LN(2)/2)*CG190*CJ190*VLOOKUP('Données projet'!$B$12,Paramètres!$A$1:$I$89,3,0)*0.475*44/12</f>
        <v>0</v>
      </c>
      <c r="CN190" s="22">
        <f t="shared" si="172"/>
        <v>0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167.16959999999972</v>
      </c>
      <c r="D191" s="11">
        <f t="shared" si="140"/>
        <v>42.455490039298816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1618.1585897770412</v>
      </c>
      <c r="H191" s="67">
        <f t="shared" si="110"/>
        <v>658.43036515177823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0</v>
      </c>
      <c r="O191" s="13">
        <f>N191*VLOOKUP('Données projet'!$B$9,Paramètres!$A$1:$I$89,3,0)*VLOOKUP('Données projet'!$B$9,Paramètres!$A$1:$I$89,5,0)</f>
        <v>0</v>
      </c>
      <c r="P191" s="13" t="e">
        <f t="shared" si="141"/>
        <v>#NUM!</v>
      </c>
      <c r="Q191" s="20" t="e">
        <f t="shared" si="162"/>
        <v>#NUM!</v>
      </c>
      <c r="R191" s="59" t="e">
        <f t="shared" si="109"/>
        <v>#NUM!</v>
      </c>
      <c r="S191" s="59">
        <f ca="1">AVERAGE(OFFSET($R$3,0,0,'Données projet'!$E$9+1,1))-AVERAGE(OFFSET($H$3,0,0,'Données projet'!$E$9+1,1))</f>
        <v>72.647148358003676</v>
      </c>
      <c r="T191" s="59">
        <f t="shared" si="142"/>
        <v>87.231299224620898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5.5682125535466948E-2</v>
      </c>
      <c r="AA191" s="21">
        <f>EXP(-LN(2)/25)*AA190+(1-EXP(-LN(2)/25))/(LN(2)/25)*Calculateur!V191*Calculateur!X191*VLOOKUP('Données projet'!$B$9,Paramètres!$A$1:$I$89,3,0)*0.475*44/12</f>
        <v>5.6714845477901898E-2</v>
      </c>
      <c r="AB191" s="21">
        <f>EXP(-LN(2)/2)*AB190+(1-EXP(-LN(2)/2))/(LN(2)/2)*V191*Y191*VLOOKUP('Données projet'!$B$9,Paramètres!$A$1:$I$89,3,0)*0.475*44/12</f>
        <v>3.77342609325338E-24</v>
      </c>
      <c r="AC191" s="22">
        <f t="shared" si="163"/>
        <v>0.11239697101336885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-8.5265128291212022E-14</v>
      </c>
      <c r="AJ191" s="13">
        <f>AI191*VLOOKUP('Données projet'!$B$10,Paramètres!$A$1:$I$89,3,0)*VLOOKUP('Données projet'!$B$10,Paramètres!$A$1:$I$89,5,0)</f>
        <v>-6.9167072069831198E-14</v>
      </c>
      <c r="AK191" s="13" t="e">
        <f t="shared" si="164"/>
        <v>#NUM!</v>
      </c>
      <c r="AL191" s="20" t="e">
        <f t="shared" si="165"/>
        <v>#NUM!</v>
      </c>
      <c r="AM191" s="59" t="e">
        <f t="shared" si="113"/>
        <v>#NUM!</v>
      </c>
      <c r="AN191" s="59">
        <f ca="1">AVERAGE(OFFSET($AM$3,0,0,'Données projet'!$E$10+1,1))-AVERAGE(OFFSET($H$3,0,0,'Données projet'!$E$10+1,1))</f>
        <v>145.3656871223958</v>
      </c>
      <c r="AO191" s="59">
        <f t="shared" si="144"/>
        <v>180.54762778843178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0</v>
      </c>
      <c r="AV191" s="21">
        <f>EXP(-LN(2)/25)*AV190+(1-EXP(-LN(2)/25))/(LN(2)/25)*Calculateur!AQ191*Calculateur!AS191*VLOOKUP('Données projet'!$B$10,Paramètres!$A$1:$I$89,3,0)*0.475*44/12</f>
        <v>6.9606825250924334E-2</v>
      </c>
      <c r="AW191" s="21">
        <f>EXP(-LN(2)/2)*AW190+(1-EXP(-LN(2)/2))/(LN(2)/2)*AQ191*AT191*VLOOKUP('Données projet'!$B$10,Paramètres!$A$1:$I$89,3,0)*0.475*44/12</f>
        <v>1.3503155203835858E-23</v>
      </c>
      <c r="AX191" s="21">
        <f t="shared" si="166"/>
        <v>6.9606825250924334E-2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2.8421709430404007E-14</v>
      </c>
      <c r="BE191" s="13">
        <f>BD191*VLOOKUP('Données projet'!$B$11,Paramètres!$A$1:$I$89,3,0)*VLOOKUP('Données projet'!$B$11,Paramètres!$A$1:$I$89,5,0)</f>
        <v>2.5715962692629544E-14</v>
      </c>
      <c r="BF191" s="13">
        <f t="shared" si="167"/>
        <v>4.5248818890525812E-13</v>
      </c>
      <c r="BG191" s="20">
        <f t="shared" si="168"/>
        <v>8.3287223069965432E-13</v>
      </c>
      <c r="BH191" s="59">
        <f t="shared" si="116"/>
        <v>293.33333333333417</v>
      </c>
      <c r="BI191" s="59">
        <f ca="1">AVERAGE(OFFSET($BH$3,0,0,'Données projet'!$E$11+1,1))-AVERAGE(OFFSET($H$3,0,0,'Données projet'!$E$11+1,1))</f>
        <v>138.8931001150624</v>
      </c>
      <c r="BJ191" s="59">
        <f t="shared" si="146"/>
        <v>48.964659354096625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>
        <f>EXP(-LN(2)/35)*BP190+(1-EXP(-LN(2)/35))/(LN(2)/35)*BL191*BM191*VLOOKUP('Données projet'!$B$11,Paramètres!$A$1:$I$89,3,0)*0.475*44/12</f>
        <v>0</v>
      </c>
      <c r="BQ191" s="21">
        <f>EXP(-LN(2)/25)*BQ190+(1-EXP(-LN(2)/25))/(LN(2)/25)*Calculateur!BL191*Calculateur!BN191*VLOOKUP('Données projet'!$B$11,Paramètres!$A$1:$I$89,3,0)*0.475*44/12</f>
        <v>0</v>
      </c>
      <c r="BR191" s="21">
        <f>EXP(-LN(2)/2)*BR190+(1-EXP(-LN(2)/2))/(LN(2)/2)*BL191*BO191*VLOOKUP('Données projet'!$B$11,Paramètres!$A$1:$I$89,3,0)*0.475*44/12</f>
        <v>0</v>
      </c>
      <c r="BS191" s="22">
        <f t="shared" si="169"/>
        <v>0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1.1368683772161603E-13</v>
      </c>
      <c r="BZ191" s="13">
        <f>BY191*VLOOKUP('Données projet'!$B$12,Paramètres!$A$1:$I$89,3,0)*VLOOKUP('Données projet'!$B$12,Paramètres!$A$1:$I$89,5,0)</f>
        <v>1.0995790944434703E-13</v>
      </c>
      <c r="CA191" s="13">
        <f t="shared" si="170"/>
        <v>1.6337280948049956E-12</v>
      </c>
      <c r="CB191" s="20">
        <f t="shared" si="171"/>
        <v>3.036919790734272E-12</v>
      </c>
      <c r="CC191" s="59">
        <f t="shared" si="119"/>
        <v>293.33333333333633</v>
      </c>
      <c r="CD191" s="59">
        <f ca="1">AVERAGE(OFFSET($CC$3,0,0,'Données projet'!$E$12+1,1))-AVERAGE(OFFSET($H$3,0,0,'Données projet'!$E$12+1,1))</f>
        <v>154.93882427988234</v>
      </c>
      <c r="CE191" s="59">
        <f t="shared" si="148"/>
        <v>56.347130462109817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>
        <f>EXP(-LN(2)/35)*CK190+(1-EXP(-LN(2)/35))/(LN(2)/35)*CG191*CH191*VLOOKUP('Données projet'!$B$12,Paramètres!$A$1:$I$89,3,0)*0.475*44/12</f>
        <v>0</v>
      </c>
      <c r="CL191" s="21">
        <f>EXP(-LN(2)/25)*CL190+(1-EXP(-LN(2)/25))/(LN(2)/25)*Calculateur!CG191*Calculateur!CI191*VLOOKUP('Données projet'!$B$12,Paramètres!$A$1:$I$89,3,0)*0.475*44/12</f>
        <v>0</v>
      </c>
      <c r="CM191" s="21">
        <f>EXP(-LN(2)/2)*CM190+(1-EXP(-LN(2)/2))/(LN(2)/2)*CG191*CJ191*VLOOKUP('Données projet'!$B$12,Paramètres!$A$1:$I$89,3,0)*0.475*44/12</f>
        <v>0</v>
      </c>
      <c r="CN191" s="22">
        <f t="shared" si="172"/>
        <v>0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168.05879999999971</v>
      </c>
      <c r="D192" s="11">
        <f t="shared" si="140"/>
        <v>42.65496919167748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1626.5624288480346</v>
      </c>
      <c r="H192" s="67">
        <f t="shared" si="110"/>
        <v>660.32648134217106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0</v>
      </c>
      <c r="O192" s="13">
        <f>N192*VLOOKUP('Données projet'!$B$9,Paramètres!$A$1:$I$89,3,0)*VLOOKUP('Données projet'!$B$9,Paramètres!$A$1:$I$89,5,0)</f>
        <v>0</v>
      </c>
      <c r="P192" s="13" t="e">
        <f t="shared" si="141"/>
        <v>#NUM!</v>
      </c>
      <c r="Q192" s="20" t="e">
        <f t="shared" si="162"/>
        <v>#NUM!</v>
      </c>
      <c r="R192" s="59" t="e">
        <f t="shared" si="109"/>
        <v>#NUM!</v>
      </c>
      <c r="S192" s="59">
        <f ca="1">AVERAGE(OFFSET($R$3,0,0,'Données projet'!$E$9+1,1))-AVERAGE(OFFSET($H$3,0,0,'Données projet'!$E$9+1,1))</f>
        <v>72.647148358003676</v>
      </c>
      <c r="T192" s="59">
        <f t="shared" si="142"/>
        <v>87.231299224620898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5.4590233016459475E-2</v>
      </c>
      <c r="AA192" s="21">
        <f>EXP(-LN(2)/25)*AA191+(1-EXP(-LN(2)/25))/(LN(2)/25)*Calculateur!V192*Calculateur!X192*VLOOKUP('Données projet'!$B$9,Paramètres!$A$1:$I$89,3,0)*0.475*44/12</f>
        <v>5.5163975045804572E-2</v>
      </c>
      <c r="AB192" s="21">
        <f>EXP(-LN(2)/2)*AB191+(1-EXP(-LN(2)/2))/(LN(2)/2)*V192*Y192*VLOOKUP('Données projet'!$B$9,Paramètres!$A$1:$I$89,3,0)*0.475*44/12</f>
        <v>2.6682151788457266E-24</v>
      </c>
      <c r="AC192" s="22">
        <f t="shared" si="163"/>
        <v>0.10975420806226405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-8.5265128291212022E-14</v>
      </c>
      <c r="AJ192" s="13">
        <f>AI192*VLOOKUP('Données projet'!$B$10,Paramètres!$A$1:$I$89,3,0)*VLOOKUP('Données projet'!$B$10,Paramètres!$A$1:$I$89,5,0)</f>
        <v>-6.9167072069831198E-14</v>
      </c>
      <c r="AK192" s="13" t="e">
        <f t="shared" si="164"/>
        <v>#NUM!</v>
      </c>
      <c r="AL192" s="20" t="e">
        <f t="shared" si="165"/>
        <v>#NUM!</v>
      </c>
      <c r="AM192" s="59" t="e">
        <f t="shared" si="113"/>
        <v>#NUM!</v>
      </c>
      <c r="AN192" s="59">
        <f ca="1">AVERAGE(OFFSET($AM$3,0,0,'Données projet'!$E$10+1,1))-AVERAGE(OFFSET($H$3,0,0,'Données projet'!$E$10+1,1))</f>
        <v>145.3656871223958</v>
      </c>
      <c r="AO192" s="59">
        <f t="shared" si="144"/>
        <v>180.54762778843178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0</v>
      </c>
      <c r="AV192" s="21">
        <f>EXP(-LN(2)/25)*AV191+(1-EXP(-LN(2)/25))/(LN(2)/25)*Calculateur!AQ192*Calculateur!AS192*VLOOKUP('Données projet'!$B$10,Paramètres!$A$1:$I$89,3,0)*0.475*44/12</f>
        <v>6.7703422953973955E-2</v>
      </c>
      <c r="AW192" s="21">
        <f>EXP(-LN(2)/2)*AW191+(1-EXP(-LN(2)/2))/(LN(2)/2)*AQ192*AT192*VLOOKUP('Données projet'!$B$10,Paramètres!$A$1:$I$89,3,0)*0.475*44/12</f>
        <v>9.5481726120467526E-24</v>
      </c>
      <c r="AX192" s="21">
        <f t="shared" si="166"/>
        <v>6.7703422953973955E-2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2.8421709430404007E-14</v>
      </c>
      <c r="BE192" s="13">
        <f>BD192*VLOOKUP('Données projet'!$B$11,Paramètres!$A$1:$I$89,3,0)*VLOOKUP('Données projet'!$B$11,Paramètres!$A$1:$I$89,5,0)</f>
        <v>2.5715962692629544E-14</v>
      </c>
      <c r="BF192" s="13">
        <f t="shared" si="167"/>
        <v>4.5248818890525812E-13</v>
      </c>
      <c r="BG192" s="20">
        <f t="shared" si="168"/>
        <v>8.3287223069965432E-13</v>
      </c>
      <c r="BH192" s="59">
        <f t="shared" si="116"/>
        <v>293.33333333333417</v>
      </c>
      <c r="BI192" s="59">
        <f ca="1">AVERAGE(OFFSET($BH$3,0,0,'Données projet'!$E$11+1,1))-AVERAGE(OFFSET($H$3,0,0,'Données projet'!$E$11+1,1))</f>
        <v>138.8931001150624</v>
      </c>
      <c r="BJ192" s="59">
        <f t="shared" si="146"/>
        <v>48.964659354096625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>
        <f>EXP(-LN(2)/35)*BP191+(1-EXP(-LN(2)/35))/(LN(2)/35)*BL192*BM192*VLOOKUP('Données projet'!$B$11,Paramètres!$A$1:$I$89,3,0)*0.475*44/12</f>
        <v>0</v>
      </c>
      <c r="BQ192" s="21">
        <f>EXP(-LN(2)/25)*BQ191+(1-EXP(-LN(2)/25))/(LN(2)/25)*Calculateur!BL192*Calculateur!BN192*VLOOKUP('Données projet'!$B$11,Paramètres!$A$1:$I$89,3,0)*0.475*44/12</f>
        <v>0</v>
      </c>
      <c r="BR192" s="21">
        <f>EXP(-LN(2)/2)*BR191+(1-EXP(-LN(2)/2))/(LN(2)/2)*BL192*BO192*VLOOKUP('Données projet'!$B$11,Paramètres!$A$1:$I$89,3,0)*0.475*44/12</f>
        <v>0</v>
      </c>
      <c r="BS192" s="22">
        <f t="shared" si="169"/>
        <v>0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1.1368683772161603E-13</v>
      </c>
      <c r="BZ192" s="13">
        <f>BY192*VLOOKUP('Données projet'!$B$12,Paramètres!$A$1:$I$89,3,0)*VLOOKUP('Données projet'!$B$12,Paramètres!$A$1:$I$89,5,0)</f>
        <v>1.0995790944434703E-13</v>
      </c>
      <c r="CA192" s="13">
        <f t="shared" si="170"/>
        <v>1.6337280948049956E-12</v>
      </c>
      <c r="CB192" s="20">
        <f t="shared" si="171"/>
        <v>3.036919790734272E-12</v>
      </c>
      <c r="CC192" s="59">
        <f t="shared" si="119"/>
        <v>293.33333333333633</v>
      </c>
      <c r="CD192" s="59">
        <f ca="1">AVERAGE(OFFSET($CC$3,0,0,'Données projet'!$E$12+1,1))-AVERAGE(OFFSET($H$3,0,0,'Données projet'!$E$12+1,1))</f>
        <v>154.93882427988234</v>
      </c>
      <c r="CE192" s="59">
        <f t="shared" si="148"/>
        <v>56.347130462109817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>
        <f>EXP(-LN(2)/35)*CK191+(1-EXP(-LN(2)/35))/(LN(2)/35)*CG192*CH192*VLOOKUP('Données projet'!$B$12,Paramètres!$A$1:$I$89,3,0)*0.475*44/12</f>
        <v>0</v>
      </c>
      <c r="CL192" s="21">
        <f>EXP(-LN(2)/25)*CL191+(1-EXP(-LN(2)/25))/(LN(2)/25)*Calculateur!CG192*Calculateur!CI192*VLOOKUP('Données projet'!$B$12,Paramètres!$A$1:$I$89,3,0)*0.475*44/12</f>
        <v>0</v>
      </c>
      <c r="CM192" s="21">
        <f>EXP(-LN(2)/2)*CM191+(1-EXP(-LN(2)/2))/(LN(2)/2)*CG192*CJ192*VLOOKUP('Données projet'!$B$12,Paramètres!$A$1:$I$89,3,0)*0.475*44/12</f>
        <v>0</v>
      </c>
      <c r="CN192" s="22">
        <f t="shared" si="172"/>
        <v>0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168.94799999999969</v>
      </c>
      <c r="D193" s="11">
        <f t="shared" si="140"/>
        <v>42.8543255274462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1634.965319860986</v>
      </c>
      <c r="H193" s="67">
        <f t="shared" si="110"/>
        <v>662.22238362696817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0</v>
      </c>
      <c r="O193" s="13">
        <f>N193*VLOOKUP('Données projet'!$B$9,Paramètres!$A$1:$I$89,3,0)*VLOOKUP('Données projet'!$B$9,Paramètres!$A$1:$I$89,5,0)</f>
        <v>0</v>
      </c>
      <c r="P193" s="13" t="e">
        <f t="shared" si="141"/>
        <v>#NUM!</v>
      </c>
      <c r="Q193" s="20" t="e">
        <f t="shared" si="162"/>
        <v>#NUM!</v>
      </c>
      <c r="R193" s="59" t="e">
        <f t="shared" si="109"/>
        <v>#NUM!</v>
      </c>
      <c r="S193" s="59">
        <f ca="1">AVERAGE(OFFSET($R$3,0,0,'Données projet'!$E$9+1,1))-AVERAGE(OFFSET($H$3,0,0,'Données projet'!$E$9+1,1))</f>
        <v>72.647148358003676</v>
      </c>
      <c r="T193" s="59">
        <f t="shared" si="142"/>
        <v>87.231299224620898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5.3519751843761065E-2</v>
      </c>
      <c r="AA193" s="21">
        <f>EXP(-LN(2)/25)*AA192+(1-EXP(-LN(2)/25))/(LN(2)/25)*Calculateur!V193*Calculateur!X193*VLOOKUP('Données projet'!$B$9,Paramètres!$A$1:$I$89,3,0)*0.475*44/12</f>
        <v>5.3655513247229676E-2</v>
      </c>
      <c r="AB193" s="21">
        <f>EXP(-LN(2)/2)*AB192+(1-EXP(-LN(2)/2))/(LN(2)/2)*V193*Y193*VLOOKUP('Données projet'!$B$9,Paramètres!$A$1:$I$89,3,0)*0.475*44/12</f>
        <v>1.88671304662669E-24</v>
      </c>
      <c r="AC193" s="22">
        <f t="shared" si="163"/>
        <v>0.10717526509099073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-8.5265128291212022E-14</v>
      </c>
      <c r="AJ193" s="13">
        <f>AI193*VLOOKUP('Données projet'!$B$10,Paramètres!$A$1:$I$89,3,0)*VLOOKUP('Données projet'!$B$10,Paramètres!$A$1:$I$89,5,0)</f>
        <v>-6.9167072069831198E-14</v>
      </c>
      <c r="AK193" s="13" t="e">
        <f t="shared" si="164"/>
        <v>#NUM!</v>
      </c>
      <c r="AL193" s="20" t="e">
        <f t="shared" si="165"/>
        <v>#NUM!</v>
      </c>
      <c r="AM193" s="59" t="e">
        <f t="shared" si="113"/>
        <v>#NUM!</v>
      </c>
      <c r="AN193" s="59">
        <f ca="1">AVERAGE(OFFSET($AM$3,0,0,'Données projet'!$E$10+1,1))-AVERAGE(OFFSET($H$3,0,0,'Données projet'!$E$10+1,1))</f>
        <v>145.3656871223958</v>
      </c>
      <c r="AO193" s="59">
        <f t="shared" si="144"/>
        <v>180.54762778843178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0</v>
      </c>
      <c r="AV193" s="21">
        <f>EXP(-LN(2)/25)*AV192+(1-EXP(-LN(2)/25))/(LN(2)/25)*Calculateur!AQ193*Calculateur!AS193*VLOOKUP('Données projet'!$B$10,Paramètres!$A$1:$I$89,3,0)*0.475*44/12</f>
        <v>6.5852069292929263E-2</v>
      </c>
      <c r="AW193" s="21">
        <f>EXP(-LN(2)/2)*AW192+(1-EXP(-LN(2)/2))/(LN(2)/2)*AQ193*AT193*VLOOKUP('Données projet'!$B$10,Paramètres!$A$1:$I$89,3,0)*0.475*44/12</f>
        <v>6.7515776019179289E-24</v>
      </c>
      <c r="AX193" s="21">
        <f t="shared" si="166"/>
        <v>6.5852069292929263E-2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2.8421709430404007E-14</v>
      </c>
      <c r="BE193" s="13">
        <f>BD193*VLOOKUP('Données projet'!$B$11,Paramètres!$A$1:$I$89,3,0)*VLOOKUP('Données projet'!$B$11,Paramètres!$A$1:$I$89,5,0)</f>
        <v>2.5715962692629544E-14</v>
      </c>
      <c r="BF193" s="13">
        <f t="shared" si="167"/>
        <v>4.5248818890525812E-13</v>
      </c>
      <c r="BG193" s="20">
        <f t="shared" si="168"/>
        <v>8.3287223069965432E-13</v>
      </c>
      <c r="BH193" s="59">
        <f t="shared" si="116"/>
        <v>293.33333333333417</v>
      </c>
      <c r="BI193" s="59">
        <f ca="1">AVERAGE(OFFSET($BH$3,0,0,'Données projet'!$E$11+1,1))-AVERAGE(OFFSET($H$3,0,0,'Données projet'!$E$11+1,1))</f>
        <v>138.8931001150624</v>
      </c>
      <c r="BJ193" s="59">
        <f t="shared" si="146"/>
        <v>48.964659354096625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>
        <f>EXP(-LN(2)/35)*BP192+(1-EXP(-LN(2)/35))/(LN(2)/35)*BL193*BM193*VLOOKUP('Données projet'!$B$11,Paramètres!$A$1:$I$89,3,0)*0.475*44/12</f>
        <v>0</v>
      </c>
      <c r="BQ193" s="21">
        <f>EXP(-LN(2)/25)*BQ192+(1-EXP(-LN(2)/25))/(LN(2)/25)*Calculateur!BL193*Calculateur!BN193*VLOOKUP('Données projet'!$B$11,Paramètres!$A$1:$I$89,3,0)*0.475*44/12</f>
        <v>0</v>
      </c>
      <c r="BR193" s="21">
        <f>EXP(-LN(2)/2)*BR192+(1-EXP(-LN(2)/2))/(LN(2)/2)*BL193*BO193*VLOOKUP('Données projet'!$B$11,Paramètres!$A$1:$I$89,3,0)*0.475*44/12</f>
        <v>0</v>
      </c>
      <c r="BS193" s="22">
        <f t="shared" si="169"/>
        <v>0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1.1368683772161603E-13</v>
      </c>
      <c r="BZ193" s="13">
        <f>BY193*VLOOKUP('Données projet'!$B$12,Paramètres!$A$1:$I$89,3,0)*VLOOKUP('Données projet'!$B$12,Paramètres!$A$1:$I$89,5,0)</f>
        <v>1.0995790944434703E-13</v>
      </c>
      <c r="CA193" s="13">
        <f t="shared" si="170"/>
        <v>1.6337280948049956E-12</v>
      </c>
      <c r="CB193" s="20">
        <f t="shared" si="171"/>
        <v>3.036919790734272E-12</v>
      </c>
      <c r="CC193" s="59">
        <f t="shared" si="119"/>
        <v>293.33333333333633</v>
      </c>
      <c r="CD193" s="59">
        <f ca="1">AVERAGE(OFFSET($CC$3,0,0,'Données projet'!$E$12+1,1))-AVERAGE(OFFSET($H$3,0,0,'Données projet'!$E$12+1,1))</f>
        <v>154.93882427988234</v>
      </c>
      <c r="CE193" s="59">
        <f t="shared" si="148"/>
        <v>56.347130462109817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>
        <f>EXP(-LN(2)/35)*CK192+(1-EXP(-LN(2)/35))/(LN(2)/35)*CG193*CH193*VLOOKUP('Données projet'!$B$12,Paramètres!$A$1:$I$89,3,0)*0.475*44/12</f>
        <v>0</v>
      </c>
      <c r="CL193" s="21">
        <f>EXP(-LN(2)/25)*CL192+(1-EXP(-LN(2)/25))/(LN(2)/25)*Calculateur!CG193*Calculateur!CI193*VLOOKUP('Données projet'!$B$12,Paramètres!$A$1:$I$89,3,0)*0.475*44/12</f>
        <v>0</v>
      </c>
      <c r="CM193" s="21">
        <f>EXP(-LN(2)/2)*CM192+(1-EXP(-LN(2)/2))/(LN(2)/2)*CG193*CJ193*VLOOKUP('Données projet'!$B$12,Paramètres!$A$1:$I$89,3,0)*0.475*44/12</f>
        <v>0</v>
      </c>
      <c r="CN193" s="22">
        <f t="shared" si="172"/>
        <v>0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169.83719999999968</v>
      </c>
      <c r="D194" s="11">
        <f t="shared" si="140"/>
        <v>43.053559768035143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1643.3672683848301</v>
      </c>
      <c r="H194" s="67">
        <f t="shared" si="110"/>
        <v>664.11807326266057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0</v>
      </c>
      <c r="O194" s="13">
        <f>N194*VLOOKUP('Données projet'!$B$9,Paramètres!$A$1:$I$89,3,0)*VLOOKUP('Données projet'!$B$9,Paramètres!$A$1:$I$89,5,0)</f>
        <v>0</v>
      </c>
      <c r="P194" s="13" t="e">
        <f t="shared" si="141"/>
        <v>#NUM!</v>
      </c>
      <c r="Q194" s="20" t="e">
        <f t="shared" si="162"/>
        <v>#NUM!</v>
      </c>
      <c r="R194" s="59" t="e">
        <f t="shared" si="109"/>
        <v>#NUM!</v>
      </c>
      <c r="S194" s="59">
        <f ca="1">AVERAGE(OFFSET($R$3,0,0,'Données projet'!$E$9+1,1))-AVERAGE(OFFSET($H$3,0,0,'Données projet'!$E$9+1,1))</f>
        <v>72.647148358003676</v>
      </c>
      <c r="T194" s="59">
        <f t="shared" si="142"/>
        <v>87.231299224620898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5.2470262153930226E-2</v>
      </c>
      <c r="AA194" s="21">
        <f>EXP(-LN(2)/25)*AA193+(1-EXP(-LN(2)/25))/(LN(2)/25)*Calculateur!V194*Calculateur!X194*VLOOKUP('Données projet'!$B$9,Paramètres!$A$1:$I$89,3,0)*0.475*44/12</f>
        <v>5.2188300415863371E-2</v>
      </c>
      <c r="AB194" s="21">
        <f>EXP(-LN(2)/2)*AB193+(1-EXP(-LN(2)/2))/(LN(2)/2)*V194*Y194*VLOOKUP('Données projet'!$B$9,Paramètres!$A$1:$I$89,3,0)*0.475*44/12</f>
        <v>1.3341075894228633E-24</v>
      </c>
      <c r="AC194" s="22">
        <f t="shared" si="163"/>
        <v>0.1046585625697936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-8.5265128291212022E-14</v>
      </c>
      <c r="AJ194" s="13">
        <f>AI194*VLOOKUP('Données projet'!$B$10,Paramètres!$A$1:$I$89,3,0)*VLOOKUP('Données projet'!$B$10,Paramètres!$A$1:$I$89,5,0)</f>
        <v>-6.9167072069831198E-14</v>
      </c>
      <c r="AK194" s="13" t="e">
        <f t="shared" si="164"/>
        <v>#NUM!</v>
      </c>
      <c r="AL194" s="20" t="e">
        <f t="shared" si="165"/>
        <v>#NUM!</v>
      </c>
      <c r="AM194" s="59" t="e">
        <f t="shared" si="113"/>
        <v>#NUM!</v>
      </c>
      <c r="AN194" s="59">
        <f ca="1">AVERAGE(OFFSET($AM$3,0,0,'Données projet'!$E$10+1,1))-AVERAGE(OFFSET($H$3,0,0,'Données projet'!$E$10+1,1))</f>
        <v>145.3656871223958</v>
      </c>
      <c r="AO194" s="59">
        <f t="shared" si="144"/>
        <v>180.54762778843178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0</v>
      </c>
      <c r="AV194" s="21">
        <f>EXP(-LN(2)/25)*AV193+(1-EXP(-LN(2)/25))/(LN(2)/25)*Calculateur!AQ194*Calculateur!AS194*VLOOKUP('Données projet'!$B$10,Paramètres!$A$1:$I$89,3,0)*0.475*44/12</f>
        <v>6.4051340995104289E-2</v>
      </c>
      <c r="AW194" s="21">
        <f>EXP(-LN(2)/2)*AW193+(1-EXP(-LN(2)/2))/(LN(2)/2)*AQ194*AT194*VLOOKUP('Données projet'!$B$10,Paramètres!$A$1:$I$89,3,0)*0.475*44/12</f>
        <v>4.7740863060233763E-24</v>
      </c>
      <c r="AX194" s="21">
        <f t="shared" si="166"/>
        <v>6.4051340995104289E-2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2.8421709430404007E-14</v>
      </c>
      <c r="BE194" s="13">
        <f>BD194*VLOOKUP('Données projet'!$B$11,Paramètres!$A$1:$I$89,3,0)*VLOOKUP('Données projet'!$B$11,Paramètres!$A$1:$I$89,5,0)</f>
        <v>2.5715962692629544E-14</v>
      </c>
      <c r="BF194" s="13">
        <f t="shared" si="167"/>
        <v>4.5248818890525812E-13</v>
      </c>
      <c r="BG194" s="20">
        <f t="shared" si="168"/>
        <v>8.3287223069965432E-13</v>
      </c>
      <c r="BH194" s="59">
        <f t="shared" si="116"/>
        <v>293.33333333333417</v>
      </c>
      <c r="BI194" s="59">
        <f ca="1">AVERAGE(OFFSET($BH$3,0,0,'Données projet'!$E$11+1,1))-AVERAGE(OFFSET($H$3,0,0,'Données projet'!$E$11+1,1))</f>
        <v>138.8931001150624</v>
      </c>
      <c r="BJ194" s="59">
        <f t="shared" si="146"/>
        <v>48.964659354096625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>
        <f>EXP(-LN(2)/35)*BP193+(1-EXP(-LN(2)/35))/(LN(2)/35)*BL194*BM194*VLOOKUP('Données projet'!$B$11,Paramètres!$A$1:$I$89,3,0)*0.475*44/12</f>
        <v>0</v>
      </c>
      <c r="BQ194" s="21">
        <f>EXP(-LN(2)/25)*BQ193+(1-EXP(-LN(2)/25))/(LN(2)/25)*Calculateur!BL194*Calculateur!BN194*VLOOKUP('Données projet'!$B$11,Paramètres!$A$1:$I$89,3,0)*0.475*44/12</f>
        <v>0</v>
      </c>
      <c r="BR194" s="21">
        <f>EXP(-LN(2)/2)*BR193+(1-EXP(-LN(2)/2))/(LN(2)/2)*BL194*BO194*VLOOKUP('Données projet'!$B$11,Paramètres!$A$1:$I$89,3,0)*0.475*44/12</f>
        <v>0</v>
      </c>
      <c r="BS194" s="22">
        <f t="shared" si="169"/>
        <v>0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1.1368683772161603E-13</v>
      </c>
      <c r="BZ194" s="13">
        <f>BY194*VLOOKUP('Données projet'!$B$12,Paramètres!$A$1:$I$89,3,0)*VLOOKUP('Données projet'!$B$12,Paramètres!$A$1:$I$89,5,0)</f>
        <v>1.0995790944434703E-13</v>
      </c>
      <c r="CA194" s="13">
        <f t="shared" si="170"/>
        <v>1.6337280948049956E-12</v>
      </c>
      <c r="CB194" s="20">
        <f t="shared" si="171"/>
        <v>3.036919790734272E-12</v>
      </c>
      <c r="CC194" s="59">
        <f t="shared" si="119"/>
        <v>293.33333333333633</v>
      </c>
      <c r="CD194" s="59">
        <f ca="1">AVERAGE(OFFSET($CC$3,0,0,'Données projet'!$E$12+1,1))-AVERAGE(OFFSET($H$3,0,0,'Données projet'!$E$12+1,1))</f>
        <v>154.93882427988234</v>
      </c>
      <c r="CE194" s="59">
        <f t="shared" si="148"/>
        <v>56.347130462109817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>
        <f>EXP(-LN(2)/35)*CK193+(1-EXP(-LN(2)/35))/(LN(2)/35)*CG194*CH194*VLOOKUP('Données projet'!$B$12,Paramètres!$A$1:$I$89,3,0)*0.475*44/12</f>
        <v>0</v>
      </c>
      <c r="CL194" s="21">
        <f>EXP(-LN(2)/25)*CL193+(1-EXP(-LN(2)/25))/(LN(2)/25)*Calculateur!CG194*Calculateur!CI194*VLOOKUP('Données projet'!$B$12,Paramètres!$A$1:$I$89,3,0)*0.475*44/12</f>
        <v>0</v>
      </c>
      <c r="CM194" s="21">
        <f>EXP(-LN(2)/2)*CM193+(1-EXP(-LN(2)/2))/(LN(2)/2)*CG194*CJ194*VLOOKUP('Données projet'!$B$12,Paramètres!$A$1:$I$89,3,0)*0.475*44/12</f>
        <v>0</v>
      </c>
      <c r="CN194" s="22">
        <f t="shared" si="172"/>
        <v>0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170.72639999999967</v>
      </c>
      <c r="D195" s="11">
        <f t="shared" si="140"/>
        <v>43.252672626882983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1651.7682799268139</v>
      </c>
      <c r="H195" s="67">
        <f t="shared" si="110"/>
        <v>666.01355149182064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0</v>
      </c>
      <c r="O195" s="13">
        <f>N195*VLOOKUP('Données projet'!$B$9,Paramètres!$A$1:$I$89,3,0)*VLOOKUP('Données projet'!$B$9,Paramètres!$A$1:$I$89,5,0)</f>
        <v>0</v>
      </c>
      <c r="P195" s="13" t="e">
        <f t="shared" si="141"/>
        <v>#NUM!</v>
      </c>
      <c r="Q195" s="20" t="e">
        <f t="shared" si="162"/>
        <v>#NUM!</v>
      </c>
      <c r="R195" s="59" t="e">
        <f t="shared" ref="R195:R203" si="191">Q195+(I195+J195)*44/12</f>
        <v>#NUM!</v>
      </c>
      <c r="S195" s="59">
        <f ca="1">AVERAGE(OFFSET($R$3,0,0,'Données projet'!$E$9+1,1))-AVERAGE(OFFSET($H$3,0,0,'Données projet'!$E$9+1,1))</f>
        <v>72.647148358003676</v>
      </c>
      <c r="T195" s="59">
        <f t="shared" si="142"/>
        <v>87.231299224620898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5.1441352316791464E-2</v>
      </c>
      <c r="AA195" s="21">
        <f>EXP(-LN(2)/25)*AA194+(1-EXP(-LN(2)/25))/(LN(2)/25)*Calculateur!V195*Calculateur!X195*VLOOKUP('Données projet'!$B$9,Paramètres!$A$1:$I$89,3,0)*0.475*44/12</f>
        <v>5.0761208596528148E-2</v>
      </c>
      <c r="AB195" s="21">
        <f>EXP(-LN(2)/2)*AB194+(1-EXP(-LN(2)/2))/(LN(2)/2)*V195*Y195*VLOOKUP('Données projet'!$B$9,Paramètres!$A$1:$I$89,3,0)*0.475*44/12</f>
        <v>9.4335652331334499E-25</v>
      </c>
      <c r="AC195" s="22">
        <f t="shared" si="163"/>
        <v>0.10220256091331961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-8.5265128291212022E-14</v>
      </c>
      <c r="AJ195" s="13">
        <f>AI195*VLOOKUP('Données projet'!$B$10,Paramètres!$A$1:$I$89,3,0)*VLOOKUP('Données projet'!$B$10,Paramètres!$A$1:$I$89,5,0)</f>
        <v>-6.9167072069831198E-14</v>
      </c>
      <c r="AK195" s="13" t="e">
        <f t="shared" si="164"/>
        <v>#NUM!</v>
      </c>
      <c r="AL195" s="20" t="e">
        <f t="shared" si="165"/>
        <v>#NUM!</v>
      </c>
      <c r="AM195" s="59" t="e">
        <f t="shared" si="113"/>
        <v>#NUM!</v>
      </c>
      <c r="AN195" s="59">
        <f ca="1">AVERAGE(OFFSET($AM$3,0,0,'Données projet'!$E$10+1,1))-AVERAGE(OFFSET($H$3,0,0,'Données projet'!$E$10+1,1))</f>
        <v>145.3656871223958</v>
      </c>
      <c r="AO195" s="59">
        <f t="shared" si="144"/>
        <v>180.54762778843178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0</v>
      </c>
      <c r="AV195" s="21">
        <f>EXP(-LN(2)/25)*AV194+(1-EXP(-LN(2)/25))/(LN(2)/25)*Calculateur!AQ195*Calculateur!AS195*VLOOKUP('Données projet'!$B$10,Paramètres!$A$1:$I$89,3,0)*0.475*44/12</f>
        <v>6.2299853707279529E-2</v>
      </c>
      <c r="AW195" s="21">
        <f>EXP(-LN(2)/2)*AW194+(1-EXP(-LN(2)/2))/(LN(2)/2)*AQ195*AT195*VLOOKUP('Données projet'!$B$10,Paramètres!$A$1:$I$89,3,0)*0.475*44/12</f>
        <v>3.3757888009589645E-24</v>
      </c>
      <c r="AX195" s="21">
        <f t="shared" si="166"/>
        <v>6.2299853707279529E-2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2.8421709430404007E-14</v>
      </c>
      <c r="BE195" s="13">
        <f>BD195*VLOOKUP('Données projet'!$B$11,Paramètres!$A$1:$I$89,3,0)*VLOOKUP('Données projet'!$B$11,Paramètres!$A$1:$I$89,5,0)</f>
        <v>2.5715962692629544E-14</v>
      </c>
      <c r="BF195" s="13">
        <f t="shared" si="167"/>
        <v>4.5248818890525812E-13</v>
      </c>
      <c r="BG195" s="20">
        <f t="shared" si="168"/>
        <v>8.3287223069965432E-13</v>
      </c>
      <c r="BH195" s="59">
        <f t="shared" si="116"/>
        <v>293.33333333333417</v>
      </c>
      <c r="BI195" s="59">
        <f ca="1">AVERAGE(OFFSET($BH$3,0,0,'Données projet'!$E$11+1,1))-AVERAGE(OFFSET($H$3,0,0,'Données projet'!$E$11+1,1))</f>
        <v>138.8931001150624</v>
      </c>
      <c r="BJ195" s="59">
        <f t="shared" si="146"/>
        <v>48.964659354096625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>
        <f>EXP(-LN(2)/35)*BP194+(1-EXP(-LN(2)/35))/(LN(2)/35)*BL195*BM195*VLOOKUP('Données projet'!$B$11,Paramètres!$A$1:$I$89,3,0)*0.475*44/12</f>
        <v>0</v>
      </c>
      <c r="BQ195" s="21">
        <f>EXP(-LN(2)/25)*BQ194+(1-EXP(-LN(2)/25))/(LN(2)/25)*Calculateur!BL195*Calculateur!BN195*VLOOKUP('Données projet'!$B$11,Paramètres!$A$1:$I$89,3,0)*0.475*44/12</f>
        <v>0</v>
      </c>
      <c r="BR195" s="21">
        <f>EXP(-LN(2)/2)*BR194+(1-EXP(-LN(2)/2))/(LN(2)/2)*BL195*BO195*VLOOKUP('Données projet'!$B$11,Paramètres!$A$1:$I$89,3,0)*0.475*44/12</f>
        <v>0</v>
      </c>
      <c r="BS195" s="22">
        <f t="shared" si="169"/>
        <v>0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1.1368683772161603E-13</v>
      </c>
      <c r="BZ195" s="13">
        <f>BY195*VLOOKUP('Données projet'!$B$12,Paramètres!$A$1:$I$89,3,0)*VLOOKUP('Données projet'!$B$12,Paramètres!$A$1:$I$89,5,0)</f>
        <v>1.0995790944434703E-13</v>
      </c>
      <c r="CA195" s="13">
        <f t="shared" si="170"/>
        <v>1.6337280948049956E-12</v>
      </c>
      <c r="CB195" s="20">
        <f t="shared" si="171"/>
        <v>3.036919790734272E-12</v>
      </c>
      <c r="CC195" s="59">
        <f t="shared" si="119"/>
        <v>293.33333333333633</v>
      </c>
      <c r="CD195" s="59">
        <f ca="1">AVERAGE(OFFSET($CC$3,0,0,'Données projet'!$E$12+1,1))-AVERAGE(OFFSET($H$3,0,0,'Données projet'!$E$12+1,1))</f>
        <v>154.93882427988234</v>
      </c>
      <c r="CE195" s="59">
        <f t="shared" si="148"/>
        <v>56.347130462109817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>
        <f>EXP(-LN(2)/35)*CK194+(1-EXP(-LN(2)/35))/(LN(2)/35)*CG195*CH195*VLOOKUP('Données projet'!$B$12,Paramètres!$A$1:$I$89,3,0)*0.475*44/12</f>
        <v>0</v>
      </c>
      <c r="CL195" s="21">
        <f>EXP(-LN(2)/25)*CL194+(1-EXP(-LN(2)/25))/(LN(2)/25)*Calculateur!CG195*Calculateur!CI195*VLOOKUP('Données projet'!$B$12,Paramètres!$A$1:$I$89,3,0)*0.475*44/12</f>
        <v>0</v>
      </c>
      <c r="CM195" s="21">
        <f>EXP(-LN(2)/2)*CM194+(1-EXP(-LN(2)/2))/(LN(2)/2)*CG195*CJ195*VLOOKUP('Données projet'!$B$12,Paramètres!$A$1:$I$89,3,0)*0.475*44/12</f>
        <v>0</v>
      </c>
      <c r="CN195" s="22">
        <f t="shared" si="172"/>
        <v>0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171.61559999999966</v>
      </c>
      <c r="D196" s="11">
        <f t="shared" si="140"/>
        <v>43.451664809566452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1660.1683599334929</v>
      </c>
      <c r="H196" s="67">
        <f t="shared" ref="H196:H203" si="192">(B196+E196+F196)*44/12+(C196+D196)*0.475*44/12</f>
        <v>667.90881954332758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0</v>
      </c>
      <c r="O196" s="13">
        <f>N196*VLOOKUP('Données projet'!$B$9,Paramètres!$A$1:$I$89,3,0)*VLOOKUP('Données projet'!$B$9,Paramètres!$A$1:$I$89,5,0)</f>
        <v>0</v>
      </c>
      <c r="P196" s="13" t="e">
        <f t="shared" si="141"/>
        <v>#NUM!</v>
      </c>
      <c r="Q196" s="20" t="e">
        <f t="shared" si="162"/>
        <v>#NUM!</v>
      </c>
      <c r="R196" s="59" t="e">
        <f t="shared" si="191"/>
        <v>#NUM!</v>
      </c>
      <c r="S196" s="59">
        <f ca="1">AVERAGE(OFFSET($R$3,0,0,'Données projet'!$E$9+1,1))-AVERAGE(OFFSET($H$3,0,0,'Données projet'!$E$9+1,1))</f>
        <v>72.647148358003676</v>
      </c>
      <c r="T196" s="59">
        <f t="shared" si="142"/>
        <v>87.231299224620898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5.0432618773985964E-2</v>
      </c>
      <c r="AA196" s="21">
        <f>EXP(-LN(2)/25)*AA195+(1-EXP(-LN(2)/25))/(LN(2)/25)*Calculateur!V196*Calculateur!X196*VLOOKUP('Données projet'!$B$9,Paramètres!$A$1:$I$89,3,0)*0.475*44/12</f>
        <v>4.9373140678040141E-2</v>
      </c>
      <c r="AB196" s="21">
        <f>EXP(-LN(2)/2)*AB195+(1-EXP(-LN(2)/2))/(LN(2)/2)*V196*Y196*VLOOKUP('Données projet'!$B$9,Paramètres!$A$1:$I$89,3,0)*0.475*44/12</f>
        <v>6.6705379471143166E-25</v>
      </c>
      <c r="AC196" s="22">
        <f t="shared" si="163"/>
        <v>9.9805759452026105E-2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-8.5265128291212022E-14</v>
      </c>
      <c r="AJ196" s="13">
        <f>AI196*VLOOKUP('Données projet'!$B$10,Paramètres!$A$1:$I$89,3,0)*VLOOKUP('Données projet'!$B$10,Paramètres!$A$1:$I$89,5,0)</f>
        <v>-6.9167072069831198E-14</v>
      </c>
      <c r="AK196" s="13" t="e">
        <f t="shared" si="164"/>
        <v>#NUM!</v>
      </c>
      <c r="AL196" s="20" t="e">
        <f t="shared" si="165"/>
        <v>#NUM!</v>
      </c>
      <c r="AM196" s="59" t="e">
        <f t="shared" ref="AM196:AM203" si="193">AL196+(AD196+AE196)*44/12</f>
        <v>#NUM!</v>
      </c>
      <c r="AN196" s="59">
        <f ca="1">AVERAGE(OFFSET($AM$3,0,0,'Données projet'!$E$10+1,1))-AVERAGE(OFFSET($H$3,0,0,'Données projet'!$E$10+1,1))</f>
        <v>145.3656871223958</v>
      </c>
      <c r="AO196" s="59">
        <f t="shared" si="144"/>
        <v>180.54762778843178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0</v>
      </c>
      <c r="AV196" s="21">
        <f>EXP(-LN(2)/25)*AV195+(1-EXP(-LN(2)/25))/(LN(2)/25)*Calculateur!AQ196*Calculateur!AS196*VLOOKUP('Données projet'!$B$10,Paramètres!$A$1:$I$89,3,0)*0.475*44/12</f>
        <v>6.059626093144705E-2</v>
      </c>
      <c r="AW196" s="21">
        <f>EXP(-LN(2)/2)*AW195+(1-EXP(-LN(2)/2))/(LN(2)/2)*AQ196*AT196*VLOOKUP('Données projet'!$B$10,Paramètres!$A$1:$I$89,3,0)*0.475*44/12</f>
        <v>2.3870431530116882E-24</v>
      </c>
      <c r="AX196" s="21">
        <f t="shared" si="166"/>
        <v>6.059626093144705E-2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2.8421709430404007E-14</v>
      </c>
      <c r="BE196" s="13">
        <f>BD196*VLOOKUP('Données projet'!$B$11,Paramètres!$A$1:$I$89,3,0)*VLOOKUP('Données projet'!$B$11,Paramètres!$A$1:$I$89,5,0)</f>
        <v>2.5715962692629544E-14</v>
      </c>
      <c r="BF196" s="13">
        <f t="shared" si="167"/>
        <v>4.5248818890525812E-13</v>
      </c>
      <c r="BG196" s="20">
        <f t="shared" si="168"/>
        <v>8.3287223069965432E-13</v>
      </c>
      <c r="BH196" s="59">
        <f t="shared" ref="BH196:BH203" si="194">BG196+(AY196+AZ196)*44/12</f>
        <v>293.33333333333417</v>
      </c>
      <c r="BI196" s="59">
        <f ca="1">AVERAGE(OFFSET($BH$3,0,0,'Données projet'!$E$11+1,1))-AVERAGE(OFFSET($H$3,0,0,'Données projet'!$E$11+1,1))</f>
        <v>138.8931001150624</v>
      </c>
      <c r="BJ196" s="59">
        <f t="shared" si="146"/>
        <v>48.964659354096625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>
        <f>EXP(-LN(2)/35)*BP195+(1-EXP(-LN(2)/35))/(LN(2)/35)*BL196*BM196*VLOOKUP('Données projet'!$B$11,Paramètres!$A$1:$I$89,3,0)*0.475*44/12</f>
        <v>0</v>
      </c>
      <c r="BQ196" s="21">
        <f>EXP(-LN(2)/25)*BQ195+(1-EXP(-LN(2)/25))/(LN(2)/25)*Calculateur!BL196*Calculateur!BN196*VLOOKUP('Données projet'!$B$11,Paramètres!$A$1:$I$89,3,0)*0.475*44/12</f>
        <v>0</v>
      </c>
      <c r="BR196" s="21">
        <f>EXP(-LN(2)/2)*BR195+(1-EXP(-LN(2)/2))/(LN(2)/2)*BL196*BO196*VLOOKUP('Données projet'!$B$11,Paramètres!$A$1:$I$89,3,0)*0.475*44/12</f>
        <v>0</v>
      </c>
      <c r="BS196" s="22">
        <f t="shared" si="169"/>
        <v>0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1.1368683772161603E-13</v>
      </c>
      <c r="BZ196" s="13">
        <f>BY196*VLOOKUP('Données projet'!$B$12,Paramètres!$A$1:$I$89,3,0)*VLOOKUP('Données projet'!$B$12,Paramètres!$A$1:$I$89,5,0)</f>
        <v>1.0995790944434703E-13</v>
      </c>
      <c r="CA196" s="13">
        <f t="shared" si="170"/>
        <v>1.6337280948049956E-12</v>
      </c>
      <c r="CB196" s="20">
        <f t="shared" si="171"/>
        <v>3.036919790734272E-12</v>
      </c>
      <c r="CC196" s="59">
        <f t="shared" ref="CC196:CC203" si="195">CB196+(BT196+BU196)*44/12</f>
        <v>293.33333333333633</v>
      </c>
      <c r="CD196" s="59">
        <f ca="1">AVERAGE(OFFSET($CC$3,0,0,'Données projet'!$E$12+1,1))-AVERAGE(OFFSET($H$3,0,0,'Données projet'!$E$12+1,1))</f>
        <v>154.93882427988234</v>
      </c>
      <c r="CE196" s="59">
        <f t="shared" si="148"/>
        <v>56.347130462109817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>
        <f>EXP(-LN(2)/35)*CK195+(1-EXP(-LN(2)/35))/(LN(2)/35)*CG196*CH196*VLOOKUP('Données projet'!$B$12,Paramètres!$A$1:$I$89,3,0)*0.475*44/12</f>
        <v>0</v>
      </c>
      <c r="CL196" s="21">
        <f>EXP(-LN(2)/25)*CL195+(1-EXP(-LN(2)/25))/(LN(2)/25)*Calculateur!CG196*Calculateur!CI196*VLOOKUP('Données projet'!$B$12,Paramètres!$A$1:$I$89,3,0)*0.475*44/12</f>
        <v>0</v>
      </c>
      <c r="CM196" s="21">
        <f>EXP(-LN(2)/2)*CM195+(1-EXP(-LN(2)/2))/(LN(2)/2)*CG196*CJ196*VLOOKUP('Données projet'!$B$12,Paramètres!$A$1:$I$89,3,0)*0.475*44/12</f>
        <v>0</v>
      </c>
      <c r="CN196" s="22">
        <f t="shared" si="172"/>
        <v>0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172.50479999999965</v>
      </c>
      <c r="D197" s="11">
        <f t="shared" ref="D197:D203" si="202">IFERROR(EXP(-1.0587+0.8836*LN(C197)+0.284),0)</f>
        <v>43.650537013927277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1668.5675137917167</v>
      </c>
      <c r="H197" s="67">
        <f t="shared" si="192"/>
        <v>669.80387863258932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0</v>
      </c>
      <c r="O197" s="13">
        <f>N197*VLOOKUP('Données projet'!$B$9,Paramètres!$A$1:$I$89,3,0)*VLOOKUP('Données projet'!$B$9,Paramètres!$A$1:$I$89,5,0)</f>
        <v>0</v>
      </c>
      <c r="P197" s="13" t="e">
        <f t="shared" ref="P197:P203" si="203">EXP(-1.0587+0.8836*LN(O197)+0.284)</f>
        <v>#NUM!</v>
      </c>
      <c r="Q197" s="20" t="e">
        <f t="shared" si="162"/>
        <v>#NUM!</v>
      </c>
      <c r="R197" s="59" t="e">
        <f t="shared" si="191"/>
        <v>#NUM!</v>
      </c>
      <c r="S197" s="59">
        <f ca="1">AVERAGE(OFFSET($R$3,0,0,'Données projet'!$E$9+1,1))-AVERAGE(OFFSET($H$3,0,0,'Données projet'!$E$9+1,1))</f>
        <v>72.647148358003676</v>
      </c>
      <c r="T197" s="59">
        <f t="shared" ref="T197:T203" si="204">$T$3</f>
        <v>87.231299224620898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4.9443665880688166E-2</v>
      </c>
      <c r="AA197" s="21">
        <f>EXP(-LN(2)/25)*AA196+(1-EXP(-LN(2)/25))/(LN(2)/25)*Calculateur!V197*Calculateur!X197*VLOOKUP('Données projet'!$B$9,Paramètres!$A$1:$I$89,3,0)*0.475*44/12</f>
        <v>4.8023029549778509E-2</v>
      </c>
      <c r="AB197" s="21">
        <f>EXP(-LN(2)/2)*AB196+(1-EXP(-LN(2)/2))/(LN(2)/2)*V197*Y197*VLOOKUP('Données projet'!$B$9,Paramètres!$A$1:$I$89,3,0)*0.475*44/12</f>
        <v>4.716782616566725E-25</v>
      </c>
      <c r="AC197" s="22">
        <f t="shared" si="163"/>
        <v>9.7466695430466682E-2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-8.5265128291212022E-14</v>
      </c>
      <c r="AJ197" s="13">
        <f>AI197*VLOOKUP('Données projet'!$B$10,Paramètres!$A$1:$I$89,3,0)*VLOOKUP('Données projet'!$B$10,Paramètres!$A$1:$I$89,5,0)</f>
        <v>-6.9167072069831198E-14</v>
      </c>
      <c r="AK197" s="13" t="e">
        <f t="shared" si="164"/>
        <v>#NUM!</v>
      </c>
      <c r="AL197" s="20" t="e">
        <f t="shared" si="165"/>
        <v>#NUM!</v>
      </c>
      <c r="AM197" s="59" t="e">
        <f t="shared" si="193"/>
        <v>#NUM!</v>
      </c>
      <c r="AN197" s="59">
        <f ca="1">AVERAGE(OFFSET($AM$3,0,0,'Données projet'!$E$10+1,1))-AVERAGE(OFFSET($H$3,0,0,'Données projet'!$E$10+1,1))</f>
        <v>145.3656871223958</v>
      </c>
      <c r="AO197" s="59">
        <f t="shared" ref="AO197:AO203" si="205">$AO$3</f>
        <v>180.54762778843178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0</v>
      </c>
      <c r="AV197" s="21">
        <f>EXP(-LN(2)/25)*AV196+(1-EXP(-LN(2)/25))/(LN(2)/25)*Calculateur!AQ197*Calculateur!AS197*VLOOKUP('Données projet'!$B$10,Paramètres!$A$1:$I$89,3,0)*0.475*44/12</f>
        <v>5.8939252989657763E-2</v>
      </c>
      <c r="AW197" s="21">
        <f>EXP(-LN(2)/2)*AW196+(1-EXP(-LN(2)/2))/(LN(2)/2)*AQ197*AT197*VLOOKUP('Données projet'!$B$10,Paramètres!$A$1:$I$89,3,0)*0.475*44/12</f>
        <v>1.6878944004794822E-24</v>
      </c>
      <c r="AX197" s="21">
        <f t="shared" si="166"/>
        <v>5.8939252989657763E-2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2.8421709430404007E-14</v>
      </c>
      <c r="BE197" s="13">
        <f>BD197*VLOOKUP('Données projet'!$B$11,Paramètres!$A$1:$I$89,3,0)*VLOOKUP('Données projet'!$B$11,Paramètres!$A$1:$I$89,5,0)</f>
        <v>2.5715962692629544E-14</v>
      </c>
      <c r="BF197" s="13">
        <f t="shared" si="167"/>
        <v>4.5248818890525812E-13</v>
      </c>
      <c r="BG197" s="20">
        <f t="shared" si="168"/>
        <v>8.3287223069965432E-13</v>
      </c>
      <c r="BH197" s="59">
        <f t="shared" si="194"/>
        <v>293.33333333333417</v>
      </c>
      <c r="BI197" s="59">
        <f ca="1">AVERAGE(OFFSET($BH$3,0,0,'Données projet'!$E$11+1,1))-AVERAGE(OFFSET($H$3,0,0,'Données projet'!$E$11+1,1))</f>
        <v>138.8931001150624</v>
      </c>
      <c r="BJ197" s="59">
        <f t="shared" ref="BJ197:BJ203" si="206">$BJ$3</f>
        <v>48.964659354096625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>
        <f>EXP(-LN(2)/35)*BP196+(1-EXP(-LN(2)/35))/(LN(2)/35)*BL197*BM197*VLOOKUP('Données projet'!$B$11,Paramètres!$A$1:$I$89,3,0)*0.475*44/12</f>
        <v>0</v>
      </c>
      <c r="BQ197" s="21">
        <f>EXP(-LN(2)/25)*BQ196+(1-EXP(-LN(2)/25))/(LN(2)/25)*Calculateur!BL197*Calculateur!BN197*VLOOKUP('Données projet'!$B$11,Paramètres!$A$1:$I$89,3,0)*0.475*44/12</f>
        <v>0</v>
      </c>
      <c r="BR197" s="21">
        <f>EXP(-LN(2)/2)*BR196+(1-EXP(-LN(2)/2))/(LN(2)/2)*BL197*BO197*VLOOKUP('Données projet'!$B$11,Paramètres!$A$1:$I$89,3,0)*0.475*44/12</f>
        <v>0</v>
      </c>
      <c r="BS197" s="22">
        <f t="shared" si="169"/>
        <v>0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1.1368683772161603E-13</v>
      </c>
      <c r="BZ197" s="13">
        <f>BY197*VLOOKUP('Données projet'!$B$12,Paramètres!$A$1:$I$89,3,0)*VLOOKUP('Données projet'!$B$12,Paramètres!$A$1:$I$89,5,0)</f>
        <v>1.0995790944434703E-13</v>
      </c>
      <c r="CA197" s="13">
        <f t="shared" si="170"/>
        <v>1.6337280948049956E-12</v>
      </c>
      <c r="CB197" s="20">
        <f t="shared" si="171"/>
        <v>3.036919790734272E-12</v>
      </c>
      <c r="CC197" s="59">
        <f t="shared" si="195"/>
        <v>293.33333333333633</v>
      </c>
      <c r="CD197" s="59">
        <f ca="1">AVERAGE(OFFSET($CC$3,0,0,'Données projet'!$E$12+1,1))-AVERAGE(OFFSET($H$3,0,0,'Données projet'!$E$12+1,1))</f>
        <v>154.93882427988234</v>
      </c>
      <c r="CE197" s="59">
        <f t="shared" ref="CE197:CE203" si="207">$CE$3</f>
        <v>56.347130462109817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>
        <f>EXP(-LN(2)/35)*CK196+(1-EXP(-LN(2)/35))/(LN(2)/35)*CG197*CH197*VLOOKUP('Données projet'!$B$12,Paramètres!$A$1:$I$89,3,0)*0.475*44/12</f>
        <v>0</v>
      </c>
      <c r="CL197" s="21">
        <f>EXP(-LN(2)/25)*CL196+(1-EXP(-LN(2)/25))/(LN(2)/25)*Calculateur!CG197*Calculateur!CI197*VLOOKUP('Données projet'!$B$12,Paramètres!$A$1:$I$89,3,0)*0.475*44/12</f>
        <v>0</v>
      </c>
      <c r="CM197" s="21">
        <f>EXP(-LN(2)/2)*CM196+(1-EXP(-LN(2)/2))/(LN(2)/2)*CG197*CJ197*VLOOKUP('Données projet'!$B$12,Paramètres!$A$1:$I$89,3,0)*0.475*44/12</f>
        <v>0</v>
      </c>
      <c r="CN197" s="22">
        <f t="shared" si="172"/>
        <v>0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173.39399999999964</v>
      </c>
      <c r="D198" s="11">
        <f t="shared" si="202"/>
        <v>43.849289930196555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1676.9657468295848</v>
      </c>
      <c r="H198" s="67">
        <f t="shared" si="192"/>
        <v>671.69872996175832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0</v>
      </c>
      <c r="O198" s="13">
        <f>N198*VLOOKUP('Données projet'!$B$9,Paramètres!$A$1:$I$89,3,0)*VLOOKUP('Données projet'!$B$9,Paramètres!$A$1:$I$89,5,0)</f>
        <v>0</v>
      </c>
      <c r="P198" s="13" t="e">
        <f t="shared" si="203"/>
        <v>#NUM!</v>
      </c>
      <c r="Q198" s="20" t="e">
        <f t="shared" si="162"/>
        <v>#NUM!</v>
      </c>
      <c r="R198" s="59" t="e">
        <f t="shared" si="191"/>
        <v>#NUM!</v>
      </c>
      <c r="S198" s="59">
        <f ca="1">AVERAGE(OFFSET($R$3,0,0,'Données projet'!$E$9+1,1))-AVERAGE(OFFSET($H$3,0,0,'Données projet'!$E$9+1,1))</f>
        <v>72.647148358003676</v>
      </c>
      <c r="T198" s="59">
        <f t="shared" si="204"/>
        <v>87.231299224620898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4.8474105750426238E-2</v>
      </c>
      <c r="AA198" s="21">
        <f>EXP(-LN(2)/25)*AA197+(1-EXP(-LN(2)/25))/(LN(2)/25)*Calculateur!V198*Calculateur!X198*VLOOKUP('Données projet'!$B$9,Paramètres!$A$1:$I$89,3,0)*0.475*44/12</f>
        <v>4.6709837281318452E-2</v>
      </c>
      <c r="AB198" s="21">
        <f>EXP(-LN(2)/2)*AB197+(1-EXP(-LN(2)/2))/(LN(2)/2)*V198*Y198*VLOOKUP('Données projet'!$B$9,Paramètres!$A$1:$I$89,3,0)*0.475*44/12</f>
        <v>3.3352689735571583E-25</v>
      </c>
      <c r="AC198" s="22">
        <f t="shared" si="163"/>
        <v>9.5183943031744683E-2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-8.5265128291212022E-14</v>
      </c>
      <c r="AJ198" s="13">
        <f>AI198*VLOOKUP('Données projet'!$B$10,Paramètres!$A$1:$I$89,3,0)*VLOOKUP('Données projet'!$B$10,Paramètres!$A$1:$I$89,5,0)</f>
        <v>-6.9167072069831198E-14</v>
      </c>
      <c r="AK198" s="13" t="e">
        <f t="shared" si="164"/>
        <v>#NUM!</v>
      </c>
      <c r="AL198" s="20" t="e">
        <f t="shared" si="165"/>
        <v>#NUM!</v>
      </c>
      <c r="AM198" s="59" t="e">
        <f t="shared" si="193"/>
        <v>#NUM!</v>
      </c>
      <c r="AN198" s="59">
        <f ca="1">AVERAGE(OFFSET($AM$3,0,0,'Données projet'!$E$10+1,1))-AVERAGE(OFFSET($H$3,0,0,'Données projet'!$E$10+1,1))</f>
        <v>145.3656871223958</v>
      </c>
      <c r="AO198" s="59">
        <f t="shared" si="205"/>
        <v>180.54762778843178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0</v>
      </c>
      <c r="AV198" s="21">
        <f>EXP(-LN(2)/25)*AV197+(1-EXP(-LN(2)/25))/(LN(2)/25)*Calculateur!AQ198*Calculateur!AS198*VLOOKUP('Données projet'!$B$10,Paramètres!$A$1:$I$89,3,0)*0.475*44/12</f>
        <v>5.7327556017174965E-2</v>
      </c>
      <c r="AW198" s="21">
        <f>EXP(-LN(2)/2)*AW197+(1-EXP(-LN(2)/2))/(LN(2)/2)*AQ198*AT198*VLOOKUP('Données projet'!$B$10,Paramètres!$A$1:$I$89,3,0)*0.475*44/12</f>
        <v>1.1935215765058441E-24</v>
      </c>
      <c r="AX198" s="21">
        <f t="shared" si="166"/>
        <v>5.7327556017174965E-2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2.8421709430404007E-14</v>
      </c>
      <c r="BE198" s="13">
        <f>BD198*VLOOKUP('Données projet'!$B$11,Paramètres!$A$1:$I$89,3,0)*VLOOKUP('Données projet'!$B$11,Paramètres!$A$1:$I$89,5,0)</f>
        <v>2.5715962692629544E-14</v>
      </c>
      <c r="BF198" s="13">
        <f t="shared" si="167"/>
        <v>4.5248818890525812E-13</v>
      </c>
      <c r="BG198" s="20">
        <f t="shared" si="168"/>
        <v>8.3287223069965432E-13</v>
      </c>
      <c r="BH198" s="59">
        <f t="shared" si="194"/>
        <v>293.33333333333417</v>
      </c>
      <c r="BI198" s="59">
        <f ca="1">AVERAGE(OFFSET($BH$3,0,0,'Données projet'!$E$11+1,1))-AVERAGE(OFFSET($H$3,0,0,'Données projet'!$E$11+1,1))</f>
        <v>138.8931001150624</v>
      </c>
      <c r="BJ198" s="59">
        <f t="shared" si="206"/>
        <v>48.964659354096625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>
        <f>EXP(-LN(2)/35)*BP197+(1-EXP(-LN(2)/35))/(LN(2)/35)*BL198*BM198*VLOOKUP('Données projet'!$B$11,Paramètres!$A$1:$I$89,3,0)*0.475*44/12</f>
        <v>0</v>
      </c>
      <c r="BQ198" s="21">
        <f>EXP(-LN(2)/25)*BQ197+(1-EXP(-LN(2)/25))/(LN(2)/25)*Calculateur!BL198*Calculateur!BN198*VLOOKUP('Données projet'!$B$11,Paramètres!$A$1:$I$89,3,0)*0.475*44/12</f>
        <v>0</v>
      </c>
      <c r="BR198" s="21">
        <f>EXP(-LN(2)/2)*BR197+(1-EXP(-LN(2)/2))/(LN(2)/2)*BL198*BO198*VLOOKUP('Données projet'!$B$11,Paramètres!$A$1:$I$89,3,0)*0.475*44/12</f>
        <v>0</v>
      </c>
      <c r="BS198" s="22">
        <f t="shared" si="169"/>
        <v>0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1.1368683772161603E-13</v>
      </c>
      <c r="BZ198" s="13">
        <f>BY198*VLOOKUP('Données projet'!$B$12,Paramètres!$A$1:$I$89,3,0)*VLOOKUP('Données projet'!$B$12,Paramètres!$A$1:$I$89,5,0)</f>
        <v>1.0995790944434703E-13</v>
      </c>
      <c r="CA198" s="13">
        <f t="shared" si="170"/>
        <v>1.6337280948049956E-12</v>
      </c>
      <c r="CB198" s="20">
        <f t="shared" si="171"/>
        <v>3.036919790734272E-12</v>
      </c>
      <c r="CC198" s="59">
        <f t="shared" si="195"/>
        <v>293.33333333333633</v>
      </c>
      <c r="CD198" s="59">
        <f ca="1">AVERAGE(OFFSET($CC$3,0,0,'Données projet'!$E$12+1,1))-AVERAGE(OFFSET($H$3,0,0,'Données projet'!$E$12+1,1))</f>
        <v>154.93882427988234</v>
      </c>
      <c r="CE198" s="59">
        <f t="shared" si="207"/>
        <v>56.347130462109817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>
        <f>EXP(-LN(2)/35)*CK197+(1-EXP(-LN(2)/35))/(LN(2)/35)*CG198*CH198*VLOOKUP('Données projet'!$B$12,Paramètres!$A$1:$I$89,3,0)*0.475*44/12</f>
        <v>0</v>
      </c>
      <c r="CL198" s="21">
        <f>EXP(-LN(2)/25)*CL197+(1-EXP(-LN(2)/25))/(LN(2)/25)*Calculateur!CG198*Calculateur!CI198*VLOOKUP('Données projet'!$B$12,Paramètres!$A$1:$I$89,3,0)*0.475*44/12</f>
        <v>0</v>
      </c>
      <c r="CM198" s="21">
        <f>EXP(-LN(2)/2)*CM197+(1-EXP(-LN(2)/2))/(LN(2)/2)*CG198*CJ198*VLOOKUP('Données projet'!$B$12,Paramètres!$A$1:$I$89,3,0)*0.475*44/12</f>
        <v>0</v>
      </c>
      <c r="CN198" s="22">
        <f t="shared" si="172"/>
        <v>0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174.28319999999962</v>
      </c>
      <c r="D199" s="11">
        <f t="shared" si="202"/>
        <v>44.047924241116036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1685.3630643173844</v>
      </c>
      <c r="H199" s="67">
        <f t="shared" si="192"/>
        <v>673.59337471994309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0</v>
      </c>
      <c r="O199" s="13">
        <f>N199*VLOOKUP('Données projet'!$B$9,Paramètres!$A$1:$I$89,3,0)*VLOOKUP('Données projet'!$B$9,Paramètres!$A$1:$I$89,5,0)</f>
        <v>0</v>
      </c>
      <c r="P199" s="13" t="e">
        <f t="shared" si="203"/>
        <v>#NUM!</v>
      </c>
      <c r="Q199" s="20" t="e">
        <f t="shared" si="162"/>
        <v>#NUM!</v>
      </c>
      <c r="R199" s="59" t="e">
        <f t="shared" si="191"/>
        <v>#NUM!</v>
      </c>
      <c r="S199" s="59">
        <f ca="1">AVERAGE(OFFSET($R$3,0,0,'Données projet'!$E$9+1,1))-AVERAGE(OFFSET($H$3,0,0,'Données projet'!$E$9+1,1))</f>
        <v>72.647148358003676</v>
      </c>
      <c r="T199" s="59">
        <f t="shared" si="204"/>
        <v>87.231299224620898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4.7523558102945458E-2</v>
      </c>
      <c r="AA199" s="21">
        <f>EXP(-LN(2)/25)*AA198+(1-EXP(-LN(2)/25))/(LN(2)/25)*Calculateur!V199*Calculateur!X199*VLOOKUP('Données projet'!$B$9,Paramètres!$A$1:$I$89,3,0)*0.475*44/12</f>
        <v>4.5432554324497214E-2</v>
      </c>
      <c r="AB199" s="21">
        <f>EXP(-LN(2)/2)*AB198+(1-EXP(-LN(2)/2))/(LN(2)/2)*V199*Y199*VLOOKUP('Données projet'!$B$9,Paramètres!$A$1:$I$89,3,0)*0.475*44/12</f>
        <v>2.3583913082833625E-25</v>
      </c>
      <c r="AC199" s="22">
        <f t="shared" si="163"/>
        <v>9.2956112427442672E-2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-8.5265128291212022E-14</v>
      </c>
      <c r="AJ199" s="13">
        <f>AI199*VLOOKUP('Données projet'!$B$10,Paramètres!$A$1:$I$89,3,0)*VLOOKUP('Données projet'!$B$10,Paramètres!$A$1:$I$89,5,0)</f>
        <v>-6.9167072069831198E-14</v>
      </c>
      <c r="AK199" s="13" t="e">
        <f t="shared" si="164"/>
        <v>#NUM!</v>
      </c>
      <c r="AL199" s="20" t="e">
        <f t="shared" si="165"/>
        <v>#NUM!</v>
      </c>
      <c r="AM199" s="59" t="e">
        <f t="shared" si="193"/>
        <v>#NUM!</v>
      </c>
      <c r="AN199" s="59">
        <f ca="1">AVERAGE(OFFSET($AM$3,0,0,'Données projet'!$E$10+1,1))-AVERAGE(OFFSET($H$3,0,0,'Données projet'!$E$10+1,1))</f>
        <v>145.3656871223958</v>
      </c>
      <c r="AO199" s="59">
        <f t="shared" si="205"/>
        <v>180.54762778843178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0</v>
      </c>
      <c r="AV199" s="21">
        <f>EXP(-LN(2)/25)*AV198+(1-EXP(-LN(2)/25))/(LN(2)/25)*Calculateur!AQ199*Calculateur!AS199*VLOOKUP('Données projet'!$B$10,Paramètres!$A$1:$I$89,3,0)*0.475*44/12</f>
        <v>5.5759930983160171E-2</v>
      </c>
      <c r="AW199" s="21">
        <f>EXP(-LN(2)/2)*AW198+(1-EXP(-LN(2)/2))/(LN(2)/2)*AQ199*AT199*VLOOKUP('Données projet'!$B$10,Paramètres!$A$1:$I$89,3,0)*0.475*44/12</f>
        <v>8.4394720023974112E-25</v>
      </c>
      <c r="AX199" s="21">
        <f t="shared" si="166"/>
        <v>5.5759930983160171E-2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2.8421709430404007E-14</v>
      </c>
      <c r="BE199" s="13">
        <f>BD199*VLOOKUP('Données projet'!$B$11,Paramètres!$A$1:$I$89,3,0)*VLOOKUP('Données projet'!$B$11,Paramètres!$A$1:$I$89,5,0)</f>
        <v>2.5715962692629544E-14</v>
      </c>
      <c r="BF199" s="13">
        <f t="shared" si="167"/>
        <v>4.5248818890525812E-13</v>
      </c>
      <c r="BG199" s="20">
        <f t="shared" si="168"/>
        <v>8.3287223069965432E-13</v>
      </c>
      <c r="BH199" s="59">
        <f t="shared" si="194"/>
        <v>293.33333333333417</v>
      </c>
      <c r="BI199" s="59">
        <f ca="1">AVERAGE(OFFSET($BH$3,0,0,'Données projet'!$E$11+1,1))-AVERAGE(OFFSET($H$3,0,0,'Données projet'!$E$11+1,1))</f>
        <v>138.8931001150624</v>
      </c>
      <c r="BJ199" s="59">
        <f t="shared" si="206"/>
        <v>48.964659354096625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>
        <f>EXP(-LN(2)/35)*BP198+(1-EXP(-LN(2)/35))/(LN(2)/35)*BL199*BM199*VLOOKUP('Données projet'!$B$11,Paramètres!$A$1:$I$89,3,0)*0.475*44/12</f>
        <v>0</v>
      </c>
      <c r="BQ199" s="21">
        <f>EXP(-LN(2)/25)*BQ198+(1-EXP(-LN(2)/25))/(LN(2)/25)*Calculateur!BL199*Calculateur!BN199*VLOOKUP('Données projet'!$B$11,Paramètres!$A$1:$I$89,3,0)*0.475*44/12</f>
        <v>0</v>
      </c>
      <c r="BR199" s="21">
        <f>EXP(-LN(2)/2)*BR198+(1-EXP(-LN(2)/2))/(LN(2)/2)*BL199*BO199*VLOOKUP('Données projet'!$B$11,Paramètres!$A$1:$I$89,3,0)*0.475*44/12</f>
        <v>0</v>
      </c>
      <c r="BS199" s="22">
        <f t="shared" si="169"/>
        <v>0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1.1368683772161603E-13</v>
      </c>
      <c r="BZ199" s="13">
        <f>BY199*VLOOKUP('Données projet'!$B$12,Paramètres!$A$1:$I$89,3,0)*VLOOKUP('Données projet'!$B$12,Paramètres!$A$1:$I$89,5,0)</f>
        <v>1.0995790944434703E-13</v>
      </c>
      <c r="CA199" s="13">
        <f t="shared" si="170"/>
        <v>1.6337280948049956E-12</v>
      </c>
      <c r="CB199" s="20">
        <f t="shared" si="171"/>
        <v>3.036919790734272E-12</v>
      </c>
      <c r="CC199" s="59">
        <f t="shared" si="195"/>
        <v>293.33333333333633</v>
      </c>
      <c r="CD199" s="59">
        <f ca="1">AVERAGE(OFFSET($CC$3,0,0,'Données projet'!$E$12+1,1))-AVERAGE(OFFSET($H$3,0,0,'Données projet'!$E$12+1,1))</f>
        <v>154.93882427988234</v>
      </c>
      <c r="CE199" s="59">
        <f t="shared" si="207"/>
        <v>56.347130462109817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>
        <f>EXP(-LN(2)/35)*CK198+(1-EXP(-LN(2)/35))/(LN(2)/35)*CG199*CH199*VLOOKUP('Données projet'!$B$12,Paramètres!$A$1:$I$89,3,0)*0.475*44/12</f>
        <v>0</v>
      </c>
      <c r="CL199" s="21">
        <f>EXP(-LN(2)/25)*CL198+(1-EXP(-LN(2)/25))/(LN(2)/25)*Calculateur!CG199*Calculateur!CI199*VLOOKUP('Données projet'!$B$12,Paramètres!$A$1:$I$89,3,0)*0.475*44/12</f>
        <v>0</v>
      </c>
      <c r="CM199" s="21">
        <f>EXP(-LN(2)/2)*CM198+(1-EXP(-LN(2)/2))/(LN(2)/2)*CG199*CJ199*VLOOKUP('Données projet'!$B$12,Paramètres!$A$1:$I$89,3,0)*0.475*44/12</f>
        <v>0</v>
      </c>
      <c r="CN199" s="22">
        <f t="shared" si="172"/>
        <v>0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175.17239999999961</v>
      </c>
      <c r="D200" s="11">
        <f t="shared" si="202"/>
        <v>44.246440622057428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1693.7594714685104</v>
      </c>
      <c r="H200" s="67">
        <f t="shared" si="192"/>
        <v>675.48781408341597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0</v>
      </c>
      <c r="O200" s="13">
        <f>N200*VLOOKUP('Données projet'!$B$9,Paramètres!$A$1:$I$89,3,0)*VLOOKUP('Données projet'!$B$9,Paramètres!$A$1:$I$89,5,0)</f>
        <v>0</v>
      </c>
      <c r="P200" s="13" t="e">
        <f t="shared" si="203"/>
        <v>#NUM!</v>
      </c>
      <c r="Q200" s="20" t="e">
        <f t="shared" si="162"/>
        <v>#NUM!</v>
      </c>
      <c r="R200" s="59" t="e">
        <f t="shared" si="191"/>
        <v>#NUM!</v>
      </c>
      <c r="S200" s="59">
        <f ca="1">AVERAGE(OFFSET($R$3,0,0,'Données projet'!$E$9+1,1))-AVERAGE(OFFSET($H$3,0,0,'Données projet'!$E$9+1,1))</f>
        <v>72.647148358003676</v>
      </c>
      <c r="T200" s="59">
        <f t="shared" si="204"/>
        <v>87.231299224620898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4.6591650115054964E-2</v>
      </c>
      <c r="AA200" s="21">
        <f>EXP(-LN(2)/25)*AA199+(1-EXP(-LN(2)/25))/(LN(2)/25)*Calculateur!V200*Calculateur!X200*VLOOKUP('Données projet'!$B$9,Paramètres!$A$1:$I$89,3,0)*0.475*44/12</f>
        <v>4.4190198737299645E-2</v>
      </c>
      <c r="AB200" s="21">
        <f>EXP(-LN(2)/2)*AB199+(1-EXP(-LN(2)/2))/(LN(2)/2)*V200*Y200*VLOOKUP('Données projet'!$B$9,Paramètres!$A$1:$I$89,3,0)*0.475*44/12</f>
        <v>1.6676344867785792E-25</v>
      </c>
      <c r="AC200" s="22">
        <f t="shared" si="163"/>
        <v>9.0781848852354602E-2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-8.5265128291212022E-14</v>
      </c>
      <c r="AJ200" s="13">
        <f>AI200*VLOOKUP('Données projet'!$B$10,Paramètres!$A$1:$I$89,3,0)*VLOOKUP('Données projet'!$B$10,Paramètres!$A$1:$I$89,5,0)</f>
        <v>-6.9167072069831198E-14</v>
      </c>
      <c r="AK200" s="13" t="e">
        <f t="shared" si="164"/>
        <v>#NUM!</v>
      </c>
      <c r="AL200" s="20" t="e">
        <f t="shared" si="165"/>
        <v>#NUM!</v>
      </c>
      <c r="AM200" s="59" t="e">
        <f t="shared" si="193"/>
        <v>#NUM!</v>
      </c>
      <c r="AN200" s="59">
        <f ca="1">AVERAGE(OFFSET($AM$3,0,0,'Données projet'!$E$10+1,1))-AVERAGE(OFFSET($H$3,0,0,'Données projet'!$E$10+1,1))</f>
        <v>145.3656871223958</v>
      </c>
      <c r="AO200" s="59">
        <f t="shared" si="205"/>
        <v>180.54762778843178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0</v>
      </c>
      <c r="AV200" s="21">
        <f>EXP(-LN(2)/25)*AV199+(1-EXP(-LN(2)/25))/(LN(2)/25)*Calculateur!AQ200*Calculateur!AS200*VLOOKUP('Données projet'!$B$10,Paramètres!$A$1:$I$89,3,0)*0.475*44/12</f>
        <v>5.4235172738138326E-2</v>
      </c>
      <c r="AW200" s="21">
        <f>EXP(-LN(2)/2)*AW199+(1-EXP(-LN(2)/2))/(LN(2)/2)*AQ200*AT200*VLOOKUP('Données projet'!$B$10,Paramètres!$A$1:$I$89,3,0)*0.475*44/12</f>
        <v>5.9676078825292204E-25</v>
      </c>
      <c r="AX200" s="21">
        <f t="shared" si="166"/>
        <v>5.4235172738138326E-2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2.8421709430404007E-14</v>
      </c>
      <c r="BE200" s="13">
        <f>BD200*VLOOKUP('Données projet'!$B$11,Paramètres!$A$1:$I$89,3,0)*VLOOKUP('Données projet'!$B$11,Paramètres!$A$1:$I$89,5,0)</f>
        <v>2.5715962692629544E-14</v>
      </c>
      <c r="BF200" s="13">
        <f t="shared" si="167"/>
        <v>4.5248818890525812E-13</v>
      </c>
      <c r="BG200" s="20">
        <f t="shared" si="168"/>
        <v>8.3287223069965432E-13</v>
      </c>
      <c r="BH200" s="59">
        <f t="shared" si="194"/>
        <v>293.33333333333417</v>
      </c>
      <c r="BI200" s="59">
        <f ca="1">AVERAGE(OFFSET($BH$3,0,0,'Données projet'!$E$11+1,1))-AVERAGE(OFFSET($H$3,0,0,'Données projet'!$E$11+1,1))</f>
        <v>138.8931001150624</v>
      </c>
      <c r="BJ200" s="59">
        <f t="shared" si="206"/>
        <v>48.964659354096625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>
        <f>EXP(-LN(2)/35)*BP199+(1-EXP(-LN(2)/35))/(LN(2)/35)*BL200*BM200*VLOOKUP('Données projet'!$B$11,Paramètres!$A$1:$I$89,3,0)*0.475*44/12</f>
        <v>0</v>
      </c>
      <c r="BQ200" s="21">
        <f>EXP(-LN(2)/25)*BQ199+(1-EXP(-LN(2)/25))/(LN(2)/25)*Calculateur!BL200*Calculateur!BN200*VLOOKUP('Données projet'!$B$11,Paramètres!$A$1:$I$89,3,0)*0.475*44/12</f>
        <v>0</v>
      </c>
      <c r="BR200" s="21">
        <f>EXP(-LN(2)/2)*BR199+(1-EXP(-LN(2)/2))/(LN(2)/2)*BL200*BO200*VLOOKUP('Données projet'!$B$11,Paramètres!$A$1:$I$89,3,0)*0.475*44/12</f>
        <v>0</v>
      </c>
      <c r="BS200" s="22">
        <f t="shared" si="169"/>
        <v>0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1.1368683772161603E-13</v>
      </c>
      <c r="BZ200" s="13">
        <f>BY200*VLOOKUP('Données projet'!$B$12,Paramètres!$A$1:$I$89,3,0)*VLOOKUP('Données projet'!$B$12,Paramètres!$A$1:$I$89,5,0)</f>
        <v>1.0995790944434703E-13</v>
      </c>
      <c r="CA200" s="13">
        <f t="shared" si="170"/>
        <v>1.6337280948049956E-12</v>
      </c>
      <c r="CB200" s="20">
        <f t="shared" si="171"/>
        <v>3.036919790734272E-12</v>
      </c>
      <c r="CC200" s="59">
        <f t="shared" si="195"/>
        <v>293.33333333333633</v>
      </c>
      <c r="CD200" s="59">
        <f ca="1">AVERAGE(OFFSET($CC$3,0,0,'Données projet'!$E$12+1,1))-AVERAGE(OFFSET($H$3,0,0,'Données projet'!$E$12+1,1))</f>
        <v>154.93882427988234</v>
      </c>
      <c r="CE200" s="59">
        <f t="shared" si="207"/>
        <v>56.347130462109817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>
        <f>EXP(-LN(2)/35)*CK199+(1-EXP(-LN(2)/35))/(LN(2)/35)*CG200*CH200*VLOOKUP('Données projet'!$B$12,Paramètres!$A$1:$I$89,3,0)*0.475*44/12</f>
        <v>0</v>
      </c>
      <c r="CL200" s="21">
        <f>EXP(-LN(2)/25)*CL199+(1-EXP(-LN(2)/25))/(LN(2)/25)*Calculateur!CG200*Calculateur!CI200*VLOOKUP('Données projet'!$B$12,Paramètres!$A$1:$I$89,3,0)*0.475*44/12</f>
        <v>0</v>
      </c>
      <c r="CM200" s="21">
        <f>EXP(-LN(2)/2)*CM199+(1-EXP(-LN(2)/2))/(LN(2)/2)*CG200*CJ200*VLOOKUP('Données projet'!$B$12,Paramètres!$A$1:$I$89,3,0)*0.475*44/12</f>
        <v>0</v>
      </c>
      <c r="CN200" s="22">
        <f t="shared" si="172"/>
        <v>0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176.0615999999996</v>
      </c>
      <c r="D201" s="11">
        <f t="shared" si="202"/>
        <v>44.44483974113885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1702.154973440367</v>
      </c>
      <c r="H201" s="67">
        <f t="shared" si="192"/>
        <v>677.3820492158161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0</v>
      </c>
      <c r="O201" s="13">
        <f>N201*VLOOKUP('Données projet'!$B$9,Paramètres!$A$1:$I$89,3,0)*VLOOKUP('Données projet'!$B$9,Paramètres!$A$1:$I$89,5,0)</f>
        <v>0</v>
      </c>
      <c r="P201" s="13" t="e">
        <f t="shared" si="203"/>
        <v>#NUM!</v>
      </c>
      <c r="Q201" s="20" t="e">
        <f t="shared" si="162"/>
        <v>#NUM!</v>
      </c>
      <c r="R201" s="59" t="e">
        <f t="shared" si="191"/>
        <v>#NUM!</v>
      </c>
      <c r="S201" s="59">
        <f ca="1">AVERAGE(OFFSET($R$3,0,0,'Données projet'!$E$9+1,1))-AVERAGE(OFFSET($H$3,0,0,'Données projet'!$E$9+1,1))</f>
        <v>72.647148358003676</v>
      </c>
      <c r="T201" s="59">
        <f t="shared" si="204"/>
        <v>87.231299224620898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4.5678016274399255E-2</v>
      </c>
      <c r="AA201" s="21">
        <f>EXP(-LN(2)/25)*AA200+(1-EXP(-LN(2)/25))/(LN(2)/25)*Calculateur!V201*Calculateur!X201*VLOOKUP('Données projet'!$B$9,Paramètres!$A$1:$I$89,3,0)*0.475*44/12</f>
        <v>4.2981815428966633E-2</v>
      </c>
      <c r="AB201" s="21">
        <f>EXP(-LN(2)/2)*AB200+(1-EXP(-LN(2)/2))/(LN(2)/2)*V201*Y201*VLOOKUP('Données projet'!$B$9,Paramètres!$A$1:$I$89,3,0)*0.475*44/12</f>
        <v>1.1791956541416812E-25</v>
      </c>
      <c r="AC201" s="22">
        <f t="shared" si="163"/>
        <v>8.8659831703365888E-2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-8.5265128291212022E-14</v>
      </c>
      <c r="AJ201" s="13">
        <f>AI201*VLOOKUP('Données projet'!$B$10,Paramètres!$A$1:$I$89,3,0)*VLOOKUP('Données projet'!$B$10,Paramètres!$A$1:$I$89,5,0)</f>
        <v>-6.9167072069831198E-14</v>
      </c>
      <c r="AK201" s="13" t="e">
        <f t="shared" si="164"/>
        <v>#NUM!</v>
      </c>
      <c r="AL201" s="20" t="e">
        <f t="shared" si="165"/>
        <v>#NUM!</v>
      </c>
      <c r="AM201" s="59" t="e">
        <f t="shared" si="193"/>
        <v>#NUM!</v>
      </c>
      <c r="AN201" s="59">
        <f ca="1">AVERAGE(OFFSET($AM$3,0,0,'Données projet'!$E$10+1,1))-AVERAGE(OFFSET($H$3,0,0,'Données projet'!$E$10+1,1))</f>
        <v>145.3656871223958</v>
      </c>
      <c r="AO201" s="59">
        <f t="shared" si="205"/>
        <v>180.54762778843178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0</v>
      </c>
      <c r="AV201" s="21">
        <f>EXP(-LN(2)/25)*AV200+(1-EXP(-LN(2)/25))/(LN(2)/25)*Calculateur!AQ201*Calculateur!AS201*VLOOKUP('Données projet'!$B$10,Paramètres!$A$1:$I$89,3,0)*0.475*44/12</f>
        <v>5.2752109087510157E-2</v>
      </c>
      <c r="AW201" s="21">
        <f>EXP(-LN(2)/2)*AW200+(1-EXP(-LN(2)/2))/(LN(2)/2)*AQ201*AT201*VLOOKUP('Données projet'!$B$10,Paramètres!$A$1:$I$89,3,0)*0.475*44/12</f>
        <v>4.2197360011987056E-25</v>
      </c>
      <c r="AX201" s="21">
        <f t="shared" si="166"/>
        <v>5.2752109087510157E-2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2.8421709430404007E-14</v>
      </c>
      <c r="BE201" s="13">
        <f>BD201*VLOOKUP('Données projet'!$B$11,Paramètres!$A$1:$I$89,3,0)*VLOOKUP('Données projet'!$B$11,Paramètres!$A$1:$I$89,5,0)</f>
        <v>2.5715962692629544E-14</v>
      </c>
      <c r="BF201" s="13">
        <f t="shared" si="167"/>
        <v>4.5248818890525812E-13</v>
      </c>
      <c r="BG201" s="20">
        <f t="shared" si="168"/>
        <v>8.3287223069965432E-13</v>
      </c>
      <c r="BH201" s="59">
        <f t="shared" si="194"/>
        <v>293.33333333333417</v>
      </c>
      <c r="BI201" s="59">
        <f ca="1">AVERAGE(OFFSET($BH$3,0,0,'Données projet'!$E$11+1,1))-AVERAGE(OFFSET($H$3,0,0,'Données projet'!$E$11+1,1))</f>
        <v>138.8931001150624</v>
      </c>
      <c r="BJ201" s="59">
        <f t="shared" si="206"/>
        <v>48.964659354096625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>
        <f>EXP(-LN(2)/35)*BP200+(1-EXP(-LN(2)/35))/(LN(2)/35)*BL201*BM201*VLOOKUP('Données projet'!$B$11,Paramètres!$A$1:$I$89,3,0)*0.475*44/12</f>
        <v>0</v>
      </c>
      <c r="BQ201" s="21">
        <f>EXP(-LN(2)/25)*BQ200+(1-EXP(-LN(2)/25))/(LN(2)/25)*Calculateur!BL201*Calculateur!BN201*VLOOKUP('Données projet'!$B$11,Paramètres!$A$1:$I$89,3,0)*0.475*44/12</f>
        <v>0</v>
      </c>
      <c r="BR201" s="21">
        <f>EXP(-LN(2)/2)*BR200+(1-EXP(-LN(2)/2))/(LN(2)/2)*BL201*BO201*VLOOKUP('Données projet'!$B$11,Paramètres!$A$1:$I$89,3,0)*0.475*44/12</f>
        <v>0</v>
      </c>
      <c r="BS201" s="22">
        <f t="shared" si="169"/>
        <v>0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1.1368683772161603E-13</v>
      </c>
      <c r="BZ201" s="13">
        <f>BY201*VLOOKUP('Données projet'!$B$12,Paramètres!$A$1:$I$89,3,0)*VLOOKUP('Données projet'!$B$12,Paramètres!$A$1:$I$89,5,0)</f>
        <v>1.0995790944434703E-13</v>
      </c>
      <c r="CA201" s="13">
        <f t="shared" si="170"/>
        <v>1.6337280948049956E-12</v>
      </c>
      <c r="CB201" s="20">
        <f t="shared" si="171"/>
        <v>3.036919790734272E-12</v>
      </c>
      <c r="CC201" s="59">
        <f t="shared" si="195"/>
        <v>293.33333333333633</v>
      </c>
      <c r="CD201" s="59">
        <f ca="1">AVERAGE(OFFSET($CC$3,0,0,'Données projet'!$E$12+1,1))-AVERAGE(OFFSET($H$3,0,0,'Données projet'!$E$12+1,1))</f>
        <v>154.93882427988234</v>
      </c>
      <c r="CE201" s="59">
        <f t="shared" si="207"/>
        <v>56.347130462109817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>
        <f>EXP(-LN(2)/35)*CK200+(1-EXP(-LN(2)/35))/(LN(2)/35)*CG201*CH201*VLOOKUP('Données projet'!$B$12,Paramètres!$A$1:$I$89,3,0)*0.475*44/12</f>
        <v>0</v>
      </c>
      <c r="CL201" s="21">
        <f>EXP(-LN(2)/25)*CL200+(1-EXP(-LN(2)/25))/(LN(2)/25)*Calculateur!CG201*Calculateur!CI201*VLOOKUP('Données projet'!$B$12,Paramètres!$A$1:$I$89,3,0)*0.475*44/12</f>
        <v>0</v>
      </c>
      <c r="CM201" s="21">
        <f>EXP(-LN(2)/2)*CM200+(1-EXP(-LN(2)/2))/(LN(2)/2)*CG201*CJ201*VLOOKUP('Données projet'!$B$12,Paramètres!$A$1:$I$89,3,0)*0.475*44/12</f>
        <v>0</v>
      </c>
      <c r="CN201" s="22">
        <f t="shared" si="172"/>
        <v>0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176.95079999999959</v>
      </c>
      <c r="D202" s="11">
        <f t="shared" si="202"/>
        <v>44.643122259339037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1710.5495753352454</v>
      </c>
      <c r="H202" s="67">
        <f t="shared" si="192"/>
        <v>679.27608126834809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0</v>
      </c>
      <c r="O202" s="13">
        <f>N202*VLOOKUP('Données projet'!$B$9,Paramètres!$A$1:$I$89,3,0)*VLOOKUP('Données projet'!$B$9,Paramètres!$A$1:$I$89,5,0)</f>
        <v>0</v>
      </c>
      <c r="P202" s="13" t="e">
        <f t="shared" si="203"/>
        <v>#NUM!</v>
      </c>
      <c r="Q202" s="20" t="e">
        <f t="shared" si="162"/>
        <v>#NUM!</v>
      </c>
      <c r="R202" s="59" t="e">
        <f t="shared" si="191"/>
        <v>#NUM!</v>
      </c>
      <c r="S202" s="59">
        <f ca="1">AVERAGE(OFFSET($R$3,0,0,'Données projet'!$E$9+1,1))-AVERAGE(OFFSET($H$3,0,0,'Données projet'!$E$9+1,1))</f>
        <v>72.647148358003676</v>
      </c>
      <c r="T202" s="59">
        <f t="shared" si="204"/>
        <v>87.231299224620898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4.4782298236097182E-2</v>
      </c>
      <c r="AA202" s="21">
        <f>EXP(-LN(2)/25)*AA201+(1-EXP(-LN(2)/25))/(LN(2)/25)*Calculateur!V202*Calculateur!X202*VLOOKUP('Données projet'!$B$9,Paramètres!$A$1:$I$89,3,0)*0.475*44/12</f>
        <v>4.1806475425746101E-2</v>
      </c>
      <c r="AB202" s="21">
        <f>EXP(-LN(2)/2)*AB201+(1-EXP(-LN(2)/2))/(LN(2)/2)*V202*Y202*VLOOKUP('Données projet'!$B$9,Paramètres!$A$1:$I$89,3,0)*0.475*44/12</f>
        <v>8.3381724338928958E-26</v>
      </c>
      <c r="AC202" s="22">
        <f t="shared" si="163"/>
        <v>8.6588773661843282E-2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-8.5265128291212022E-14</v>
      </c>
      <c r="AJ202" s="13">
        <f>AI202*VLOOKUP('Données projet'!$B$10,Paramètres!$A$1:$I$89,3,0)*VLOOKUP('Données projet'!$B$10,Paramètres!$A$1:$I$89,5,0)</f>
        <v>-6.9167072069831198E-14</v>
      </c>
      <c r="AK202" s="13" t="e">
        <f t="shared" si="164"/>
        <v>#NUM!</v>
      </c>
      <c r="AL202" s="20" t="e">
        <f t="shared" si="165"/>
        <v>#NUM!</v>
      </c>
      <c r="AM202" s="59" t="e">
        <f t="shared" si="193"/>
        <v>#NUM!</v>
      </c>
      <c r="AN202" s="59">
        <f ca="1">AVERAGE(OFFSET($AM$3,0,0,'Données projet'!$E$10+1,1))-AVERAGE(OFFSET($H$3,0,0,'Données projet'!$E$10+1,1))</f>
        <v>145.3656871223958</v>
      </c>
      <c r="AO202" s="59">
        <f t="shared" si="205"/>
        <v>180.54762778843178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0</v>
      </c>
      <c r="AV202" s="21">
        <f>EXP(-LN(2)/25)*AV201+(1-EXP(-LN(2)/25))/(LN(2)/25)*Calculateur!AQ202*Calculateur!AS202*VLOOKUP('Données projet'!$B$10,Paramètres!$A$1:$I$89,3,0)*0.475*44/12</f>
        <v>5.1309599890399342E-2</v>
      </c>
      <c r="AW202" s="21">
        <f>EXP(-LN(2)/2)*AW201+(1-EXP(-LN(2)/2))/(LN(2)/2)*AQ202*AT202*VLOOKUP('Données projet'!$B$10,Paramètres!$A$1:$I$89,3,0)*0.475*44/12</f>
        <v>2.9838039412646102E-25</v>
      </c>
      <c r="AX202" s="21">
        <f t="shared" si="166"/>
        <v>5.1309599890399342E-2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2.8421709430404007E-14</v>
      </c>
      <c r="BE202" s="13">
        <f>BD202*VLOOKUP('Données projet'!$B$11,Paramètres!$A$1:$I$89,3,0)*VLOOKUP('Données projet'!$B$11,Paramètres!$A$1:$I$89,5,0)</f>
        <v>2.5715962692629544E-14</v>
      </c>
      <c r="BF202" s="13">
        <f t="shared" si="167"/>
        <v>4.5248818890525812E-13</v>
      </c>
      <c r="BG202" s="20">
        <f t="shared" si="168"/>
        <v>8.3287223069965432E-13</v>
      </c>
      <c r="BH202" s="59">
        <f t="shared" si="194"/>
        <v>293.33333333333417</v>
      </c>
      <c r="BI202" s="59">
        <f ca="1">AVERAGE(OFFSET($BH$3,0,0,'Données projet'!$E$11+1,1))-AVERAGE(OFFSET($H$3,0,0,'Données projet'!$E$11+1,1))</f>
        <v>138.8931001150624</v>
      </c>
      <c r="BJ202" s="59">
        <f t="shared" si="206"/>
        <v>48.964659354096625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>
        <f>EXP(-LN(2)/35)*BP201+(1-EXP(-LN(2)/35))/(LN(2)/35)*BL202*BM202*VLOOKUP('Données projet'!$B$11,Paramètres!$A$1:$I$89,3,0)*0.475*44/12</f>
        <v>0</v>
      </c>
      <c r="BQ202" s="21">
        <f>EXP(-LN(2)/25)*BQ201+(1-EXP(-LN(2)/25))/(LN(2)/25)*Calculateur!BL202*Calculateur!BN202*VLOOKUP('Données projet'!$B$11,Paramètres!$A$1:$I$89,3,0)*0.475*44/12</f>
        <v>0</v>
      </c>
      <c r="BR202" s="21">
        <f>EXP(-LN(2)/2)*BR201+(1-EXP(-LN(2)/2))/(LN(2)/2)*BL202*BO202*VLOOKUP('Données projet'!$B$11,Paramètres!$A$1:$I$89,3,0)*0.475*44/12</f>
        <v>0</v>
      </c>
      <c r="BS202" s="22">
        <f t="shared" si="169"/>
        <v>0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1.1368683772161603E-13</v>
      </c>
      <c r="BZ202" s="13">
        <f>BY202*VLOOKUP('Données projet'!$B$12,Paramètres!$A$1:$I$89,3,0)*VLOOKUP('Données projet'!$B$12,Paramètres!$A$1:$I$89,5,0)</f>
        <v>1.0995790944434703E-13</v>
      </c>
      <c r="CA202" s="13">
        <f t="shared" si="170"/>
        <v>1.6337280948049956E-12</v>
      </c>
      <c r="CB202" s="20">
        <f t="shared" si="171"/>
        <v>3.036919790734272E-12</v>
      </c>
      <c r="CC202" s="59">
        <f t="shared" si="195"/>
        <v>293.33333333333633</v>
      </c>
      <c r="CD202" s="59">
        <f ca="1">AVERAGE(OFFSET($CC$3,0,0,'Données projet'!$E$12+1,1))-AVERAGE(OFFSET($H$3,0,0,'Données projet'!$E$12+1,1))</f>
        <v>154.93882427988234</v>
      </c>
      <c r="CE202" s="59">
        <f t="shared" si="207"/>
        <v>56.347130462109817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>
        <f>EXP(-LN(2)/35)*CK201+(1-EXP(-LN(2)/35))/(LN(2)/35)*CG202*CH202*VLOOKUP('Données projet'!$B$12,Paramètres!$A$1:$I$89,3,0)*0.475*44/12</f>
        <v>0</v>
      </c>
      <c r="CL202" s="21">
        <f>EXP(-LN(2)/25)*CL201+(1-EXP(-LN(2)/25))/(LN(2)/25)*Calculateur!CG202*Calculateur!CI202*VLOOKUP('Données projet'!$B$12,Paramètres!$A$1:$I$89,3,0)*0.475*44/12</f>
        <v>0</v>
      </c>
      <c r="CM202" s="21">
        <f>EXP(-LN(2)/2)*CM201+(1-EXP(-LN(2)/2))/(LN(2)/2)*CG202*CJ202*VLOOKUP('Données projet'!$B$12,Paramètres!$A$1:$I$89,3,0)*0.475*44/12</f>
        <v>0</v>
      </c>
      <c r="CN202" s="22">
        <f t="shared" si="172"/>
        <v>0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35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177.83999999999958</v>
      </c>
      <c r="D203" s="11">
        <f t="shared" si="202"/>
        <v>44.841288830609059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1718.9432822011897</v>
      </c>
      <c r="H203" s="67">
        <f t="shared" si="192"/>
        <v>681.16991137997661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0</v>
      </c>
      <c r="O203" s="13">
        <f>N203*VLOOKUP('Données projet'!$B$9,Paramètres!$A$1:$I$89,3,0)*VLOOKUP('Données projet'!$B$9,Paramètres!$A$1:$I$89,5,0)</f>
        <v>0</v>
      </c>
      <c r="P203" s="13" t="e">
        <f t="shared" si="203"/>
        <v>#NUM!</v>
      </c>
      <c r="Q203" s="20" t="e">
        <f t="shared" si="162"/>
        <v>#NUM!</v>
      </c>
      <c r="R203" s="59" t="e">
        <f t="shared" si="191"/>
        <v>#NUM!</v>
      </c>
      <c r="S203" s="59">
        <f ca="1">AVERAGE(OFFSET($R$3,0,0,'Données projet'!$E$9+1,1))-AVERAGE(OFFSET($H$3,0,0,'Données projet'!$E$9+1,1))</f>
        <v>72.647148358003676</v>
      </c>
      <c r="T203" s="59">
        <f t="shared" si="204"/>
        <v>87.231299224620898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4.3904144682192156E-2</v>
      </c>
      <c r="AA203" s="21">
        <f>EXP(-LN(2)/25)*AA202+(1-EXP(-LN(2)/25))/(LN(2)/25)*Calculateur!V203*Calculateur!X203*VLOOKUP('Données projet'!$B$9,Paramètres!$A$1:$I$89,3,0)*0.475*44/12</f>
        <v>4.0663275156722078E-2</v>
      </c>
      <c r="AB203" s="21">
        <f>EXP(-LN(2)/2)*AB202+(1-EXP(-LN(2)/2))/(LN(2)/2)*V203*Y203*VLOOKUP('Données projet'!$B$9,Paramètres!$A$1:$I$89,3,0)*0.475*44/12</f>
        <v>5.8959782707084062E-26</v>
      </c>
      <c r="AC203" s="22">
        <f t="shared" si="163"/>
        <v>8.4567419838914235E-2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-8.5265128291212022E-14</v>
      </c>
      <c r="AJ203" s="13">
        <f>AI203*VLOOKUP('Données projet'!$B$10,Paramètres!$A$1:$I$89,3,0)*VLOOKUP('Données projet'!$B$10,Paramètres!$A$1:$I$89,5,0)</f>
        <v>-6.9167072069831198E-14</v>
      </c>
      <c r="AK203" s="13" t="e">
        <f t="shared" si="164"/>
        <v>#NUM!</v>
      </c>
      <c r="AL203" s="20" t="e">
        <f t="shared" si="165"/>
        <v>#NUM!</v>
      </c>
      <c r="AM203" s="59" t="e">
        <f t="shared" si="193"/>
        <v>#NUM!</v>
      </c>
      <c r="AN203" s="59">
        <f ca="1">AVERAGE(OFFSET($AM$3,0,0,'Données projet'!$E$10+1,1))-AVERAGE(OFFSET($H$3,0,0,'Données projet'!$E$10+1,1))</f>
        <v>145.3656871223958</v>
      </c>
      <c r="AO203" s="59">
        <f t="shared" si="205"/>
        <v>180.54762778843178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0</v>
      </c>
      <c r="AV203" s="21">
        <f>EXP(-LN(2)/25)*AV202+(1-EXP(-LN(2)/25))/(LN(2)/25)*Calculateur!AQ203*Calculateur!AS203*VLOOKUP('Données projet'!$B$10,Paramètres!$A$1:$I$89,3,0)*0.475*44/12</f>
        <v>4.9906536183141781E-2</v>
      </c>
      <c r="AW203" s="21">
        <f>EXP(-LN(2)/2)*AW202+(1-EXP(-LN(2)/2))/(LN(2)/2)*AQ203*AT203*VLOOKUP('Données projet'!$B$10,Paramètres!$A$1:$I$89,3,0)*0.475*44/12</f>
        <v>2.1098680005993528E-25</v>
      </c>
      <c r="AX203" s="21">
        <f t="shared" si="166"/>
        <v>4.9906536183141781E-2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2.8421709430404007E-14</v>
      </c>
      <c r="BE203" s="13">
        <f>BD203*VLOOKUP('Données projet'!$B$11,Paramètres!$A$1:$I$89,3,0)*VLOOKUP('Données projet'!$B$11,Paramètres!$A$1:$I$89,5,0)</f>
        <v>2.5715962692629544E-14</v>
      </c>
      <c r="BF203" s="13">
        <f t="shared" si="167"/>
        <v>4.5248818890525812E-13</v>
      </c>
      <c r="BG203" s="20">
        <f t="shared" si="168"/>
        <v>8.3287223069965432E-13</v>
      </c>
      <c r="BH203" s="59">
        <f t="shared" si="194"/>
        <v>293.33333333333417</v>
      </c>
      <c r="BI203" s="59">
        <f ca="1">AVERAGE(OFFSET($BH$3,0,0,'Données projet'!$E$11+1,1))-AVERAGE(OFFSET($H$3,0,0,'Données projet'!$E$11+1,1))</f>
        <v>138.8931001150624</v>
      </c>
      <c r="BJ203" s="59">
        <f t="shared" si="206"/>
        <v>48.964659354096625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>
        <f>EXP(-LN(2)/35)*BP202+(1-EXP(-LN(2)/35))/(LN(2)/35)*BL203*BM203*VLOOKUP('Données projet'!$B$11,Paramètres!$A$1:$I$89,3,0)*0.475*44/12</f>
        <v>0</v>
      </c>
      <c r="BQ203" s="21">
        <f>EXP(-LN(2)/25)*BQ202+(1-EXP(-LN(2)/25))/(LN(2)/25)*Calculateur!BL203*Calculateur!BN203*VLOOKUP('Données projet'!$B$11,Paramètres!$A$1:$I$89,3,0)*0.475*44/12</f>
        <v>0</v>
      </c>
      <c r="BR203" s="21">
        <f>EXP(-LN(2)/2)*BR202+(1-EXP(-LN(2)/2))/(LN(2)/2)*BL203*BO203*VLOOKUP('Données projet'!$B$11,Paramètres!$A$1:$I$89,3,0)*0.475*44/12</f>
        <v>0</v>
      </c>
      <c r="BS203" s="22">
        <f t="shared" si="169"/>
        <v>0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1.1368683772161603E-13</v>
      </c>
      <c r="BZ203" s="13">
        <f>BY203*VLOOKUP('Données projet'!$B$12,Paramètres!$A$1:$I$89,3,0)*VLOOKUP('Données projet'!$B$12,Paramètres!$A$1:$I$89,5,0)</f>
        <v>1.0995790944434703E-13</v>
      </c>
      <c r="CA203" s="13">
        <f t="shared" si="170"/>
        <v>1.6337280948049956E-12</v>
      </c>
      <c r="CB203" s="20">
        <f t="shared" si="171"/>
        <v>3.036919790734272E-12</v>
      </c>
      <c r="CC203" s="59">
        <f t="shared" si="195"/>
        <v>293.33333333333633</v>
      </c>
      <c r="CD203" s="59">
        <f ca="1">AVERAGE(OFFSET($CC$3,0,0,'Données projet'!$E$12+1,1))-AVERAGE(OFFSET($H$3,0,0,'Données projet'!$E$12+1,1))</f>
        <v>154.93882427988234</v>
      </c>
      <c r="CE203" s="59">
        <f t="shared" si="207"/>
        <v>56.347130462109817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>
        <f>EXP(-LN(2)/35)*CK202+(1-EXP(-LN(2)/35))/(LN(2)/35)*CG203*CH203*VLOOKUP('Données projet'!$B$12,Paramètres!$A$1:$I$89,3,0)*0.475*44/12</f>
        <v>0</v>
      </c>
      <c r="CL203" s="21">
        <f>EXP(-LN(2)/25)*CL202+(1-EXP(-LN(2)/25))/(LN(2)/25)*Calculateur!CG203*Calculateur!CI203*VLOOKUP('Données projet'!$B$12,Paramètres!$A$1:$I$89,3,0)*0.475*44/12</f>
        <v>0</v>
      </c>
      <c r="CM203" s="21">
        <f>EXP(-LN(2)/2)*CM202+(1-EXP(-LN(2)/2))/(LN(2)/2)*CG203*CJ203*VLOOKUP('Données projet'!$B$12,Paramètres!$A$1:$I$89,3,0)*0.475*44/12</f>
        <v>0</v>
      </c>
      <c r="CN203" s="22">
        <f t="shared" si="172"/>
        <v>0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35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35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1.2599210498948732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1.2240347367580502</v>
      </c>
      <c r="BA205" s="82">
        <f>EXP(LN('Données projet'!B88)/'Données projet'!A88)</f>
        <v>1.1457367676485573</v>
      </c>
      <c r="BV205" s="82">
        <f>EXP(LN('Données projet'!B114)/'Données projet'!A114)</f>
        <v>1.1457367676485573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4140625" defaultRowHeight="14.4" x14ac:dyDescent="0.3"/>
  <cols>
    <col min="1" max="1" width="23.44140625" style="4" bestFit="1" customWidth="1"/>
    <col min="2" max="2" width="27.6640625" style="4" bestFit="1" customWidth="1"/>
    <col min="3" max="3" width="11.88671875" style="4" bestFit="1" customWidth="1"/>
    <col min="4" max="4" width="40" style="4" bestFit="1" customWidth="1"/>
    <col min="5" max="5" width="11.88671875" style="4" bestFit="1" customWidth="1"/>
    <col min="6" max="6" width="13.6640625" style="4" bestFit="1" customWidth="1"/>
    <col min="7" max="7" width="11.44140625" style="4" bestFit="1" customWidth="1"/>
    <col min="8" max="8" width="39" style="4" bestFit="1" customWidth="1"/>
    <col min="9" max="9" width="16.6640625" style="4" customWidth="1"/>
    <col min="10" max="14" width="11.44140625" style="4"/>
    <col min="15" max="15" width="23.44140625" style="4" bestFit="1" customWidth="1"/>
    <col min="16" max="16384" width="11.44140625" style="4"/>
  </cols>
  <sheetData>
    <row r="1" spans="1:16" ht="43.8" thickBot="1" x14ac:dyDescent="0.35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35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35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35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35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35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35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">
      <c r="A93" s="122" t="s">
        <v>208</v>
      </c>
    </row>
    <row r="94" spans="1:14" x14ac:dyDescent="0.3">
      <c r="A94" s="122" t="s">
        <v>209</v>
      </c>
    </row>
    <row r="95" spans="1:14" x14ac:dyDescent="0.3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opLeftCell="A5" zoomScale="90" zoomScaleNormal="90" workbookViewId="0">
      <selection activeCell="M16" sqref="M16"/>
    </sheetView>
  </sheetViews>
  <sheetFormatPr baseColWidth="10" defaultColWidth="11.44140625" defaultRowHeight="14.4" x14ac:dyDescent="0.3"/>
  <cols>
    <col min="1" max="1" width="22.88671875" style="1" bestFit="1" customWidth="1"/>
    <col min="2" max="2" width="10.5546875" style="1" bestFit="1" customWidth="1"/>
    <col min="3" max="3" width="15.5546875" style="1" bestFit="1" customWidth="1"/>
    <col min="4" max="4" width="13.44140625" style="1" bestFit="1" customWidth="1"/>
    <col min="5" max="8" width="11.44140625" style="1"/>
    <col min="9" max="13" width="11.44140625" style="62"/>
    <col min="14" max="15" width="11.44140625" style="1"/>
    <col min="16" max="17" width="13.44140625" style="1" customWidth="1"/>
    <col min="18" max="16384" width="11.44140625" style="1"/>
  </cols>
  <sheetData>
    <row r="1" spans="1:6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4" thickBot="1" x14ac:dyDescent="0.55000000000000004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35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72.599999999999994" thickBot="1" x14ac:dyDescent="0.35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">
      <c r="A6" s="145" t="str">
        <f>IF('Données projet'!$B$9="","",'Données projet'!$B$9)</f>
        <v>Pin maritime</v>
      </c>
      <c r="B6" s="146">
        <f>'Données projet'!D9</f>
        <v>3.6749999999999998</v>
      </c>
      <c r="C6" s="147">
        <f ca="1">IF(OR('Données projet'!B9="",'Données projet'!C9="",'Données projet'!C9=0%),0,Calculateur!S3)</f>
        <v>72.647148358003676</v>
      </c>
      <c r="D6" s="147">
        <f>IF(OR('Données projet'!B9="",'Données projet'!C9="",'Données projet'!C9=0%),0,Calculateur!T3)</f>
        <v>87.231299224620898</v>
      </c>
      <c r="E6" s="147">
        <f ca="1">MIN(C6,D6)</f>
        <v>72.647148358003676</v>
      </c>
      <c r="F6" s="147">
        <f ca="1">E6*B6</f>
        <v>266.97827021566349</v>
      </c>
      <c r="G6" s="147">
        <f ca="1">F6*(100%-'Données projet'!$C$24)*(100%-'Données projet'!$C$25)*(100%-'Données projet'!$C$26)*(100%-'Données projet'!$C$27)</f>
        <v>204.23837671498256</v>
      </c>
      <c r="H6" s="148">
        <f>IF(OR('Données projet'!B9="",'Données projet'!C9="",'Données projet'!C9=0%),0,AVERAGE(Calculateur!$AC$3:$AC$33)*B6)</f>
        <v>8.3144160486267662</v>
      </c>
      <c r="I6" s="149">
        <f>H6*(100%-'Données projet'!$C$24)*(100%-'Données projet'!$C$25)*(100%-'Données projet'!$C$26)*(100%-'Données projet'!$C$27)</f>
        <v>6.3605282771994762</v>
      </c>
      <c r="J6" s="150">
        <f>IF(OR('Données projet'!B9="",'Données projet'!C9="",'Données projet'!C9=0%),0,SUM(Calculateur!$V$3:$V$33)*VLOOKUP('Données projet'!$B$9,Paramètres!$A$1:$I$89,9,0)*B6)</f>
        <v>73.720499999999987</v>
      </c>
      <c r="K6" s="151">
        <f>J6*(100%-'Données projet'!$C$24)*(100%-'Données projet'!$C$25)*(100%-'Données projet'!$C$26)*(100%-'Données projet'!$C$27)</f>
        <v>56.396182499999988</v>
      </c>
      <c r="L6" s="152">
        <f ca="1">G6+I6+K6</f>
        <v>266.99508749218205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">
      <c r="A7" s="153" t="str">
        <f>IF('Données projet'!$B$10="","",'Données projet'!$B$10)</f>
        <v>Bouleau verruqueux</v>
      </c>
      <c r="B7" s="154">
        <f>'Données projet'!D10</f>
        <v>0.52500000000000002</v>
      </c>
      <c r="C7" s="147">
        <f ca="1">IF(OR('Données projet'!B10="",'Données projet'!C10="",'Données projet'!C10=0%),0,Calculateur!AN3)</f>
        <v>145.3656871223958</v>
      </c>
      <c r="D7" s="147">
        <f>IF(OR('Données projet'!B10="",'Données projet'!C10="",'Données projet'!C10=0%),0,Calculateur!AO3)</f>
        <v>180.54762778843178</v>
      </c>
      <c r="E7" s="147">
        <f t="shared" ref="E7:E15" ca="1" si="0">MIN(C7,D7)</f>
        <v>145.3656871223958</v>
      </c>
      <c r="F7" s="147">
        <f t="shared" ref="F7:F15" ca="1" si="1">E7*B7</f>
        <v>76.316985739257802</v>
      </c>
      <c r="G7" s="147">
        <f ca="1">F7*(100%-'Données projet'!$C$24)*(100%-'Données projet'!$C$25)*(100%-'Données projet'!$C$26)*(100%-'Données projet'!$C$27)</f>
        <v>58.382494090532219</v>
      </c>
      <c r="H7" s="155">
        <f>IF(OR('Données projet'!B10="",'Données projet'!C10="",'Données projet'!C10=0%),0,AVERAGE(Calculateur!$AX$3:$AX$33)*B7)</f>
        <v>0.75988984980832452</v>
      </c>
      <c r="I7" s="149">
        <f>H7*(100%-'Données projet'!$C$24)*(100%-'Données projet'!$C$25)*(100%-'Données projet'!$C$26)*(100%-'Données projet'!$C$27)</f>
        <v>0.58131573510336831</v>
      </c>
      <c r="J7" s="150">
        <f>IF(OR('Données projet'!B10="",'Données projet'!C10="",'Données projet'!C10=0%),0,SUM(Calculateur!$AQ$3:$AQ$33)*VLOOKUP('Données projet'!$B$10,Paramètres!$A$1:$I$89,9,0)*B7)</f>
        <v>8.2687500000000007</v>
      </c>
      <c r="K7" s="151">
        <f>J7*(100%-'Données projet'!$C$24)*(100%-'Données projet'!$C$25)*(100%-'Données projet'!$C$26)*(100%-'Données projet'!$C$27)</f>
        <v>6.3255937500000003</v>
      </c>
      <c r="L7" s="152">
        <f t="shared" ref="L7:L15" ca="1" si="2">G7+I7+K7</f>
        <v>65.289403575635589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">
      <c r="A8" s="153" t="str">
        <f>IF('Données projet'!$B$11="","",'Données projet'!$B$11)</f>
        <v>Chêne sessile</v>
      </c>
      <c r="B8" s="154">
        <f>'Données projet'!D11</f>
        <v>0.52500000000000002</v>
      </c>
      <c r="C8" s="147">
        <f ca="1">IF(OR('Données projet'!B11="",'Données projet'!C11="",'Données projet'!C11=0%),0,Calculateur!BI3)</f>
        <v>138.8931001150624</v>
      </c>
      <c r="D8" s="147">
        <f>IF(OR('Données projet'!B11="",'Données projet'!C11="",'Données projet'!C11=0%),0,Calculateur!BJ3)</f>
        <v>48.964659354096625</v>
      </c>
      <c r="E8" s="147">
        <f t="shared" ca="1" si="0"/>
        <v>48.964659354096625</v>
      </c>
      <c r="F8" s="147">
        <f t="shared" ca="1" si="1"/>
        <v>25.706446160900729</v>
      </c>
      <c r="G8" s="147">
        <f ca="1">F8*(100%-'Données projet'!$C$24)*(100%-'Données projet'!$C$25)*(100%-'Données projet'!$C$26)*(100%-'Données projet'!$C$27)</f>
        <v>19.665431313089059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ca="1" si="2"/>
        <v>19.665431313089059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">
      <c r="A9" s="153" t="str">
        <f>IF('Données projet'!$B$12="","",'Données projet'!$B$12)</f>
        <v>Alisier torminal</v>
      </c>
      <c r="B9" s="154">
        <f>'Données projet'!D12</f>
        <v>0.52500000000000002</v>
      </c>
      <c r="C9" s="147">
        <f ca="1">IF(OR('Données projet'!B12="",'Données projet'!C12="",'Données projet'!C12=0%),0,Calculateur!CD3)</f>
        <v>154.93882427988234</v>
      </c>
      <c r="D9" s="147">
        <f>IF(OR('Données projet'!B12="",'Données projet'!C12="",'Données projet'!C12=0%),0,Calculateur!CE3)</f>
        <v>56.347130462109817</v>
      </c>
      <c r="E9" s="147">
        <f t="shared" ca="1" si="0"/>
        <v>56.347130462109817</v>
      </c>
      <c r="F9" s="147">
        <f t="shared" ca="1" si="1"/>
        <v>29.582243492607656</v>
      </c>
      <c r="G9" s="147">
        <f ca="1">F9*(100%-'Données projet'!$C$24)*(100%-'Données projet'!$C$25)*(100%-'Données projet'!$C$26)*(100%-'Données projet'!$C$27)</f>
        <v>22.630416271844858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ca="1" si="2"/>
        <v>22.630416271844858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35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35">
      <c r="A16" s="209"/>
      <c r="B16" s="213"/>
      <c r="C16" s="214"/>
      <c r="D16" s="23"/>
      <c r="E16" s="23"/>
      <c r="F16" s="165">
        <f t="shared" ref="F16:L16" ca="1" si="3">SUM(F6:F15)</f>
        <v>398.58394560842964</v>
      </c>
      <c r="G16" s="166">
        <f t="shared" ca="1" si="3"/>
        <v>304.91671839044869</v>
      </c>
      <c r="H16" s="167">
        <f t="shared" si="3"/>
        <v>9.0743058984350906</v>
      </c>
      <c r="I16" s="167">
        <f t="shared" si="3"/>
        <v>6.9418440123028446</v>
      </c>
      <c r="J16" s="168">
        <f t="shared" si="3"/>
        <v>81.989249999999984</v>
      </c>
      <c r="K16" s="168">
        <f t="shared" si="3"/>
        <v>62.721776249999991</v>
      </c>
      <c r="L16" s="169">
        <f t="shared" ca="1" si="3"/>
        <v>374.58033865275155</v>
      </c>
      <c r="M16" s="23"/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35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35">
      <c r="A21" s="170" t="str">
        <f>A6</f>
        <v>Pin maritime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35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35">
      <c r="A39" s="170" t="str">
        <f>A7</f>
        <v>Bouleau verruqueux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35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35">
      <c r="A57" s="170" t="str">
        <f>A8</f>
        <v>Chêne sessile</v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35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35">
      <c r="A76" s="170" t="str">
        <f>A9</f>
        <v>Alisier torminal</v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35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35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35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35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35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35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35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35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35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35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35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35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G3" zoomScale="80" zoomScaleNormal="80" workbookViewId="0">
      <selection activeCell="N19" sqref="N19"/>
    </sheetView>
  </sheetViews>
  <sheetFormatPr baseColWidth="10" defaultColWidth="11.44140625" defaultRowHeight="14.4" x14ac:dyDescent="0.3"/>
  <cols>
    <col min="1" max="1" width="11.44140625" style="1"/>
    <col min="2" max="2" width="30.88671875" style="1" bestFit="1" customWidth="1"/>
    <col min="3" max="3" width="18.109375" style="1" bestFit="1" customWidth="1"/>
    <col min="4" max="5" width="11.44140625" style="1"/>
    <col min="6" max="6" width="14" style="1" customWidth="1"/>
    <col min="7" max="7" width="17.5546875" style="1" customWidth="1"/>
    <col min="8" max="8" width="21.6640625" style="1" customWidth="1"/>
    <col min="9" max="9" width="37" style="1" customWidth="1"/>
    <col min="10" max="10" width="11.44140625" style="1"/>
    <col min="11" max="11" width="8.88671875" style="1" customWidth="1"/>
    <col min="12" max="12" width="11.44140625" style="1"/>
    <col min="13" max="13" width="21" style="1" customWidth="1"/>
    <col min="14" max="16" width="11.44140625" style="1"/>
    <col min="17" max="17" width="8" style="1" customWidth="1"/>
    <col min="18" max="18" width="11.44140625" style="1"/>
    <col min="19" max="19" width="31" style="1" customWidth="1"/>
    <col min="20" max="20" width="18.109375" style="1" customWidth="1"/>
    <col min="21" max="21" width="16.44140625" style="1" customWidth="1"/>
    <col min="22" max="22" width="17.88671875" style="1" customWidth="1"/>
    <col min="23" max="16384" width="11.44140625" style="1"/>
  </cols>
  <sheetData>
    <row r="1" spans="1:42" ht="15" thickBot="1" x14ac:dyDescent="0.35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4" thickBot="1" x14ac:dyDescent="0.55000000000000004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">
      <c r="A4" s="4"/>
      <c r="B4" s="4"/>
      <c r="C4" s="4"/>
      <c r="D4" s="4"/>
      <c r="E4" s="4"/>
      <c r="G4" s="4"/>
      <c r="H4" s="258" t="s">
        <v>315</v>
      </c>
      <c r="I4" s="258"/>
      <c r="K4" s="300" t="s">
        <v>253</v>
      </c>
      <c r="L4" s="301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35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55000000000000004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2" t="s">
        <v>310</v>
      </c>
      <c r="S7" s="293"/>
      <c r="T7" s="293"/>
      <c r="U7" s="293"/>
      <c r="V7" s="29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Pin maritime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-228.22036247461534</v>
      </c>
      <c r="U10" s="178">
        <f>'Données projet'!D9</f>
        <v>3.6749999999999998</v>
      </c>
      <c r="V10" s="177">
        <f>U10*T10</f>
        <v>-838.70983209421138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Bouleau verruqueux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-1173.026148600477</v>
      </c>
      <c r="U11" s="178">
        <f>'Données projet'!D10</f>
        <v>0.52500000000000002</v>
      </c>
      <c r="V11" s="177">
        <f t="shared" ref="V11" si="0">U11*T11</f>
        <v>-615.83872801525047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>Chêne sessile</v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-1874.6184971006489</v>
      </c>
      <c r="U12" s="178">
        <f>'Données projet'!D11</f>
        <v>0.52500000000000002</v>
      </c>
      <c r="V12" s="177">
        <f t="shared" ref="V12:V19" si="1">U12*T12</f>
        <v>-984.17471097784073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>Alisier torminal</v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-2113.6171990910316</v>
      </c>
      <c r="U13" s="178">
        <f>'Données projet'!D12</f>
        <v>0.52500000000000002</v>
      </c>
      <c r="V13" s="177">
        <f t="shared" si="1"/>
        <v>-1109.6490295227916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">
      <c r="A14" s="46" t="s">
        <v>165</v>
      </c>
      <c r="B14" s="174" t="str">
        <f>IF('Données projet'!$B$9="","",'Données projet'!$B$9)</f>
        <v>Pin maritime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">
      <c r="A15" s="4"/>
      <c r="B15" s="4"/>
      <c r="C15" s="4"/>
      <c r="D15" s="4"/>
      <c r="E15" s="4"/>
      <c r="F15" s="230"/>
      <c r="G15" s="303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303"/>
      <c r="H16" s="190"/>
      <c r="I16" s="191"/>
      <c r="J16" s="202"/>
      <c r="K16" s="208"/>
      <c r="L16" s="300" t="s">
        <v>254</v>
      </c>
      <c r="M16" s="301"/>
      <c r="N16" s="2">
        <v>80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">
      <c r="A17" s="49">
        <v>0</v>
      </c>
      <c r="B17" s="199" t="s">
        <v>132</v>
      </c>
      <c r="C17" s="198" t="s">
        <v>132</v>
      </c>
      <c r="D17" s="197" t="s">
        <v>132</v>
      </c>
      <c r="E17" s="193">
        <v>1143</v>
      </c>
      <c r="F17" s="230"/>
      <c r="G17" s="303"/>
      <c r="J17" s="202"/>
      <c r="K17" s="208"/>
      <c r="L17" s="260" t="s">
        <v>289</v>
      </c>
      <c r="M17" s="262"/>
      <c r="N17" s="175">
        <f>VLOOKUP(N16,Calculateur!$A$2:$H$153,3,0)/VLOOKUP('Scénario référence'!$G$15,Paramètres!A1:I89,3,0)/VLOOKUP('Scénario référence'!$G$15,Paramètres!A1:I89,5,0)</f>
        <v>80.000000000000114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303"/>
      <c r="J18" s="202"/>
      <c r="K18" s="208"/>
      <c r="L18" s="260" t="s">
        <v>255</v>
      </c>
      <c r="M18" s="262"/>
      <c r="N18" s="192">
        <v>40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303"/>
      <c r="H19" s="212" t="s">
        <v>178</v>
      </c>
      <c r="I19" s="212" t="s">
        <v>287</v>
      </c>
      <c r="J19" s="93"/>
      <c r="K19" s="173"/>
      <c r="L19" s="300" t="s">
        <v>288</v>
      </c>
      <c r="M19" s="301"/>
      <c r="N19" s="179">
        <f>N17*N18</f>
        <v>3200.0000000000045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303"/>
      <c r="H20" s="190">
        <v>0</v>
      </c>
      <c r="I20" s="191">
        <f>260+160</f>
        <v>420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1</v>
      </c>
      <c r="I21" s="191">
        <v>300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750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">
      <c r="A23" s="180">
        <f>'Données projet'!A36</f>
        <v>12</v>
      </c>
      <c r="B23" s="181">
        <f>'Données projet'!D36</f>
        <v>0</v>
      </c>
      <c r="C23" s="193">
        <v>0</v>
      </c>
      <c r="D23" s="182">
        <f>B23*C23</f>
        <v>0</v>
      </c>
      <c r="E23" s="193"/>
      <c r="F23" s="230"/>
      <c r="H23" s="190">
        <v>5</v>
      </c>
      <c r="I23" s="191">
        <v>300</v>
      </c>
      <c r="K23" s="208"/>
      <c r="L23" s="302" t="s">
        <v>260</v>
      </c>
      <c r="M23" s="302"/>
      <c r="N23" s="302"/>
      <c r="O23" s="23"/>
      <c r="P23" s="23"/>
      <c r="Q23" s="234"/>
      <c r="R23" s="23"/>
      <c r="S23" s="36" t="s">
        <v>264</v>
      </c>
      <c r="T23" s="297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-11974.827610807701</v>
      </c>
      <c r="U23" s="297"/>
      <c r="V23" s="297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">
      <c r="A24" s="180">
        <f>'Données projet'!A37</f>
        <v>16</v>
      </c>
      <c r="B24" s="181">
        <f>'Données projet'!D37</f>
        <v>4</v>
      </c>
      <c r="C24" s="193">
        <v>8</v>
      </c>
      <c r="D24" s="182">
        <f t="shared" ref="D24:D42" si="2">B24*C24</f>
        <v>32</v>
      </c>
      <c r="E24" s="193"/>
      <c r="F24" s="233"/>
      <c r="H24" s="190"/>
      <c r="I24" s="191"/>
      <c r="K24" s="208"/>
      <c r="O24" s="23"/>
      <c r="P24" s="23"/>
      <c r="Q24" s="234"/>
      <c r="R24" s="23"/>
      <c r="S24" s="36" t="s">
        <v>261</v>
      </c>
      <c r="T24" s="298">
        <f ca="1">'Scénario référence'!$B$8*$M$30*'Données projet'!$C$5+('Scénario référence'!B9+'Scénario référence'!B10+'Scénario référence'!F8+'Scénario référence'!F9)*$N$19/(1+M4)^N16*'Données projet'!$C$5</f>
        <v>496.59923472774796</v>
      </c>
      <c r="U24" s="298"/>
      <c r="V24" s="298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">
      <c r="A25" s="180">
        <f>'Données projet'!A38</f>
        <v>20</v>
      </c>
      <c r="B25" s="181">
        <f>'Données projet'!D38</f>
        <v>5</v>
      </c>
      <c r="C25" s="193">
        <v>8</v>
      </c>
      <c r="D25" s="182">
        <f t="shared" si="2"/>
        <v>40</v>
      </c>
      <c r="E25" s="193"/>
      <c r="F25" s="233"/>
      <c r="H25" s="190"/>
      <c r="I25" s="191"/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299">
        <f ca="1">T23-T24</f>
        <v>-12471.426845535449</v>
      </c>
      <c r="U25" s="299"/>
      <c r="V25" s="299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">
      <c r="A26" s="180">
        <f>'Données projet'!A39</f>
        <v>24</v>
      </c>
      <c r="B26" s="181">
        <f>'Données projet'!D39</f>
        <v>12</v>
      </c>
      <c r="C26" s="193">
        <v>15</v>
      </c>
      <c r="D26" s="182">
        <f t="shared" si="2"/>
        <v>180</v>
      </c>
      <c r="E26" s="193"/>
      <c r="F26" s="233"/>
      <c r="G26" s="229"/>
      <c r="H26" s="190"/>
      <c r="I26" s="191"/>
      <c r="K26" s="208"/>
      <c r="L26" s="286" t="s">
        <v>258</v>
      </c>
      <c r="M26" s="287"/>
      <c r="N26" s="287"/>
      <c r="O26" s="287"/>
      <c r="P26" s="288"/>
      <c r="Q26" s="234"/>
      <c r="R26" s="23"/>
      <c r="S26" s="186" t="s">
        <v>265</v>
      </c>
      <c r="T26" s="296" t="str">
        <f ca="1">IF(T25&lt;0,"Votre projet est additionnel","Votre projet n'est pas additionnel")</f>
        <v>Votre projet est additionnel</v>
      </c>
      <c r="U26" s="296"/>
      <c r="V26" s="296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">
      <c r="A27" s="180">
        <f>'Données projet'!A40</f>
        <v>28</v>
      </c>
      <c r="B27" s="181">
        <f>'Données projet'!D40</f>
        <v>13</v>
      </c>
      <c r="C27" s="193">
        <v>15</v>
      </c>
      <c r="D27" s="182">
        <f t="shared" si="2"/>
        <v>195</v>
      </c>
      <c r="E27" s="193"/>
      <c r="F27" s="233"/>
      <c r="G27" s="229"/>
      <c r="H27" s="190"/>
      <c r="I27" s="191"/>
      <c r="K27" s="208"/>
      <c r="L27" s="289"/>
      <c r="M27" s="290"/>
      <c r="N27" s="290"/>
      <c r="O27" s="290"/>
      <c r="P27" s="291"/>
      <c r="Q27" s="234"/>
      <c r="R27" s="23"/>
      <c r="S27" s="295" t="s">
        <v>267</v>
      </c>
      <c r="T27" s="295"/>
      <c r="U27" s="295"/>
      <c r="V27" s="295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">
      <c r="A28" s="180">
        <f>'Données projet'!A41</f>
        <v>34</v>
      </c>
      <c r="B28" s="181">
        <f>'Données projet'!D41</f>
        <v>25</v>
      </c>
      <c r="C28" s="193">
        <v>15</v>
      </c>
      <c r="D28" s="182">
        <f t="shared" si="2"/>
        <v>375</v>
      </c>
      <c r="E28" s="193"/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">
      <c r="A29" s="180">
        <f>'Données projet'!A42</f>
        <v>40</v>
      </c>
      <c r="B29" s="181">
        <f>'Données projet'!D42</f>
        <v>23</v>
      </c>
      <c r="C29" s="193">
        <v>20</v>
      </c>
      <c r="D29" s="182">
        <f t="shared" si="2"/>
        <v>460</v>
      </c>
      <c r="E29" s="193"/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">
      <c r="A30" s="180">
        <f>'Données projet'!A43</f>
        <v>46</v>
      </c>
      <c r="B30" s="181">
        <f>'Données projet'!D43</f>
        <v>19</v>
      </c>
      <c r="C30" s="193">
        <v>30</v>
      </c>
      <c r="D30" s="182">
        <f t="shared" si="2"/>
        <v>570</v>
      </c>
      <c r="E30" s="193"/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">
      <c r="A31" s="180">
        <f>'Données projet'!A44</f>
        <v>54</v>
      </c>
      <c r="B31" s="181">
        <f>'Données projet'!D44</f>
        <v>16</v>
      </c>
      <c r="C31" s="193">
        <v>35</v>
      </c>
      <c r="D31" s="182">
        <f t="shared" si="2"/>
        <v>560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">
      <c r="A32" s="180">
        <f>'Données projet'!A45</f>
        <v>62</v>
      </c>
      <c r="B32" s="181">
        <f>'Données projet'!D45</f>
        <v>181</v>
      </c>
      <c r="C32" s="193">
        <v>40</v>
      </c>
      <c r="D32" s="182">
        <f t="shared" si="2"/>
        <v>7240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">
      <c r="A45" s="46" t="s">
        <v>166</v>
      </c>
      <c r="B45" s="174" t="str">
        <f>IF('Données projet'!$B$10="","",'Données projet'!$B$10)</f>
        <v>Bouleau verruqueux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">
      <c r="A48" s="49">
        <v>0</v>
      </c>
      <c r="B48" s="199" t="s">
        <v>132</v>
      </c>
      <c r="C48" s="198" t="s">
        <v>132</v>
      </c>
      <c r="D48" s="197" t="s">
        <v>132</v>
      </c>
      <c r="E48" s="193">
        <v>2197</v>
      </c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">
      <c r="A54" s="180">
        <f>'Données projet'!A62</f>
        <v>20</v>
      </c>
      <c r="B54" s="181">
        <f>'Données projet'!D62</f>
        <v>21</v>
      </c>
      <c r="C54" s="191">
        <v>10</v>
      </c>
      <c r="D54" s="179">
        <f>B54*C54</f>
        <v>210</v>
      </c>
      <c r="E54" s="193"/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">
      <c r="A55" s="180">
        <f>'Données projet'!A63</f>
        <v>30</v>
      </c>
      <c r="B55" s="181">
        <f>'Données projet'!D63</f>
        <v>42</v>
      </c>
      <c r="C55" s="191">
        <v>20</v>
      </c>
      <c r="D55" s="179">
        <f t="shared" ref="D55:D73" si="4">B55*C55</f>
        <v>840</v>
      </c>
      <c r="E55" s="193"/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">
      <c r="A56" s="180">
        <f>'Données projet'!A64</f>
        <v>40</v>
      </c>
      <c r="B56" s="181">
        <f>'Données projet'!D64</f>
        <v>42</v>
      </c>
      <c r="C56" s="191">
        <v>30</v>
      </c>
      <c r="D56" s="179">
        <f t="shared" si="4"/>
        <v>1260</v>
      </c>
      <c r="E56" s="193"/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">
      <c r="A57" s="180">
        <f>'Données projet'!A65</f>
        <v>50</v>
      </c>
      <c r="B57" s="181">
        <f>'Données projet'!D65</f>
        <v>31</v>
      </c>
      <c r="C57" s="191">
        <v>40</v>
      </c>
      <c r="D57" s="179">
        <f t="shared" si="4"/>
        <v>1240</v>
      </c>
      <c r="E57" s="193"/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">
      <c r="A58" s="180">
        <f>'Données projet'!A66</f>
        <v>60</v>
      </c>
      <c r="B58" s="181">
        <f>'Données projet'!D66</f>
        <v>20</v>
      </c>
      <c r="C58" s="191">
        <v>50</v>
      </c>
      <c r="D58" s="179">
        <f t="shared" si="4"/>
        <v>1000</v>
      </c>
      <c r="E58" s="193"/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">
      <c r="A59" s="180">
        <f>'Données projet'!A67</f>
        <v>70</v>
      </c>
      <c r="B59" s="181">
        <f>'Données projet'!D67</f>
        <v>16</v>
      </c>
      <c r="C59" s="191">
        <v>60</v>
      </c>
      <c r="D59" s="179">
        <f t="shared" si="4"/>
        <v>960</v>
      </c>
      <c r="E59" s="193"/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">
      <c r="A60" s="180">
        <f>'Données projet'!A68</f>
        <v>80</v>
      </c>
      <c r="B60" s="181">
        <f>'Données projet'!D68</f>
        <v>226</v>
      </c>
      <c r="C60" s="191">
        <v>70</v>
      </c>
      <c r="D60" s="179">
        <f t="shared" si="4"/>
        <v>15820</v>
      </c>
      <c r="E60" s="193"/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">
      <c r="A61" s="180">
        <f>'Données projet'!A69</f>
        <v>0</v>
      </c>
      <c r="B61" s="181">
        <f>'Données projet'!D69</f>
        <v>0</v>
      </c>
      <c r="C61" s="191"/>
      <c r="D61" s="179">
        <f t="shared" si="4"/>
        <v>0</v>
      </c>
      <c r="E61" s="193"/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">
      <c r="A62" s="180">
        <f>'Données projet'!A70</f>
        <v>0</v>
      </c>
      <c r="B62" s="181">
        <f>'Données projet'!D70</f>
        <v>0</v>
      </c>
      <c r="C62" s="191"/>
      <c r="D62" s="179">
        <f t="shared" si="4"/>
        <v>0</v>
      </c>
      <c r="E62" s="193"/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">
      <c r="A63" s="180">
        <f>'Données projet'!A71</f>
        <v>0</v>
      </c>
      <c r="B63" s="181">
        <f>'Données projet'!D71</f>
        <v>0</v>
      </c>
      <c r="C63" s="191"/>
      <c r="D63" s="179">
        <f t="shared" si="4"/>
        <v>0</v>
      </c>
      <c r="E63" s="193"/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">
      <c r="A64" s="180">
        <f>'Données projet'!A72</f>
        <v>0</v>
      </c>
      <c r="B64" s="181">
        <f>'Données projet'!D72</f>
        <v>0</v>
      </c>
      <c r="C64" s="191"/>
      <c r="D64" s="179">
        <f t="shared" si="4"/>
        <v>0</v>
      </c>
      <c r="E64" s="193"/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">
      <c r="A65" s="180">
        <f>'Données projet'!A73</f>
        <v>0</v>
      </c>
      <c r="B65" s="181">
        <f>'Données projet'!D73</f>
        <v>0</v>
      </c>
      <c r="C65" s="191"/>
      <c r="D65" s="179">
        <f t="shared" si="4"/>
        <v>0</v>
      </c>
      <c r="E65" s="193"/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">
      <c r="A66" s="180">
        <f>'Données projet'!A74</f>
        <v>0</v>
      </c>
      <c r="B66" s="181">
        <f>'Données projet'!D74</f>
        <v>0</v>
      </c>
      <c r="C66" s="191"/>
      <c r="D66" s="179">
        <f t="shared" si="4"/>
        <v>0</v>
      </c>
      <c r="E66" s="193"/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">
      <c r="A76" s="46" t="s">
        <v>167</v>
      </c>
      <c r="B76" s="174" t="str">
        <f>IF('Données projet'!B11="","",'Données projet'!B11)</f>
        <v>Chêne sessile</v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">
      <c r="A79" s="49">
        <v>0</v>
      </c>
      <c r="B79" s="199" t="s">
        <v>132</v>
      </c>
      <c r="C79" s="198" t="s">
        <v>132</v>
      </c>
      <c r="D79" s="197" t="s">
        <v>132</v>
      </c>
      <c r="E79" s="193">
        <v>2389</v>
      </c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">
      <c r="A85" s="180">
        <f>'Données projet'!A88</f>
        <v>25</v>
      </c>
      <c r="B85" s="181">
        <f>'Données projet'!D88</f>
        <v>0</v>
      </c>
      <c r="C85" s="191">
        <v>8</v>
      </c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">
      <c r="A86" s="180">
        <f>'Données projet'!A89</f>
        <v>30</v>
      </c>
      <c r="B86" s="181">
        <f>'Données projet'!D89</f>
        <v>0</v>
      </c>
      <c r="C86" s="191">
        <v>12</v>
      </c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">
      <c r="A87" s="180">
        <f>'Données projet'!A90</f>
        <v>40</v>
      </c>
      <c r="B87" s="181">
        <f>'Données projet'!D90</f>
        <v>27</v>
      </c>
      <c r="C87" s="191">
        <v>15</v>
      </c>
      <c r="D87" s="179">
        <f t="shared" si="6"/>
        <v>405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>
        <f>IF(O86+1&lt;=MIN('Données projet'!$E$9:$E$18),O86+1,"STOP")</f>
        <v>54</v>
      </c>
      <c r="P87" s="185">
        <f t="shared" si="5"/>
        <v>0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">
      <c r="A88" s="180">
        <f>'Données projet'!A91</f>
        <v>50</v>
      </c>
      <c r="B88" s="181">
        <f>'Données projet'!D91</f>
        <v>28</v>
      </c>
      <c r="C88" s="191">
        <v>20</v>
      </c>
      <c r="D88" s="179">
        <f t="shared" si="6"/>
        <v>560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>
        <f>IF(O87+1&lt;=MIN('Données projet'!$E$9:$E$18),O87+1,"STOP")</f>
        <v>55</v>
      </c>
      <c r="P88" s="185">
        <f t="shared" si="5"/>
        <v>0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">
      <c r="A89" s="180">
        <f>'Données projet'!A92</f>
        <v>60</v>
      </c>
      <c r="B89" s="181">
        <f>'Données projet'!D92</f>
        <v>28</v>
      </c>
      <c r="C89" s="191">
        <v>25</v>
      </c>
      <c r="D89" s="179">
        <f t="shared" si="6"/>
        <v>700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>
        <f>IF(O88+1&lt;=MIN('Données projet'!$E$9:$E$18),O88+1,"STOP")</f>
        <v>56</v>
      </c>
      <c r="P89" s="185">
        <f t="shared" si="5"/>
        <v>0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">
      <c r="A90" s="180">
        <f>'Données projet'!A93</f>
        <v>70</v>
      </c>
      <c r="B90" s="181">
        <f>'Données projet'!D93</f>
        <v>28</v>
      </c>
      <c r="C90" s="191">
        <v>30</v>
      </c>
      <c r="D90" s="179">
        <f t="shared" si="6"/>
        <v>840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>
        <f>IF(O89+1&lt;=MIN('Données projet'!$E$9:$E$18),O89+1,"STOP")</f>
        <v>57</v>
      </c>
      <c r="P90" s="185">
        <f t="shared" si="5"/>
        <v>0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">
      <c r="A91" s="180">
        <f>'Données projet'!A94</f>
        <v>80</v>
      </c>
      <c r="B91" s="181">
        <f>'Données projet'!D94</f>
        <v>28</v>
      </c>
      <c r="C91" s="191">
        <v>35</v>
      </c>
      <c r="D91" s="179">
        <f t="shared" si="6"/>
        <v>980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>
        <f>IF(O90+1&lt;=MIN('Données projet'!$E$9:$E$18),O90+1,"STOP")</f>
        <v>58</v>
      </c>
      <c r="P91" s="185">
        <f t="shared" si="5"/>
        <v>0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">
      <c r="A92" s="180">
        <f>'Données projet'!A95</f>
        <v>90</v>
      </c>
      <c r="B92" s="181">
        <f>'Données projet'!D95</f>
        <v>28</v>
      </c>
      <c r="C92" s="191">
        <v>40</v>
      </c>
      <c r="D92" s="179">
        <f t="shared" si="6"/>
        <v>1120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>
        <f>IF(O91+1&lt;=MIN('Données projet'!$E$9:$E$18),O91+1,"STOP")</f>
        <v>59</v>
      </c>
      <c r="P92" s="185">
        <f t="shared" si="5"/>
        <v>0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">
      <c r="A93" s="180">
        <f>'Données projet'!A96</f>
        <v>100</v>
      </c>
      <c r="B93" s="181">
        <f>'Données projet'!D96</f>
        <v>28</v>
      </c>
      <c r="C93" s="191">
        <v>50</v>
      </c>
      <c r="D93" s="179">
        <f t="shared" si="6"/>
        <v>1400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>
        <f>IF(O92+1&lt;=MIN('Données projet'!$E$9:$E$18),O92+1,"STOP")</f>
        <v>60</v>
      </c>
      <c r="P93" s="185">
        <f t="shared" si="5"/>
        <v>0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">
      <c r="A94" s="180">
        <f>'Données projet'!A97</f>
        <v>110</v>
      </c>
      <c r="B94" s="181">
        <f>'Données projet'!D97</f>
        <v>27</v>
      </c>
      <c r="C94" s="191">
        <v>60</v>
      </c>
      <c r="D94" s="179">
        <f t="shared" si="6"/>
        <v>1620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>
        <f>IF(O93+1&lt;=MIN('Données projet'!$E$9:$E$18),O93+1,"STOP")</f>
        <v>61</v>
      </c>
      <c r="P94" s="185">
        <f t="shared" si="5"/>
        <v>0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">
      <c r="A95" s="180">
        <f>'Données projet'!A98</f>
        <v>120</v>
      </c>
      <c r="B95" s="181">
        <f>'Données projet'!D98</f>
        <v>234</v>
      </c>
      <c r="C95" s="191">
        <v>180</v>
      </c>
      <c r="D95" s="179">
        <f t="shared" si="6"/>
        <v>42120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>
        <f>IF(O94+1&lt;=MIN('Données projet'!$E$9:$E$18),O94+1,"STOP")</f>
        <v>62</v>
      </c>
      <c r="P95" s="185">
        <f t="shared" si="5"/>
        <v>0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str">
        <f>IF(O95+1&lt;=MIN('Données projet'!$E$9:$E$18),O95+1,"STOP")</f>
        <v>STOP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">
      <c r="A107" s="46" t="s">
        <v>168</v>
      </c>
      <c r="B107" s="174" t="str">
        <f>IF('Données projet'!B12="","",'Données projet'!B12)</f>
        <v>Alisier torminal</v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">
      <c r="A110" s="49">
        <v>0</v>
      </c>
      <c r="B110" s="199" t="s">
        <v>132</v>
      </c>
      <c r="C110" s="198" t="s">
        <v>132</v>
      </c>
      <c r="D110" s="197" t="s">
        <v>132</v>
      </c>
      <c r="E110" s="193">
        <v>2597</v>
      </c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">
      <c r="A116" s="180">
        <f>'Données projet'!A114</f>
        <v>25</v>
      </c>
      <c r="B116" s="181">
        <f>'Données projet'!D114</f>
        <v>0</v>
      </c>
      <c r="C116" s="191">
        <v>8</v>
      </c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">
      <c r="A117" s="180">
        <f>'Données projet'!A115</f>
        <v>30</v>
      </c>
      <c r="B117" s="181">
        <f>'Données projet'!D115</f>
        <v>0</v>
      </c>
      <c r="C117" s="191">
        <v>12</v>
      </c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">
      <c r="A118" s="180">
        <f>'Données projet'!A116</f>
        <v>40</v>
      </c>
      <c r="B118" s="181">
        <f>'Données projet'!D116</f>
        <v>27</v>
      </c>
      <c r="C118" s="191">
        <v>15</v>
      </c>
      <c r="D118" s="179">
        <f t="shared" si="8"/>
        <v>405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">
      <c r="A119" s="180">
        <f>'Données projet'!A117</f>
        <v>50</v>
      </c>
      <c r="B119" s="181">
        <f>'Données projet'!D117</f>
        <v>14</v>
      </c>
      <c r="C119" s="191">
        <v>20</v>
      </c>
      <c r="D119" s="179">
        <f t="shared" si="8"/>
        <v>280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">
      <c r="A120" s="180">
        <f>'Données projet'!A118</f>
        <v>60</v>
      </c>
      <c r="B120" s="181">
        <f>'Données projet'!D118</f>
        <v>28</v>
      </c>
      <c r="C120" s="191">
        <v>25</v>
      </c>
      <c r="D120" s="179">
        <f t="shared" si="8"/>
        <v>700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">
      <c r="A121" s="180">
        <f>'Données projet'!A119</f>
        <v>70</v>
      </c>
      <c r="B121" s="181">
        <f>'Données projet'!D119</f>
        <v>28</v>
      </c>
      <c r="C121" s="191">
        <v>30</v>
      </c>
      <c r="D121" s="179">
        <f t="shared" si="8"/>
        <v>840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">
      <c r="A122" s="180">
        <f>'Données projet'!A120</f>
        <v>80</v>
      </c>
      <c r="B122" s="181">
        <f>'Données projet'!D120</f>
        <v>28</v>
      </c>
      <c r="C122" s="191">
        <v>35</v>
      </c>
      <c r="D122" s="179">
        <f t="shared" si="8"/>
        <v>980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">
      <c r="A123" s="180">
        <f>'Données projet'!A121</f>
        <v>90</v>
      </c>
      <c r="B123" s="181">
        <f>'Données projet'!D121</f>
        <v>28</v>
      </c>
      <c r="C123" s="191">
        <v>40</v>
      </c>
      <c r="D123" s="179">
        <f t="shared" si="8"/>
        <v>1120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">
      <c r="A124" s="180">
        <f>'Données projet'!A122</f>
        <v>100</v>
      </c>
      <c r="B124" s="181">
        <f>'Données projet'!D122</f>
        <v>28</v>
      </c>
      <c r="C124" s="191">
        <v>50</v>
      </c>
      <c r="D124" s="179">
        <f t="shared" si="8"/>
        <v>1400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">
      <c r="A125" s="180">
        <f>'Données projet'!A123</f>
        <v>110</v>
      </c>
      <c r="B125" s="181">
        <f>'Données projet'!D123</f>
        <v>27</v>
      </c>
      <c r="C125" s="191">
        <v>60</v>
      </c>
      <c r="D125" s="179">
        <f t="shared" si="8"/>
        <v>1620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">
      <c r="A126" s="180">
        <f>'Données projet'!A124</f>
        <v>120</v>
      </c>
      <c r="B126" s="181">
        <f>'Données projet'!D124</f>
        <v>234</v>
      </c>
      <c r="C126" s="191">
        <v>180</v>
      </c>
      <c r="D126" s="179">
        <f t="shared" si="8"/>
        <v>42120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B2:P2"/>
    <mergeCell ref="L16:M16"/>
    <mergeCell ref="L17:M17"/>
    <mergeCell ref="L23:N23"/>
    <mergeCell ref="K4:L4"/>
    <mergeCell ref="H4:I4"/>
    <mergeCell ref="L18:M18"/>
    <mergeCell ref="L19:M19"/>
    <mergeCell ref="G15:G20"/>
    <mergeCell ref="L26:P27"/>
    <mergeCell ref="R7:V7"/>
    <mergeCell ref="S27:V27"/>
    <mergeCell ref="T26:V26"/>
    <mergeCell ref="T23:V23"/>
    <mergeCell ref="T24:V24"/>
    <mergeCell ref="T25:V25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E006D02EFB7524E92A31806A20933C4" ma:contentTypeVersion="16" ma:contentTypeDescription="Crée un document." ma:contentTypeScope="" ma:versionID="0e9e021c327d8551a1f55b1299a1ead0">
  <xsd:schema xmlns:xsd="http://www.w3.org/2001/XMLSchema" xmlns:xs="http://www.w3.org/2001/XMLSchema" xmlns:p="http://schemas.microsoft.com/office/2006/metadata/properties" xmlns:ns2="7f778677-e8d3-4866-966d-dd352b4d4b95" xmlns:ns3="655929c3-d7c5-4e51-b5f8-f25933e16e57" targetNamespace="http://schemas.microsoft.com/office/2006/metadata/properties" ma:root="true" ma:fieldsID="2136bc5999714f027c7596c726032f96" ns2:_="" ns3:_="">
    <xsd:import namespace="7f778677-e8d3-4866-966d-dd352b4d4b95"/>
    <xsd:import namespace="655929c3-d7c5-4e51-b5f8-f25933e16e5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2:lcf76f155ced4ddcb4097134ff3c332f" minOccurs="0"/>
                <xsd:element ref="ns3:TaxCatchAll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778677-e8d3-4866-966d-dd352b4d4b9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Balises d’images" ma:readOnly="false" ma:fieldId="{5cf76f15-5ced-4ddc-b409-7134ff3c332f}" ma:taxonomyMulti="true" ma:sspId="c31a7892-0253-4b23-af1e-d16b272054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55929c3-d7c5-4e51-b5f8-f25933e16e57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b035bd7a-0690-4dae-a8f1-713ab1cfbd47}" ma:internalName="TaxCatchAll" ma:showField="CatchAllData" ma:web="655929c3-d7c5-4e51-b5f8-f25933e16e5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F6CB8604-1778-4425-9497-BFC15C0CA2D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025F396-F520-4214-B137-FFBC1F0B94A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778677-e8d3-4866-966d-dd352b4d4b95"/>
    <ds:schemaRef ds:uri="655929c3-d7c5-4e51-b5f8-f25933e16e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Cécile De Coincy</cp:lastModifiedBy>
  <dcterms:created xsi:type="dcterms:W3CDTF">2021-02-01T08:22:39Z</dcterms:created>
  <dcterms:modified xsi:type="dcterms:W3CDTF">2023-01-18T14:18:34Z</dcterms:modified>
</cp:coreProperties>
</file>