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Le Mans\2024\Saint Hubert (61)\"/>
    </mc:Choice>
  </mc:AlternateContent>
  <xr:revisionPtr revIDLastSave="0" documentId="13_ncr:1_{065F2E07-7E02-4B5C-910D-19F6F62EFD70}" xr6:coauthVersionLast="47" xr6:coauthVersionMax="47" xr10:uidLastSave="{00000000-0000-0000-0000-000000000000}"/>
  <bookViews>
    <workbookView xWindow="2220" yWindow="7410" windowWidth="21600" windowHeight="1132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B72" i="1" l="1"/>
  <c r="D72" i="1" s="1"/>
  <c r="D71" i="1"/>
  <c r="D70" i="1"/>
  <c r="D69" i="1"/>
  <c r="D68" i="1"/>
  <c r="D67" i="1"/>
  <c r="D66" i="1"/>
  <c r="D65" i="1"/>
  <c r="D64" i="1"/>
  <c r="D63" i="1"/>
  <c r="D43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H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B28" i="2"/>
  <c r="EC28" i="2"/>
  <c r="HG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B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HI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AB154" i="2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FR164" i="2"/>
  <c r="DI163" i="2"/>
  <c r="D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X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FS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H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EV192" i="2"/>
  <c r="EY192" i="2" s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83" i="2" a="1"/>
  <c r="BC83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<sst xmlns="http://schemas.openxmlformats.org/spreadsheetml/2006/main" count="1172" uniqueCount="324">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</sst>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1.5169790578370435</c:v>
                </c:pt>
                <c:pt idx="2">
                  <c:v>1.8781501756367305</c:v>
                </c:pt>
                <c:pt idx="3">
                  <c:v>2.3256507836964637</c:v>
                </c:pt>
                <c:pt idx="4">
                  <c:v>2.8801928037711861</c:v>
                </c:pt>
                <c:pt idx="5">
                  <c:v>3.5674746285378856</c:v>
                </c:pt>
                <c:pt idx="6">
                  <c:v>4.419385523082803</c:v>
                </c:pt>
                <c:pt idx="7">
                  <c:v>5.475501800590159</c:v>
                </c:pt>
                <c:pt idx="8">
                  <c:v>6.784945650599842</c:v>
                </c:pt>
                <c:pt idx="9">
                  <c:v>8.4086947592856145</c:v>
                </c:pt>
                <c:pt idx="10">
                  <c:v>10.422452335472949</c:v>
                </c:pt>
                <c:pt idx="11">
                  <c:v>12.920213874061965</c:v>
                </c:pt>
                <c:pt idx="12">
                  <c:v>16.018700233156078</c:v>
                </c:pt>
                <c:pt idx="13">
                  <c:v>19.862867970024372</c:v>
                </c:pt>
                <c:pt idx="14">
                  <c:v>24.632759363258756</c:v>
                </c:pt>
                <c:pt idx="15">
                  <c:v>30.552018621247594</c:v>
                </c:pt>
                <c:pt idx="16">
                  <c:v>37.89848052526817</c:v>
                </c:pt>
                <c:pt idx="17">
                  <c:v>47.017337021109604</c:v>
                </c:pt>
                <c:pt idx="18">
                  <c:v>58.337510841395044</c:v>
                </c:pt>
                <c:pt idx="19">
                  <c:v>72.392019072005624</c:v>
                </c:pt>
                <c:pt idx="20">
                  <c:v>89.843301094640552</c:v>
                </c:pt>
                <c:pt idx="21">
                  <c:v>111.51472379224067</c:v>
                </c:pt>
                <c:pt idx="22">
                  <c:v>138.42977381649987</c:v>
                </c:pt>
                <c:pt idx="23">
                  <c:v>171.86081644124263</c:v>
                </c:pt>
                <c:pt idx="24">
                  <c:v>147.70725368638702</c:v>
                </c:pt>
                <c:pt idx="25">
                  <c:v>179.47104913917383</c:v>
                </c:pt>
                <c:pt idx="26">
                  <c:v>211.1027938308097</c:v>
                </c:pt>
                <c:pt idx="27">
                  <c:v>242.62509103866606</c:v>
                </c:pt>
                <c:pt idx="28">
                  <c:v>214.38589248354251</c:v>
                </c:pt>
                <c:pt idx="29">
                  <c:v>250.67926877807722</c:v>
                </c:pt>
                <c:pt idx="30">
                  <c:v>286.85336725699204</c:v>
                </c:pt>
                <c:pt idx="31">
                  <c:v>322.92534379451826</c:v>
                </c:pt>
                <c:pt idx="32">
                  <c:v>303.39817033602765</c:v>
                </c:pt>
                <c:pt idx="33">
                  <c:v>340.92722154371285</c:v>
                </c:pt>
                <c:pt idx="34">
                  <c:v>378.36539662842574</c:v>
                </c:pt>
                <c:pt idx="35">
                  <c:v>415.72294083711455</c:v>
                </c:pt>
                <c:pt idx="36">
                  <c:v>387.58740137132486</c:v>
                </c:pt>
                <c:pt idx="37">
                  <c:v>423.18552880120927</c:v>
                </c:pt>
                <c:pt idx="38">
                  <c:v>458.71921423081375</c:v>
                </c:pt>
                <c:pt idx="39">
                  <c:v>494.19414347908742</c:v>
                </c:pt>
                <c:pt idx="40">
                  <c:v>476.14120509445956</c:v>
                </c:pt>
                <c:pt idx="41">
                  <c:v>507.67509845566065</c:v>
                </c:pt>
                <c:pt idx="42">
                  <c:v>539.16760679331139</c:v>
                </c:pt>
                <c:pt idx="43">
                  <c:v>570.62148354470423</c:v>
                </c:pt>
                <c:pt idx="44">
                  <c:v>602.03915423253159</c:v>
                </c:pt>
                <c:pt idx="45">
                  <c:v>571.74179956676232</c:v>
                </c:pt>
                <c:pt idx="46">
                  <c:v>597.75996975235046</c:v>
                </c:pt>
                <c:pt idx="47">
                  <c:v>623.75460086683643</c:v>
                </c:pt>
                <c:pt idx="48">
                  <c:v>649.72681059203296</c:v>
                </c:pt>
                <c:pt idx="49">
                  <c:v>675.6776200826381</c:v>
                </c:pt>
                <c:pt idx="50">
                  <c:v>701.60796576320615</c:v>
                </c:pt>
                <c:pt idx="51">
                  <c:v>657.61281934757983</c:v>
                </c:pt>
                <c:pt idx="52">
                  <c:v>679.61770277833341</c:v>
                </c:pt>
                <c:pt idx="53">
                  <c:v>701.60796576320615</c:v>
                </c:pt>
                <c:pt idx="54">
                  <c:v>2.9494845662396269E-12</c:v>
                </c:pt>
                <c:pt idx="55">
                  <c:v>2.9494845662396269E-12</c:v>
                </c:pt>
                <c:pt idx="56">
                  <c:v>2.9494845662396269E-12</c:v>
                </c:pt>
                <c:pt idx="57">
                  <c:v>2.9494845662396269E-12</c:v>
                </c:pt>
                <c:pt idx="58">
                  <c:v>2.9494845662396269E-12</c:v>
                </c:pt>
                <c:pt idx="59">
                  <c:v>2.9494845662396269E-12</c:v>
                </c:pt>
                <c:pt idx="60">
                  <c:v>2.9494845662396269E-12</c:v>
                </c:pt>
                <c:pt idx="61">
                  <c:v>2.9494845662396269E-12</c:v>
                </c:pt>
                <c:pt idx="62">
                  <c:v>2.9494845662396269E-12</c:v>
                </c:pt>
                <c:pt idx="63">
                  <c:v>2.9494845662396269E-12</c:v>
                </c:pt>
                <c:pt idx="64">
                  <c:v>2.9494845662396269E-12</c:v>
                </c:pt>
                <c:pt idx="65">
                  <c:v>2.9494845662396269E-12</c:v>
                </c:pt>
                <c:pt idx="66">
                  <c:v>2.9494845662396269E-12</c:v>
                </c:pt>
                <c:pt idx="67">
                  <c:v>2.9494845662396269E-12</c:v>
                </c:pt>
                <c:pt idx="68">
                  <c:v>2.9494845662396269E-12</c:v>
                </c:pt>
                <c:pt idx="69">
                  <c:v>2.9494845662396269E-12</c:v>
                </c:pt>
                <c:pt idx="70">
                  <c:v>2.9494845662396269E-12</c:v>
                </c:pt>
                <c:pt idx="71">
                  <c:v>2.9494845662396269E-12</c:v>
                </c:pt>
                <c:pt idx="72">
                  <c:v>2.9494845662396269E-12</c:v>
                </c:pt>
                <c:pt idx="73">
                  <c:v>2.9494845662396269E-12</c:v>
                </c:pt>
                <c:pt idx="74">
                  <c:v>2.9494845662396269E-12</c:v>
                </c:pt>
                <c:pt idx="75">
                  <c:v>2.9494845662396269E-12</c:v>
                </c:pt>
                <c:pt idx="76">
                  <c:v>2.9494845662396269E-12</c:v>
                </c:pt>
                <c:pt idx="77">
                  <c:v>2.9494845662396269E-12</c:v>
                </c:pt>
                <c:pt idx="78">
                  <c:v>2.9494845662396269E-12</c:v>
                </c:pt>
                <c:pt idx="79">
                  <c:v>2.9494845662396269E-12</c:v>
                </c:pt>
                <c:pt idx="80">
                  <c:v>2.9494845662396269E-12</c:v>
                </c:pt>
                <c:pt idx="81">
                  <c:v>2.9494845662396269E-12</c:v>
                </c:pt>
                <c:pt idx="82">
                  <c:v>2.9494845662396269E-12</c:v>
                </c:pt>
                <c:pt idx="83">
                  <c:v>2.9494845662396269E-12</c:v>
                </c:pt>
                <c:pt idx="84">
                  <c:v>2.9494845662396269E-12</c:v>
                </c:pt>
                <c:pt idx="85">
                  <c:v>2.9494845662396269E-12</c:v>
                </c:pt>
                <c:pt idx="86">
                  <c:v>2.9494845662396269E-12</c:v>
                </c:pt>
                <c:pt idx="87">
                  <c:v>2.9494845662396269E-12</c:v>
                </c:pt>
                <c:pt idx="88">
                  <c:v>2.9494845662396269E-12</c:v>
                </c:pt>
                <c:pt idx="89">
                  <c:v>2.9494845662396269E-12</c:v>
                </c:pt>
                <c:pt idx="90">
                  <c:v>2.9494845662396269E-12</c:v>
                </c:pt>
                <c:pt idx="91">
                  <c:v>2.9494845662396269E-12</c:v>
                </c:pt>
                <c:pt idx="92">
                  <c:v>2.9494845662396269E-12</c:v>
                </c:pt>
                <c:pt idx="93">
                  <c:v>2.9494845662396269E-12</c:v>
                </c:pt>
                <c:pt idx="94">
                  <c:v>2.9494845662396269E-12</c:v>
                </c:pt>
                <c:pt idx="95">
                  <c:v>2.9494845662396269E-12</c:v>
                </c:pt>
                <c:pt idx="96">
                  <c:v>2.9494845662396269E-12</c:v>
                </c:pt>
                <c:pt idx="97">
                  <c:v>2.9494845662396269E-12</c:v>
                </c:pt>
                <c:pt idx="98">
                  <c:v>2.9494845662396269E-12</c:v>
                </c:pt>
                <c:pt idx="99">
                  <c:v>2.9494845662396269E-12</c:v>
                </c:pt>
                <c:pt idx="100">
                  <c:v>2.9494845662396269E-12</c:v>
                </c:pt>
                <c:pt idx="101">
                  <c:v>2.9494845662396269E-12</c:v>
                </c:pt>
                <c:pt idx="102">
                  <c:v>2.9494845662396269E-12</c:v>
                </c:pt>
                <c:pt idx="103">
                  <c:v>2.9494845662396269E-12</c:v>
                </c:pt>
                <c:pt idx="104">
                  <c:v>2.9494845662396269E-12</c:v>
                </c:pt>
                <c:pt idx="105">
                  <c:v>2.9494845662396269E-12</c:v>
                </c:pt>
                <c:pt idx="106">
                  <c:v>2.9494845662396269E-12</c:v>
                </c:pt>
                <c:pt idx="107">
                  <c:v>2.9494845662396269E-12</c:v>
                </c:pt>
                <c:pt idx="108">
                  <c:v>2.9494845662396269E-12</c:v>
                </c:pt>
                <c:pt idx="109">
                  <c:v>2.9494845662396269E-12</c:v>
                </c:pt>
                <c:pt idx="110">
                  <c:v>2.9494845662396269E-12</c:v>
                </c:pt>
                <c:pt idx="111">
                  <c:v>2.9494845662396269E-12</c:v>
                </c:pt>
                <c:pt idx="112">
                  <c:v>2.9494845662396269E-12</c:v>
                </c:pt>
                <c:pt idx="113">
                  <c:v>2.9494845662396269E-12</c:v>
                </c:pt>
                <c:pt idx="114">
                  <c:v>2.9494845662396269E-12</c:v>
                </c:pt>
                <c:pt idx="115">
                  <c:v>2.9494845662396269E-12</c:v>
                </c:pt>
                <c:pt idx="116">
                  <c:v>2.9494845662396269E-12</c:v>
                </c:pt>
                <c:pt idx="117">
                  <c:v>2.9494845662396269E-12</c:v>
                </c:pt>
                <c:pt idx="118">
                  <c:v>2.9494845662396269E-12</c:v>
                </c:pt>
                <c:pt idx="119">
                  <c:v>2.9494845662396269E-12</c:v>
                </c:pt>
                <c:pt idx="120">
                  <c:v>2.9494845662396269E-12</c:v>
                </c:pt>
                <c:pt idx="121">
                  <c:v>2.9494845662396269E-12</c:v>
                </c:pt>
                <c:pt idx="122">
                  <c:v>2.9494845662396269E-12</c:v>
                </c:pt>
                <c:pt idx="123">
                  <c:v>2.9494845662396269E-12</c:v>
                </c:pt>
                <c:pt idx="124">
                  <c:v>2.9494845662396269E-12</c:v>
                </c:pt>
                <c:pt idx="125">
                  <c:v>2.9494845662396269E-12</c:v>
                </c:pt>
                <c:pt idx="126">
                  <c:v>2.9494845662396269E-12</c:v>
                </c:pt>
                <c:pt idx="127">
                  <c:v>2.9494845662396269E-12</c:v>
                </c:pt>
                <c:pt idx="128">
                  <c:v>2.9494845662396269E-12</c:v>
                </c:pt>
                <c:pt idx="129">
                  <c:v>2.9494845662396269E-12</c:v>
                </c:pt>
                <c:pt idx="130">
                  <c:v>2.9494845662396269E-12</c:v>
                </c:pt>
                <c:pt idx="131">
                  <c:v>2.9494845662396269E-12</c:v>
                </c:pt>
                <c:pt idx="132">
                  <c:v>2.9494845662396269E-12</c:v>
                </c:pt>
                <c:pt idx="133">
                  <c:v>2.9494845662396269E-12</c:v>
                </c:pt>
                <c:pt idx="134">
                  <c:v>2.9494845662396269E-12</c:v>
                </c:pt>
                <c:pt idx="135">
                  <c:v>2.9494845662396269E-12</c:v>
                </c:pt>
                <c:pt idx="136">
                  <c:v>2.9494845662396269E-12</c:v>
                </c:pt>
                <c:pt idx="137">
                  <c:v>2.9494845662396269E-12</c:v>
                </c:pt>
                <c:pt idx="138">
                  <c:v>2.9494845662396269E-12</c:v>
                </c:pt>
                <c:pt idx="139">
                  <c:v>2.9494845662396269E-12</c:v>
                </c:pt>
                <c:pt idx="140">
                  <c:v>2.9494845662396269E-12</c:v>
                </c:pt>
                <c:pt idx="141">
                  <c:v>2.9494845662396269E-12</c:v>
                </c:pt>
                <c:pt idx="142">
                  <c:v>2.9494845662396269E-12</c:v>
                </c:pt>
                <c:pt idx="143">
                  <c:v>2.9494845662396269E-12</c:v>
                </c:pt>
                <c:pt idx="144">
                  <c:v>2.9494845662396269E-12</c:v>
                </c:pt>
                <c:pt idx="145">
                  <c:v>2.9494845662396269E-12</c:v>
                </c:pt>
                <c:pt idx="146">
                  <c:v>2.9494845662396269E-12</c:v>
                </c:pt>
                <c:pt idx="147">
                  <c:v>2.9494845662396269E-12</c:v>
                </c:pt>
                <c:pt idx="148">
                  <c:v>2.9494845662396269E-12</c:v>
                </c:pt>
                <c:pt idx="149">
                  <c:v>2.9494845662396269E-12</c:v>
                </c:pt>
                <c:pt idx="150">
                  <c:v>2.9494845662396269E-12</c:v>
                </c:pt>
                <c:pt idx="151">
                  <c:v>2.9494845662396269E-12</c:v>
                </c:pt>
                <c:pt idx="152">
                  <c:v>2.9494845662396269E-12</c:v>
                </c:pt>
                <c:pt idx="153">
                  <c:v>2.9494845662396269E-12</c:v>
                </c:pt>
                <c:pt idx="154">
                  <c:v>2.9494845662396269E-12</c:v>
                </c:pt>
                <c:pt idx="155">
                  <c:v>2.9494845662396269E-12</c:v>
                </c:pt>
                <c:pt idx="156">
                  <c:v>2.9494845662396269E-12</c:v>
                </c:pt>
                <c:pt idx="157">
                  <c:v>2.9494845662396269E-12</c:v>
                </c:pt>
                <c:pt idx="158">
                  <c:v>2.9494845662396269E-12</c:v>
                </c:pt>
                <c:pt idx="159">
                  <c:v>2.9494845662396269E-12</c:v>
                </c:pt>
                <c:pt idx="160">
                  <c:v>2.9494845662396269E-12</c:v>
                </c:pt>
                <c:pt idx="161">
                  <c:v>2.9494845662396269E-12</c:v>
                </c:pt>
                <c:pt idx="162">
                  <c:v>2.9494845662396269E-12</c:v>
                </c:pt>
                <c:pt idx="163">
                  <c:v>2.9494845662396269E-12</c:v>
                </c:pt>
                <c:pt idx="164">
                  <c:v>2.9494845662396269E-12</c:v>
                </c:pt>
                <c:pt idx="165">
                  <c:v>2.9494845662396269E-12</c:v>
                </c:pt>
                <c:pt idx="166">
                  <c:v>2.9494845662396269E-12</c:v>
                </c:pt>
                <c:pt idx="167">
                  <c:v>2.9494845662396269E-12</c:v>
                </c:pt>
                <c:pt idx="168">
                  <c:v>2.9494845662396269E-12</c:v>
                </c:pt>
                <c:pt idx="169">
                  <c:v>2.9494845662396269E-12</c:v>
                </c:pt>
                <c:pt idx="170">
                  <c:v>2.9494845662396269E-12</c:v>
                </c:pt>
                <c:pt idx="171">
                  <c:v>2.9494845662396269E-12</c:v>
                </c:pt>
                <c:pt idx="172">
                  <c:v>2.9494845662396269E-12</c:v>
                </c:pt>
                <c:pt idx="173">
                  <c:v>2.9494845662396269E-12</c:v>
                </c:pt>
                <c:pt idx="174">
                  <c:v>2.9494845662396269E-12</c:v>
                </c:pt>
                <c:pt idx="175">
                  <c:v>2.9494845662396269E-12</c:v>
                </c:pt>
                <c:pt idx="176">
                  <c:v>2.9494845662396269E-12</c:v>
                </c:pt>
                <c:pt idx="177">
                  <c:v>2.9494845662396269E-12</c:v>
                </c:pt>
                <c:pt idx="178">
                  <c:v>2.9494845662396269E-12</c:v>
                </c:pt>
                <c:pt idx="179">
                  <c:v>2.9494845662396269E-12</c:v>
                </c:pt>
                <c:pt idx="180">
                  <c:v>2.9494845662396269E-12</c:v>
                </c:pt>
                <c:pt idx="181">
                  <c:v>2.9494845662396269E-12</c:v>
                </c:pt>
                <c:pt idx="182">
                  <c:v>2.9494845662396269E-12</c:v>
                </c:pt>
                <c:pt idx="183">
                  <c:v>2.9494845662396269E-12</c:v>
                </c:pt>
                <c:pt idx="184">
                  <c:v>2.9494845662396269E-12</c:v>
                </c:pt>
                <c:pt idx="185">
                  <c:v>2.9494845662396269E-12</c:v>
                </c:pt>
                <c:pt idx="186">
                  <c:v>2.9494845662396269E-12</c:v>
                </c:pt>
                <c:pt idx="187">
                  <c:v>2.9494845662396269E-12</c:v>
                </c:pt>
                <c:pt idx="188">
                  <c:v>2.9494845662396269E-12</c:v>
                </c:pt>
                <c:pt idx="189">
                  <c:v>2.9494845662396269E-12</c:v>
                </c:pt>
                <c:pt idx="190">
                  <c:v>2.9494845662396269E-12</c:v>
                </c:pt>
                <c:pt idx="191">
                  <c:v>2.9494845662396269E-12</c:v>
                </c:pt>
                <c:pt idx="192">
                  <c:v>2.9494845662396269E-12</c:v>
                </c:pt>
                <c:pt idx="193">
                  <c:v>2.9494845662396269E-12</c:v>
                </c:pt>
                <c:pt idx="194">
                  <c:v>2.9494845662396269E-12</c:v>
                </c:pt>
                <c:pt idx="195">
                  <c:v>2.9494845662396269E-12</c:v>
                </c:pt>
                <c:pt idx="196">
                  <c:v>2.9494845662396269E-12</c:v>
                </c:pt>
                <c:pt idx="197">
                  <c:v>2.9494845662396269E-12</c:v>
                </c:pt>
                <c:pt idx="198">
                  <c:v>2.9494845662396269E-12</c:v>
                </c:pt>
                <c:pt idx="199">
                  <c:v>2.9494845662396269E-12</c:v>
                </c:pt>
                <c:pt idx="200">
                  <c:v>2.9494845662396269E-12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98.711655844836244</c:v>
                </c:pt>
                <c:pt idx="22">
                  <c:v>111.22512582797835</c:v>
                </c:pt>
                <c:pt idx="23">
                  <c:v>123.70402111473783</c:v>
                </c:pt>
                <c:pt idx="24">
                  <c:v>136.15232577620694</c:v>
                </c:pt>
                <c:pt idx="25">
                  <c:v>148.57323391466869</c:v>
                </c:pt>
                <c:pt idx="26">
                  <c:v>160.96936079546251</c:v>
                </c:pt>
                <c:pt idx="27">
                  <c:v>173.342885263987</c:v>
                </c:pt>
                <c:pt idx="28">
                  <c:v>185.69564922944687</c:v>
                </c:pt>
                <c:pt idx="29">
                  <c:v>198.02922921541202</c:v>
                </c:pt>
                <c:pt idx="30">
                  <c:v>210.34498910896289</c:v>
                </c:pt>
                <c:pt idx="31">
                  <c:v>169.61345228889294</c:v>
                </c:pt>
                <c:pt idx="32">
                  <c:v>185.69564922944687</c:v>
                </c:pt>
                <c:pt idx="33">
                  <c:v>201.74532528316695</c:v>
                </c:pt>
                <c:pt idx="34">
                  <c:v>217.76543262779288</c:v>
                </c:pt>
                <c:pt idx="35">
                  <c:v>233.75845318467347</c:v>
                </c:pt>
                <c:pt idx="36">
                  <c:v>249.72650127853672</c:v>
                </c:pt>
                <c:pt idx="37">
                  <c:v>265.67139861401193</c:v>
                </c:pt>
                <c:pt idx="38">
                  <c:v>281.5947302821483</c:v>
                </c:pt>
                <c:pt idx="39">
                  <c:v>297.49788742006405</c:v>
                </c:pt>
                <c:pt idx="40">
                  <c:v>313.38210026249618</c:v>
                </c:pt>
                <c:pt idx="41">
                  <c:v>247.97507238738748</c:v>
                </c:pt>
                <c:pt idx="42">
                  <c:v>264.11677214797504</c:v>
                </c:pt>
                <c:pt idx="43">
                  <c:v>280.23622755830667</c:v>
                </c:pt>
                <c:pt idx="44">
                  <c:v>296.33489822464168</c:v>
                </c:pt>
                <c:pt idx="45">
                  <c:v>312.41407218540223</c:v>
                </c:pt>
                <c:pt idx="46">
                  <c:v>328.47489405645246</c:v>
                </c:pt>
                <c:pt idx="47">
                  <c:v>344.51838738035781</c:v>
                </c:pt>
                <c:pt idx="48">
                  <c:v>360.54547259299108</c:v>
                </c:pt>
                <c:pt idx="49">
                  <c:v>376.55698162745358</c:v>
                </c:pt>
                <c:pt idx="50">
                  <c:v>392.55366990377729</c:v>
                </c:pt>
                <c:pt idx="51">
                  <c:v>326.54079262774445</c:v>
                </c:pt>
                <c:pt idx="52">
                  <c:v>341.62020115511154</c:v>
                </c:pt>
                <c:pt idx="53">
                  <c:v>356.68497890922026</c:v>
                </c:pt>
                <c:pt idx="54">
                  <c:v>371.73583079258918</c:v>
                </c:pt>
                <c:pt idx="55">
                  <c:v>386.77339997206718</c:v>
                </c:pt>
                <c:pt idx="56">
                  <c:v>401.79827552592519</c:v>
                </c:pt>
                <c:pt idx="57">
                  <c:v>416.81099888731995</c:v>
                </c:pt>
                <c:pt idx="58">
                  <c:v>431.81206931097466</c:v>
                </c:pt>
                <c:pt idx="59">
                  <c:v>446.80194854062023</c:v>
                </c:pt>
                <c:pt idx="60">
                  <c:v>461.78106481747767</c:v>
                </c:pt>
                <c:pt idx="61">
                  <c:v>394.48001486506865</c:v>
                </c:pt>
                <c:pt idx="62">
                  <c:v>407.95878231757462</c:v>
                </c:pt>
                <c:pt idx="63">
                  <c:v>421.42793186976132</c:v>
                </c:pt>
                <c:pt idx="64">
                  <c:v>434.88781420496679</c:v>
                </c:pt>
                <c:pt idx="65">
                  <c:v>448.33875652973529</c:v>
                </c:pt>
                <c:pt idx="66">
                  <c:v>461.78106481747767</c:v>
                </c:pt>
                <c:pt idx="67">
                  <c:v>475.2150257772908</c:v>
                </c:pt>
                <c:pt idx="68">
                  <c:v>488.64090858857736</c:v>
                </c:pt>
                <c:pt idx="69">
                  <c:v>502.0589664351258</c:v>
                </c:pt>
                <c:pt idx="70">
                  <c:v>515.46943786668055</c:v>
                </c:pt>
                <c:pt idx="71">
                  <c:v>446.6098395921727</c:v>
                </c:pt>
                <c:pt idx="72">
                  <c:v>458.32527966923953</c:v>
                </c:pt>
                <c:pt idx="73">
                  <c:v>470.03432649602973</c:v>
                </c:pt>
                <c:pt idx="74">
                  <c:v>481.7371617829092</c:v>
                </c:pt>
                <c:pt idx="75">
                  <c:v>493.43395769164982</c:v>
                </c:pt>
                <c:pt idx="76">
                  <c:v>505.12487755644264</c:v>
                </c:pt>
                <c:pt idx="77">
                  <c:v>516.81007653469237</c:v>
                </c:pt>
                <c:pt idx="78">
                  <c:v>528.48970219589739</c:v>
                </c:pt>
                <c:pt idx="79">
                  <c:v>540.16389505577172</c:v>
                </c:pt>
                <c:pt idx="80">
                  <c:v>551.83278906179783</c:v>
                </c:pt>
                <c:pt idx="81">
                  <c:v>482.12075813367898</c:v>
                </c:pt>
                <c:pt idx="82">
                  <c:v>492.85884412246696</c:v>
                </c:pt>
                <c:pt idx="83">
                  <c:v>503.59197136026728</c:v>
                </c:pt>
                <c:pt idx="84">
                  <c:v>514.32026043494284</c:v>
                </c:pt>
                <c:pt idx="85">
                  <c:v>525.04382649327442</c:v>
                </c:pt>
                <c:pt idx="86">
                  <c:v>535.76277959494962</c:v>
                </c:pt>
                <c:pt idx="87">
                  <c:v>546.47722503675448</c:v>
                </c:pt>
                <c:pt idx="88">
                  <c:v>557.18726365001623</c:v>
                </c:pt>
                <c:pt idx="89">
                  <c:v>567.89299207399495</c:v>
                </c:pt>
                <c:pt idx="90">
                  <c:v>578.59450300758874</c:v>
                </c:pt>
                <c:pt idx="91">
                  <c:v>507.61564043595746</c:v>
                </c:pt>
                <c:pt idx="92">
                  <c:v>517.00159034875685</c:v>
                </c:pt>
                <c:pt idx="93">
                  <c:v>526.38394569812317</c:v>
                </c:pt>
                <c:pt idx="94">
                  <c:v>535.76277959494962</c:v>
                </c:pt>
                <c:pt idx="95">
                  <c:v>545.13816238142374</c:v>
                </c:pt>
                <c:pt idx="96">
                  <c:v>554.51016178271334</c:v>
                </c:pt>
                <c:pt idx="97">
                  <c:v>563.87884304786633</c:v>
                </c:pt>
                <c:pt idx="98">
                  <c:v>573.24426908085661</c:v>
                </c:pt>
                <c:pt idx="99">
                  <c:v>582.60650056262477</c:v>
                </c:pt>
                <c:pt idx="100">
                  <c:v>591.96559606486528</c:v>
                </c:pt>
                <c:pt idx="101">
                  <c:v>520.06560820994321</c:v>
                </c:pt>
                <c:pt idx="102">
                  <c:v>528.48970219589739</c:v>
                </c:pt>
                <c:pt idx="103">
                  <c:v>536.91096968482714</c:v>
                </c:pt>
                <c:pt idx="104">
                  <c:v>545.32946126917022</c:v>
                </c:pt>
                <c:pt idx="105">
                  <c:v>553.74522585166358</c:v>
                </c:pt>
                <c:pt idx="106">
                  <c:v>562.15831072715355</c:v>
                </c:pt>
                <c:pt idx="107">
                  <c:v>570.56876165925394</c:v>
                </c:pt>
                <c:pt idx="108">
                  <c:v>578.97662295224825</c:v>
                </c:pt>
                <c:pt idx="109">
                  <c:v>587.38193751859933</c:v>
                </c:pt>
                <c:pt idx="110">
                  <c:v>595.7847469423931</c:v>
                </c:pt>
                <c:pt idx="111">
                  <c:v>528.29827709857148</c:v>
                </c:pt>
                <c:pt idx="112">
                  <c:v>535.38003807305324</c:v>
                </c:pt>
                <c:pt idx="113">
                  <c:v>542.45982974284027</c:v>
                </c:pt>
                <c:pt idx="114">
                  <c:v>549.53768144295748</c:v>
                </c:pt>
                <c:pt idx="115">
                  <c:v>556.61362169091831</c:v>
                </c:pt>
                <c:pt idx="116">
                  <c:v>563.68767821983886</c:v>
                </c:pt>
                <c:pt idx="117">
                  <c:v>570.75987800979954</c:v>
                </c:pt>
                <c:pt idx="118">
                  <c:v>577.83024731757359</c:v>
                </c:pt>
                <c:pt idx="119">
                  <c:v>584.89881170482352</c:v>
                </c:pt>
                <c:pt idx="120">
                  <c:v>591.96559606486471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319.4873172181201</c:v>
                </c:pt>
                <c:pt idx="42">
                  <c:v>332.05861703935699</c:v>
                </c:pt>
                <c:pt idx="43">
                  <c:v>344.61942555879472</c:v>
                </c:pt>
                <c:pt idx="44">
                  <c:v>357.17017912307307</c:v>
                </c:pt>
                <c:pt idx="45">
                  <c:v>369.7112809035753</c:v>
                </c:pt>
                <c:pt idx="46">
                  <c:v>382.24310448239459</c:v>
                </c:pt>
                <c:pt idx="47">
                  <c:v>352.75726329182407</c:v>
                </c:pt>
                <c:pt idx="48">
                  <c:v>360.25319399788003</c:v>
                </c:pt>
                <c:pt idx="49">
                  <c:v>367.74571370177881</c:v>
                </c:pt>
                <c:pt idx="50">
                  <c:v>375.23490175863367</c:v>
                </c:pt>
                <c:pt idx="51">
                  <c:v>382.72083409495696</c:v>
                </c:pt>
                <c:pt idx="52">
                  <c:v>390.20358342243782</c:v>
                </c:pt>
                <c:pt idx="53">
                  <c:v>397.68321943446034</c:v>
                </c:pt>
                <c:pt idx="54">
                  <c:v>405.15980898705612</c:v>
                </c:pt>
                <c:pt idx="55">
                  <c:v>388.13420118594587</c:v>
                </c:pt>
                <c:pt idx="56">
                  <c:v>391.47693094284676</c:v>
                </c:pt>
                <c:pt idx="57">
                  <c:v>394.81904151240332</c:v>
                </c:pt>
                <c:pt idx="58">
                  <c:v>398.16053888286166</c:v>
                </c:pt>
                <c:pt idx="59">
                  <c:v>401.50142893362187</c:v>
                </c:pt>
                <c:pt idx="60">
                  <c:v>404.84171743812561</c:v>
                </c:pt>
                <c:pt idx="61">
                  <c:v>408.18141006664501</c:v>
                </c:pt>
                <c:pt idx="62">
                  <c:v>411.52051238897451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5" zoomScale="80" zoomScaleNormal="80" workbookViewId="0">
      <selection activeCell="E12" sqref="E12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6.6230000000000002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20</v>
      </c>
      <c r="C9" s="32">
        <v>0.5</v>
      </c>
      <c r="D9" s="33">
        <f t="shared" ref="D9:D18" si="0">C9*$C$5</f>
        <v>3.3115000000000001</v>
      </c>
      <c r="E9" s="34">
        <v>53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14</v>
      </c>
      <c r="C10" s="32">
        <v>0.1</v>
      </c>
      <c r="D10" s="33">
        <f t="shared" si="0"/>
        <v>0.66230000000000011</v>
      </c>
      <c r="E10" s="34">
        <v>120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36</v>
      </c>
      <c r="C11" s="32">
        <v>0.4</v>
      </c>
      <c r="D11" s="33">
        <f t="shared" si="0"/>
        <v>2.6492000000000004</v>
      </c>
      <c r="E11" s="34">
        <v>62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6.6230000000000011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Epicéa de Sitka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23</v>
      </c>
      <c r="B36" s="60">
        <v>165</v>
      </c>
      <c r="C36" s="60">
        <v>1</v>
      </c>
      <c r="D36" s="60">
        <v>55</v>
      </c>
      <c r="E36" s="51"/>
      <c r="F36" s="51">
        <v>0.5</v>
      </c>
      <c r="G36" s="51">
        <v>0.5</v>
      </c>
      <c r="H36" s="51"/>
      <c r="I36" s="49">
        <f>IFERROR(B36/A36,"")</f>
        <v>7.1739130434782608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27</v>
      </c>
      <c r="B37" s="60">
        <v>235</v>
      </c>
      <c r="C37" s="60">
        <v>2</v>
      </c>
      <c r="D37" s="60">
        <v>64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31.25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31</v>
      </c>
      <c r="B38" s="60">
        <v>315</v>
      </c>
      <c r="C38" s="60">
        <v>3</v>
      </c>
      <c r="D38" s="60">
        <v>57</v>
      </c>
      <c r="E38" s="51">
        <v>0.2</v>
      </c>
      <c r="F38" s="51">
        <v>0.4</v>
      </c>
      <c r="G38" s="51">
        <v>0.4</v>
      </c>
      <c r="H38" s="51"/>
      <c r="I38" s="53">
        <f t="shared" si="1"/>
        <v>36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35</v>
      </c>
      <c r="B39" s="60">
        <v>408</v>
      </c>
      <c r="C39" s="60">
        <v>4</v>
      </c>
      <c r="D39" s="60">
        <v>64</v>
      </c>
      <c r="E39" s="51"/>
      <c r="F39" s="51"/>
      <c r="G39" s="51"/>
      <c r="H39" s="51"/>
      <c r="I39" s="49">
        <f t="shared" si="1"/>
        <v>37.5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39</v>
      </c>
      <c r="B40" s="60">
        <v>487</v>
      </c>
      <c r="C40" s="60">
        <v>5</v>
      </c>
      <c r="D40" s="60">
        <v>50</v>
      </c>
      <c r="E40" s="51"/>
      <c r="F40" s="51"/>
      <c r="G40" s="51"/>
      <c r="H40" s="51"/>
      <c r="I40" s="49">
        <f t="shared" si="1"/>
        <v>35.75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44</v>
      </c>
      <c r="B41" s="60">
        <v>596</v>
      </c>
      <c r="C41" s="60">
        <v>6</v>
      </c>
      <c r="D41" s="60">
        <v>57</v>
      </c>
      <c r="E41" s="51"/>
      <c r="F41" s="51"/>
      <c r="G41" s="51"/>
      <c r="H41" s="51"/>
      <c r="I41" s="53">
        <f t="shared" si="1"/>
        <v>31.8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50</v>
      </c>
      <c r="B42" s="60">
        <v>697</v>
      </c>
      <c r="C42" s="60">
        <v>7</v>
      </c>
      <c r="D42" s="60">
        <v>67</v>
      </c>
      <c r="E42" s="51"/>
      <c r="F42" s="51"/>
      <c r="G42" s="51"/>
      <c r="H42" s="51"/>
      <c r="I42" s="53">
        <f t="shared" si="1"/>
        <v>26.333333333333332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53</v>
      </c>
      <c r="B43" s="60">
        <v>697</v>
      </c>
      <c r="C43" s="60">
        <v>8</v>
      </c>
      <c r="D43" s="60">
        <f>B43</f>
        <v>697</v>
      </c>
      <c r="E43" s="51"/>
      <c r="F43" s="51"/>
      <c r="G43" s="51"/>
      <c r="H43" s="51"/>
      <c r="I43" s="49">
        <f t="shared" si="1"/>
        <v>22.333333333333332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42</v>
      </c>
      <c r="C62" s="60"/>
      <c r="D62" s="60"/>
      <c r="E62" s="51"/>
      <c r="F62" s="51"/>
      <c r="G62" s="51"/>
      <c r="H62" s="51"/>
      <c r="I62" s="53">
        <f>IFERROR(B62/A62,"")</f>
        <v>2.1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105</v>
      </c>
      <c r="C63" s="60">
        <v>1</v>
      </c>
      <c r="D63" s="60">
        <f>21+8</f>
        <v>29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6.3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158</v>
      </c>
      <c r="C64" s="60">
        <v>2</v>
      </c>
      <c r="D64" s="60">
        <f>21+21</f>
        <v>42</v>
      </c>
      <c r="E64" s="51"/>
      <c r="F64" s="51"/>
      <c r="G64" s="51"/>
      <c r="H64" s="51"/>
      <c r="I64" s="49">
        <f>IF(A64&lt;&gt;0,(B64-(B63-D63))/(A64-A63),"")</f>
        <v>8.1999999999999993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199</v>
      </c>
      <c r="C65" s="60">
        <v>3</v>
      </c>
      <c r="D65" s="60">
        <f t="shared" ref="D65:D70" si="2">21+21</f>
        <v>42</v>
      </c>
      <c r="E65" s="51"/>
      <c r="F65" s="51"/>
      <c r="G65" s="51"/>
      <c r="H65" s="51"/>
      <c r="I65" s="49">
        <f>IF(A65&lt;&gt;0,(B65-(B64-D64))/(A65-A64),"")</f>
        <v>8.3000000000000007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235</v>
      </c>
      <c r="C66" s="60">
        <v>4</v>
      </c>
      <c r="D66" s="60">
        <f t="shared" si="2"/>
        <v>42</v>
      </c>
      <c r="E66" s="51"/>
      <c r="F66" s="51"/>
      <c r="G66" s="51"/>
      <c r="H66" s="51"/>
      <c r="I66" s="49">
        <f t="shared" ref="I66:I81" si="3">IF(A66&lt;&gt;0,(B66-(B65-D65))/(A66-A65),"")</f>
        <v>7.8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263</v>
      </c>
      <c r="C67" s="60">
        <v>5</v>
      </c>
      <c r="D67" s="60">
        <f t="shared" si="2"/>
        <v>42</v>
      </c>
      <c r="E67" s="51"/>
      <c r="F67" s="51"/>
      <c r="G67" s="51"/>
      <c r="H67" s="51"/>
      <c r="I67" s="49">
        <f t="shared" si="3"/>
        <v>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v>282</v>
      </c>
      <c r="C68" s="60">
        <v>6</v>
      </c>
      <c r="D68" s="60">
        <f t="shared" si="2"/>
        <v>42</v>
      </c>
      <c r="E68" s="51"/>
      <c r="F68" s="51"/>
      <c r="G68" s="51"/>
      <c r="H68" s="51"/>
      <c r="I68" s="49">
        <f t="shared" si="3"/>
        <v>6.1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>
        <v>90</v>
      </c>
      <c r="B69" s="50">
        <v>296</v>
      </c>
      <c r="C69" s="50">
        <v>7</v>
      </c>
      <c r="D69" s="50">
        <f t="shared" si="2"/>
        <v>42</v>
      </c>
      <c r="E69" s="51"/>
      <c r="F69" s="51"/>
      <c r="G69" s="51"/>
      <c r="H69" s="51"/>
      <c r="I69" s="49">
        <f t="shared" si="3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>
        <v>100</v>
      </c>
      <c r="B70" s="50">
        <v>303</v>
      </c>
      <c r="C70" s="50">
        <v>8</v>
      </c>
      <c r="D70" s="50">
        <f t="shared" si="2"/>
        <v>42</v>
      </c>
      <c r="E70" s="51"/>
      <c r="F70" s="51"/>
      <c r="G70" s="51"/>
      <c r="H70" s="51"/>
      <c r="I70" s="49">
        <f t="shared" si="3"/>
        <v>4.9000000000000004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>
        <v>110</v>
      </c>
      <c r="B71" s="50">
        <v>305</v>
      </c>
      <c r="C71" s="50">
        <v>9</v>
      </c>
      <c r="D71" s="50">
        <f>20+19</f>
        <v>39</v>
      </c>
      <c r="E71" s="51"/>
      <c r="F71" s="51"/>
      <c r="G71" s="51"/>
      <c r="H71" s="51"/>
      <c r="I71" s="49">
        <f t="shared" si="3"/>
        <v>4.4000000000000004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>
        <v>120</v>
      </c>
      <c r="B72" s="50">
        <f>268+17+18</f>
        <v>303</v>
      </c>
      <c r="C72" s="50">
        <v>10</v>
      </c>
      <c r="D72" s="50">
        <f>B72</f>
        <v>303</v>
      </c>
      <c r="E72" s="51"/>
      <c r="F72" s="51"/>
      <c r="G72" s="51"/>
      <c r="H72" s="51"/>
      <c r="I72" s="49">
        <f t="shared" si="3"/>
        <v>3.7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3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3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3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3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Pin maritime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12</v>
      </c>
      <c r="B88" s="60">
        <v>36</v>
      </c>
      <c r="C88" s="60"/>
      <c r="D88" s="60">
        <v>0</v>
      </c>
      <c r="E88" s="51"/>
      <c r="F88" s="51"/>
      <c r="G88" s="51"/>
      <c r="H88" s="87"/>
      <c r="I88" s="53">
        <f>IFERROR(B88/A88,"")</f>
        <v>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16</v>
      </c>
      <c r="B89" s="60">
        <v>81</v>
      </c>
      <c r="C89" s="60">
        <v>1</v>
      </c>
      <c r="D89" s="60">
        <v>15</v>
      </c>
      <c r="E89" s="51"/>
      <c r="F89" s="51">
        <v>0.5</v>
      </c>
      <c r="G89" s="51">
        <v>0.5</v>
      </c>
      <c r="H89" s="87"/>
      <c r="I89" s="53">
        <f t="shared" ref="I89:I107" si="4">IF(A89&lt;&gt;0,(B89-(B88-D88))/(A89-A88),"")</f>
        <v>11.25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20</v>
      </c>
      <c r="B90" s="60">
        <v>119</v>
      </c>
      <c r="C90" s="60">
        <v>2</v>
      </c>
      <c r="D90" s="60">
        <v>22</v>
      </c>
      <c r="E90" s="87">
        <v>0.1</v>
      </c>
      <c r="F90" s="87">
        <v>0.45</v>
      </c>
      <c r="G90" s="87">
        <v>0.45</v>
      </c>
      <c r="H90" s="87"/>
      <c r="I90" s="53">
        <f t="shared" si="4"/>
        <v>13.25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24</v>
      </c>
      <c r="B91" s="60">
        <v>157</v>
      </c>
      <c r="C91" s="60">
        <v>3</v>
      </c>
      <c r="D91" s="60">
        <v>31</v>
      </c>
      <c r="E91" s="87">
        <v>0.2</v>
      </c>
      <c r="F91" s="87">
        <v>0.4</v>
      </c>
      <c r="G91" s="87">
        <v>0.4</v>
      </c>
      <c r="H91" s="87"/>
      <c r="I91" s="53">
        <f t="shared" si="4"/>
        <v>15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28</v>
      </c>
      <c r="B92" s="60">
        <v>190</v>
      </c>
      <c r="C92" s="60">
        <v>4</v>
      </c>
      <c r="D92" s="60">
        <v>35</v>
      </c>
      <c r="E92" s="87">
        <v>0.3</v>
      </c>
      <c r="F92" s="87">
        <v>0.35</v>
      </c>
      <c r="G92" s="87">
        <v>0.35</v>
      </c>
      <c r="H92" s="87"/>
      <c r="I92" s="53">
        <f t="shared" si="4"/>
        <v>16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34</v>
      </c>
      <c r="B93" s="60">
        <v>244</v>
      </c>
      <c r="C93" s="60">
        <v>5</v>
      </c>
      <c r="D93" s="60">
        <v>46</v>
      </c>
      <c r="E93" s="87"/>
      <c r="F93" s="87"/>
      <c r="G93" s="87"/>
      <c r="H93" s="87"/>
      <c r="I93" s="53">
        <f t="shared" si="4"/>
        <v>14.833333333333334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40</v>
      </c>
      <c r="B94" s="60">
        <v>275</v>
      </c>
      <c r="C94" s="60">
        <v>6</v>
      </c>
      <c r="D94" s="60">
        <v>41</v>
      </c>
      <c r="E94" s="87"/>
      <c r="F94" s="87"/>
      <c r="G94" s="87"/>
      <c r="H94" s="87"/>
      <c r="I94" s="53">
        <f t="shared" si="4"/>
        <v>12.833333333333334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46</v>
      </c>
      <c r="B95" s="60">
        <v>293</v>
      </c>
      <c r="C95" s="60">
        <v>7</v>
      </c>
      <c r="D95" s="60">
        <v>29</v>
      </c>
      <c r="E95" s="87"/>
      <c r="F95" s="87"/>
      <c r="G95" s="87"/>
      <c r="H95" s="87"/>
      <c r="I95" s="53">
        <f t="shared" si="4"/>
        <v>9.8333333333333339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54</v>
      </c>
      <c r="B96" s="60">
        <v>311</v>
      </c>
      <c r="C96" s="60">
        <v>8</v>
      </c>
      <c r="D96" s="60">
        <v>16</v>
      </c>
      <c r="E96" s="87"/>
      <c r="F96" s="87"/>
      <c r="G96" s="87"/>
      <c r="H96" s="87"/>
      <c r="I96" s="53">
        <f t="shared" si="4"/>
        <v>5.875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>
        <v>62</v>
      </c>
      <c r="B97" s="60">
        <v>316</v>
      </c>
      <c r="C97" s="60">
        <v>9</v>
      </c>
      <c r="D97" s="60">
        <v>316</v>
      </c>
      <c r="E97" s="87"/>
      <c r="F97" s="87"/>
      <c r="G97" s="87"/>
      <c r="H97" s="87"/>
      <c r="I97" s="53">
        <f t="shared" si="4"/>
        <v>2.625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4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4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4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4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4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4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5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5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5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5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5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5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5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5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5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5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5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5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5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5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5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5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5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5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5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Epicéa de Sitka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maritime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214.51224556840771</v>
      </c>
      <c r="T3" s="59">
        <f>IF('Données projet'!E9&gt;30,$R$33-$H$33,LOOKUP('Données projet'!$E$9,$A$3:$A$203,R3:R203)-LOOKUP('Données projet'!$E$9,$A$3:$A$203,$H$3:$H$203))</f>
        <v>225.78309962707215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237.22177246688199</v>
      </c>
      <c r="AO3" s="59">
        <f>IF('Données projet'!E10&gt;30,$AM$33-$H$33,LOOKUP('Données projet'!$E$10,$A$3:$A$203,AM3:AM203)-LOOKUP('Données projet'!$E$10,$A$3:$A$203,$H$3:$H$203))</f>
        <v>149.27472147904302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168.08890945052406</v>
      </c>
      <c r="BJ3" s="59">
        <f>IF('Données projet'!E11&gt;30,$BH$33-$H$33,LOOKUP('Données projet'!$E$11,$A$3:$A$203,BH3:BH203)-LOOKUP('Données projet'!$E$11,$A$3:$A$203,$H$3:$H$203))</f>
        <v>182.52462557642343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7.1739130434782608</v>
      </c>
      <c r="N4" s="13">
        <f>IF('Données projet'!$A$36&gt;35,N3+M4-V3,IF(A4&lt;'Données projet'!$A$36,$K$205^A4,IF(A4='Données projet'!$A$36,'Données projet'!$B$36,N3+M4-V3)))</f>
        <v>1.2485684178796581</v>
      </c>
      <c r="O4" s="13">
        <f>N4*VLOOKUP('Données projet'!$B$9,Paramètres!$A$1:$I$89,3,0)*VLOOKUP('Données projet'!$B$9,Paramètres!$A$1:$I$89,5,0)</f>
        <v>0.58433001956768005</v>
      </c>
      <c r="P4" s="13">
        <f>EXP(-1.0587+0.8836*LN(O4)+0.284)</f>
        <v>0.28666274091291899</v>
      </c>
      <c r="Q4" s="20">
        <f t="shared" ref="Q4:Q34" si="2">(O4+P4)*0.475*44/12</f>
        <v>1.5169790578370435</v>
      </c>
      <c r="R4" s="59">
        <f t="shared" si="0"/>
        <v>294.85031239117035</v>
      </c>
      <c r="S4" s="59">
        <f ca="1">AVERAGE(OFFSET($R$3,0,0,'Données projet'!$E$9+1,1))-AVERAGE(OFFSET($H$3,0,0,'Données projet'!$E$9+1,1))</f>
        <v>214.51224556840771</v>
      </c>
      <c r="T4" s="59">
        <f>$T$3</f>
        <v>225.78309962707215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2.1</v>
      </c>
      <c r="AI4" s="13">
        <f>IF('Données projet'!$A$62&gt;35,AI3+AH4-AQ3,IF(A4&lt;'Données projet'!$A$62,$AF$205^A4,IF(A4='Données projet'!$A$62,'Données projet'!$B$62,AI3+AH4-AQ3)))</f>
        <v>1.2054868146447177</v>
      </c>
      <c r="AJ4" s="13">
        <f>AI4*VLOOKUP('Données projet'!$B$10,Paramètres!$A$1:$I$89,3,0)*VLOOKUP('Données projet'!$B$10,Paramètres!$A$1:$I$89,5,0)</f>
        <v>1.0907244698905405</v>
      </c>
      <c r="AK4" s="13">
        <f>EXP(-1.0587+0.8836*LN(AJ4)+0.284)</f>
        <v>0.49759623852608204</v>
      </c>
      <c r="AL4" s="20">
        <f t="shared" ref="AL4:AL67" si="4">(AJ4+AK4)*0.475*44/12</f>
        <v>2.7663252338256172</v>
      </c>
      <c r="AM4" s="59">
        <f t="shared" ref="AM4:AM67" si="5">AL4+(AD4+AE4)*44/12</f>
        <v>296.09965856715894</v>
      </c>
      <c r="AN4" s="59">
        <f ca="1">AVERAGE(OFFSET($AM$3,0,0,'Données projet'!$E$10+1,1))-AVERAGE(OFFSET($H$3,0,0,'Données projet'!$E$10+1,1))</f>
        <v>237.22177246688199</v>
      </c>
      <c r="AO4" s="59">
        <f>$AO$3</f>
        <v>149.27472147904302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</v>
      </c>
      <c r="BD4" s="12">
        <f>IF('Données projet'!$A$88&gt;35,BD3+BC4-BL3,IF(A4&lt;'Données projet'!$A$88,$BA$205^A4,IF(A4='Données projet'!$A$88,'Données projet'!$B$88,BD3+BC4-BL3)))</f>
        <v>1.3480061545972777</v>
      </c>
      <c r="BE4" s="13">
        <f>BD4*VLOOKUP('Données projet'!$B$11,Paramètres!$A$1:$I$89,3,0)*VLOOKUP('Données projet'!$B$11,Paramètres!$A$1:$I$89,5,0)</f>
        <v>0.80610768044917203</v>
      </c>
      <c r="BF4" s="13">
        <f>EXP(-1.0587+0.8836*LN(BE4)+0.284)</f>
        <v>0.38092631183578585</v>
      </c>
      <c r="BG4" s="20">
        <f t="shared" ref="BG4:BG67" si="7">(BE4+BF4)*0.475*44/12</f>
        <v>2.0674175365629677</v>
      </c>
      <c r="BH4" s="59">
        <f t="shared" ref="BH4:BH67" si="8">BG4+(AY4+AZ4)*44/12</f>
        <v>295.40075086989629</v>
      </c>
      <c r="BI4" s="59">
        <f ca="1">AVERAGE(OFFSET($BH$3,0,0,'Données projet'!$E$11+1,1))-AVERAGE(OFFSET($H$3,0,0,'Données projet'!$E$11+1,1))</f>
        <v>168.08890945052406</v>
      </c>
      <c r="BJ4" s="59">
        <f>$BJ$3</f>
        <v>182.52462557642343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7.1739130434782608</v>
      </c>
      <c r="N5" s="13">
        <f>IF('Données projet'!$A$36&gt;35,N4+M5-V4,IF(A5&lt;'Données projet'!$A$36,$K$205^A5,IF(A5='Données projet'!$A$36,'Données projet'!$B$36,N4+M5-V4)))</f>
        <v>1.5589230941265126</v>
      </c>
      <c r="O5" s="13">
        <f>N5*VLOOKUP('Données projet'!$B$9,Paramètres!$A$1:$I$89,3,0)*VLOOKUP('Données projet'!$B$9,Paramètres!$A$1:$I$89,5,0)</f>
        <v>0.72957600805120781</v>
      </c>
      <c r="P5" s="13">
        <f t="shared" ref="P5:P68" si="33">EXP(-1.0587+0.8836*LN(O5)+0.284)</f>
        <v>0.34878772915648432</v>
      </c>
      <c r="Q5" s="20">
        <f t="shared" si="2"/>
        <v>1.8781501756367305</v>
      </c>
      <c r="R5" s="59">
        <f t="shared" si="0"/>
        <v>295.21148350897005</v>
      </c>
      <c r="S5" s="59">
        <f ca="1">AVERAGE(OFFSET($R$3,0,0,'Données projet'!$E$9+1,1))-AVERAGE(OFFSET($H$3,0,0,'Données projet'!$E$9+1,1))</f>
        <v>214.51224556840771</v>
      </c>
      <c r="T5" s="59">
        <f t="shared" ref="T5:T68" si="34">$T$3</f>
        <v>225.78309962707215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2.1</v>
      </c>
      <c r="AI5" s="13">
        <f>IF('Données projet'!$A$62&gt;35,AI4+AH5-AQ4,IF(A5&lt;'Données projet'!$A$62,$AF$205^A5,IF(A5='Données projet'!$A$62,'Données projet'!$B$62,AI4+AH5-AQ4)))</f>
        <v>1.4531984602822681</v>
      </c>
      <c r="AJ5" s="13">
        <f>AI5*VLOOKUP('Données projet'!$B$10,Paramètres!$A$1:$I$89,3,0)*VLOOKUP('Données projet'!$B$10,Paramètres!$A$1:$I$89,5,0)</f>
        <v>1.3148539668633961</v>
      </c>
      <c r="AK5" s="13">
        <f t="shared" ref="AK5:AK68" si="35">EXP(-1.0587+0.8836*LN(AJ5)+0.284)</f>
        <v>0.58693801963664449</v>
      </c>
      <c r="AL5" s="20">
        <f t="shared" si="4"/>
        <v>3.3122877098209038</v>
      </c>
      <c r="AM5" s="59">
        <f t="shared" si="5"/>
        <v>296.64562104315422</v>
      </c>
      <c r="AN5" s="59">
        <f ca="1">AVERAGE(OFFSET($AM$3,0,0,'Données projet'!$E$10+1,1))-AVERAGE(OFFSET($H$3,0,0,'Données projet'!$E$10+1,1))</f>
        <v>237.22177246688199</v>
      </c>
      <c r="AO5" s="59">
        <f t="shared" ref="AO5:AO68" si="36">$AO$3</f>
        <v>149.27472147904302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</v>
      </c>
      <c r="BD5" s="12">
        <f>IF('Données projet'!$A$88&gt;35,BD4+BC5-BL4,IF(A5&lt;'Données projet'!$A$88,$BA$205^A5,IF(A5='Données projet'!$A$88,'Données projet'!$B$88,BD4+BC5-BL4)))</f>
        <v>1.8171205928321397</v>
      </c>
      <c r="BE5" s="13">
        <f>BD5*VLOOKUP('Données projet'!$B$11,Paramètres!$A$1:$I$89,3,0)*VLOOKUP('Données projet'!$B$11,Paramètres!$A$1:$I$89,5,0)</f>
        <v>1.0866381145136197</v>
      </c>
      <c r="BF5" s="13">
        <f t="shared" ref="BF5:BF68" si="37">EXP(-1.0587+0.8836*LN(BE5)+0.284)</f>
        <v>0.49594865026181029</v>
      </c>
      <c r="BG5" s="20">
        <f t="shared" si="7"/>
        <v>2.7563386153172069</v>
      </c>
      <c r="BH5" s="59">
        <f t="shared" si="8"/>
        <v>296.0896719486505</v>
      </c>
      <c r="BI5" s="59">
        <f ca="1">AVERAGE(OFFSET($BH$3,0,0,'Données projet'!$E$11+1,1))-AVERAGE(OFFSET($H$3,0,0,'Données projet'!$E$11+1,1))</f>
        <v>168.08890945052406</v>
      </c>
      <c r="BJ5" s="59">
        <f t="shared" ref="BJ5:BJ68" si="38">$BJ$3</f>
        <v>182.52462557642343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7.1739130434782608</v>
      </c>
      <c r="N6" s="13">
        <f>IF('Données projet'!$A$36&gt;35,N5+M6-V5,IF(A6&lt;'Données projet'!$A$36,$K$205^A6,IF(A6='Données projet'!$A$36,'Données projet'!$B$36,N5+M6-V5)))</f>
        <v>1.9464221412296012</v>
      </c>
      <c r="O6" s="13">
        <f>N6*VLOOKUP('Données projet'!$B$9,Paramètres!$A$1:$I$89,3,0)*VLOOKUP('Données projet'!$B$9,Paramètres!$A$1:$I$89,5,0)</f>
        <v>0.91092556209545339</v>
      </c>
      <c r="P6" s="13">
        <f t="shared" si="33"/>
        <v>0.42437632328050684</v>
      </c>
      <c r="Q6" s="20">
        <f t="shared" si="2"/>
        <v>2.3256507836964637</v>
      </c>
      <c r="R6" s="59">
        <f t="shared" si="0"/>
        <v>295.65898411702977</v>
      </c>
      <c r="S6" s="59">
        <f ca="1">AVERAGE(OFFSET($R$3,0,0,'Données projet'!$E$9+1,1))-AVERAGE(OFFSET($H$3,0,0,'Données projet'!$E$9+1,1))</f>
        <v>214.51224556840771</v>
      </c>
      <c r="T6" s="59">
        <f t="shared" si="34"/>
        <v>225.78309962707215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2.1</v>
      </c>
      <c r="AI6" s="13">
        <f>IF('Données projet'!$A$62&gt;35,AI5+AH6-AQ5,IF(A6&lt;'Données projet'!$A$62,$AF$205^A6,IF(A6='Données projet'!$A$62,'Données projet'!$B$62,AI5+AH6-AQ5)))</f>
        <v>1.7518115829322798</v>
      </c>
      <c r="AJ6" s="13">
        <f>AI6*VLOOKUP('Données projet'!$B$10,Paramètres!$A$1:$I$89,3,0)*VLOOKUP('Données projet'!$B$10,Paramètres!$A$1:$I$89,5,0)</f>
        <v>1.5850391202371266</v>
      </c>
      <c r="AK6" s="13">
        <f t="shared" si="35"/>
        <v>0.69232082604846479</v>
      </c>
      <c r="AL6" s="20">
        <f t="shared" si="4"/>
        <v>3.966401906447405</v>
      </c>
      <c r="AM6" s="59">
        <f t="shared" si="5"/>
        <v>297.29973523978072</v>
      </c>
      <c r="AN6" s="59">
        <f ca="1">AVERAGE(OFFSET($AM$3,0,0,'Données projet'!$E$10+1,1))-AVERAGE(OFFSET($H$3,0,0,'Données projet'!$E$10+1,1))</f>
        <v>237.22177246688199</v>
      </c>
      <c r="AO6" s="59">
        <f t="shared" si="36"/>
        <v>149.27472147904302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</v>
      </c>
      <c r="BD6" s="12">
        <f>IF('Données projet'!$A$88&gt;35,BD5+BC6-BL5,IF(A6&lt;'Données projet'!$A$88,$BA$205^A6,IF(A6='Données projet'!$A$88,'Données projet'!$B$88,BD5+BC6-BL5)))</f>
        <v>2.4494897427831783</v>
      </c>
      <c r="BE6" s="13">
        <f>BD6*VLOOKUP('Données projet'!$B$11,Paramètres!$A$1:$I$89,3,0)*VLOOKUP('Données projet'!$B$11,Paramètres!$A$1:$I$89,5,0)</f>
        <v>1.4647948661843406</v>
      </c>
      <c r="BF6" s="13">
        <f t="shared" si="37"/>
        <v>0.64570247854798968</v>
      </c>
      <c r="BG6" s="20">
        <f t="shared" si="7"/>
        <v>3.6757828754088084</v>
      </c>
      <c r="BH6" s="59">
        <f t="shared" si="8"/>
        <v>297.00911620874211</v>
      </c>
      <c r="BI6" s="59">
        <f ca="1">AVERAGE(OFFSET($BH$3,0,0,'Données projet'!$E$11+1,1))-AVERAGE(OFFSET($H$3,0,0,'Données projet'!$E$11+1,1))</f>
        <v>168.08890945052406</v>
      </c>
      <c r="BJ6" s="59">
        <f t="shared" si="38"/>
        <v>182.52462557642343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7.1739130434782608</v>
      </c>
      <c r="N7" s="13">
        <f>IF('Données projet'!$A$36&gt;35,N6+M7-V6,IF(A7&lt;'Données projet'!$A$36,$K$205^A7,IF(A7='Données projet'!$A$36,'Données projet'!$B$36,N6+M7-V6)))</f>
        <v>2.4302412134009796</v>
      </c>
      <c r="O7" s="13">
        <f>N7*VLOOKUP('Données projet'!$B$9,Paramètres!$A$1:$I$89,3,0)*VLOOKUP('Données projet'!$B$9,Paramètres!$A$1:$I$89,5,0)</f>
        <v>1.1373528878716586</v>
      </c>
      <c r="P7" s="13">
        <f t="shared" si="33"/>
        <v>0.51634632960462079</v>
      </c>
      <c r="Q7" s="20">
        <f t="shared" si="2"/>
        <v>2.8801928037711861</v>
      </c>
      <c r="R7" s="59">
        <f t="shared" si="0"/>
        <v>296.21352613710451</v>
      </c>
      <c r="S7" s="59">
        <f ca="1">AVERAGE(OFFSET($R$3,0,0,'Données projet'!$E$9+1,1))-AVERAGE(OFFSET($H$3,0,0,'Données projet'!$E$9+1,1))</f>
        <v>214.51224556840771</v>
      </c>
      <c r="T7" s="59">
        <f t="shared" si="34"/>
        <v>225.78309962707215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2.1</v>
      </c>
      <c r="AI7" s="13">
        <f>IF('Données projet'!$A$62&gt;35,AI6+AH7-AQ6,IF(A7&lt;'Données projet'!$A$62,$AF$205^A7,IF(A7='Données projet'!$A$62,'Données projet'!$B$62,AI6+AH7-AQ6)))</f>
        <v>2.1117857649667546</v>
      </c>
      <c r="AJ7" s="13">
        <f>AI7*VLOOKUP('Données projet'!$B$10,Paramètres!$A$1:$I$89,3,0)*VLOOKUP('Données projet'!$B$10,Paramètres!$A$1:$I$89,5,0)</f>
        <v>1.9107437601419195</v>
      </c>
      <c r="AK7" s="13">
        <f t="shared" si="35"/>
        <v>0.81662477151702284</v>
      </c>
      <c r="AL7" s="20">
        <f t="shared" si="4"/>
        <v>4.7501668593059909</v>
      </c>
      <c r="AM7" s="59">
        <f t="shared" si="5"/>
        <v>298.08350019263929</v>
      </c>
      <c r="AN7" s="59">
        <f ca="1">AVERAGE(OFFSET($AM$3,0,0,'Données projet'!$E$10+1,1))-AVERAGE(OFFSET($H$3,0,0,'Données projet'!$E$10+1,1))</f>
        <v>237.22177246688199</v>
      </c>
      <c r="AO7" s="59">
        <f t="shared" si="36"/>
        <v>149.27472147904302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</v>
      </c>
      <c r="BD7" s="12">
        <f>IF('Données projet'!$A$88&gt;35,BD6+BC7-BL6,IF(A7&lt;'Données projet'!$A$88,$BA$205^A7,IF(A7='Données projet'!$A$88,'Données projet'!$B$88,BD6+BC7-BL6)))</f>
        <v>3.3019272488946267</v>
      </c>
      <c r="BE7" s="13">
        <f>BD7*VLOOKUP('Données projet'!$B$11,Paramètres!$A$1:$I$89,3,0)*VLOOKUP('Données projet'!$B$11,Paramètres!$A$1:$I$89,5,0)</f>
        <v>1.974552494838987</v>
      </c>
      <c r="BF7" s="13">
        <f t="shared" si="37"/>
        <v>0.84067511945625772</v>
      </c>
      <c r="BG7" s="20">
        <f t="shared" si="7"/>
        <v>4.9031880948975504</v>
      </c>
      <c r="BH7" s="59">
        <f t="shared" si="8"/>
        <v>298.23652142823084</v>
      </c>
      <c r="BI7" s="59">
        <f ca="1">AVERAGE(OFFSET($BH$3,0,0,'Données projet'!$E$11+1,1))-AVERAGE(OFFSET($H$3,0,0,'Données projet'!$E$11+1,1))</f>
        <v>168.08890945052406</v>
      </c>
      <c r="BJ7" s="59">
        <f t="shared" si="38"/>
        <v>182.52462557642343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7.1739130434782608</v>
      </c>
      <c r="N8" s="13">
        <f>IF('Données projet'!$A$36&gt;35,N7+M8-V7,IF(A8&lt;'Données projet'!$A$36,$K$205^A8,IF(A8='Données projet'!$A$36,'Données projet'!$B$36,N7+M8-V7)))</f>
        <v>3.0343224268820017</v>
      </c>
      <c r="O8" s="13">
        <f>N8*VLOOKUP('Données projet'!$B$9,Paramètres!$A$1:$I$89,3,0)*VLOOKUP('Données projet'!$B$9,Paramètres!$A$1:$I$89,5,0)</f>
        <v>1.4200628957807768</v>
      </c>
      <c r="P8" s="13">
        <f t="shared" si="33"/>
        <v>0.62824789572422923</v>
      </c>
      <c r="Q8" s="20">
        <f t="shared" si="2"/>
        <v>3.5674746285378856</v>
      </c>
      <c r="R8" s="59">
        <f t="shared" si="0"/>
        <v>296.90080796187118</v>
      </c>
      <c r="S8" s="59">
        <f ca="1">AVERAGE(OFFSET($R$3,0,0,'Données projet'!$E$9+1,1))-AVERAGE(OFFSET($H$3,0,0,'Données projet'!$E$9+1,1))</f>
        <v>214.51224556840771</v>
      </c>
      <c r="T8" s="59">
        <f t="shared" si="34"/>
        <v>225.78309962707215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2.1</v>
      </c>
      <c r="AI8" s="13">
        <f>IF('Données projet'!$A$62&gt;35,AI7+AH8-AQ7,IF(A8&lt;'Données projet'!$A$62,$AF$205^A8,IF(A8='Données projet'!$A$62,'Données projet'!$B$62,AI7+AH8-AQ7)))</f>
        <v>2.5457298950218314</v>
      </c>
      <c r="AJ8" s="13">
        <f>AI8*VLOOKUP('Données projet'!$B$10,Paramètres!$A$1:$I$89,3,0)*VLOOKUP('Données projet'!$B$10,Paramètres!$A$1:$I$89,5,0)</f>
        <v>2.3033764090157529</v>
      </c>
      <c r="AK8" s="13">
        <f t="shared" si="35"/>
        <v>0.96324708482559218</v>
      </c>
      <c r="AL8" s="20">
        <f t="shared" si="4"/>
        <v>5.6893692517736758</v>
      </c>
      <c r="AM8" s="59">
        <f t="shared" si="5"/>
        <v>299.02270258510697</v>
      </c>
      <c r="AN8" s="59">
        <f ca="1">AVERAGE(OFFSET($AM$3,0,0,'Données projet'!$E$10+1,1))-AVERAGE(OFFSET($H$3,0,0,'Données projet'!$E$10+1,1))</f>
        <v>237.22177246688199</v>
      </c>
      <c r="AO8" s="59">
        <f t="shared" si="36"/>
        <v>149.27472147904302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</v>
      </c>
      <c r="BD8" s="12">
        <f>IF('Données projet'!$A$88&gt;35,BD7+BC8-BL7,IF(A8&lt;'Données projet'!$A$88,$BA$205^A8,IF(A8='Données projet'!$A$88,'Données projet'!$B$88,BD7+BC8-BL7)))</f>
        <v>4.4510182535424141</v>
      </c>
      <c r="BE8" s="13">
        <f>BD8*VLOOKUP('Données projet'!$B$11,Paramètres!$A$1:$I$89,3,0)*VLOOKUP('Données projet'!$B$11,Paramètres!$A$1:$I$89,5,0)</f>
        <v>2.6617089156183638</v>
      </c>
      <c r="BF8" s="13">
        <f t="shared" si="37"/>
        <v>1.0945205879680817</v>
      </c>
      <c r="BG8" s="20">
        <f t="shared" si="7"/>
        <v>6.5420997187463925</v>
      </c>
      <c r="BH8" s="59">
        <f t="shared" si="8"/>
        <v>299.8754330520797</v>
      </c>
      <c r="BI8" s="59">
        <f ca="1">AVERAGE(OFFSET($BH$3,0,0,'Données projet'!$E$11+1,1))-AVERAGE(OFFSET($H$3,0,0,'Données projet'!$E$11+1,1))</f>
        <v>168.08890945052406</v>
      </c>
      <c r="BJ8" s="59">
        <f t="shared" si="38"/>
        <v>182.52462557642343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7.1739130434782608</v>
      </c>
      <c r="N9" s="13">
        <f>IF('Données projet'!$A$36&gt;35,N8+M9-V8,IF(A9&lt;'Données projet'!$A$36,$K$205^A9,IF(A9='Données projet'!$A$36,'Données projet'!$B$36,N8+M9-V8)))</f>
        <v>3.7885591518688257</v>
      </c>
      <c r="O9" s="13">
        <f>N9*VLOOKUP('Données projet'!$B$9,Paramètres!$A$1:$I$89,3,0)*VLOOKUP('Données projet'!$B$9,Paramètres!$A$1:$I$89,5,0)</f>
        <v>1.7730456830746104</v>
      </c>
      <c r="P9" s="13">
        <f t="shared" si="33"/>
        <v>0.7644005502743676</v>
      </c>
      <c r="Q9" s="20">
        <f t="shared" si="2"/>
        <v>4.419385523082803</v>
      </c>
      <c r="R9" s="59">
        <f t="shared" si="0"/>
        <v>297.7527188564161</v>
      </c>
      <c r="S9" s="59">
        <f ca="1">AVERAGE(OFFSET($R$3,0,0,'Données projet'!$E$9+1,1))-AVERAGE(OFFSET($H$3,0,0,'Données projet'!$E$9+1,1))</f>
        <v>214.51224556840771</v>
      </c>
      <c r="T9" s="59">
        <f t="shared" si="34"/>
        <v>225.78309962707215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2.1</v>
      </c>
      <c r="AI9" s="13">
        <f>IF('Données projet'!$A$62&gt;35,AI8+AH9-AQ8,IF(A9&lt;'Données projet'!$A$62,$AF$205^A9,IF(A9='Données projet'!$A$62,'Données projet'!$B$62,AI8+AH9-AQ8)))</f>
        <v>3.0688438220956993</v>
      </c>
      <c r="AJ9" s="13">
        <f>AI9*VLOOKUP('Données projet'!$B$10,Paramètres!$A$1:$I$89,3,0)*VLOOKUP('Données projet'!$B$10,Paramètres!$A$1:$I$89,5,0)</f>
        <v>2.7766898902321886</v>
      </c>
      <c r="AK9" s="13">
        <f t="shared" si="35"/>
        <v>1.1361949561012803</v>
      </c>
      <c r="AL9" s="20">
        <f t="shared" si="4"/>
        <v>6.8149411073641248</v>
      </c>
      <c r="AM9" s="59">
        <f t="shared" si="5"/>
        <v>300.14827444069743</v>
      </c>
      <c r="AN9" s="59">
        <f ca="1">AVERAGE(OFFSET($AM$3,0,0,'Données projet'!$E$10+1,1))-AVERAGE(OFFSET($H$3,0,0,'Données projet'!$E$10+1,1))</f>
        <v>237.22177246688199</v>
      </c>
      <c r="AO9" s="59">
        <f t="shared" si="36"/>
        <v>149.27472147904302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</v>
      </c>
      <c r="BD9" s="12">
        <f>IF('Données projet'!$A$88&gt;35,BD8+BC9-BL8,IF(A9&lt;'Données projet'!$A$88,$BA$205^A9,IF(A9='Données projet'!$A$88,'Données projet'!$B$88,BD8+BC9-BL8)))</f>
        <v>6</v>
      </c>
      <c r="BE9" s="13">
        <f>BD9*VLOOKUP('Données projet'!$B$11,Paramètres!$A$1:$I$89,3,0)*VLOOKUP('Données projet'!$B$11,Paramètres!$A$1:$I$89,5,0)</f>
        <v>3.5880000000000005</v>
      </c>
      <c r="BF9" s="13">
        <f t="shared" si="37"/>
        <v>1.4250157876217819</v>
      </c>
      <c r="BG9" s="20">
        <f t="shared" si="7"/>
        <v>8.7310024967746021</v>
      </c>
      <c r="BH9" s="59">
        <f t="shared" si="8"/>
        <v>302.06433583010789</v>
      </c>
      <c r="BI9" s="59">
        <f ca="1">AVERAGE(OFFSET($BH$3,0,0,'Données projet'!$E$11+1,1))-AVERAGE(OFFSET($H$3,0,0,'Données projet'!$E$11+1,1))</f>
        <v>168.08890945052406</v>
      </c>
      <c r="BJ9" s="59">
        <f t="shared" si="38"/>
        <v>182.52462557642343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7.1739130434782608</v>
      </c>
      <c r="N10" s="13">
        <f>IF('Données projet'!$A$36&gt;35,N9+M10-V9,IF(A10&lt;'Données projet'!$A$36,$K$205^A10,IF(A10='Données projet'!$A$36,'Données projet'!$B$36,N9+M10-V9)))</f>
        <v>4.7302753062923593</v>
      </c>
      <c r="O10" s="13">
        <f>N10*VLOOKUP('Données projet'!$B$9,Paramètres!$A$1:$I$89,3,0)*VLOOKUP('Données projet'!$B$9,Paramètres!$A$1:$I$89,5,0)</f>
        <v>2.2137688433448242</v>
      </c>
      <c r="P10" s="13">
        <f t="shared" si="33"/>
        <v>0.93005994168301886</v>
      </c>
      <c r="Q10" s="20">
        <f t="shared" si="2"/>
        <v>5.475501800590159</v>
      </c>
      <c r="R10" s="59">
        <f t="shared" si="0"/>
        <v>298.80883513392348</v>
      </c>
      <c r="S10" s="59">
        <f ca="1">AVERAGE(OFFSET($R$3,0,0,'Données projet'!$E$9+1,1))-AVERAGE(OFFSET($H$3,0,0,'Données projet'!$E$9+1,1))</f>
        <v>214.51224556840771</v>
      </c>
      <c r="T10" s="59">
        <f t="shared" si="34"/>
        <v>225.78309962707215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2.1</v>
      </c>
      <c r="AI10" s="13">
        <f>IF('Données projet'!$A$62&gt;35,AI9+AH10-AQ9,IF(A10&lt;'Données projet'!$A$62,$AF$205^A10,IF(A10='Données projet'!$A$62,'Données projet'!$B$62,AI9+AH10-AQ9)))</f>
        <v>3.6994507637402658</v>
      </c>
      <c r="AJ10" s="13">
        <f>AI10*VLOOKUP('Données projet'!$B$10,Paramètres!$A$1:$I$89,3,0)*VLOOKUP('Données projet'!$B$10,Paramètres!$A$1:$I$89,5,0)</f>
        <v>3.3472630510321921</v>
      </c>
      <c r="AK10" s="13">
        <f t="shared" si="35"/>
        <v>1.34019505338418</v>
      </c>
      <c r="AL10" s="20">
        <f t="shared" si="4"/>
        <v>8.1639895318585136</v>
      </c>
      <c r="AM10" s="59">
        <f t="shared" si="5"/>
        <v>301.49732286519185</v>
      </c>
      <c r="AN10" s="59">
        <f ca="1">AVERAGE(OFFSET($AM$3,0,0,'Données projet'!$E$10+1,1))-AVERAGE(OFFSET($H$3,0,0,'Données projet'!$E$10+1,1))</f>
        <v>237.22177246688199</v>
      </c>
      <c r="AO10" s="59">
        <f t="shared" si="36"/>
        <v>149.27472147904302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</v>
      </c>
      <c r="BD10" s="12">
        <f>IF('Données projet'!$A$88&gt;35,BD9+BC10-BL9,IF(A10&lt;'Données projet'!$A$88,$BA$205^A10,IF(A10='Données projet'!$A$88,'Données projet'!$B$88,BD9+BC10-BL9)))</f>
        <v>8.0880369275836674</v>
      </c>
      <c r="BE10" s="13">
        <f>BD10*VLOOKUP('Données projet'!$B$11,Paramètres!$A$1:$I$89,3,0)*VLOOKUP('Données projet'!$B$11,Paramètres!$A$1:$I$89,5,0)</f>
        <v>4.836646082695033</v>
      </c>
      <c r="BF10" s="13">
        <f t="shared" si="37"/>
        <v>1.8553054344470195</v>
      </c>
      <c r="BG10" s="20">
        <f t="shared" si="7"/>
        <v>11.65514889235574</v>
      </c>
      <c r="BH10" s="59">
        <f t="shared" si="8"/>
        <v>304.98848222568904</v>
      </c>
      <c r="BI10" s="59">
        <f ca="1">AVERAGE(OFFSET($BH$3,0,0,'Données projet'!$E$11+1,1))-AVERAGE(OFFSET($H$3,0,0,'Données projet'!$E$11+1,1))</f>
        <v>168.08890945052406</v>
      </c>
      <c r="BJ10" s="59">
        <f t="shared" si="38"/>
        <v>182.52462557642343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7.1739130434782608</v>
      </c>
      <c r="N11" s="13">
        <f>IF('Données projet'!$A$36&gt;35,N10+M11-V10,IF(A11&lt;'Données projet'!$A$36,$K$205^A11,IF(A11='Données projet'!$A$36,'Données projet'!$B$36,N10+M11-V10)))</f>
        <v>5.9060723553126655</v>
      </c>
      <c r="O11" s="13">
        <f>N11*VLOOKUP('Données projet'!$B$9,Paramètres!$A$1:$I$89,3,0)*VLOOKUP('Données projet'!$B$9,Paramètres!$A$1:$I$89,5,0)</f>
        <v>2.7640418622863274</v>
      </c>
      <c r="P11" s="13">
        <f t="shared" si="33"/>
        <v>1.1316207122207593</v>
      </c>
      <c r="Q11" s="20">
        <f t="shared" si="2"/>
        <v>6.784945650599842</v>
      </c>
      <c r="R11" s="59">
        <f t="shared" si="0"/>
        <v>300.11827898393318</v>
      </c>
      <c r="S11" s="59">
        <f ca="1">AVERAGE(OFFSET($R$3,0,0,'Données projet'!$E$9+1,1))-AVERAGE(OFFSET($H$3,0,0,'Données projet'!$E$9+1,1))</f>
        <v>214.51224556840771</v>
      </c>
      <c r="T11" s="59">
        <f t="shared" si="34"/>
        <v>225.78309962707215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2.1</v>
      </c>
      <c r="AI11" s="13">
        <f>IF('Données projet'!$A$62&gt;35,AI10+AH11-AQ10,IF(A11&lt;'Données projet'!$A$62,$AF$205^A11,IF(A11='Données projet'!$A$62,'Données projet'!$B$62,AI10+AH11-AQ10)))</f>
        <v>4.4596391171162209</v>
      </c>
      <c r="AJ11" s="13">
        <f>AI11*VLOOKUP('Données projet'!$B$10,Paramètres!$A$1:$I$89,3,0)*VLOOKUP('Données projet'!$B$10,Paramètres!$A$1:$I$89,5,0)</f>
        <v>4.0350814731667564</v>
      </c>
      <c r="AK11" s="13">
        <f t="shared" si="35"/>
        <v>1.5808227025391921</v>
      </c>
      <c r="AL11" s="20">
        <f t="shared" si="4"/>
        <v>9.7810331060211926</v>
      </c>
      <c r="AM11" s="59">
        <f t="shared" si="5"/>
        <v>303.11436643935451</v>
      </c>
      <c r="AN11" s="59">
        <f ca="1">AVERAGE(OFFSET($AM$3,0,0,'Données projet'!$E$10+1,1))-AVERAGE(OFFSET($H$3,0,0,'Données projet'!$E$10+1,1))</f>
        <v>237.22177246688199</v>
      </c>
      <c r="AO11" s="59">
        <f t="shared" si="36"/>
        <v>149.27472147904302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</v>
      </c>
      <c r="BD11" s="12">
        <f>IF('Données projet'!$A$88&gt;35,BD10+BC11-BL10,IF(A11&lt;'Données projet'!$A$88,$BA$205^A11,IF(A11='Données projet'!$A$88,'Données projet'!$B$88,BD10+BC11-BL10)))</f>
        <v>10.902723556992838</v>
      </c>
      <c r="BE11" s="13">
        <f>BD11*VLOOKUP('Données projet'!$B$11,Paramètres!$A$1:$I$89,3,0)*VLOOKUP('Données projet'!$B$11,Paramètres!$A$1:$I$89,5,0)</f>
        <v>6.5198286870817181</v>
      </c>
      <c r="BF11" s="13">
        <f t="shared" si="37"/>
        <v>2.4155228910363733</v>
      </c>
      <c r="BG11" s="20">
        <f t="shared" si="7"/>
        <v>15.562403998555673</v>
      </c>
      <c r="BH11" s="59">
        <f t="shared" si="8"/>
        <v>308.89573733188899</v>
      </c>
      <c r="BI11" s="59">
        <f ca="1">AVERAGE(OFFSET($BH$3,0,0,'Données projet'!$E$11+1,1))-AVERAGE(OFFSET($H$3,0,0,'Données projet'!$E$11+1,1))</f>
        <v>168.08890945052406</v>
      </c>
      <c r="BJ11" s="59">
        <f t="shared" si="38"/>
        <v>182.52462557642343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7.1739130434782608</v>
      </c>
      <c r="N12" s="13">
        <f>IF('Données projet'!$A$36&gt;35,N11+M12-V11,IF(A12&lt;'Données projet'!$A$36,$K$205^A12,IF(A12='Données projet'!$A$36,'Données projet'!$B$36,N11+M12-V11)))</f>
        <v>7.3741354165555206</v>
      </c>
      <c r="O12" s="13">
        <f>N12*VLOOKUP('Données projet'!$B$9,Paramètres!$A$1:$I$89,3,0)*VLOOKUP('Données projet'!$B$9,Paramètres!$A$1:$I$89,5,0)</f>
        <v>3.4510953749479834</v>
      </c>
      <c r="P12" s="13">
        <f t="shared" si="33"/>
        <v>1.376863338517442</v>
      </c>
      <c r="Q12" s="20">
        <f t="shared" si="2"/>
        <v>8.4086947592856145</v>
      </c>
      <c r="R12" s="59">
        <f t="shared" si="0"/>
        <v>301.74202809261891</v>
      </c>
      <c r="S12" s="59">
        <f ca="1">AVERAGE(OFFSET($R$3,0,0,'Données projet'!$E$9+1,1))-AVERAGE(OFFSET($H$3,0,0,'Données projet'!$E$9+1,1))</f>
        <v>214.51224556840771</v>
      </c>
      <c r="T12" s="59">
        <f t="shared" si="34"/>
        <v>225.78309962707215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2.1</v>
      </c>
      <c r="AI12" s="13">
        <f>IF('Données projet'!$A$62&gt;35,AI11+AH12-AQ11,IF(A12&lt;'Données projet'!$A$62,$AF$205^A12,IF(A12='Données projet'!$A$62,'Données projet'!$B$62,AI11+AH12-AQ11)))</f>
        <v>5.3760361537574148</v>
      </c>
      <c r="AJ12" s="13">
        <f>AI12*VLOOKUP('Données projet'!$B$10,Paramètres!$A$1:$I$89,3,0)*VLOOKUP('Données projet'!$B$10,Paramètres!$A$1:$I$89,5,0)</f>
        <v>4.8642375119197085</v>
      </c>
      <c r="AK12" s="13">
        <f t="shared" si="35"/>
        <v>1.8646542609995393</v>
      </c>
      <c r="AL12" s="20">
        <f t="shared" si="4"/>
        <v>11.719486504501022</v>
      </c>
      <c r="AM12" s="59">
        <f t="shared" si="5"/>
        <v>305.05281983783436</v>
      </c>
      <c r="AN12" s="59">
        <f ca="1">AVERAGE(OFFSET($AM$3,0,0,'Données projet'!$E$10+1,1))-AVERAGE(OFFSET($H$3,0,0,'Données projet'!$E$10+1,1))</f>
        <v>237.22177246688199</v>
      </c>
      <c r="AO12" s="59">
        <f t="shared" si="36"/>
        <v>149.27472147904302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</v>
      </c>
      <c r="BD12" s="12">
        <f>IF('Données projet'!$A$88&gt;35,BD11+BC12-BL11,IF(A12&lt;'Données projet'!$A$88,$BA$205^A12,IF(A12='Données projet'!$A$88,'Données projet'!$B$88,BD11+BC12-BL11)))</f>
        <v>14.696938456699069</v>
      </c>
      <c r="BE12" s="13">
        <f>BD12*VLOOKUP('Données projet'!$B$11,Paramètres!$A$1:$I$89,3,0)*VLOOKUP('Données projet'!$B$11,Paramètres!$A$1:$I$89,5,0)</f>
        <v>8.7887691971060438</v>
      </c>
      <c r="BF12" s="13">
        <f t="shared" si="37"/>
        <v>3.1449004184369191</v>
      </c>
      <c r="BG12" s="20">
        <f t="shared" si="7"/>
        <v>20.784474580403991</v>
      </c>
      <c r="BH12" s="59">
        <f t="shared" si="8"/>
        <v>314.11780791373729</v>
      </c>
      <c r="BI12" s="59">
        <f ca="1">AVERAGE(OFFSET($BH$3,0,0,'Données projet'!$E$11+1,1))-AVERAGE(OFFSET($H$3,0,0,'Données projet'!$E$11+1,1))</f>
        <v>168.08890945052406</v>
      </c>
      <c r="BJ12" s="59">
        <f t="shared" si="38"/>
        <v>182.52462557642343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7.1739130434782608</v>
      </c>
      <c r="N13" s="13">
        <f>IF('Données projet'!$A$36&gt;35,N12+M13-V12,IF(A13&lt;'Données projet'!$A$36,$K$205^A13,IF(A13='Données projet'!$A$36,'Données projet'!$B$36,N12+M13-V12)))</f>
        <v>9.2071125902790811</v>
      </c>
      <c r="O13" s="13">
        <f>N13*VLOOKUP('Données projet'!$B$9,Paramètres!$A$1:$I$89,3,0)*VLOOKUP('Données projet'!$B$9,Paramètres!$A$1:$I$89,5,0)</f>
        <v>4.3089286922506105</v>
      </c>
      <c r="P13" s="13">
        <f t="shared" si="33"/>
        <v>1.6752544668726144</v>
      </c>
      <c r="Q13" s="20">
        <f t="shared" si="2"/>
        <v>10.422452335472949</v>
      </c>
      <c r="R13" s="59">
        <f t="shared" si="0"/>
        <v>303.75578566880625</v>
      </c>
      <c r="S13" s="59">
        <f ca="1">AVERAGE(OFFSET($R$3,0,0,'Données projet'!$E$9+1,1))-AVERAGE(OFFSET($H$3,0,0,'Données projet'!$E$9+1,1))</f>
        <v>214.51224556840771</v>
      </c>
      <c r="T13" s="59">
        <f t="shared" si="34"/>
        <v>225.78309962707215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2.1</v>
      </c>
      <c r="AI13" s="13">
        <f>IF('Données projet'!$A$62&gt;35,AI12+AH13-AQ12,IF(A13&lt;'Données projet'!$A$62,$AF$205^A13,IF(A13='Données projet'!$A$62,'Données projet'!$B$62,AI12+AH13-AQ12)))</f>
        <v>6.4807406984078657</v>
      </c>
      <c r="AJ13" s="13">
        <f>AI13*VLOOKUP('Données projet'!$B$10,Paramètres!$A$1:$I$89,3,0)*VLOOKUP('Données projet'!$B$10,Paramètres!$A$1:$I$89,5,0)</f>
        <v>5.8637741839194364</v>
      </c>
      <c r="AK13" s="13">
        <f t="shared" si="35"/>
        <v>2.1994468497187687</v>
      </c>
      <c r="AL13" s="20">
        <f t="shared" si="4"/>
        <v>14.043443300253207</v>
      </c>
      <c r="AM13" s="59">
        <f t="shared" si="5"/>
        <v>307.37677663358653</v>
      </c>
      <c r="AN13" s="59">
        <f ca="1">AVERAGE(OFFSET($AM$3,0,0,'Données projet'!$E$10+1,1))-AVERAGE(OFFSET($H$3,0,0,'Données projet'!$E$10+1,1))</f>
        <v>237.22177246688199</v>
      </c>
      <c r="AO13" s="59">
        <f t="shared" si="36"/>
        <v>149.27472147904302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</v>
      </c>
      <c r="BD13" s="12">
        <f>IF('Données projet'!$A$88&gt;35,BD12+BC13-BL12,IF(A13&lt;'Données projet'!$A$88,$BA$205^A13,IF(A13='Données projet'!$A$88,'Données projet'!$B$88,BD12+BC13-BL12)))</f>
        <v>19.81156349336776</v>
      </c>
      <c r="BE13" s="13">
        <f>BD13*VLOOKUP('Données projet'!$B$11,Paramètres!$A$1:$I$89,3,0)*VLOOKUP('Données projet'!$B$11,Paramètres!$A$1:$I$89,5,0)</f>
        <v>11.847314969033921</v>
      </c>
      <c r="BF13" s="13">
        <f t="shared" si="37"/>
        <v>4.094516627677768</v>
      </c>
      <c r="BG13" s="20">
        <f t="shared" si="7"/>
        <v>27.76535669760619</v>
      </c>
      <c r="BH13" s="59">
        <f t="shared" si="8"/>
        <v>321.09869003093951</v>
      </c>
      <c r="BI13" s="59">
        <f ca="1">AVERAGE(OFFSET($BH$3,0,0,'Données projet'!$E$11+1,1))-AVERAGE(OFFSET($H$3,0,0,'Données projet'!$E$11+1,1))</f>
        <v>168.08890945052406</v>
      </c>
      <c r="BJ13" s="59">
        <f t="shared" si="38"/>
        <v>182.52462557642343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7.1739130434782608</v>
      </c>
      <c r="N14" s="13">
        <f>IF('Données projet'!$A$36&gt;35,N13+M14-V13,IF(A14&lt;'Données projet'!$A$36,$K$205^A14,IF(A14='Données projet'!$A$36,'Données projet'!$B$36,N13+M14-V13)))</f>
        <v>11.495710000084632</v>
      </c>
      <c r="O14" s="13">
        <f>N14*VLOOKUP('Données projet'!$B$9,Paramètres!$A$1:$I$89,3,0)*VLOOKUP('Données projet'!$B$9,Paramètres!$A$1:$I$89,5,0)</f>
        <v>5.3799922800396081</v>
      </c>
      <c r="P14" s="13">
        <f t="shared" si="33"/>
        <v>2.0383123366466882</v>
      </c>
      <c r="Q14" s="20">
        <f t="shared" si="2"/>
        <v>12.920213874061965</v>
      </c>
      <c r="R14" s="59">
        <f t="shared" si="0"/>
        <v>306.25354720739529</v>
      </c>
      <c r="S14" s="59">
        <f ca="1">AVERAGE(OFFSET($R$3,0,0,'Données projet'!$E$9+1,1))-AVERAGE(OFFSET($H$3,0,0,'Données projet'!$E$9+1,1))</f>
        <v>214.51224556840771</v>
      </c>
      <c r="T14" s="59">
        <f t="shared" si="34"/>
        <v>225.78309962707215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2.1</v>
      </c>
      <c r="AI14" s="13">
        <f>IF('Données projet'!$A$62&gt;35,AI13+AH14-AQ13,IF(A14&lt;'Données projet'!$A$62,$AF$205^A14,IF(A14='Données projet'!$A$62,'Données projet'!$B$62,AI13+AH14-AQ13)))</f>
        <v>7.8124474610620815</v>
      </c>
      <c r="AJ14" s="13">
        <f>AI14*VLOOKUP('Données projet'!$B$10,Paramètres!$A$1:$I$89,3,0)*VLOOKUP('Données projet'!$B$10,Paramètres!$A$1:$I$89,5,0)</f>
        <v>7.0687024627689707</v>
      </c>
      <c r="AK14" s="13">
        <f t="shared" si="35"/>
        <v>2.5943503554083325</v>
      </c>
      <c r="AL14" s="20">
        <f t="shared" si="4"/>
        <v>16.829816991658799</v>
      </c>
      <c r="AM14" s="59">
        <f t="shared" si="5"/>
        <v>310.1631503249921</v>
      </c>
      <c r="AN14" s="59">
        <f ca="1">AVERAGE(OFFSET($AM$3,0,0,'Données projet'!$E$10+1,1))-AVERAGE(OFFSET($H$3,0,0,'Données projet'!$E$10+1,1))</f>
        <v>237.22177246688199</v>
      </c>
      <c r="AO14" s="59">
        <f t="shared" si="36"/>
        <v>149.27472147904302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</v>
      </c>
      <c r="BD14" s="12">
        <f>IF('Données projet'!$A$88&gt;35,BD13+BC14-BL13,IF(A14&lt;'Données projet'!$A$88,$BA$205^A14,IF(A14='Données projet'!$A$88,'Données projet'!$B$88,BD13+BC14-BL13)))</f>
        <v>26.706109521254486</v>
      </c>
      <c r="BE14" s="13">
        <f>BD14*VLOOKUP('Données projet'!$B$11,Paramètres!$A$1:$I$89,3,0)*VLOOKUP('Données projet'!$B$11,Paramètres!$A$1:$I$89,5,0)</f>
        <v>15.970253493710185</v>
      </c>
      <c r="BF14" s="13">
        <f t="shared" si="37"/>
        <v>5.3308735361046251</v>
      </c>
      <c r="BG14" s="20">
        <f t="shared" si="7"/>
        <v>37.09946291026079</v>
      </c>
      <c r="BH14" s="59">
        <f t="shared" si="8"/>
        <v>330.43279624359411</v>
      </c>
      <c r="BI14" s="59">
        <f ca="1">AVERAGE(OFFSET($BH$3,0,0,'Données projet'!$E$11+1,1))-AVERAGE(OFFSET($H$3,0,0,'Données projet'!$E$11+1,1))</f>
        <v>168.08890945052406</v>
      </c>
      <c r="BJ14" s="59">
        <f t="shared" si="38"/>
        <v>182.52462557642343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7.1739130434782608</v>
      </c>
      <c r="N15" s="13">
        <f>IF('Données projet'!$A$36&gt;35,N14+M15-V14,IF(A15&lt;'Données projet'!$A$36,$K$205^A15,IF(A15='Données projet'!$A$36,'Données projet'!$B$36,N14+M15-V14)))</f>
        <v>14.353180447209034</v>
      </c>
      <c r="O15" s="13">
        <f>N15*VLOOKUP('Données projet'!$B$9,Paramètres!$A$1:$I$89,3,0)*VLOOKUP('Données projet'!$B$9,Paramètres!$A$1:$I$89,5,0)</f>
        <v>6.7172884492938278</v>
      </c>
      <c r="P15" s="13">
        <f t="shared" si="33"/>
        <v>2.4800513974943508</v>
      </c>
      <c r="Q15" s="20">
        <f t="shared" si="2"/>
        <v>16.018700233156078</v>
      </c>
      <c r="R15" s="59">
        <f t="shared" si="0"/>
        <v>309.35203356648941</v>
      </c>
      <c r="S15" s="59">
        <f ca="1">AVERAGE(OFFSET($R$3,0,0,'Données projet'!$E$9+1,1))-AVERAGE(OFFSET($H$3,0,0,'Données projet'!$E$9+1,1))</f>
        <v>214.51224556840771</v>
      </c>
      <c r="T15" s="59">
        <f t="shared" si="34"/>
        <v>225.78309962707215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2.1</v>
      </c>
      <c r="AI15" s="13">
        <f>IF('Données projet'!$A$62&gt;35,AI14+AH15-AQ14,IF(A15&lt;'Données projet'!$A$62,$AF$205^A15,IF(A15='Données projet'!$A$62,'Données projet'!$B$62,AI14+AH15-AQ14)))</f>
        <v>9.4178024044149407</v>
      </c>
      <c r="AJ15" s="13">
        <f>AI15*VLOOKUP('Données projet'!$B$10,Paramètres!$A$1:$I$89,3,0)*VLOOKUP('Données projet'!$B$10,Paramètres!$A$1:$I$89,5,0)</f>
        <v>8.521227615514638</v>
      </c>
      <c r="AK15" s="13">
        <f t="shared" si="35"/>
        <v>3.0601574970852128</v>
      </c>
      <c r="AL15" s="20">
        <f t="shared" si="4"/>
        <v>20.170912404444739</v>
      </c>
      <c r="AM15" s="59">
        <f t="shared" si="5"/>
        <v>313.50424573777804</v>
      </c>
      <c r="AN15" s="59">
        <f ca="1">AVERAGE(OFFSET($AM$3,0,0,'Données projet'!$E$10+1,1))-AVERAGE(OFFSET($H$3,0,0,'Données projet'!$E$10+1,1))</f>
        <v>237.22177246688199</v>
      </c>
      <c r="AO15" s="59">
        <f t="shared" si="36"/>
        <v>149.27472147904302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>
        <f>VLOOKUP(A15,'Données projet'!$A$87:$I$107,2,0)</f>
        <v>36</v>
      </c>
      <c r="BB15" s="12">
        <f>VLOOKUP(A15,'Données projet'!$A$87:$I$107,9,0)</f>
        <v>3</v>
      </c>
      <c r="BC15" s="12">
        <f t="array" ref="BC15">INDEX(BB:BB,MIN(IF(ISNUMBER(BB15:BB211),ROW(BB15:BB211),"")))</f>
        <v>3</v>
      </c>
      <c r="BD15" s="12">
        <f>IF('Données projet'!$A$88&gt;35,BD14+BC15-BL14,IF(A15&lt;'Données projet'!$A$88,$BA$205^A15,IF(A15='Données projet'!$A$88,'Données projet'!$B$88,BD14+BC15-BL14)))</f>
        <v>36</v>
      </c>
      <c r="BE15" s="13">
        <f>BD15*VLOOKUP('Données projet'!$B$11,Paramètres!$A$1:$I$89,3,0)*VLOOKUP('Données projet'!$B$11,Paramètres!$A$1:$I$89,5,0)</f>
        <v>21.528000000000002</v>
      </c>
      <c r="BF15" s="13">
        <f t="shared" si="37"/>
        <v>6.9405537312613621</v>
      </c>
      <c r="BG15" s="20">
        <f t="shared" si="7"/>
        <v>49.582731081946882</v>
      </c>
      <c r="BH15" s="59">
        <f t="shared" si="8"/>
        <v>342.91606441528018</v>
      </c>
      <c r="BI15" s="59">
        <f ca="1">AVERAGE(OFFSET($BH$3,0,0,'Données projet'!$E$11+1,1))-AVERAGE(OFFSET($H$3,0,0,'Données projet'!$E$11+1,1))</f>
        <v>168.08890945052406</v>
      </c>
      <c r="BJ15" s="59">
        <f t="shared" si="38"/>
        <v>182.52462557642343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7.1739130434782608</v>
      </c>
      <c r="N16" s="13">
        <f>IF('Données projet'!$A$36&gt;35,N15+M16-V15,IF(A16&lt;'Données projet'!$A$36,$K$205^A16,IF(A16='Données projet'!$A$36,'Données projet'!$B$36,N15+M16-V15)))</f>
        <v>17.920927802513027</v>
      </c>
      <c r="O16" s="13">
        <f>N16*VLOOKUP('Données projet'!$B$9,Paramètres!$A$1:$I$89,3,0)*VLOOKUP('Données projet'!$B$9,Paramètres!$A$1:$I$89,5,0)</f>
        <v>8.3869942115760967</v>
      </c>
      <c r="P16" s="13">
        <f t="shared" si="33"/>
        <v>3.0175232831747367</v>
      </c>
      <c r="Q16" s="20">
        <f t="shared" si="2"/>
        <v>19.862867970024372</v>
      </c>
      <c r="R16" s="59">
        <f t="shared" si="0"/>
        <v>313.19620130335767</v>
      </c>
      <c r="S16" s="59">
        <f ca="1">AVERAGE(OFFSET($R$3,0,0,'Données projet'!$E$9+1,1))-AVERAGE(OFFSET($H$3,0,0,'Données projet'!$E$9+1,1))</f>
        <v>214.51224556840771</v>
      </c>
      <c r="T16" s="59">
        <f t="shared" si="34"/>
        <v>225.78309962707215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2.1</v>
      </c>
      <c r="AI16" s="13">
        <f>IF('Données projet'!$A$62&gt;35,AI15+AH16-AQ15,IF(A16&lt;'Données projet'!$A$62,$AF$205^A16,IF(A16='Données projet'!$A$62,'Données projet'!$B$62,AI15+AH16-AQ15)))</f>
        <v>11.35303662145153</v>
      </c>
      <c r="AJ16" s="13">
        <f>AI16*VLOOKUP('Données projet'!$B$10,Paramètres!$A$1:$I$89,3,0)*VLOOKUP('Données projet'!$B$10,Paramètres!$A$1:$I$89,5,0)</f>
        <v>10.272227535089344</v>
      </c>
      <c r="AK16" s="13">
        <f t="shared" si="35"/>
        <v>3.6095987912522753</v>
      </c>
      <c r="AL16" s="20">
        <f t="shared" si="4"/>
        <v>24.177514185044988</v>
      </c>
      <c r="AM16" s="59">
        <f t="shared" si="5"/>
        <v>317.51084751837828</v>
      </c>
      <c r="AN16" s="59">
        <f ca="1">AVERAGE(OFFSET($AM$3,0,0,'Données projet'!$E$10+1,1))-AVERAGE(OFFSET($H$3,0,0,'Données projet'!$E$10+1,1))</f>
        <v>237.22177246688199</v>
      </c>
      <c r="AO16" s="59">
        <f t="shared" si="36"/>
        <v>149.27472147904302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11.25</v>
      </c>
      <c r="BD16" s="12">
        <f>IF('Données projet'!$A$88&gt;35,BD15+BC16-BL15,IF(A16&lt;'Données projet'!$A$88,$BA$205^A16,IF(A16='Données projet'!$A$88,'Données projet'!$B$88,BD15+BC16-BL15)))</f>
        <v>47.25</v>
      </c>
      <c r="BE16" s="13">
        <f>BD16*VLOOKUP('Données projet'!$B$11,Paramètres!$A$1:$I$89,3,0)*VLOOKUP('Données projet'!$B$11,Paramètres!$A$1:$I$89,5,0)</f>
        <v>28.255500000000001</v>
      </c>
      <c r="BF16" s="13">
        <f t="shared" si="37"/>
        <v>8.8256494369710552</v>
      </c>
      <c r="BG16" s="20">
        <f t="shared" si="7"/>
        <v>64.583001936057926</v>
      </c>
      <c r="BH16" s="59">
        <f t="shared" si="8"/>
        <v>357.91633526939125</v>
      </c>
      <c r="BI16" s="59">
        <f ca="1">AVERAGE(OFFSET($BH$3,0,0,'Données projet'!$E$11+1,1))-AVERAGE(OFFSET($H$3,0,0,'Données projet'!$E$11+1,1))</f>
        <v>168.08890945052406</v>
      </c>
      <c r="BJ16" s="59">
        <f t="shared" si="38"/>
        <v>182.52462557642343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7.1739130434782608</v>
      </c>
      <c r="N17" s="13">
        <f>IF('Données projet'!$A$36&gt;35,N16+M17-V16,IF(A17&lt;'Données projet'!$A$36,$K$205^A17,IF(A17='Données projet'!$A$36,'Données projet'!$B$36,N16+M17-V16)))</f>
        <v>22.375504473319271</v>
      </c>
      <c r="O17" s="13">
        <f>N17*VLOOKUP('Données projet'!$B$9,Paramètres!$A$1:$I$89,3,0)*VLOOKUP('Données projet'!$B$9,Paramètres!$A$1:$I$89,5,0)</f>
        <v>10.471736093513419</v>
      </c>
      <c r="P17" s="13">
        <f t="shared" si="33"/>
        <v>3.6714750241471097</v>
      </c>
      <c r="Q17" s="20">
        <f t="shared" si="2"/>
        <v>24.632759363258756</v>
      </c>
      <c r="R17" s="59">
        <f t="shared" si="0"/>
        <v>317.96609269659206</v>
      </c>
      <c r="S17" s="59">
        <f ca="1">AVERAGE(OFFSET($R$3,0,0,'Données projet'!$E$9+1,1))-AVERAGE(OFFSET($H$3,0,0,'Données projet'!$E$9+1,1))</f>
        <v>214.51224556840771</v>
      </c>
      <c r="T17" s="59">
        <f t="shared" si="34"/>
        <v>225.78309962707215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2.1</v>
      </c>
      <c r="AI17" s="13">
        <f>IF('Données projet'!$A$62&gt;35,AI16+AH17-AQ16,IF(A17&lt;'Données projet'!$A$62,$AF$205^A17,IF(A17='Données projet'!$A$62,'Données projet'!$B$62,AI16+AH17-AQ16)))</f>
        <v>13.685935953338433</v>
      </c>
      <c r="AJ17" s="13">
        <f>AI17*VLOOKUP('Données projet'!$B$10,Paramètres!$A$1:$I$89,3,0)*VLOOKUP('Données projet'!$B$10,Paramètres!$A$1:$I$89,5,0)</f>
        <v>12.383034850580612</v>
      </c>
      <c r="AK17" s="13">
        <f t="shared" si="35"/>
        <v>4.2576904771143838</v>
      </c>
      <c r="AL17" s="20">
        <f t="shared" si="4"/>
        <v>28.982596612402116</v>
      </c>
      <c r="AM17" s="59">
        <f t="shared" si="5"/>
        <v>322.31592994573543</v>
      </c>
      <c r="AN17" s="59">
        <f ca="1">AVERAGE(OFFSET($AM$3,0,0,'Données projet'!$E$10+1,1))-AVERAGE(OFFSET($H$3,0,0,'Données projet'!$E$10+1,1))</f>
        <v>237.22177246688199</v>
      </c>
      <c r="AO17" s="59">
        <f t="shared" si="36"/>
        <v>149.27472147904302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11.25</v>
      </c>
      <c r="BD17" s="12">
        <f>IF('Données projet'!$A$88&gt;35,BD16+BC17-BL16,IF(A17&lt;'Données projet'!$A$88,$BA$205^A17,IF(A17='Données projet'!$A$88,'Données projet'!$B$88,BD16+BC17-BL16)))</f>
        <v>58.5</v>
      </c>
      <c r="BE17" s="13">
        <f>BD17*VLOOKUP('Données projet'!$B$11,Paramètres!$A$1:$I$89,3,0)*VLOOKUP('Données projet'!$B$11,Paramètres!$A$1:$I$89,5,0)</f>
        <v>34.983000000000004</v>
      </c>
      <c r="BF17" s="13">
        <f t="shared" si="37"/>
        <v>10.658697928430266</v>
      </c>
      <c r="BG17" s="20">
        <f t="shared" si="7"/>
        <v>79.492623892016056</v>
      </c>
      <c r="BH17" s="59">
        <f t="shared" si="8"/>
        <v>372.82595722534938</v>
      </c>
      <c r="BI17" s="59">
        <f ca="1">AVERAGE(OFFSET($BH$3,0,0,'Données projet'!$E$11+1,1))-AVERAGE(OFFSET($H$3,0,0,'Données projet'!$E$11+1,1))</f>
        <v>168.08890945052406</v>
      </c>
      <c r="BJ17" s="59">
        <f t="shared" si="38"/>
        <v>182.52462557642343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7.1739130434782608</v>
      </c>
      <c r="N18" s="13">
        <f>IF('Données projet'!$A$36&gt;35,N17+M18-V17,IF(A18&lt;'Données projet'!$A$36,$K$205^A18,IF(A18='Données projet'!$A$36,'Données projet'!$B$36,N17+M18-V17)))</f>
        <v>27.937348219511456</v>
      </c>
      <c r="O18" s="13">
        <f>N18*VLOOKUP('Données projet'!$B$9,Paramètres!$A$1:$I$89,3,0)*VLOOKUP('Données projet'!$B$9,Paramètres!$A$1:$I$89,5,0)</f>
        <v>13.074678966731362</v>
      </c>
      <c r="P18" s="13">
        <f t="shared" si="33"/>
        <v>4.4671499067122324</v>
      </c>
      <c r="Q18" s="20">
        <f t="shared" si="2"/>
        <v>30.552018621247594</v>
      </c>
      <c r="R18" s="59">
        <f t="shared" si="0"/>
        <v>323.88535195458093</v>
      </c>
      <c r="S18" s="59">
        <f ca="1">AVERAGE(OFFSET($R$3,0,0,'Données projet'!$E$9+1,1))-AVERAGE(OFFSET($H$3,0,0,'Données projet'!$E$9+1,1))</f>
        <v>214.51224556840771</v>
      </c>
      <c r="T18" s="59">
        <f t="shared" si="34"/>
        <v>225.78309962707215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2.1</v>
      </c>
      <c r="AI18" s="13">
        <f>IF('Données projet'!$A$62&gt;35,AI17+AH18-AQ17,IF(A18&lt;'Données projet'!$A$62,$AF$205^A18,IF(A18='Données projet'!$A$62,'Données projet'!$B$62,AI17+AH18-AQ17)))</f>
        <v>16.498215337821566</v>
      </c>
      <c r="AJ18" s="13">
        <f>AI18*VLOOKUP('Données projet'!$B$10,Paramètres!$A$1:$I$89,3,0)*VLOOKUP('Données projet'!$B$10,Paramètres!$A$1:$I$89,5,0)</f>
        <v>14.927585237660953</v>
      </c>
      <c r="AK18" s="13">
        <f t="shared" si="35"/>
        <v>5.0221449106318534</v>
      </c>
      <c r="AL18" s="20">
        <f t="shared" si="4"/>
        <v>34.745780008276633</v>
      </c>
      <c r="AM18" s="59">
        <f t="shared" si="5"/>
        <v>328.07911334160997</v>
      </c>
      <c r="AN18" s="59">
        <f ca="1">AVERAGE(OFFSET($AM$3,0,0,'Données projet'!$E$10+1,1))-AVERAGE(OFFSET($H$3,0,0,'Données projet'!$E$10+1,1))</f>
        <v>237.22177246688199</v>
      </c>
      <c r="AO18" s="59">
        <f t="shared" si="36"/>
        <v>149.27472147904302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11.25</v>
      </c>
      <c r="BD18" s="12">
        <f>IF('Données projet'!$A$88&gt;35,BD17+BC18-BL17,IF(A18&lt;'Données projet'!$A$88,$BA$205^A18,IF(A18='Données projet'!$A$88,'Données projet'!$B$88,BD17+BC18-BL17)))</f>
        <v>69.75</v>
      </c>
      <c r="BE18" s="13">
        <f>BD18*VLOOKUP('Données projet'!$B$11,Paramètres!$A$1:$I$89,3,0)*VLOOKUP('Données projet'!$B$11,Paramètres!$A$1:$I$89,5,0)</f>
        <v>41.710500000000003</v>
      </c>
      <c r="BF18" s="13">
        <f t="shared" si="37"/>
        <v>12.450904347349248</v>
      </c>
      <c r="BG18" s="20">
        <f t="shared" si="7"/>
        <v>94.331112571633255</v>
      </c>
      <c r="BH18" s="59">
        <f t="shared" si="8"/>
        <v>387.66444590496656</v>
      </c>
      <c r="BI18" s="59">
        <f ca="1">AVERAGE(OFFSET($BH$3,0,0,'Données projet'!$E$11+1,1))-AVERAGE(OFFSET($H$3,0,0,'Données projet'!$E$11+1,1))</f>
        <v>168.08890945052406</v>
      </c>
      <c r="BJ18" s="59">
        <f t="shared" si="38"/>
        <v>182.52462557642343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7.1739130434782608</v>
      </c>
      <c r="N19" s="13">
        <f>IF('Données projet'!$A$36&gt;35,N18+M19-V18,IF(A19&lt;'Données projet'!$A$36,$K$205^A19,IF(A19='Données projet'!$A$36,'Données projet'!$B$36,N18+M19-V18)))</f>
        <v>34.881690666188497</v>
      </c>
      <c r="O19" s="13">
        <f>N19*VLOOKUP('Données projet'!$B$9,Paramètres!$A$1:$I$89,3,0)*VLOOKUP('Données projet'!$B$9,Paramètres!$A$1:$I$89,5,0)</f>
        <v>16.324631231776216</v>
      </c>
      <c r="P19" s="13">
        <f t="shared" si="33"/>
        <v>5.4352618927796694</v>
      </c>
      <c r="Q19" s="20">
        <f t="shared" si="2"/>
        <v>37.89848052526817</v>
      </c>
      <c r="R19" s="59">
        <f t="shared" si="0"/>
        <v>331.23181385860147</v>
      </c>
      <c r="S19" s="59">
        <f ca="1">AVERAGE(OFFSET($R$3,0,0,'Données projet'!$E$9+1,1))-AVERAGE(OFFSET($H$3,0,0,'Données projet'!$E$9+1,1))</f>
        <v>214.51224556840771</v>
      </c>
      <c r="T19" s="59">
        <f t="shared" si="34"/>
        <v>225.78309962707215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2.1</v>
      </c>
      <c r="AI19" s="13">
        <f>IF('Données projet'!$A$62&gt;35,AI18+AH19-AQ18,IF(A19&lt;'Données projet'!$A$62,$AF$205^A19,IF(A19='Données projet'!$A$62,'Données projet'!$B$62,AI18+AH19-AQ18)))</f>
        <v>19.888381054913147</v>
      </c>
      <c r="AJ19" s="13">
        <f>AI19*VLOOKUP('Données projet'!$B$10,Paramètres!$A$1:$I$89,3,0)*VLOOKUP('Données projet'!$B$10,Paramètres!$A$1:$I$89,5,0)</f>
        <v>17.995007178485412</v>
      </c>
      <c r="AK19" s="13">
        <f t="shared" si="35"/>
        <v>5.9238546434872337</v>
      </c>
      <c r="AL19" s="20">
        <f t="shared" si="4"/>
        <v>41.658684339935689</v>
      </c>
      <c r="AM19" s="59">
        <f t="shared" si="5"/>
        <v>334.992017673269</v>
      </c>
      <c r="AN19" s="59">
        <f ca="1">AVERAGE(OFFSET($AM$3,0,0,'Données projet'!$E$10+1,1))-AVERAGE(OFFSET($H$3,0,0,'Données projet'!$E$10+1,1))</f>
        <v>237.22177246688199</v>
      </c>
      <c r="AO19" s="59">
        <f t="shared" si="36"/>
        <v>149.27472147904302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>
        <f>VLOOKUP(A19,'Données projet'!$A$87:$I$107,2,0)</f>
        <v>81</v>
      </c>
      <c r="BB19" s="12">
        <f>VLOOKUP(A19,'Données projet'!$A$87:$I$107,9,0)</f>
        <v>11.25</v>
      </c>
      <c r="BC19" s="12">
        <f t="array" ref="BC19">INDEX(BB:BB,MIN(IF(ISNUMBER(BB19:BB215),ROW(BB19:BB215),"")))</f>
        <v>11.25</v>
      </c>
      <c r="BD19" s="12">
        <f>IF('Données projet'!$A$88&gt;35,BD18+BC19-BL18,IF(A19&lt;'Données projet'!$A$88,$BA$205^A19,IF(A19='Données projet'!$A$88,'Données projet'!$B$88,BD18+BC19-BL18)))</f>
        <v>81</v>
      </c>
      <c r="BE19" s="13">
        <f>BD19*VLOOKUP('Données projet'!$B$11,Paramètres!$A$1:$I$89,3,0)*VLOOKUP('Données projet'!$B$11,Paramètres!$A$1:$I$89,5,0)</f>
        <v>48.438000000000009</v>
      </c>
      <c r="BF19" s="13">
        <f t="shared" si="37"/>
        <v>14.209624244846971</v>
      </c>
      <c r="BG19" s="20">
        <f t="shared" si="7"/>
        <v>109.11127889310849</v>
      </c>
      <c r="BH19" s="59">
        <f t="shared" si="8"/>
        <v>402.44461222644179</v>
      </c>
      <c r="BI19" s="59">
        <f ca="1">AVERAGE(OFFSET($BH$3,0,0,'Données projet'!$E$11+1,1))-AVERAGE(OFFSET($H$3,0,0,'Données projet'!$E$11+1,1))</f>
        <v>168.08890945052406</v>
      </c>
      <c r="BJ19" s="59">
        <f t="shared" si="38"/>
        <v>182.52462557642343</v>
      </c>
      <c r="BK19" s="15">
        <f>IF(ISNA(VLOOKUP(A19,'Données projet'!$A$87:$I$107,3,0)),0,VLOOKUP(A19,'Données projet'!$A$87:$I$107,3,0))</f>
        <v>1</v>
      </c>
      <c r="BL19" s="15">
        <f>IF(ISNA(VLOOKUP(A19,'Données projet'!$A$87:$I$107,4,0)),0,VLOOKUP(A19,'Données projet'!$A$87:$I$107,4,0))</f>
        <v>15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0.22500000000000001</v>
      </c>
      <c r="BO19" s="16">
        <f>IF(ISNA(VLOOKUP(A19,'Données projet'!$A$87:$I$107,7,0)),0%,VLOOKUP(A19,'Données projet'!$A$87:$I$107,7,0))</f>
        <v>0.5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2.6667970095349296</v>
      </c>
      <c r="BR19" s="21">
        <f>EXP(-LN(2)/2)*BR18+(1-EXP(-LN(2)/2))/(LN(2)/2)*BL19*BO19*VLOOKUP('Données projet'!$B$11,Paramètres!$A$1:$I$89,3,0)*0.475*44/12</f>
        <v>5.0780618544061999</v>
      </c>
      <c r="BS19" s="22">
        <f t="shared" si="9"/>
        <v>7.7448588639411291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7.1739130434782608</v>
      </c>
      <c r="N20" s="13">
        <f>IF('Données projet'!$A$36&gt;35,N19+M20-V19,IF(A20&lt;'Données projet'!$A$36,$K$205^A20,IF(A20='Données projet'!$A$36,'Données projet'!$B$36,N19+M20-V19)))</f>
        <v>43.552177328050611</v>
      </c>
      <c r="O20" s="13">
        <f>N20*VLOOKUP('Données projet'!$B$9,Paramètres!$A$1:$I$89,3,0)*VLOOKUP('Données projet'!$B$9,Paramètres!$A$1:$I$89,5,0)</f>
        <v>20.382418989527686</v>
      </c>
      <c r="P20" s="13">
        <f t="shared" si="33"/>
        <v>6.6131812139802273</v>
      </c>
      <c r="Q20" s="20">
        <f t="shared" si="2"/>
        <v>47.017337021109604</v>
      </c>
      <c r="R20" s="59">
        <f t="shared" si="0"/>
        <v>340.35067035444291</v>
      </c>
      <c r="S20" s="59">
        <f ca="1">AVERAGE(OFFSET($R$3,0,0,'Données projet'!$E$9+1,1))-AVERAGE(OFFSET($H$3,0,0,'Données projet'!$E$9+1,1))</f>
        <v>214.51224556840771</v>
      </c>
      <c r="T20" s="59">
        <f t="shared" si="34"/>
        <v>225.78309962707215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2.1</v>
      </c>
      <c r="AI20" s="13">
        <f>IF('Données projet'!$A$62&gt;35,AI19+AH20-AQ19,IF(A20&lt;'Données projet'!$A$62,$AF$205^A20,IF(A20='Données projet'!$A$62,'Données projet'!$B$62,AI19+AH20-AQ19)))</f>
        <v>23.975181126327602</v>
      </c>
      <c r="AJ20" s="13">
        <f>AI20*VLOOKUP('Données projet'!$B$10,Paramètres!$A$1:$I$89,3,0)*VLOOKUP('Données projet'!$B$10,Paramètres!$A$1:$I$89,5,0)</f>
        <v>21.692743883101215</v>
      </c>
      <c r="AK20" s="13">
        <f t="shared" si="35"/>
        <v>6.98746341685115</v>
      </c>
      <c r="AL20" s="20">
        <f t="shared" si="4"/>
        <v>49.951361047417038</v>
      </c>
      <c r="AM20" s="59">
        <f t="shared" si="5"/>
        <v>343.28469438075035</v>
      </c>
      <c r="AN20" s="59">
        <f ca="1">AVERAGE(OFFSET($AM$3,0,0,'Données projet'!$E$10+1,1))-AVERAGE(OFFSET($H$3,0,0,'Données projet'!$E$10+1,1))</f>
        <v>237.22177246688199</v>
      </c>
      <c r="AO20" s="59">
        <f t="shared" si="36"/>
        <v>149.27472147904302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13.25</v>
      </c>
      <c r="BD20" s="12">
        <f>IF('Données projet'!$A$88&gt;35,BD19+BC20-BL19,IF(A20&lt;'Données projet'!$A$88,$BA$205^A20,IF(A20='Données projet'!$A$88,'Données projet'!$B$88,BD19+BC20-BL19)))</f>
        <v>79.25</v>
      </c>
      <c r="BE20" s="13">
        <f>BD20*VLOOKUP('Données projet'!$B$11,Paramètres!$A$1:$I$89,3,0)*VLOOKUP('Données projet'!$B$11,Paramètres!$A$1:$I$89,5,0)</f>
        <v>47.391500000000001</v>
      </c>
      <c r="BF20" s="13">
        <f t="shared" si="37"/>
        <v>13.938016900926096</v>
      </c>
      <c r="BG20" s="20">
        <f t="shared" si="7"/>
        <v>106.81557526911295</v>
      </c>
      <c r="BH20" s="59">
        <f t="shared" si="8"/>
        <v>400.14890860244628</v>
      </c>
      <c r="BI20" s="59">
        <f ca="1">AVERAGE(OFFSET($BH$3,0,0,'Données projet'!$E$11+1,1))-AVERAGE(OFFSET($H$3,0,0,'Données projet'!$E$11+1,1))</f>
        <v>168.08890945052406</v>
      </c>
      <c r="BJ20" s="59">
        <f t="shared" si="38"/>
        <v>182.52462557642343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2.5938733050684371</v>
      </c>
      <c r="BR20" s="21">
        <f>EXP(-LN(2)/2)*BR19+(1-EXP(-LN(2)/2))/(LN(2)/2)*BL20*BO20*VLOOKUP('Données projet'!$B$11,Paramètres!$A$1:$I$89,3,0)*0.475*44/12</f>
        <v>3.5907319725353588</v>
      </c>
      <c r="BS20" s="22">
        <f t="shared" si="9"/>
        <v>6.1846052776037954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7.1739130434782608</v>
      </c>
      <c r="N21" s="13">
        <f>IF('Données projet'!$A$36&gt;35,N20+M21-V20,IF(A21&lt;'Données projet'!$A$36,$K$205^A21,IF(A21='Données projet'!$A$36,'Données projet'!$B$36,N20+M21-V20)))</f>
        <v>54.377873141698466</v>
      </c>
      <c r="O21" s="13">
        <f>N21*VLOOKUP('Données projet'!$B$9,Paramètres!$A$1:$I$89,3,0)*VLOOKUP('Données projet'!$B$9,Paramètres!$A$1:$I$89,5,0)</f>
        <v>25.448844630314881</v>
      </c>
      <c r="P21" s="13">
        <f t="shared" si="33"/>
        <v>8.0463769054143359</v>
      </c>
      <c r="Q21" s="20">
        <f t="shared" si="2"/>
        <v>58.337510841395044</v>
      </c>
      <c r="R21" s="59">
        <f t="shared" si="0"/>
        <v>351.67084417472836</v>
      </c>
      <c r="S21" s="59">
        <f ca="1">AVERAGE(OFFSET($R$3,0,0,'Données projet'!$E$9+1,1))-AVERAGE(OFFSET($H$3,0,0,'Données projet'!$E$9+1,1))</f>
        <v>214.51224556840771</v>
      </c>
      <c r="T21" s="59">
        <f t="shared" si="34"/>
        <v>225.78309962707215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2.1</v>
      </c>
      <c r="AI21" s="13">
        <f>IF('Données projet'!$A$62&gt;35,AI20+AH21-AQ20,IF(A21&lt;'Données projet'!$A$62,$AF$205^A21,IF(A21='Données projet'!$A$62,'Données projet'!$B$62,AI20+AH21-AQ20)))</f>
        <v>28.901764726506816</v>
      </c>
      <c r="AJ21" s="13">
        <f>AI21*VLOOKUP('Données projet'!$B$10,Paramètres!$A$1:$I$89,3,0)*VLOOKUP('Données projet'!$B$10,Paramètres!$A$1:$I$89,5,0)</f>
        <v>26.150316724543362</v>
      </c>
      <c r="AK21" s="13">
        <f t="shared" si="35"/>
        <v>8.2420396752158016</v>
      </c>
      <c r="AL21" s="20">
        <f t="shared" si="4"/>
        <v>59.900020729580547</v>
      </c>
      <c r="AM21" s="59">
        <f t="shared" si="5"/>
        <v>353.23335406291386</v>
      </c>
      <c r="AN21" s="59">
        <f ca="1">AVERAGE(OFFSET($AM$3,0,0,'Données projet'!$E$10+1,1))-AVERAGE(OFFSET($H$3,0,0,'Données projet'!$E$10+1,1))</f>
        <v>237.22177246688199</v>
      </c>
      <c r="AO21" s="59">
        <f t="shared" si="36"/>
        <v>149.27472147904302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13.25</v>
      </c>
      <c r="BD21" s="12">
        <f>IF('Données projet'!$A$88&gt;35,BD20+BC21-BL20,IF(A21&lt;'Données projet'!$A$88,$BA$205^A21,IF(A21='Données projet'!$A$88,'Données projet'!$B$88,BD20+BC21-BL20)))</f>
        <v>92.5</v>
      </c>
      <c r="BE21" s="13">
        <f>BD21*VLOOKUP('Données projet'!$B$11,Paramètres!$A$1:$I$89,3,0)*VLOOKUP('Données projet'!$B$11,Paramètres!$A$1:$I$89,5,0)</f>
        <v>55.315000000000005</v>
      </c>
      <c r="BF21" s="13">
        <f t="shared" si="37"/>
        <v>15.978207841877614</v>
      </c>
      <c r="BG21" s="20">
        <f t="shared" si="7"/>
        <v>124.16900365793684</v>
      </c>
      <c r="BH21" s="59">
        <f t="shared" si="8"/>
        <v>417.50233699127017</v>
      </c>
      <c r="BI21" s="59">
        <f ca="1">AVERAGE(OFFSET($BH$3,0,0,'Données projet'!$E$11+1,1))-AVERAGE(OFFSET($H$3,0,0,'Données projet'!$E$11+1,1))</f>
        <v>168.08890945052406</v>
      </c>
      <c r="BJ21" s="59">
        <f t="shared" si="38"/>
        <v>182.52462557642343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2.5229437031354718</v>
      </c>
      <c r="BR21" s="21">
        <f>EXP(-LN(2)/2)*BR20+(1-EXP(-LN(2)/2))/(LN(2)/2)*BL21*BO21*VLOOKUP('Données projet'!$B$11,Paramètres!$A$1:$I$89,3,0)*0.475*44/12</f>
        <v>2.5390309272031004</v>
      </c>
      <c r="BS21" s="22">
        <f t="shared" si="9"/>
        <v>5.0619746303385718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7.1739130434782608</v>
      </c>
      <c r="N22" s="13">
        <f>IF('Données projet'!$A$36&gt;35,N21+M22-V21,IF(A22&lt;'Données projet'!$A$36,$K$205^A22,IF(A22='Données projet'!$A$36,'Données projet'!$B$36,N21+M22-V21)))</f>
        <v>67.894495036191216</v>
      </c>
      <c r="O22" s="13">
        <f>N22*VLOOKUP('Données projet'!$B$9,Paramètres!$A$1:$I$89,3,0)*VLOOKUP('Données projet'!$B$9,Paramètres!$A$1:$I$89,5,0)</f>
        <v>31.774623676937491</v>
      </c>
      <c r="P22" s="13">
        <f t="shared" si="33"/>
        <v>9.7901719624915806</v>
      </c>
      <c r="Q22" s="20">
        <f t="shared" si="2"/>
        <v>72.392019072005624</v>
      </c>
      <c r="R22" s="59">
        <f t="shared" si="0"/>
        <v>365.72535240533892</v>
      </c>
      <c r="S22" s="59">
        <f ca="1">AVERAGE(OFFSET($R$3,0,0,'Données projet'!$E$9+1,1))-AVERAGE(OFFSET($H$3,0,0,'Données projet'!$E$9+1,1))</f>
        <v>214.51224556840771</v>
      </c>
      <c r="T22" s="59">
        <f t="shared" si="34"/>
        <v>225.78309962707215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2.1</v>
      </c>
      <c r="AI22" s="13">
        <f>IF('Données projet'!$A$62&gt;35,AI21+AH22-AQ21,IF(A22&lt;'Données projet'!$A$62,$AF$205^A22,IF(A22='Données projet'!$A$62,'Données projet'!$B$62,AI21+AH22-AQ21)))</f>
        <v>34.840696297767764</v>
      </c>
      <c r="AJ22" s="13">
        <f>AI22*VLOOKUP('Données projet'!$B$10,Paramètres!$A$1:$I$89,3,0)*VLOOKUP('Données projet'!$B$10,Paramètres!$A$1:$I$89,5,0)</f>
        <v>31.52386201022027</v>
      </c>
      <c r="AK22" s="13">
        <f t="shared" si="35"/>
        <v>9.7218710074397983</v>
      </c>
      <c r="AL22" s="20">
        <f t="shared" si="4"/>
        <v>71.836318339091292</v>
      </c>
      <c r="AM22" s="59">
        <f t="shared" si="5"/>
        <v>365.16965167242461</v>
      </c>
      <c r="AN22" s="59">
        <f ca="1">AVERAGE(OFFSET($AM$3,0,0,'Données projet'!$E$10+1,1))-AVERAGE(OFFSET($H$3,0,0,'Données projet'!$E$10+1,1))</f>
        <v>237.22177246688199</v>
      </c>
      <c r="AO22" s="59">
        <f t="shared" si="36"/>
        <v>149.27472147904302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13.25</v>
      </c>
      <c r="BD22" s="12">
        <f>IF('Données projet'!$A$88&gt;35,BD21+BC22-BL21,IF(A22&lt;'Données projet'!$A$88,$BA$205^A22,IF(A22='Données projet'!$A$88,'Données projet'!$B$88,BD21+BC22-BL21)))</f>
        <v>105.75</v>
      </c>
      <c r="BE22" s="13">
        <f>BD22*VLOOKUP('Données projet'!$B$11,Paramètres!$A$1:$I$89,3,0)*VLOOKUP('Données projet'!$B$11,Paramètres!$A$1:$I$89,5,0)</f>
        <v>63.238500000000009</v>
      </c>
      <c r="BF22" s="13">
        <f t="shared" si="37"/>
        <v>17.984541540394584</v>
      </c>
      <c r="BG22" s="20">
        <f t="shared" si="7"/>
        <v>141.46346401618726</v>
      </c>
      <c r="BH22" s="59">
        <f t="shared" si="8"/>
        <v>434.7967973495206</v>
      </c>
      <c r="BI22" s="59">
        <f ca="1">AVERAGE(OFFSET($BH$3,0,0,'Données projet'!$E$11+1,1))-AVERAGE(OFFSET($H$3,0,0,'Données projet'!$E$11+1,1))</f>
        <v>168.08890945052406</v>
      </c>
      <c r="BJ22" s="59">
        <f t="shared" si="38"/>
        <v>182.52462557642343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2.4539536748973894</v>
      </c>
      <c r="BR22" s="21">
        <f>EXP(-LN(2)/2)*BR21+(1-EXP(-LN(2)/2))/(LN(2)/2)*BL22*BO22*VLOOKUP('Données projet'!$B$11,Paramètres!$A$1:$I$89,3,0)*0.475*44/12</f>
        <v>1.7953659862676796</v>
      </c>
      <c r="BS22" s="22">
        <f t="shared" si="9"/>
        <v>4.2493196611650692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7.1739130434782608</v>
      </c>
      <c r="N23" s="13">
        <f>IF('Données projet'!$A$36&gt;35,N22+M23-V22,IF(A23&lt;'Données projet'!$A$36,$K$205^A23,IF(A23='Données projet'!$A$36,'Données projet'!$B$36,N22+M23-V22)))</f>
        <v>84.770922250075557</v>
      </c>
      <c r="O23" s="13">
        <f>N23*VLOOKUP('Données projet'!$B$9,Paramètres!$A$1:$I$89,3,0)*VLOOKUP('Données projet'!$B$9,Paramètres!$A$1:$I$89,5,0)</f>
        <v>39.672791613035358</v>
      </c>
      <c r="P23" s="13">
        <f t="shared" si="33"/>
        <v>11.911878871925735</v>
      </c>
      <c r="Q23" s="20">
        <f t="shared" si="2"/>
        <v>89.843301094640552</v>
      </c>
      <c r="R23" s="59">
        <f t="shared" si="0"/>
        <v>383.17663442797385</v>
      </c>
      <c r="S23" s="59">
        <f ca="1">AVERAGE(OFFSET($R$3,0,0,'Données projet'!$E$9+1,1))-AVERAGE(OFFSET($H$3,0,0,'Données projet'!$E$9+1,1))</f>
        <v>214.51224556840771</v>
      </c>
      <c r="T23" s="59">
        <f t="shared" si="34"/>
        <v>225.78309962707215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42</v>
      </c>
      <c r="AG23" s="12">
        <f>VLOOKUP(A23,'Données projet'!$A$61:$I$81,9,0)</f>
        <v>2.1</v>
      </c>
      <c r="AH23" s="12">
        <f t="array" ref="AH23">INDEX(AG:AG,MIN(IF(ISNUMBER(AG23:AG219),ROW(AG23:AG219),"")))</f>
        <v>2.1</v>
      </c>
      <c r="AI23" s="13">
        <f>IF('Données projet'!$A$62&gt;35,AI22+AH23-AQ22,IF(A23&lt;'Données projet'!$A$62,$AF$205^A23,IF(A23='Données projet'!$A$62,'Données projet'!$B$62,AI22+AH23-AQ22)))</f>
        <v>42</v>
      </c>
      <c r="AJ23" s="13">
        <f>AI23*VLOOKUP('Données projet'!$B$10,Paramètres!$A$1:$I$89,3,0)*VLOOKUP('Données projet'!$B$10,Paramètres!$A$1:$I$89,5,0)</f>
        <v>38.001600000000003</v>
      </c>
      <c r="AK23" s="13">
        <f t="shared" si="35"/>
        <v>11.467401227090512</v>
      </c>
      <c r="AL23" s="20">
        <f t="shared" si="4"/>
        <v>86.158510470515978</v>
      </c>
      <c r="AM23" s="59">
        <f t="shared" si="5"/>
        <v>379.49184380384929</v>
      </c>
      <c r="AN23" s="59">
        <f ca="1">AVERAGE(OFFSET($AM$3,0,0,'Données projet'!$E$10+1,1))-AVERAGE(OFFSET($H$3,0,0,'Données projet'!$E$10+1,1))</f>
        <v>237.22177246688199</v>
      </c>
      <c r="AO23" s="59">
        <f t="shared" si="36"/>
        <v>149.27472147904302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119</v>
      </c>
      <c r="BB23" s="12">
        <f>VLOOKUP(A23,'Données projet'!$A$87:$I$107,9,0)</f>
        <v>13.25</v>
      </c>
      <c r="BC23" s="12">
        <f t="array" ref="BC23">INDEX(BB:BB,MIN(IF(ISNUMBER(BB23:BB219),ROW(BB23:BB219),"")))</f>
        <v>13.25</v>
      </c>
      <c r="BD23" s="12">
        <f>IF('Données projet'!$A$88&gt;35,BD22+BC23-BL22,IF(A23&lt;'Données projet'!$A$88,$BA$205^A23,IF(A23='Données projet'!$A$88,'Données projet'!$B$88,BD22+BC23-BL22)))</f>
        <v>119</v>
      </c>
      <c r="BE23" s="13">
        <f>BD23*VLOOKUP('Données projet'!$B$11,Paramètres!$A$1:$I$89,3,0)*VLOOKUP('Données projet'!$B$11,Paramètres!$A$1:$I$89,5,0)</f>
        <v>71.162000000000006</v>
      </c>
      <c r="BF23" s="13">
        <f t="shared" si="37"/>
        <v>19.961746043676346</v>
      </c>
      <c r="BG23" s="20">
        <f t="shared" si="7"/>
        <v>158.70719102606964</v>
      </c>
      <c r="BH23" s="59">
        <f t="shared" si="8"/>
        <v>452.04052435940298</v>
      </c>
      <c r="BI23" s="59">
        <f ca="1">AVERAGE(OFFSET($BH$3,0,0,'Données projet'!$E$11+1,1))-AVERAGE(OFFSET($H$3,0,0,'Données projet'!$E$11+1,1))</f>
        <v>168.08890945052406</v>
      </c>
      <c r="BJ23" s="59">
        <f t="shared" si="38"/>
        <v>182.52462557642343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22</v>
      </c>
      <c r="BM23" s="16">
        <f>IF(ISNA(VLOOKUP(A23,'Données projet'!$A$87:$I$107,5,0)),0%,VLOOKUP(A23,'Données projet'!$A$87:$I$107,5,0)*VLOOKUP('Données projet'!$B$11,Paramètres!$A$1:$I$89,7,0))</f>
        <v>4.5000000000000005E-2</v>
      </c>
      <c r="BN23" s="16">
        <f>IF(ISNA(VLOOKUP(A23,'Données projet'!$A$87:$I$107,6,0)),0%,VLOOKUP(A23,'Données projet'!$A$87:$I$107,6,0)*VLOOKUP('Données projet'!$B$11,Paramètres!$A$1:$I$89,7,0))</f>
        <v>0.20250000000000001</v>
      </c>
      <c r="BO23" s="16">
        <f>IF(ISNA(VLOOKUP(A23,'Données projet'!$A$87:$I$107,7,0)),0%,VLOOKUP(A23,'Données projet'!$A$87:$I$107,7,0))</f>
        <v>0.45</v>
      </c>
      <c r="BP23" s="21">
        <f>EXP(-LN(2)/35)*BP22+(1-EXP(-LN(2)/35))/(LN(2)/35)*BL23*BM23*VLOOKUP('Données projet'!$B$11,Paramètres!$A$1:$I$89,3,0)*0.475*44/12</f>
        <v>0.78535268890931675</v>
      </c>
      <c r="BQ23" s="21">
        <f>EXP(-LN(2)/25)*BQ22+(1-EXP(-LN(2)/25))/(LN(2)/25)*Calculateur!BL23*Calculateur!BN23*VLOOKUP('Données projet'!$B$11,Paramètres!$A$1:$I$89,3,0)*0.475*44/12</f>
        <v>5.9070222351956119</v>
      </c>
      <c r="BR23" s="21">
        <f>EXP(-LN(2)/2)*BR22+(1-EXP(-LN(2)/2))/(LN(2)/2)*BL23*BO23*VLOOKUP('Données projet'!$B$11,Paramètres!$A$1:$I$89,3,0)*0.475*44/12</f>
        <v>7.9725571114177329</v>
      </c>
      <c r="BS23" s="22">
        <f t="shared" si="9"/>
        <v>14.664932035522661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7.1739130434782608</v>
      </c>
      <c r="N24" s="13">
        <f>IF('Données projet'!$A$36&gt;35,N23+M24-V23,IF(A24&lt;'Données projet'!$A$36,$K$205^A24,IF(A24='Données projet'!$A$36,'Données projet'!$B$36,N23+M24-V23)))</f>
        <v>105.84229627597635</v>
      </c>
      <c r="O24" s="13">
        <f>N24*VLOOKUP('Données projet'!$B$9,Paramètres!$A$1:$I$89,3,0)*VLOOKUP('Données projet'!$B$9,Paramètres!$A$1:$I$89,5,0)</f>
        <v>49.534194657156931</v>
      </c>
      <c r="P24" s="13">
        <f t="shared" si="33"/>
        <v>14.493397950828152</v>
      </c>
      <c r="Q24" s="20">
        <f t="shared" si="2"/>
        <v>111.51472379224067</v>
      </c>
      <c r="R24" s="59">
        <f t="shared" si="0"/>
        <v>404.84805712557397</v>
      </c>
      <c r="S24" s="59">
        <f ca="1">AVERAGE(OFFSET($R$3,0,0,'Données projet'!$E$9+1,1))-AVERAGE(OFFSET($H$3,0,0,'Données projet'!$E$9+1,1))</f>
        <v>214.51224556840771</v>
      </c>
      <c r="T24" s="59">
        <f t="shared" si="34"/>
        <v>225.78309962707215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6.3</v>
      </c>
      <c r="AI24" s="13">
        <f>IF('Données projet'!$A$62&gt;35,AI23+AH24-AQ23,IF(A24&lt;'Données projet'!$A$62,$AF$205^A24,IF(A24='Données projet'!$A$62,'Données projet'!$B$62,AI23+AH24-AQ23)))</f>
        <v>48.3</v>
      </c>
      <c r="AJ24" s="13">
        <f>AI24*VLOOKUP('Données projet'!$B$10,Paramètres!$A$1:$I$89,3,0)*VLOOKUP('Données projet'!$B$10,Paramètres!$A$1:$I$89,5,0)</f>
        <v>43.701839999999997</v>
      </c>
      <c r="AK24" s="13">
        <f t="shared" si="35"/>
        <v>12.974708810432297</v>
      </c>
      <c r="AL24" s="20">
        <f t="shared" si="4"/>
        <v>98.711655844836244</v>
      </c>
      <c r="AM24" s="59">
        <f t="shared" si="5"/>
        <v>392.04498917816954</v>
      </c>
      <c r="AN24" s="59">
        <f ca="1">AVERAGE(OFFSET($AM$3,0,0,'Données projet'!$E$10+1,1))-AVERAGE(OFFSET($H$3,0,0,'Données projet'!$E$10+1,1))</f>
        <v>237.22177246688199</v>
      </c>
      <c r="AO24" s="59">
        <f t="shared" si="36"/>
        <v>149.27472147904302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15</v>
      </c>
      <c r="BD24" s="12">
        <f>IF('Données projet'!$A$88&gt;35,BD23+BC24-BL23,IF(A24&lt;'Données projet'!$A$88,$BA$205^A24,IF(A24='Données projet'!$A$88,'Données projet'!$B$88,BD23+BC24-BL23)))</f>
        <v>112</v>
      </c>
      <c r="BE24" s="13">
        <f>BD24*VLOOKUP('Données projet'!$B$11,Paramètres!$A$1:$I$89,3,0)*VLOOKUP('Données projet'!$B$11,Paramètres!$A$1:$I$89,5,0)</f>
        <v>66.976000000000013</v>
      </c>
      <c r="BF24" s="13">
        <f t="shared" si="37"/>
        <v>18.920572617446965</v>
      </c>
      <c r="BG24" s="20">
        <f t="shared" si="7"/>
        <v>149.60319730872013</v>
      </c>
      <c r="BH24" s="59">
        <f t="shared" si="8"/>
        <v>442.93653064205341</v>
      </c>
      <c r="BI24" s="59">
        <f ca="1">AVERAGE(OFFSET($BH$3,0,0,'Données projet'!$E$11+1,1))-AVERAGE(OFFSET($H$3,0,0,'Données projet'!$E$11+1,1))</f>
        <v>168.08890945052406</v>
      </c>
      <c r="BJ24" s="59">
        <f t="shared" si="38"/>
        <v>182.52462557642343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0.76995240169764623</v>
      </c>
      <c r="BQ24" s="21">
        <f>EXP(-LN(2)/25)*BQ23+(1-EXP(-LN(2)/25))/(LN(2)/25)*Calculateur!BL24*Calculateur!BN24*VLOOKUP('Données projet'!$B$11,Paramètres!$A$1:$I$89,3,0)*0.475*44/12</f>
        <v>5.745494401537389</v>
      </c>
      <c r="BR24" s="21">
        <f>EXP(-LN(2)/2)*BR23+(1-EXP(-LN(2)/2))/(LN(2)/2)*BL24*BO24*VLOOKUP('Données projet'!$B$11,Paramètres!$A$1:$I$89,3,0)*0.475*44/12</f>
        <v>5.6374491968805129</v>
      </c>
      <c r="BS24" s="22">
        <f t="shared" si="9"/>
        <v>12.152896000115547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7.1739130434782608</v>
      </c>
      <c r="N25" s="13">
        <f>IF('Données projet'!$A$36&gt;35,N24+M25-V24,IF(A25&lt;'Données projet'!$A$36,$K$205^A25,IF(A25='Données projet'!$A$36,'Données projet'!$B$36,N24+M25-V24)))</f>
        <v>132.15134840604583</v>
      </c>
      <c r="O25" s="13">
        <f>N25*VLOOKUP('Données projet'!$B$9,Paramètres!$A$1:$I$89,3,0)*VLOOKUP('Données projet'!$B$9,Paramètres!$A$1:$I$89,5,0)</f>
        <v>61.846831054029444</v>
      </c>
      <c r="P25" s="13">
        <f t="shared" si="33"/>
        <v>17.634378792764753</v>
      </c>
      <c r="Q25" s="20">
        <f t="shared" si="2"/>
        <v>138.42977381649987</v>
      </c>
      <c r="R25" s="59">
        <f t="shared" si="0"/>
        <v>431.76310714983322</v>
      </c>
      <c r="S25" s="59">
        <f ca="1">AVERAGE(OFFSET($R$3,0,0,'Données projet'!$E$9+1,1))-AVERAGE(OFFSET($H$3,0,0,'Données projet'!$E$9+1,1))</f>
        <v>214.51224556840771</v>
      </c>
      <c r="T25" s="59">
        <f t="shared" si="34"/>
        <v>225.78309962707215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6.3</v>
      </c>
      <c r="AI25" s="13">
        <f>IF('Données projet'!$A$62&gt;35,AI24+AH25-AQ24,IF(A25&lt;'Données projet'!$A$62,$AF$205^A25,IF(A25='Données projet'!$A$62,'Données projet'!$B$62,AI24+AH25-AQ24)))</f>
        <v>54.599999999999994</v>
      </c>
      <c r="AJ25" s="13">
        <f>AI25*VLOOKUP('Données projet'!$B$10,Paramètres!$A$1:$I$89,3,0)*VLOOKUP('Données projet'!$B$10,Paramètres!$A$1:$I$89,5,0)</f>
        <v>49.402079999999998</v>
      </c>
      <c r="AK25" s="13">
        <f t="shared" si="35"/>
        <v>14.459236264867963</v>
      </c>
      <c r="AL25" s="20">
        <f t="shared" si="4"/>
        <v>111.22512582797835</v>
      </c>
      <c r="AM25" s="59">
        <f t="shared" si="5"/>
        <v>404.55845916131165</v>
      </c>
      <c r="AN25" s="59">
        <f ca="1">AVERAGE(OFFSET($AM$3,0,0,'Données projet'!$E$10+1,1))-AVERAGE(OFFSET($H$3,0,0,'Données projet'!$E$10+1,1))</f>
        <v>237.22177246688199</v>
      </c>
      <c r="AO25" s="59">
        <f t="shared" si="36"/>
        <v>149.27472147904302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15</v>
      </c>
      <c r="BD25" s="12">
        <f>IF('Données projet'!$A$88&gt;35,BD24+BC25-BL24,IF(A25&lt;'Données projet'!$A$88,$BA$205^A25,IF(A25='Données projet'!$A$88,'Données projet'!$B$88,BD24+BC25-BL24)))</f>
        <v>127</v>
      </c>
      <c r="BE25" s="13">
        <f>BD25*VLOOKUP('Données projet'!$B$11,Paramètres!$A$1:$I$89,3,0)*VLOOKUP('Données projet'!$B$11,Paramètres!$A$1:$I$89,5,0)</f>
        <v>75.945999999999998</v>
      </c>
      <c r="BF25" s="13">
        <f t="shared" si="37"/>
        <v>21.142979995226831</v>
      </c>
      <c r="BG25" s="20">
        <f t="shared" si="7"/>
        <v>169.09664015835338</v>
      </c>
      <c r="BH25" s="59">
        <f t="shared" si="8"/>
        <v>462.42997349168672</v>
      </c>
      <c r="BI25" s="59">
        <f ca="1">AVERAGE(OFFSET($BH$3,0,0,'Données projet'!$E$11+1,1))-AVERAGE(OFFSET($H$3,0,0,'Données projet'!$E$11+1,1))</f>
        <v>168.08890945052406</v>
      </c>
      <c r="BJ25" s="59">
        <f t="shared" si="38"/>
        <v>182.52462557642343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0.75485410472494885</v>
      </c>
      <c r="BQ25" s="21">
        <f>EXP(-LN(2)/25)*BQ24+(1-EXP(-LN(2)/25))/(LN(2)/25)*Calculateur!BL25*Calculateur!BN25*VLOOKUP('Données projet'!$B$11,Paramètres!$A$1:$I$89,3,0)*0.475*44/12</f>
        <v>5.5883835549849303</v>
      </c>
      <c r="BR25" s="21">
        <f>EXP(-LN(2)/2)*BR24+(1-EXP(-LN(2)/2))/(LN(2)/2)*BL25*BO25*VLOOKUP('Données projet'!$B$11,Paramètres!$A$1:$I$89,3,0)*0.475*44/12</f>
        <v>3.9862785557088674</v>
      </c>
      <c r="BS25" s="22">
        <f t="shared" si="9"/>
        <v>10.329516215418746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165</v>
      </c>
      <c r="L26" s="12">
        <f>VLOOKUP(A26,'Données projet'!$A$35:$I$55,9,0)</f>
        <v>7.1739130434782608</v>
      </c>
      <c r="M26" s="12">
        <f t="array" ref="M26">INDEX(L:L,MIN(IF(ISNUMBER(L26:L222),ROW(L26:L222),"")))</f>
        <v>7.1739130434782608</v>
      </c>
      <c r="N26" s="13">
        <f>IF('Données projet'!$A$36&gt;35,N25+M26-V25,IF(A26&lt;'Données projet'!$A$36,$K$205^A26,IF(A26='Données projet'!$A$36,'Données projet'!$B$36,N25+M26-V25)))</f>
        <v>165</v>
      </c>
      <c r="O26" s="13">
        <f>N26*VLOOKUP('Données projet'!$B$9,Paramètres!$A$1:$I$89,3,0)*VLOOKUP('Données projet'!$B$9,Paramètres!$A$1:$I$89,5,0)</f>
        <v>77.22</v>
      </c>
      <c r="P26" s="13">
        <f t="shared" si="33"/>
        <v>21.456066856215884</v>
      </c>
      <c r="Q26" s="20">
        <f t="shared" si="2"/>
        <v>171.86081644124263</v>
      </c>
      <c r="R26" s="59">
        <f t="shared" si="0"/>
        <v>465.19414977457598</v>
      </c>
      <c r="S26" s="59">
        <f ca="1">AVERAGE(OFFSET($R$3,0,0,'Données projet'!$E$9+1,1))-AVERAGE(OFFSET($H$3,0,0,'Données projet'!$E$9+1,1))</f>
        <v>214.51224556840771</v>
      </c>
      <c r="T26" s="59">
        <f t="shared" si="34"/>
        <v>225.78309962707215</v>
      </c>
      <c r="U26" s="15">
        <f>IF(ISNA(VLOOKUP(A26,'Données projet'!$A$35:$I$55,3,0)),0,VLOOKUP(A26,'Données projet'!$A$35:$I$55,3,0))</f>
        <v>1</v>
      </c>
      <c r="V26" s="15">
        <f>IF(ISNA(VLOOKUP(A26,'Données projet'!$A$35:$I$55,4,0)),0,VLOOKUP(A26,'Données projet'!$A$35:$I$55,4,0))</f>
        <v>55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0.27500000000000002</v>
      </c>
      <c r="Y26" s="16">
        <f>IF(ISNA(VLOOKUP(A26,'Données projet'!$A$35:$I$55,7,0)),0%,VLOOKUP(A26,'Données projet'!$A$35:$I$55,7,0))</f>
        <v>0.5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9.3531141493833747</v>
      </c>
      <c r="AB26" s="21">
        <f>EXP(-LN(2)/2)*AB25+(1-EXP(-LN(2)/2))/(LN(2)/2)*V26*Y26*VLOOKUP('Données projet'!$B$9,Paramètres!$A$1:$I$89,3,0)*0.475*44/12</f>
        <v>14.571829669165615</v>
      </c>
      <c r="AC26" s="22">
        <f t="shared" si="3"/>
        <v>23.924943818548989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6.3</v>
      </c>
      <c r="AI26" s="13">
        <f>IF('Données projet'!$A$62&gt;35,AI25+AH26-AQ25,IF(A26&lt;'Données projet'!$A$62,$AF$205^A26,IF(A26='Données projet'!$A$62,'Données projet'!$B$62,AI25+AH26-AQ25)))</f>
        <v>60.899999999999991</v>
      </c>
      <c r="AJ26" s="13">
        <f>AI26*VLOOKUP('Données projet'!$B$10,Paramètres!$A$1:$I$89,3,0)*VLOOKUP('Données projet'!$B$10,Paramètres!$A$1:$I$89,5,0)</f>
        <v>55.102319999999992</v>
      </c>
      <c r="AK26" s="13">
        <f t="shared" si="35"/>
        <v>15.923912218988239</v>
      </c>
      <c r="AL26" s="20">
        <f t="shared" si="4"/>
        <v>123.70402111473783</v>
      </c>
      <c r="AM26" s="59">
        <f t="shared" si="5"/>
        <v>417.03735444807114</v>
      </c>
      <c r="AN26" s="59">
        <f ca="1">AVERAGE(OFFSET($AM$3,0,0,'Données projet'!$E$10+1,1))-AVERAGE(OFFSET($H$3,0,0,'Données projet'!$E$10+1,1))</f>
        <v>237.22177246688199</v>
      </c>
      <c r="AO26" s="59">
        <f t="shared" si="36"/>
        <v>149.27472147904302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15</v>
      </c>
      <c r="BD26" s="12">
        <f>IF('Données projet'!$A$88&gt;35,BD25+BC26-BL25,IF(A26&lt;'Données projet'!$A$88,$BA$205^A26,IF(A26='Données projet'!$A$88,'Données projet'!$B$88,BD25+BC26-BL25)))</f>
        <v>142</v>
      </c>
      <c r="BE26" s="13">
        <f>BD26*VLOOKUP('Données projet'!$B$11,Paramètres!$A$1:$I$89,3,0)*VLOOKUP('Données projet'!$B$11,Paramètres!$A$1:$I$89,5,0)</f>
        <v>84.916000000000011</v>
      </c>
      <c r="BF26" s="13">
        <f t="shared" si="37"/>
        <v>23.33496813320572</v>
      </c>
      <c r="BG26" s="20">
        <f t="shared" si="7"/>
        <v>188.53710283199996</v>
      </c>
      <c r="BH26" s="59">
        <f t="shared" si="8"/>
        <v>481.87043616533327</v>
      </c>
      <c r="BI26" s="59">
        <f ca="1">AVERAGE(OFFSET($BH$3,0,0,'Données projet'!$E$11+1,1))-AVERAGE(OFFSET($H$3,0,0,'Données projet'!$E$11+1,1))</f>
        <v>168.08890945052406</v>
      </c>
      <c r="BJ26" s="59">
        <f t="shared" si="38"/>
        <v>182.52462557642343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0.74005187614683421</v>
      </c>
      <c r="BQ26" s="21">
        <f>EXP(-LN(2)/25)*BQ25+(1-EXP(-LN(2)/25))/(LN(2)/25)*Calculateur!BL26*Calculateur!BN26*VLOOKUP('Données projet'!$B$11,Paramètres!$A$1:$I$89,3,0)*0.475*44/12</f>
        <v>5.4355689127935483</v>
      </c>
      <c r="BR26" s="21">
        <f>EXP(-LN(2)/2)*BR25+(1-EXP(-LN(2)/2))/(LN(2)/2)*BL26*BO26*VLOOKUP('Données projet'!$B$11,Paramètres!$A$1:$I$89,3,0)*0.475*44/12</f>
        <v>2.8187245984402569</v>
      </c>
      <c r="BS26" s="22">
        <f t="shared" si="9"/>
        <v>8.9943453873806405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31.25</v>
      </c>
      <c r="N27" s="13">
        <f>IF('Données projet'!$A$36&gt;35,N26+M27-V26,IF(A27&lt;'Données projet'!$A$36,$K$205^A27,IF(A27='Données projet'!$A$36,'Données projet'!$B$36,N26+M27-V26)))</f>
        <v>141.25</v>
      </c>
      <c r="O27" s="13">
        <f>N27*VLOOKUP('Données projet'!$B$9,Paramètres!$A$1:$I$89,3,0)*VLOOKUP('Données projet'!$B$9,Paramètres!$A$1:$I$89,5,0)</f>
        <v>66.105000000000004</v>
      </c>
      <c r="P27" s="13">
        <f t="shared" si="33"/>
        <v>18.702992547207845</v>
      </c>
      <c r="Q27" s="20">
        <f t="shared" si="2"/>
        <v>147.70725368638702</v>
      </c>
      <c r="R27" s="59">
        <f t="shared" si="0"/>
        <v>441.04058701972031</v>
      </c>
      <c r="S27" s="59">
        <f ca="1">AVERAGE(OFFSET($R$3,0,0,'Données projet'!$E$9+1,1))-AVERAGE(OFFSET($H$3,0,0,'Données projet'!$E$9+1,1))</f>
        <v>214.51224556840771</v>
      </c>
      <c r="T27" s="59">
        <f t="shared" si="34"/>
        <v>225.78309962707215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9.0973527511095895</v>
      </c>
      <c r="AB27" s="21">
        <f>EXP(-LN(2)/2)*AB26+(1-EXP(-LN(2)/2))/(LN(2)/2)*V27*Y27*VLOOKUP('Données projet'!$B$9,Paramètres!$A$1:$I$89,3,0)*0.475*44/12</f>
        <v>10.303839573362332</v>
      </c>
      <c r="AC27" s="22">
        <f t="shared" si="3"/>
        <v>19.401192324471921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6.3</v>
      </c>
      <c r="AI27" s="13">
        <f>IF('Données projet'!$A$62&gt;35,AI26+AH27-AQ26,IF(A27&lt;'Données projet'!$A$62,$AF$205^A27,IF(A27='Données projet'!$A$62,'Données projet'!$B$62,AI26+AH27-AQ26)))</f>
        <v>67.199999999999989</v>
      </c>
      <c r="AJ27" s="13">
        <f>AI27*VLOOKUP('Données projet'!$B$10,Paramètres!$A$1:$I$89,3,0)*VLOOKUP('Données projet'!$B$10,Paramètres!$A$1:$I$89,5,0)</f>
        <v>60.802559999999993</v>
      </c>
      <c r="AK27" s="13">
        <f t="shared" si="35"/>
        <v>17.371024177726472</v>
      </c>
      <c r="AL27" s="20">
        <f t="shared" si="4"/>
        <v>136.15232577620694</v>
      </c>
      <c r="AM27" s="59">
        <f t="shared" si="5"/>
        <v>429.48565910954028</v>
      </c>
      <c r="AN27" s="59">
        <f ca="1">AVERAGE(OFFSET($AM$3,0,0,'Données projet'!$E$10+1,1))-AVERAGE(OFFSET($H$3,0,0,'Données projet'!$E$10+1,1))</f>
        <v>237.22177246688199</v>
      </c>
      <c r="AO27" s="59">
        <f t="shared" si="36"/>
        <v>149.27472147904302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157</v>
      </c>
      <c r="BB27" s="12">
        <f>VLOOKUP(A27,'Données projet'!$A$87:$I$107,9,0)</f>
        <v>15</v>
      </c>
      <c r="BC27" s="12">
        <f t="array" ref="BC27">INDEX(BB:BB,MIN(IF(ISNUMBER(BB27:BB223),ROW(BB27:BB223),"")))</f>
        <v>15</v>
      </c>
      <c r="BD27" s="12">
        <f>IF('Données projet'!$A$88&gt;35,BD26+BC27-BL26,IF(A27&lt;'Données projet'!$A$88,$BA$205^A27,IF(A27='Données projet'!$A$88,'Données projet'!$B$88,BD26+BC27-BL26)))</f>
        <v>157</v>
      </c>
      <c r="BE27" s="13">
        <f>BD27*VLOOKUP('Données projet'!$B$11,Paramètres!$A$1:$I$89,3,0)*VLOOKUP('Données projet'!$B$11,Paramètres!$A$1:$I$89,5,0)</f>
        <v>93.885999999999996</v>
      </c>
      <c r="BF27" s="13">
        <f t="shared" si="37"/>
        <v>25.500116461916402</v>
      </c>
      <c r="BG27" s="20">
        <f t="shared" si="7"/>
        <v>207.9308195045044</v>
      </c>
      <c r="BH27" s="59">
        <f t="shared" si="8"/>
        <v>501.26415283783774</v>
      </c>
      <c r="BI27" s="59">
        <f ca="1">AVERAGE(OFFSET($BH$3,0,0,'Données projet'!$E$11+1,1))-AVERAGE(OFFSET($H$3,0,0,'Données projet'!$E$11+1,1))</f>
        <v>168.08890945052406</v>
      </c>
      <c r="BJ27" s="59">
        <f t="shared" si="38"/>
        <v>182.52462557642343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31</v>
      </c>
      <c r="BM27" s="16">
        <f>IF(ISNA(VLOOKUP(A27,'Données projet'!$A$87:$I$107,5,0)),0%,VLOOKUP(A27,'Données projet'!$A$87:$I$107,5,0)*VLOOKUP('Données projet'!$B$11,Paramètres!$A$1:$I$89,7,0))</f>
        <v>9.0000000000000011E-2</v>
      </c>
      <c r="BN27" s="16">
        <f>IF(ISNA(VLOOKUP(A27,'Données projet'!$A$87:$I$107,6,0)),0%,VLOOKUP(A27,'Données projet'!$A$87:$I$107,6,0)*VLOOKUP('Données projet'!$B$11,Paramètres!$A$1:$I$89,7,0))</f>
        <v>0.18000000000000002</v>
      </c>
      <c r="BO27" s="16">
        <f>IF(ISNA(VLOOKUP(A27,'Données projet'!$A$87:$I$107,7,0)),0%,VLOOKUP(A27,'Données projet'!$A$87:$I$107,7,0))</f>
        <v>0.4</v>
      </c>
      <c r="BP27" s="21">
        <f>EXP(-LN(2)/35)*BP26+(1-EXP(-LN(2)/35))/(LN(2)/35)*BL27*BM27*VLOOKUP('Données projet'!$B$11,Paramètres!$A$1:$I$89,3,0)*0.475*44/12</f>
        <v>2.9388065789871067</v>
      </c>
      <c r="BQ27" s="21">
        <f>EXP(-LN(2)/25)*BQ26+(1-EXP(-LN(2)/25))/(LN(2)/25)*Calculateur!BL27*Calculateur!BN27*VLOOKUP('Données projet'!$B$11,Paramètres!$A$1:$I$89,3,0)*0.475*44/12</f>
        <v>9.6960373841268126</v>
      </c>
      <c r="BR27" s="21">
        <f>EXP(-LN(2)/2)*BR26+(1-EXP(-LN(2)/2))/(LN(2)/2)*BL27*BO27*VLOOKUP('Données projet'!$B$11,Paramètres!$A$1:$I$89,3,0)*0.475*44/12</f>
        <v>10.388868210472685</v>
      </c>
      <c r="BS27" s="22">
        <f t="shared" si="9"/>
        <v>23.023712173586603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31.25</v>
      </c>
      <c r="N28" s="13">
        <f>IF('Données projet'!$A$36&gt;35,N27+M28-V27,IF(A28&lt;'Données projet'!$A$36,$K$205^A28,IF(A28='Données projet'!$A$36,'Données projet'!$B$36,N27+M28-V27)))</f>
        <v>172.5</v>
      </c>
      <c r="O28" s="13">
        <f>N28*VLOOKUP('Données projet'!$B$9,Paramètres!$A$1:$I$89,3,0)*VLOOKUP('Données projet'!$B$9,Paramètres!$A$1:$I$89,5,0)</f>
        <v>80.72999999999999</v>
      </c>
      <c r="P28" s="13">
        <f t="shared" si="33"/>
        <v>22.315578453114171</v>
      </c>
      <c r="Q28" s="20">
        <f t="shared" si="2"/>
        <v>179.47104913917383</v>
      </c>
      <c r="R28" s="59">
        <f t="shared" si="0"/>
        <v>472.80438247250714</v>
      </c>
      <c r="S28" s="59">
        <f ca="1">AVERAGE(OFFSET($R$3,0,0,'Données projet'!$E$9+1,1))-AVERAGE(OFFSET($H$3,0,0,'Données projet'!$E$9+1,1))</f>
        <v>214.51224556840771</v>
      </c>
      <c r="T28" s="59">
        <f t="shared" si="34"/>
        <v>225.78309962707215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8.848585161721509</v>
      </c>
      <c r="AB28" s="21">
        <f>EXP(-LN(2)/2)*AB27+(1-EXP(-LN(2)/2))/(LN(2)/2)*V28*Y28*VLOOKUP('Données projet'!$B$9,Paramètres!$A$1:$I$89,3,0)*0.475*44/12</f>
        <v>7.2859148345828082</v>
      </c>
      <c r="AC28" s="22">
        <f t="shared" si="3"/>
        <v>16.134499996304317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6.3</v>
      </c>
      <c r="AI28" s="13">
        <f>IF('Données projet'!$A$62&gt;35,AI27+AH28-AQ27,IF(A28&lt;'Données projet'!$A$62,$AF$205^A28,IF(A28='Données projet'!$A$62,'Données projet'!$B$62,AI27+AH28-AQ27)))</f>
        <v>73.499999999999986</v>
      </c>
      <c r="AJ28" s="13">
        <f>AI28*VLOOKUP('Données projet'!$B$10,Paramètres!$A$1:$I$89,3,0)*VLOOKUP('Données projet'!$B$10,Paramètres!$A$1:$I$89,5,0)</f>
        <v>66.502799999999979</v>
      </c>
      <c r="AK28" s="13">
        <f t="shared" si="35"/>
        <v>18.802406075407909</v>
      </c>
      <c r="AL28" s="20">
        <f t="shared" si="4"/>
        <v>148.57323391466869</v>
      </c>
      <c r="AM28" s="59">
        <f t="shared" si="5"/>
        <v>441.90656724800203</v>
      </c>
      <c r="AN28" s="59">
        <f ca="1">AVERAGE(OFFSET($AM$3,0,0,'Données projet'!$E$10+1,1))-AVERAGE(OFFSET($H$3,0,0,'Données projet'!$E$10+1,1))</f>
        <v>237.22177246688199</v>
      </c>
      <c r="AO28" s="59">
        <f t="shared" si="36"/>
        <v>149.27472147904302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</v>
      </c>
      <c r="BD28" s="12">
        <f>IF('Données projet'!$A$88&gt;35,BD27+BC28-BL27,IF(A28&lt;'Données projet'!$A$88,$BA$205^A28,IF(A28='Données projet'!$A$88,'Données projet'!$B$88,BD27+BC28-BL27)))</f>
        <v>142</v>
      </c>
      <c r="BE28" s="13">
        <f>BD28*VLOOKUP('Données projet'!$B$11,Paramètres!$A$1:$I$89,3,0)*VLOOKUP('Données projet'!$B$11,Paramètres!$A$1:$I$89,5,0)</f>
        <v>84.916000000000011</v>
      </c>
      <c r="BF28" s="13">
        <f t="shared" si="37"/>
        <v>23.33496813320572</v>
      </c>
      <c r="BG28" s="20">
        <f t="shared" si="7"/>
        <v>188.53710283199996</v>
      </c>
      <c r="BH28" s="59">
        <f t="shared" si="8"/>
        <v>481.87043616533327</v>
      </c>
      <c r="BI28" s="59">
        <f ca="1">AVERAGE(OFFSET($BH$3,0,0,'Données projet'!$E$11+1,1))-AVERAGE(OFFSET($H$3,0,0,'Données projet'!$E$11+1,1))</f>
        <v>168.08890945052406</v>
      </c>
      <c r="BJ28" s="59">
        <f t="shared" si="38"/>
        <v>182.52462557642343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2.8811783744681887</v>
      </c>
      <c r="BQ28" s="21">
        <f>EXP(-LN(2)/25)*BQ27+(1-EXP(-LN(2)/25))/(LN(2)/25)*Calculateur!BL28*Calculateur!BN28*VLOOKUP('Données projet'!$B$11,Paramètres!$A$1:$I$89,3,0)*0.475*44/12</f>
        <v>9.4308987319654189</v>
      </c>
      <c r="BR28" s="21">
        <f>EXP(-LN(2)/2)*BR27+(1-EXP(-LN(2)/2))/(LN(2)/2)*BL28*BO28*VLOOKUP('Données projet'!$B$11,Paramètres!$A$1:$I$89,3,0)*0.475*44/12</f>
        <v>7.3460391604785888</v>
      </c>
      <c r="BS28" s="22">
        <f t="shared" si="9"/>
        <v>19.658116266912195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31.25</v>
      </c>
      <c r="N29" s="13">
        <f>IF('Données projet'!$A$36&gt;35,N28+M29-V28,IF(A29&lt;'Données projet'!$A$36,$K$205^A29,IF(A29='Données projet'!$A$36,'Données projet'!$B$36,N28+M29-V28)))</f>
        <v>203.75</v>
      </c>
      <c r="O29" s="13">
        <f>N29*VLOOKUP('Données projet'!$B$9,Paramètres!$A$1:$I$89,3,0)*VLOOKUP('Données projet'!$B$9,Paramètres!$A$1:$I$89,5,0)</f>
        <v>95.35499999999999</v>
      </c>
      <c r="P29" s="13">
        <f t="shared" si="33"/>
        <v>25.852345740177842</v>
      </c>
      <c r="Q29" s="20">
        <f t="shared" si="2"/>
        <v>211.1027938308097</v>
      </c>
      <c r="R29" s="59">
        <f t="shared" si="0"/>
        <v>504.43612716414304</v>
      </c>
      <c r="S29" s="59">
        <f ca="1">AVERAGE(OFFSET($R$3,0,0,'Données projet'!$E$9+1,1))-AVERAGE(OFFSET($H$3,0,0,'Données projet'!$E$9+1,1))</f>
        <v>214.51224556840771</v>
      </c>
      <c r="T29" s="59">
        <f t="shared" si="34"/>
        <v>225.78309962707215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8.6066201351473648</v>
      </c>
      <c r="AB29" s="21">
        <f>EXP(-LN(2)/2)*AB28+(1-EXP(-LN(2)/2))/(LN(2)/2)*V29*Y29*VLOOKUP('Données projet'!$B$9,Paramètres!$A$1:$I$89,3,0)*0.475*44/12</f>
        <v>5.1519197866811668</v>
      </c>
      <c r="AC29" s="22">
        <f t="shared" si="3"/>
        <v>13.758539921828532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6.3</v>
      </c>
      <c r="AI29" s="13">
        <f>IF('Données projet'!$A$62&gt;35,AI28+AH29-AQ28,IF(A29&lt;'Données projet'!$A$62,$AF$205^A29,IF(A29='Données projet'!$A$62,'Données projet'!$B$62,AI28+AH29-AQ28)))</f>
        <v>79.799999999999983</v>
      </c>
      <c r="AJ29" s="13">
        <f>AI29*VLOOKUP('Données projet'!$B$10,Paramètres!$A$1:$I$89,3,0)*VLOOKUP('Données projet'!$B$10,Paramètres!$A$1:$I$89,5,0)</f>
        <v>72.203039999999973</v>
      </c>
      <c r="AK29" s="13">
        <f t="shared" si="35"/>
        <v>20.219559499787128</v>
      </c>
      <c r="AL29" s="20">
        <f t="shared" si="4"/>
        <v>160.96936079546251</v>
      </c>
      <c r="AM29" s="59">
        <f t="shared" si="5"/>
        <v>454.30269412879579</v>
      </c>
      <c r="AN29" s="59">
        <f ca="1">AVERAGE(OFFSET($AM$3,0,0,'Données projet'!$E$10+1,1))-AVERAGE(OFFSET($H$3,0,0,'Données projet'!$E$10+1,1))</f>
        <v>237.22177246688199</v>
      </c>
      <c r="AO29" s="59">
        <f t="shared" si="36"/>
        <v>149.27472147904302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</v>
      </c>
      <c r="BD29" s="12">
        <f>IF('Données projet'!$A$88&gt;35,BD28+BC29-BL28,IF(A29&lt;'Données projet'!$A$88,$BA$205^A29,IF(A29='Données projet'!$A$88,'Données projet'!$B$88,BD28+BC29-BL28)))</f>
        <v>158</v>
      </c>
      <c r="BE29" s="13">
        <f>BD29*VLOOKUP('Données projet'!$B$11,Paramètres!$A$1:$I$89,3,0)*VLOOKUP('Données projet'!$B$11,Paramètres!$A$1:$I$89,5,0)</f>
        <v>94.484000000000009</v>
      </c>
      <c r="BF29" s="13">
        <f t="shared" si="37"/>
        <v>25.643578691511802</v>
      </c>
      <c r="BG29" s="20">
        <f t="shared" si="7"/>
        <v>209.22219955438308</v>
      </c>
      <c r="BH29" s="59">
        <f t="shared" si="8"/>
        <v>502.55553288771637</v>
      </c>
      <c r="BI29" s="59">
        <f ca="1">AVERAGE(OFFSET($BH$3,0,0,'Données projet'!$E$11+1,1))-AVERAGE(OFFSET($H$3,0,0,'Données projet'!$E$11+1,1))</f>
        <v>168.08890945052406</v>
      </c>
      <c r="BJ29" s="59">
        <f t="shared" si="38"/>
        <v>182.52462557642343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2.8246802238901525</v>
      </c>
      <c r="BQ29" s="21">
        <f>EXP(-LN(2)/25)*BQ28+(1-EXP(-LN(2)/25))/(LN(2)/25)*Calculateur!BL29*Calculateur!BN29*VLOOKUP('Données projet'!$B$11,Paramètres!$A$1:$I$89,3,0)*0.475*44/12</f>
        <v>9.1730103101904152</v>
      </c>
      <c r="BR29" s="21">
        <f>EXP(-LN(2)/2)*BR28+(1-EXP(-LN(2)/2))/(LN(2)/2)*BL29*BO29*VLOOKUP('Données projet'!$B$11,Paramètres!$A$1:$I$89,3,0)*0.475*44/12</f>
        <v>5.1944341052363434</v>
      </c>
      <c r="BS29" s="22">
        <f t="shared" si="9"/>
        <v>17.192124639316912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235</v>
      </c>
      <c r="L30" s="12">
        <f>VLOOKUP(A30,'Données projet'!$A$35:$I$55,9,0)</f>
        <v>31.25</v>
      </c>
      <c r="M30" s="12">
        <f t="array" ref="M30">INDEX(L:L,MIN(IF(ISNUMBER(L30:L226),ROW(L30:L226),"")))</f>
        <v>31.25</v>
      </c>
      <c r="N30" s="13">
        <f>IF('Données projet'!$A$36&gt;35,N29+M30-V29,IF(A30&lt;'Données projet'!$A$36,$K$205^A30,IF(A30='Données projet'!$A$36,'Données projet'!$B$36,N29+M30-V29)))</f>
        <v>235</v>
      </c>
      <c r="O30" s="13">
        <f>N30*VLOOKUP('Données projet'!$B$9,Paramètres!$A$1:$I$89,3,0)*VLOOKUP('Données projet'!$B$9,Paramètres!$A$1:$I$89,5,0)</f>
        <v>109.97999999999999</v>
      </c>
      <c r="P30" s="13">
        <f t="shared" si="33"/>
        <v>29.326272366698234</v>
      </c>
      <c r="Q30" s="20">
        <f t="shared" si="2"/>
        <v>242.62509103866606</v>
      </c>
      <c r="R30" s="59">
        <f t="shared" si="0"/>
        <v>535.9584243719994</v>
      </c>
      <c r="S30" s="59">
        <f ca="1">AVERAGE(OFFSET($R$3,0,0,'Données projet'!$E$9+1,1))-AVERAGE(OFFSET($H$3,0,0,'Données projet'!$E$9+1,1))</f>
        <v>214.51224556840771</v>
      </c>
      <c r="T30" s="59">
        <f t="shared" si="34"/>
        <v>225.78309962707215</v>
      </c>
      <c r="U30" s="15">
        <f>IF(ISNA(VLOOKUP(A30,'Données projet'!$A$35:$I$55,3,0)),0,VLOOKUP(A30,'Données projet'!$A$35:$I$55,3,0))</f>
        <v>2</v>
      </c>
      <c r="V30" s="15">
        <f>IF(ISNA(VLOOKUP(A30,'Données projet'!$A$35:$I$55,4,0)),0,VLOOKUP(A30,'Données projet'!$A$35:$I$55,4,0))</f>
        <v>64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0.27500000000000002</v>
      </c>
      <c r="Y30" s="16">
        <f>IF(ISNA(VLOOKUP(A30,'Données projet'!$A$35:$I$55,7,0)),0%,VLOOKUP(A30,'Données projet'!$A$35:$I$55,7,0))</f>
        <v>0.5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19.254895392413566</v>
      </c>
      <c r="AB30" s="21">
        <f>EXP(-LN(2)/2)*AB29+(1-EXP(-LN(2)/2))/(LN(2)/2)*V30*Y30*VLOOKUP('Données projet'!$B$9,Paramètres!$A$1:$I$89,3,0)*0.475*44/12</f>
        <v>20.599268305047758</v>
      </c>
      <c r="AC30" s="22">
        <f t="shared" si="3"/>
        <v>39.854163697461324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6.3</v>
      </c>
      <c r="AI30" s="13">
        <f>IF('Données projet'!$A$62&gt;35,AI29+AH30-AQ29,IF(A30&lt;'Données projet'!$A$62,$AF$205^A30,IF(A30='Données projet'!$A$62,'Données projet'!$B$62,AI29+AH30-AQ29)))</f>
        <v>86.09999999999998</v>
      </c>
      <c r="AJ30" s="13">
        <f>AI30*VLOOKUP('Données projet'!$B$10,Paramètres!$A$1:$I$89,3,0)*VLOOKUP('Données projet'!$B$10,Paramètres!$A$1:$I$89,5,0)</f>
        <v>77.903279999999981</v>
      </c>
      <c r="AK30" s="13">
        <f t="shared" si="35"/>
        <v>21.623735462576285</v>
      </c>
      <c r="AL30" s="20">
        <f t="shared" si="4"/>
        <v>173.342885263987</v>
      </c>
      <c r="AM30" s="59">
        <f t="shared" si="5"/>
        <v>466.67621859732031</v>
      </c>
      <c r="AN30" s="59">
        <f ca="1">AVERAGE(OFFSET($AM$3,0,0,'Données projet'!$E$10+1,1))-AVERAGE(OFFSET($H$3,0,0,'Données projet'!$E$10+1,1))</f>
        <v>237.22177246688199</v>
      </c>
      <c r="AO30" s="59">
        <f t="shared" si="36"/>
        <v>149.27472147904302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</v>
      </c>
      <c r="BD30" s="12">
        <f>IF('Données projet'!$A$88&gt;35,BD29+BC30-BL29,IF(A30&lt;'Données projet'!$A$88,$BA$205^A30,IF(A30='Données projet'!$A$88,'Données projet'!$B$88,BD29+BC30-BL29)))</f>
        <v>174</v>
      </c>
      <c r="BE30" s="13">
        <f>BD30*VLOOKUP('Données projet'!$B$11,Paramètres!$A$1:$I$89,3,0)*VLOOKUP('Données projet'!$B$11,Paramètres!$A$1:$I$89,5,0)</f>
        <v>104.05200000000001</v>
      </c>
      <c r="BF30" s="13">
        <f t="shared" si="37"/>
        <v>27.925087771564417</v>
      </c>
      <c r="BG30" s="20">
        <f t="shared" si="7"/>
        <v>229.86009453547467</v>
      </c>
      <c r="BH30" s="59">
        <f t="shared" si="8"/>
        <v>523.19342786880793</v>
      </c>
      <c r="BI30" s="59">
        <f ca="1">AVERAGE(OFFSET($BH$3,0,0,'Données projet'!$E$11+1,1))-AVERAGE(OFFSET($H$3,0,0,'Données projet'!$E$11+1,1))</f>
        <v>168.08890945052406</v>
      </c>
      <c r="BJ30" s="59">
        <f t="shared" si="38"/>
        <v>182.52462557642343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2.7692899675844824</v>
      </c>
      <c r="BQ30" s="21">
        <f>EXP(-LN(2)/25)*BQ29+(1-EXP(-LN(2)/25))/(LN(2)/25)*Calculateur!BL30*Calculateur!BN30*VLOOKUP('Données projet'!$B$11,Paramètres!$A$1:$I$89,3,0)*0.475*44/12</f>
        <v>8.9221738608706112</v>
      </c>
      <c r="BR30" s="21">
        <f>EXP(-LN(2)/2)*BR29+(1-EXP(-LN(2)/2))/(LN(2)/2)*BL30*BO30*VLOOKUP('Données projet'!$B$11,Paramètres!$A$1:$I$89,3,0)*0.475*44/12</f>
        <v>3.6730195802392953</v>
      </c>
      <c r="BS30" s="22">
        <f t="shared" si="9"/>
        <v>15.364483408694388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36</v>
      </c>
      <c r="N31" s="13">
        <f>IF('Données projet'!$A$36&gt;35,N30+M31-V30,IF(A31&lt;'Données projet'!$A$36,$K$205^A31,IF(A31='Données projet'!$A$36,'Données projet'!$B$36,N30+M31-V30)))</f>
        <v>207</v>
      </c>
      <c r="O31" s="13">
        <f>N31*VLOOKUP('Données projet'!$B$9,Paramètres!$A$1:$I$89,3,0)*VLOOKUP('Données projet'!$B$9,Paramètres!$A$1:$I$89,5,0)</f>
        <v>96.876000000000005</v>
      </c>
      <c r="P31" s="13">
        <f t="shared" si="33"/>
        <v>26.21637845945024</v>
      </c>
      <c r="Q31" s="20">
        <f t="shared" si="2"/>
        <v>214.38589248354251</v>
      </c>
      <c r="R31" s="59">
        <f t="shared" si="0"/>
        <v>507.71922581687579</v>
      </c>
      <c r="S31" s="59">
        <f ca="1">AVERAGE(OFFSET($R$3,0,0,'Données projet'!$E$9+1,1))-AVERAGE(OFFSET($H$3,0,0,'Données projet'!$E$9+1,1))</f>
        <v>214.51224556840771</v>
      </c>
      <c r="T31" s="59">
        <f t="shared" si="34"/>
        <v>225.78309962707215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18.728369265337076</v>
      </c>
      <c r="AB31" s="21">
        <f>EXP(-LN(2)/2)*AB30+(1-EXP(-LN(2)/2))/(LN(2)/2)*V31*Y31*VLOOKUP('Données projet'!$B$9,Paramètres!$A$1:$I$89,3,0)*0.475*44/12</f>
        <v>14.56588230598039</v>
      </c>
      <c r="AC31" s="22">
        <f t="shared" si="3"/>
        <v>33.294251571317467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6.3</v>
      </c>
      <c r="AI31" s="13">
        <f>IF('Données projet'!$A$62&gt;35,AI30+AH31-AQ30,IF(A31&lt;'Données projet'!$A$62,$AF$205^A31,IF(A31='Données projet'!$A$62,'Données projet'!$B$62,AI30+AH31-AQ30)))</f>
        <v>92.399999999999977</v>
      </c>
      <c r="AJ31" s="13">
        <f>AI31*VLOOKUP('Données projet'!$B$10,Paramètres!$A$1:$I$89,3,0)*VLOOKUP('Données projet'!$B$10,Paramètres!$A$1:$I$89,5,0)</f>
        <v>83.603519999999975</v>
      </c>
      <c r="AK31" s="13">
        <f t="shared" si="35"/>
        <v>23.015991519299678</v>
      </c>
      <c r="AL31" s="20">
        <f t="shared" si="4"/>
        <v>185.69564922944687</v>
      </c>
      <c r="AM31" s="59">
        <f t="shared" si="5"/>
        <v>479.02898256278019</v>
      </c>
      <c r="AN31" s="59">
        <f ca="1">AVERAGE(OFFSET($AM$3,0,0,'Données projet'!$E$10+1,1))-AVERAGE(OFFSET($H$3,0,0,'Données projet'!$E$10+1,1))</f>
        <v>237.22177246688199</v>
      </c>
      <c r="AO31" s="59">
        <f t="shared" si="36"/>
        <v>149.27472147904302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>
        <f>VLOOKUP(A31,'Données projet'!$A$87:$I$107,2,0)</f>
        <v>190</v>
      </c>
      <c r="BB31" s="12">
        <f>VLOOKUP(A31,'Données projet'!$A$87:$I$107,9,0)</f>
        <v>16</v>
      </c>
      <c r="BC31" s="12">
        <f t="array" ref="BC31">INDEX(BB:BB,MIN(IF(ISNUMBER(BB31:BB227),ROW(BB31:BB227),"")))</f>
        <v>16</v>
      </c>
      <c r="BD31" s="12">
        <f>IF('Données projet'!$A$88&gt;35,BD30+BC31-BL30,IF(A31&lt;'Données projet'!$A$88,$BA$205^A31,IF(A31='Données projet'!$A$88,'Données projet'!$B$88,BD30+BC31-BL30)))</f>
        <v>190</v>
      </c>
      <c r="BE31" s="13">
        <f>BD31*VLOOKUP('Données projet'!$B$11,Paramètres!$A$1:$I$89,3,0)*VLOOKUP('Données projet'!$B$11,Paramètres!$A$1:$I$89,5,0)</f>
        <v>113.62</v>
      </c>
      <c r="BF31" s="13">
        <f t="shared" si="37"/>
        <v>30.182270904187739</v>
      </c>
      <c r="BG31" s="20">
        <f t="shared" si="7"/>
        <v>250.45562182479364</v>
      </c>
      <c r="BH31" s="59">
        <f t="shared" si="8"/>
        <v>543.78895515812701</v>
      </c>
      <c r="BI31" s="59">
        <f ca="1">AVERAGE(OFFSET($BH$3,0,0,'Données projet'!$E$11+1,1))-AVERAGE(OFFSET($H$3,0,0,'Données projet'!$E$11+1,1))</f>
        <v>168.08890945052406</v>
      </c>
      <c r="BJ31" s="59">
        <f t="shared" si="38"/>
        <v>182.52462557642343</v>
      </c>
      <c r="BK31" s="15">
        <f>IF(ISNA(VLOOKUP(A31,'Données projet'!$A$87:$I$107,3,0)),0,VLOOKUP(A31,'Données projet'!$A$87:$I$107,3,0))</f>
        <v>4</v>
      </c>
      <c r="BL31" s="15">
        <f>IF(ISNA(VLOOKUP(A31,'Données projet'!$A$87:$I$107,4,0)),0,VLOOKUP(A31,'Données projet'!$A$87:$I$107,4,0))</f>
        <v>35</v>
      </c>
      <c r="BM31" s="16">
        <f>IF(ISNA(VLOOKUP(A31,'Données projet'!$A$87:$I$107,5,0)),0%,VLOOKUP(A31,'Données projet'!$A$87:$I$107,5,0)*VLOOKUP('Données projet'!$B$11,Paramètres!$A$1:$I$89,7,0))</f>
        <v>0.13500000000000001</v>
      </c>
      <c r="BN31" s="16">
        <f>IF(ISNA(VLOOKUP(A31,'Données projet'!$A$87:$I$107,6,0)),0%,VLOOKUP(A31,'Données projet'!$A$87:$I$107,6,0)*VLOOKUP('Données projet'!$B$11,Paramètres!$A$1:$I$89,7,0))</f>
        <v>0.1575</v>
      </c>
      <c r="BO31" s="16">
        <f>IF(ISNA(VLOOKUP(A31,'Données projet'!$A$87:$I$107,7,0)),0%,VLOOKUP(A31,'Données projet'!$A$87:$I$107,7,0))</f>
        <v>0.35</v>
      </c>
      <c r="BP31" s="21">
        <f>EXP(-LN(2)/35)*BP30+(1-EXP(-LN(2)/35))/(LN(2)/35)*BL31*BM31*VLOOKUP('Données projet'!$B$11,Paramètres!$A$1:$I$89,3,0)*0.475*44/12</f>
        <v>6.4632600774874396</v>
      </c>
      <c r="BQ31" s="21">
        <f>EXP(-LN(2)/25)*BQ30+(1-EXP(-LN(2)/25))/(LN(2)/25)*Calculateur!BL31*Calculateur!BN31*VLOOKUP('Données projet'!$B$11,Paramètres!$A$1:$I$89,3,0)*0.475*44/12</f>
        <v>13.033964996355422</v>
      </c>
      <c r="BR31" s="21">
        <f>EXP(-LN(2)/2)*BR30+(1-EXP(-LN(2)/2))/(LN(2)/2)*BL31*BO31*VLOOKUP('Données projet'!$B$11,Paramètres!$A$1:$I$89,3,0)*0.475*44/12</f>
        <v>10.891384748148297</v>
      </c>
      <c r="BS31" s="22">
        <f t="shared" si="9"/>
        <v>30.38860982199116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36</v>
      </c>
      <c r="N32" s="13">
        <f>IF('Données projet'!$A$36&gt;35,N31+M32-V31,IF(A32&lt;'Données projet'!$A$36,$K$205^A32,IF(A32='Données projet'!$A$36,'Données projet'!$B$36,N31+M32-V31)))</f>
        <v>243</v>
      </c>
      <c r="O32" s="13">
        <f>N32*VLOOKUP('Données projet'!$B$9,Paramètres!$A$1:$I$89,3,0)*VLOOKUP('Données projet'!$B$9,Paramètres!$A$1:$I$89,5,0)</f>
        <v>113.72399999999999</v>
      </c>
      <c r="P32" s="13">
        <f t="shared" si="33"/>
        <v>30.206680638130489</v>
      </c>
      <c r="Q32" s="20">
        <f t="shared" si="2"/>
        <v>250.67926877807722</v>
      </c>
      <c r="R32" s="59">
        <f t="shared" si="0"/>
        <v>544.0126021114105</v>
      </c>
      <c r="S32" s="59">
        <f ca="1">AVERAGE(OFFSET($R$3,0,0,'Données projet'!$E$9+1,1))-AVERAGE(OFFSET($H$3,0,0,'Données projet'!$E$9+1,1))</f>
        <v>214.51224556840771</v>
      </c>
      <c r="T32" s="59">
        <f t="shared" si="34"/>
        <v>225.78309962707215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18.216241022894298</v>
      </c>
      <c r="AB32" s="21">
        <f>EXP(-LN(2)/2)*AB31+(1-EXP(-LN(2)/2))/(LN(2)/2)*V32*Y32*VLOOKUP('Données projet'!$B$9,Paramètres!$A$1:$I$89,3,0)*0.475*44/12</f>
        <v>10.299634152523881</v>
      </c>
      <c r="AC32" s="22">
        <f t="shared" si="3"/>
        <v>28.515875175418181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6.3</v>
      </c>
      <c r="AI32" s="13">
        <f>IF('Données projet'!$A$62&gt;35,AI31+AH32-AQ31,IF(A32&lt;'Données projet'!$A$62,$AF$205^A32,IF(A32='Données projet'!$A$62,'Données projet'!$B$62,AI31+AH32-AQ31)))</f>
        <v>98.699999999999974</v>
      </c>
      <c r="AJ32" s="13">
        <f>AI32*VLOOKUP('Données projet'!$B$10,Paramètres!$A$1:$I$89,3,0)*VLOOKUP('Données projet'!$B$10,Paramètres!$A$1:$I$89,5,0)</f>
        <v>89.303759999999968</v>
      </c>
      <c r="AK32" s="13">
        <f t="shared" si="35"/>
        <v>24.397232850954325</v>
      </c>
      <c r="AL32" s="20">
        <f t="shared" si="4"/>
        <v>198.02922921541202</v>
      </c>
      <c r="AM32" s="59">
        <f t="shared" si="5"/>
        <v>491.36256254874536</v>
      </c>
      <c r="AN32" s="59">
        <f ca="1">AVERAGE(OFFSET($AM$3,0,0,'Données projet'!$E$10+1,1))-AVERAGE(OFFSET($H$3,0,0,'Données projet'!$E$10+1,1))</f>
        <v>237.22177246688199</v>
      </c>
      <c r="AO32" s="59">
        <f t="shared" si="36"/>
        <v>149.27472147904302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14.833333333333334</v>
      </c>
      <c r="BD32" s="12">
        <f>IF('Données projet'!$A$88&gt;35,BD31+BC32-BL31,IF(A32&lt;'Données projet'!$A$88,$BA$205^A32,IF(A32='Données projet'!$A$88,'Données projet'!$B$88,BD31+BC32-BL31)))</f>
        <v>169.83333333333334</v>
      </c>
      <c r="BE32" s="13">
        <f>BD32*VLOOKUP('Données projet'!$B$11,Paramètres!$A$1:$I$89,3,0)*VLOOKUP('Données projet'!$B$11,Paramètres!$A$1:$I$89,5,0)</f>
        <v>101.56033333333333</v>
      </c>
      <c r="BF32" s="13">
        <f t="shared" si="37"/>
        <v>27.333389821325063</v>
      </c>
      <c r="BG32" s="20">
        <f t="shared" si="7"/>
        <v>224.48990116103005</v>
      </c>
      <c r="BH32" s="59">
        <f t="shared" si="8"/>
        <v>517.82323449436331</v>
      </c>
      <c r="BI32" s="59">
        <f ca="1">AVERAGE(OFFSET($BH$3,0,0,'Données projet'!$E$11+1,1))-AVERAGE(OFFSET($H$3,0,0,'Données projet'!$E$11+1,1))</f>
        <v>168.08890945052406</v>
      </c>
      <c r="BJ32" s="59">
        <f t="shared" si="38"/>
        <v>182.52462557642343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6.3365194895672987</v>
      </c>
      <c r="BQ32" s="21">
        <f>EXP(-LN(2)/25)*BQ31+(1-EXP(-LN(2)/25))/(LN(2)/25)*Calculateur!BL32*Calculateur!BN32*VLOOKUP('Données projet'!$B$11,Paramètres!$A$1:$I$89,3,0)*0.475*44/12</f>
        <v>12.677550538103654</v>
      </c>
      <c r="BR32" s="21">
        <f>EXP(-LN(2)/2)*BR31+(1-EXP(-LN(2)/2))/(LN(2)/2)*BL32*BO32*VLOOKUP('Données projet'!$B$11,Paramètres!$A$1:$I$89,3,0)*0.475*44/12</f>
        <v>7.7013720119273996</v>
      </c>
      <c r="BS32" s="22">
        <f t="shared" si="9"/>
        <v>26.715442039598354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36</v>
      </c>
      <c r="N33" s="13">
        <f>IF('Données projet'!$A$36&gt;35,N32+M33-V32,IF(A33&lt;'Données projet'!$A$36,$K$205^A33,IF(A33='Données projet'!$A$36,'Données projet'!$B$36,N32+M33-V32)))</f>
        <v>279</v>
      </c>
      <c r="O33" s="13">
        <f>N33*VLOOKUP('Données projet'!$B$9,Paramètres!$A$1:$I$89,3,0)*VLOOKUP('Données projet'!$B$9,Paramètres!$A$1:$I$89,5,0)</f>
        <v>130.572</v>
      </c>
      <c r="P33" s="13">
        <f t="shared" si="33"/>
        <v>34.128497946598308</v>
      </c>
      <c r="Q33" s="20">
        <f t="shared" si="2"/>
        <v>286.85336725699204</v>
      </c>
      <c r="R33" s="59">
        <f t="shared" si="0"/>
        <v>580.18670059032536</v>
      </c>
      <c r="S33" s="59">
        <f ca="1">AVERAGE(OFFSET($R$3,0,0,'Données projet'!$E$9+1,1))-AVERAGE(OFFSET($H$3,0,0,'Données projet'!$E$9+1,1))</f>
        <v>214.51224556840771</v>
      </c>
      <c r="T33" s="59">
        <f t="shared" si="34"/>
        <v>225.78309962707215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17.718116954172771</v>
      </c>
      <c r="AB33" s="21">
        <f>EXP(-LN(2)/2)*AB32+(1-EXP(-LN(2)/2))/(LN(2)/2)*V33*Y33*VLOOKUP('Données projet'!$B$9,Paramètres!$A$1:$I$89,3,0)*0.475*44/12</f>
        <v>7.2829411529901957</v>
      </c>
      <c r="AC33" s="22">
        <f t="shared" si="3"/>
        <v>25.001058107162969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105</v>
      </c>
      <c r="AG33" s="12">
        <f>VLOOKUP(A33,'Données projet'!$A$61:$I$81,9,0)</f>
        <v>6.3</v>
      </c>
      <c r="AH33" s="12">
        <f t="array" ref="AH33">INDEX(AG:AG,MIN(IF(ISNUMBER(AG33:AG229),ROW(AG33:AG229),"")))</f>
        <v>6.3</v>
      </c>
      <c r="AI33" s="13">
        <f>IF('Données projet'!$A$62&gt;35,AI32+AH33-AQ32,IF(A33&lt;'Données projet'!$A$62,$AF$205^A33,IF(A33='Données projet'!$A$62,'Données projet'!$B$62,AI32+AH33-AQ32)))</f>
        <v>104.99999999999997</v>
      </c>
      <c r="AJ33" s="13">
        <f>AI33*VLOOKUP('Données projet'!$B$10,Paramètres!$A$1:$I$89,3,0)*VLOOKUP('Données projet'!$B$10,Paramètres!$A$1:$I$89,5,0)</f>
        <v>95.003999999999962</v>
      </c>
      <c r="AK33" s="13">
        <f t="shared" si="35"/>
        <v>25.768242550600764</v>
      </c>
      <c r="AL33" s="20">
        <f t="shared" si="4"/>
        <v>210.34498910896289</v>
      </c>
      <c r="AM33" s="59">
        <f t="shared" si="5"/>
        <v>503.67832244229623</v>
      </c>
      <c r="AN33" s="59">
        <f ca="1">AVERAGE(OFFSET($AM$3,0,0,'Données projet'!$E$10+1,1))-AVERAGE(OFFSET($H$3,0,0,'Données projet'!$E$10+1,1))</f>
        <v>237.22177246688199</v>
      </c>
      <c r="AO33" s="59">
        <f t="shared" si="36"/>
        <v>149.27472147904302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29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3.1059381724899082</v>
      </c>
      <c r="AW33" s="21">
        <f>EXP(-LN(2)/2)*AW32+(1-EXP(-LN(2)/2))/(LN(2)/2)*AQ33*AT33*VLOOKUP('Données projet'!$B$10,Paramètres!$A$1:$I$89,3,0)*0.475*44/12</f>
        <v>6.1893478544284255</v>
      </c>
      <c r="AX33" s="21">
        <f t="shared" si="6"/>
        <v>9.2952860269183333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14.833333333333334</v>
      </c>
      <c r="BD33" s="12">
        <f>IF('Données projet'!$A$88&gt;35,BD32+BC33-BL32,IF(A33&lt;'Données projet'!$A$88,$BA$205^A33,IF(A33='Données projet'!$A$88,'Données projet'!$B$88,BD32+BC33-BL32)))</f>
        <v>184.66666666666669</v>
      </c>
      <c r="BE33" s="13">
        <f>BD33*VLOOKUP('Données projet'!$B$11,Paramètres!$A$1:$I$89,3,0)*VLOOKUP('Données projet'!$B$11,Paramètres!$A$1:$I$89,5,0)</f>
        <v>110.43066666666668</v>
      </c>
      <c r="BF33" s="13">
        <f t="shared" si="37"/>
        <v>29.43242991113809</v>
      </c>
      <c r="BG33" s="20">
        <f t="shared" si="7"/>
        <v>243.5948932063433</v>
      </c>
      <c r="BH33" s="59">
        <f t="shared" si="8"/>
        <v>536.92822653967664</v>
      </c>
      <c r="BI33" s="59">
        <f ca="1">AVERAGE(OFFSET($BH$3,0,0,'Données projet'!$E$11+1,1))-AVERAGE(OFFSET($H$3,0,0,'Données projet'!$E$11+1,1))</f>
        <v>168.08890945052406</v>
      </c>
      <c r="BJ33" s="59">
        <f t="shared" si="38"/>
        <v>182.52462557642343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6.2122642072721463</v>
      </c>
      <c r="BQ33" s="21">
        <f>EXP(-LN(2)/25)*BQ32+(1-EXP(-LN(2)/25))/(LN(2)/25)*Calculateur!BL33*Calculateur!BN33*VLOOKUP('Données projet'!$B$11,Paramètres!$A$1:$I$89,3,0)*0.475*44/12</f>
        <v>12.330882251955801</v>
      </c>
      <c r="BR33" s="21">
        <f>EXP(-LN(2)/2)*BR32+(1-EXP(-LN(2)/2))/(LN(2)/2)*BL33*BO33*VLOOKUP('Données projet'!$B$11,Paramètres!$A$1:$I$89,3,0)*0.475*44/12</f>
        <v>5.4456923740741496</v>
      </c>
      <c r="BS33" s="22">
        <f t="shared" si="9"/>
        <v>23.988838833302097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>
        <f>VLOOKUP(A34,'Données projet'!$A$35:$I$55,2,0)</f>
        <v>315</v>
      </c>
      <c r="L34" s="12">
        <f>VLOOKUP(A34,'Données projet'!$A$35:$I$55,9,0)</f>
        <v>36</v>
      </c>
      <c r="M34" s="12">
        <f t="array" ref="M34">INDEX(L:L,MIN(IF(ISNUMBER(L34:L230),ROW(L34:L230),"")))</f>
        <v>36</v>
      </c>
      <c r="N34" s="13">
        <f>IF('Données projet'!$A$36&gt;35,N33+M34-V33,IF(A34&lt;'Données projet'!$A$36,$K$205^A34,IF(A34='Données projet'!$A$36,'Données projet'!$B$36,N33+M34-V33)))</f>
        <v>315</v>
      </c>
      <c r="O34" s="13">
        <f>N34*VLOOKUP('Données projet'!$B$9,Paramètres!$A$1:$I$89,3,0)*VLOOKUP('Données projet'!$B$9,Paramètres!$A$1:$I$89,5,0)</f>
        <v>147.41999999999999</v>
      </c>
      <c r="P34" s="13">
        <f t="shared" si="33"/>
        <v>37.991680647570291</v>
      </c>
      <c r="Q34" s="20">
        <f t="shared" si="2"/>
        <v>322.92534379451826</v>
      </c>
      <c r="R34" s="59">
        <f t="shared" si="0"/>
        <v>616.25867712785157</v>
      </c>
      <c r="S34" s="59">
        <f ca="1">AVERAGE(OFFSET($R$3,0,0,'Données projet'!$E$9+1,1))-AVERAGE(OFFSET($H$3,0,0,'Données projet'!$E$9+1,1))</f>
        <v>214.51224556840771</v>
      </c>
      <c r="T34" s="59">
        <f t="shared" si="34"/>
        <v>225.78309962707215</v>
      </c>
      <c r="U34" s="15">
        <f>IF(ISNA(VLOOKUP(A34,'Données projet'!$A$35:$I$55,3,0)),0,VLOOKUP(A34,'Données projet'!$A$35:$I$55,3,0))</f>
        <v>3</v>
      </c>
      <c r="V34" s="15">
        <f>IF(ISNA(VLOOKUP(A34,'Données projet'!$A$35:$I$55,4,0)),0,VLOOKUP(A34,'Données projet'!$A$35:$I$55,4,0))</f>
        <v>57</v>
      </c>
      <c r="W34" s="16">
        <f>IF(ISNA(VLOOKUP(A34,'Données projet'!$A$35:$I$55,5,0)),0%,VLOOKUP(A34,'Données projet'!$A$35:$I$55,5,0)*VLOOKUP('Données projet'!$B$9,Paramètres!$A$1:$I$89,7,0))</f>
        <v>0.11000000000000001</v>
      </c>
      <c r="X34" s="16">
        <f>IF(ISNA(VLOOKUP(A34,'Données projet'!$A$35:$I$55,6,0)),0%,VLOOKUP(A34,'Données projet'!$A$35:$I$55,6,0)*VLOOKUP('Données projet'!$B$9,Paramètres!$A$1:$I$89,7,0))</f>
        <v>0.22000000000000003</v>
      </c>
      <c r="Y34" s="16">
        <f>IF(ISNA(VLOOKUP(A34,'Données projet'!$A$35:$I$55,7,0)),0%,VLOOKUP(A34,'Données projet'!$A$35:$I$55,7,0))</f>
        <v>0.4</v>
      </c>
      <c r="Z34" s="21">
        <f>EXP(-LN(2)/35)*Z33+(1-EXP(-LN(2)/35))/(LN(2)/35)*V34*W34*VLOOKUP('Données projet'!$B$9,Paramètres!$A$1:$I$89,3,0)*0.475*44/12</f>
        <v>3.8926176754635686</v>
      </c>
      <c r="AA34" s="21">
        <f>EXP(-LN(2)/25)*AA33+(1-EXP(-LN(2)/25))/(LN(2)/25)*Calculateur!V34*Calculateur!X34*VLOOKUP('Données projet'!$B$9,Paramètres!$A$1:$I$89,3,0)*0.475*44/12</f>
        <v>24.98819602724895</v>
      </c>
      <c r="AB34" s="21">
        <f>EXP(-LN(2)/2)*AB33+(1-EXP(-LN(2)/2))/(LN(2)/2)*V34*Y34*VLOOKUP('Données projet'!$B$9,Paramètres!$A$1:$I$89,3,0)*0.475*44/12</f>
        <v>17.231188583788345</v>
      </c>
      <c r="AC34" s="22">
        <f t="shared" si="3"/>
        <v>46.112002286500868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8.1999999999999993</v>
      </c>
      <c r="AI34" s="13">
        <f>IF('Données projet'!$A$62&gt;35,AI33+AH34-AQ33,IF(A34&lt;'Données projet'!$A$62,$AF$205^A34,IF(A34='Données projet'!$A$62,'Données projet'!$B$62,AI33+AH34-AQ33)))</f>
        <v>84.199999999999974</v>
      </c>
      <c r="AJ34" s="13">
        <f>AI34*VLOOKUP('Données projet'!$B$10,Paramètres!$A$1:$I$89,3,0)*VLOOKUP('Données projet'!$B$10,Paramètres!$A$1:$I$89,5,0)</f>
        <v>76.184159999999977</v>
      </c>
      <c r="AK34" s="13">
        <f t="shared" si="35"/>
        <v>21.201554232857205</v>
      </c>
      <c r="AL34" s="20">
        <f t="shared" si="4"/>
        <v>169.61345228889294</v>
      </c>
      <c r="AM34" s="59">
        <f t="shared" si="5"/>
        <v>462.94678562222623</v>
      </c>
      <c r="AN34" s="59">
        <f ca="1">AVERAGE(OFFSET($AM$3,0,0,'Données projet'!$E$10+1,1))-AVERAGE(OFFSET($H$3,0,0,'Données projet'!$E$10+1,1))</f>
        <v>237.22177246688199</v>
      </c>
      <c r="AO34" s="59">
        <f t="shared" si="36"/>
        <v>149.27472147904302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3.0210061298289821</v>
      </c>
      <c r="AW34" s="21">
        <f>EXP(-LN(2)/2)*AW33+(1-EXP(-LN(2)/2))/(LN(2)/2)*AQ34*AT34*VLOOKUP('Données projet'!$B$10,Paramètres!$A$1:$I$89,3,0)*0.475*44/12</f>
        <v>4.3765298389887484</v>
      </c>
      <c r="AX34" s="21">
        <f t="shared" si="6"/>
        <v>7.3975359688177305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14.833333333333334</v>
      </c>
      <c r="BD34" s="12">
        <f>IF('Données projet'!$A$88&gt;35,BD33+BC34-BL33,IF(A34&lt;'Données projet'!$A$88,$BA$205^A34,IF(A34='Données projet'!$A$88,'Données projet'!$B$88,BD33+BC34-BL33)))</f>
        <v>199.50000000000003</v>
      </c>
      <c r="BE34" s="13">
        <f>BD34*VLOOKUP('Données projet'!$B$11,Paramètres!$A$1:$I$89,3,0)*VLOOKUP('Données projet'!$B$11,Paramètres!$A$1:$I$89,5,0)</f>
        <v>119.30100000000002</v>
      </c>
      <c r="BF34" s="13">
        <f t="shared" si="37"/>
        <v>31.51191363312137</v>
      </c>
      <c r="BG34" s="20">
        <f t="shared" si="7"/>
        <v>262.66582457768635</v>
      </c>
      <c r="BH34" s="59">
        <f t="shared" si="8"/>
        <v>555.99915791101967</v>
      </c>
      <c r="BI34" s="59">
        <f ca="1">AVERAGE(OFFSET($BH$3,0,0,'Données projet'!$E$11+1,1))-AVERAGE(OFFSET($H$3,0,0,'Données projet'!$E$11+1,1))</f>
        <v>168.08890945052406</v>
      </c>
      <c r="BJ34" s="59">
        <f t="shared" si="38"/>
        <v>182.52462557642343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6.0904454952745626</v>
      </c>
      <c r="BQ34" s="21">
        <f>EXP(-LN(2)/25)*BQ33+(1-EXP(-LN(2)/25))/(LN(2)/25)*Calculateur!BL34*Calculateur!BN34*VLOOKUP('Données projet'!$B$11,Paramètres!$A$1:$I$89,3,0)*0.475*44/12</f>
        <v>11.993693628323154</v>
      </c>
      <c r="BR34" s="21">
        <f>EXP(-LN(2)/2)*BR33+(1-EXP(-LN(2)/2))/(LN(2)/2)*BL34*BO34*VLOOKUP('Données projet'!$B$11,Paramètres!$A$1:$I$89,3,0)*0.475*44/12</f>
        <v>3.8506860059637007</v>
      </c>
      <c r="BS34" s="22">
        <f t="shared" si="9"/>
        <v>21.934825129561418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37.5</v>
      </c>
      <c r="N35" s="13">
        <f>IF('Données projet'!$A$36&gt;35,N34+M35-V34,IF(A35&lt;'Données projet'!$A$36,$K$205^A35,IF(A35='Données projet'!$A$36,'Données projet'!$B$36,N34+M35-V34)))</f>
        <v>295.5</v>
      </c>
      <c r="O35" s="13">
        <f>N35*VLOOKUP('Données projet'!$B$9,Paramètres!$A$1:$I$89,3,0)*VLOOKUP('Données projet'!$B$9,Paramètres!$A$1:$I$89,5,0)</f>
        <v>138.29400000000001</v>
      </c>
      <c r="P35" s="13">
        <f t="shared" si="33"/>
        <v>35.905906413030237</v>
      </c>
      <c r="Q35" s="20">
        <f t="shared" ref="Q35:Q66" si="53">(O35+P35)*0.475*44/12</f>
        <v>303.39817033602765</v>
      </c>
      <c r="R35" s="59">
        <f t="shared" si="0"/>
        <v>596.73150366936102</v>
      </c>
      <c r="S35" s="59">
        <f ca="1">AVERAGE(OFFSET($R$3,0,0,'Données projet'!$E$9+1,1))-AVERAGE(OFFSET($H$3,0,0,'Données projet'!$E$9+1,1))</f>
        <v>214.51224556840771</v>
      </c>
      <c r="T35" s="59">
        <f t="shared" si="34"/>
        <v>225.78309962707215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3.8162858171100713</v>
      </c>
      <c r="AA35" s="21">
        <f>EXP(-LN(2)/25)*AA34+(1-EXP(-LN(2)/25))/(LN(2)/25)*Calculateur!V35*Calculateur!X35*VLOOKUP('Données projet'!$B$9,Paramètres!$A$1:$I$89,3,0)*0.475*44/12</f>
        <v>24.30489249281171</v>
      </c>
      <c r="AB35" s="21">
        <f>EXP(-LN(2)/2)*AB34+(1-EXP(-LN(2)/2))/(LN(2)/2)*V35*Y35*VLOOKUP('Données projet'!$B$9,Paramètres!$A$1:$I$89,3,0)*0.475*44/12</f>
        <v>12.184290295500961</v>
      </c>
      <c r="AC35" s="22">
        <f t="shared" si="3"/>
        <v>40.305468605422746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8.1999999999999993</v>
      </c>
      <c r="AI35" s="13">
        <f>IF('Données projet'!$A$62&gt;35,AI34+AH35-AQ34,IF(A35&lt;'Données projet'!$A$62,$AF$205^A35,IF(A35='Données projet'!$A$62,'Données projet'!$B$62,AI34+AH35-AQ34)))</f>
        <v>92.399999999999977</v>
      </c>
      <c r="AJ35" s="13">
        <f>AI35*VLOOKUP('Données projet'!$B$10,Paramètres!$A$1:$I$89,3,0)*VLOOKUP('Données projet'!$B$10,Paramètres!$A$1:$I$89,5,0)</f>
        <v>83.603519999999975</v>
      </c>
      <c r="AK35" s="13">
        <f t="shared" si="35"/>
        <v>23.015991519299678</v>
      </c>
      <c r="AL35" s="20">
        <f t="shared" si="4"/>
        <v>185.69564922944687</v>
      </c>
      <c r="AM35" s="59">
        <f t="shared" si="5"/>
        <v>479.02898256278019</v>
      </c>
      <c r="AN35" s="59">
        <f ca="1">AVERAGE(OFFSET($AM$3,0,0,'Données projet'!$E$10+1,1))-AVERAGE(OFFSET($H$3,0,0,'Données projet'!$E$10+1,1))</f>
        <v>237.22177246688199</v>
      </c>
      <c r="AO35" s="59">
        <f t="shared" si="36"/>
        <v>149.27472147904302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2.938396558341001</v>
      </c>
      <c r="AW35" s="21">
        <f>EXP(-LN(2)/2)*AW34+(1-EXP(-LN(2)/2))/(LN(2)/2)*AQ35*AT35*VLOOKUP('Données projet'!$B$10,Paramètres!$A$1:$I$89,3,0)*0.475*44/12</f>
        <v>3.0946739272142132</v>
      </c>
      <c r="AX35" s="21">
        <f t="shared" si="6"/>
        <v>6.0330704855552142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14.833333333333334</v>
      </c>
      <c r="BD35" s="12">
        <f>IF('Données projet'!$A$88&gt;35,BD34+BC35-BL34,IF(A35&lt;'Données projet'!$A$88,$BA$205^A35,IF(A35='Données projet'!$A$88,'Données projet'!$B$88,BD34+BC35-BL34)))</f>
        <v>214.33333333333337</v>
      </c>
      <c r="BE35" s="13">
        <f>BD35*VLOOKUP('Données projet'!$B$11,Paramètres!$A$1:$I$89,3,0)*VLOOKUP('Données projet'!$B$11,Paramètres!$A$1:$I$89,5,0)</f>
        <v>128.17133333333337</v>
      </c>
      <c r="BF35" s="13">
        <f t="shared" si="37"/>
        <v>33.5734603980111</v>
      </c>
      <c r="BG35" s="20">
        <f t="shared" si="7"/>
        <v>281.70551574875822</v>
      </c>
      <c r="BH35" s="59">
        <f t="shared" si="8"/>
        <v>575.03884908209147</v>
      </c>
      <c r="BI35" s="59">
        <f ca="1">AVERAGE(OFFSET($BH$3,0,0,'Données projet'!$E$11+1,1))-AVERAGE(OFFSET($H$3,0,0,'Données projet'!$E$11+1,1))</f>
        <v>168.08890945052406</v>
      </c>
      <c r="BJ35" s="59">
        <f t="shared" si="38"/>
        <v>182.52462557642343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5.9710155739171737</v>
      </c>
      <c r="BQ35" s="21">
        <f>EXP(-LN(2)/25)*BQ34+(1-EXP(-LN(2)/25))/(LN(2)/25)*Calculateur!BL35*Calculateur!BN35*VLOOKUP('Données projet'!$B$11,Paramètres!$A$1:$I$89,3,0)*0.475*44/12</f>
        <v>11.66572544533572</v>
      </c>
      <c r="BR35" s="21">
        <f>EXP(-LN(2)/2)*BR34+(1-EXP(-LN(2)/2))/(LN(2)/2)*BL35*BO35*VLOOKUP('Données projet'!$B$11,Paramètres!$A$1:$I$89,3,0)*0.475*44/12</f>
        <v>2.7228461870370753</v>
      </c>
      <c r="BS35" s="22">
        <f t="shared" si="9"/>
        <v>20.359587206289969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37.5</v>
      </c>
      <c r="N36" s="13">
        <f>IF('Données projet'!$A$36&gt;35,N35+M36-V35,IF(A36&lt;'Données projet'!$A$36,$K$205^A36,IF(A36='Données projet'!$A$36,'Données projet'!$B$36,N35+M36-V35)))</f>
        <v>333</v>
      </c>
      <c r="O36" s="13">
        <f>N36*VLOOKUP('Données projet'!$B$9,Paramètres!$A$1:$I$89,3,0)*VLOOKUP('Données projet'!$B$9,Paramètres!$A$1:$I$89,5,0)</f>
        <v>155.84399999999999</v>
      </c>
      <c r="P36" s="13">
        <f t="shared" si="33"/>
        <v>39.903687010744221</v>
      </c>
      <c r="Q36" s="20">
        <f t="shared" si="53"/>
        <v>340.92722154371285</v>
      </c>
      <c r="R36" s="59">
        <f t="shared" si="0"/>
        <v>634.26055487704616</v>
      </c>
      <c r="S36" s="59">
        <f ca="1">AVERAGE(OFFSET($R$3,0,0,'Données projet'!$E$9+1,1))-AVERAGE(OFFSET($H$3,0,0,'Données projet'!$E$9+1,1))</f>
        <v>214.51224556840771</v>
      </c>
      <c r="T36" s="59">
        <f t="shared" si="34"/>
        <v>225.78309962707215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3.7414507799410495</v>
      </c>
      <c r="AA36" s="21">
        <f>EXP(-LN(2)/25)*AA35+(1-EXP(-LN(2)/25))/(LN(2)/25)*Calculateur!V36*Calculateur!X36*VLOOKUP('Données projet'!$B$9,Paramètres!$A$1:$I$89,3,0)*0.475*44/12</f>
        <v>23.640273929457027</v>
      </c>
      <c r="AB36" s="21">
        <f>EXP(-LN(2)/2)*AB35+(1-EXP(-LN(2)/2))/(LN(2)/2)*V36*Y36*VLOOKUP('Données projet'!$B$9,Paramètres!$A$1:$I$89,3,0)*0.475*44/12</f>
        <v>8.6155942918941726</v>
      </c>
      <c r="AC36" s="22">
        <f t="shared" si="3"/>
        <v>35.997319001292254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8.1999999999999993</v>
      </c>
      <c r="AI36" s="13">
        <f>IF('Données projet'!$A$62&gt;35,AI35+AH36-AQ35,IF(A36&lt;'Données projet'!$A$62,$AF$205^A36,IF(A36='Données projet'!$A$62,'Données projet'!$B$62,AI35+AH36-AQ35)))</f>
        <v>100.59999999999998</v>
      </c>
      <c r="AJ36" s="13">
        <f>AI36*VLOOKUP('Données projet'!$B$10,Paramètres!$A$1:$I$89,3,0)*VLOOKUP('Données projet'!$B$10,Paramètres!$A$1:$I$89,5,0)</f>
        <v>91.022879999999972</v>
      </c>
      <c r="AK36" s="13">
        <f t="shared" si="35"/>
        <v>24.811756526220293</v>
      </c>
      <c r="AL36" s="20">
        <f t="shared" si="4"/>
        <v>201.74532528316695</v>
      </c>
      <c r="AM36" s="59">
        <f t="shared" si="5"/>
        <v>495.07865861650026</v>
      </c>
      <c r="AN36" s="59">
        <f ca="1">AVERAGE(OFFSET($AM$3,0,0,'Données projet'!$E$10+1,1))-AVERAGE(OFFSET($H$3,0,0,'Données projet'!$E$10+1,1))</f>
        <v>237.22177246688199</v>
      </c>
      <c r="AO36" s="59">
        <f t="shared" si="36"/>
        <v>149.27472147904302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2.8580459499296071</v>
      </c>
      <c r="AW36" s="21">
        <f>EXP(-LN(2)/2)*AW35+(1-EXP(-LN(2)/2))/(LN(2)/2)*AQ36*AT36*VLOOKUP('Données projet'!$B$10,Paramètres!$A$1:$I$89,3,0)*0.475*44/12</f>
        <v>2.1882649194943746</v>
      </c>
      <c r="AX36" s="21">
        <f t="shared" si="6"/>
        <v>5.0463108694239818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14.833333333333334</v>
      </c>
      <c r="BD36" s="12">
        <f>IF('Données projet'!$A$88&gt;35,BD35+BC36-BL35,IF(A36&lt;'Données projet'!$A$88,$BA$205^A36,IF(A36='Données projet'!$A$88,'Données projet'!$B$88,BD35+BC36-BL35)))</f>
        <v>229.16666666666671</v>
      </c>
      <c r="BE36" s="13">
        <f>BD36*VLOOKUP('Données projet'!$B$11,Paramètres!$A$1:$I$89,3,0)*VLOOKUP('Données projet'!$B$11,Paramètres!$A$1:$I$89,5,0)</f>
        <v>137.04166666666671</v>
      </c>
      <c r="BF36" s="13">
        <f t="shared" si="37"/>
        <v>35.618452776877568</v>
      </c>
      <c r="BG36" s="20">
        <f t="shared" si="7"/>
        <v>300.7163746975063</v>
      </c>
      <c r="BH36" s="59">
        <f t="shared" si="8"/>
        <v>594.04970803083961</v>
      </c>
      <c r="BI36" s="59">
        <f ca="1">AVERAGE(OFFSET($BH$3,0,0,'Données projet'!$E$11+1,1))-AVERAGE(OFFSET($H$3,0,0,'Données projet'!$E$11+1,1))</f>
        <v>168.08890945052406</v>
      </c>
      <c r="BJ36" s="59">
        <f t="shared" si="38"/>
        <v>182.52462557642343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5.8539276004725442</v>
      </c>
      <c r="BQ36" s="21">
        <f>EXP(-LN(2)/25)*BQ35+(1-EXP(-LN(2)/25))/(LN(2)/25)*Calculateur!BL36*Calculateur!BN36*VLOOKUP('Données projet'!$B$11,Paramètres!$A$1:$I$89,3,0)*0.475*44/12</f>
        <v>11.346725569559176</v>
      </c>
      <c r="BR36" s="21">
        <f>EXP(-LN(2)/2)*BR35+(1-EXP(-LN(2)/2))/(LN(2)/2)*BL36*BO36*VLOOKUP('Données projet'!$B$11,Paramètres!$A$1:$I$89,3,0)*0.475*44/12</f>
        <v>1.9253430029818506</v>
      </c>
      <c r="BS36" s="22">
        <f t="shared" si="9"/>
        <v>19.125996173013572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37.5</v>
      </c>
      <c r="N37" s="13">
        <f>IF('Données projet'!$A$36&gt;35,N36+M37-V36,IF(A37&lt;'Données projet'!$A$36,$K$205^A37,IF(A37='Données projet'!$A$36,'Données projet'!$B$36,N36+M37-V36)))</f>
        <v>370.5</v>
      </c>
      <c r="O37" s="13">
        <f>N37*VLOOKUP('Données projet'!$B$9,Paramètres!$A$1:$I$89,3,0)*VLOOKUP('Données projet'!$B$9,Paramètres!$A$1:$I$89,5,0)</f>
        <v>173.39400000000001</v>
      </c>
      <c r="P37" s="13">
        <f t="shared" si="33"/>
        <v>43.849289930196633</v>
      </c>
      <c r="Q37" s="20">
        <f t="shared" si="53"/>
        <v>378.36539662842574</v>
      </c>
      <c r="R37" s="59">
        <f t="shared" si="0"/>
        <v>671.698729961759</v>
      </c>
      <c r="S37" s="59">
        <f ca="1">AVERAGE(OFFSET($R$3,0,0,'Données projet'!$E$9+1,1))-AVERAGE(OFFSET($H$3,0,0,'Données projet'!$E$9+1,1))</f>
        <v>214.51224556840771</v>
      </c>
      <c r="T37" s="59">
        <f t="shared" si="34"/>
        <v>225.78309962707215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3.6680832122060467</v>
      </c>
      <c r="AA37" s="21">
        <f>EXP(-LN(2)/25)*AA36+(1-EXP(-LN(2)/25))/(LN(2)/25)*Calculateur!V37*Calculateur!X37*VLOOKUP('Données projet'!$B$9,Paramètres!$A$1:$I$89,3,0)*0.475*44/12</f>
        <v>22.993829395668051</v>
      </c>
      <c r="AB37" s="21">
        <f>EXP(-LN(2)/2)*AB36+(1-EXP(-LN(2)/2))/(LN(2)/2)*V37*Y37*VLOOKUP('Données projet'!$B$9,Paramètres!$A$1:$I$89,3,0)*0.475*44/12</f>
        <v>6.0921451477504807</v>
      </c>
      <c r="AC37" s="22">
        <f t="shared" si="3"/>
        <v>32.754057755624579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8.1999999999999993</v>
      </c>
      <c r="AI37" s="13">
        <f>IF('Données projet'!$A$62&gt;35,AI36+AH37-AQ36,IF(A37&lt;'Données projet'!$A$62,$AF$205^A37,IF(A37='Données projet'!$A$62,'Données projet'!$B$62,AI36+AH37-AQ36)))</f>
        <v>108.79999999999998</v>
      </c>
      <c r="AJ37" s="13">
        <f>AI37*VLOOKUP('Données projet'!$B$10,Paramètres!$A$1:$I$89,3,0)*VLOOKUP('Données projet'!$B$10,Paramètres!$A$1:$I$89,5,0)</f>
        <v>98.442239999999984</v>
      </c>
      <c r="AK37" s="13">
        <f t="shared" si="35"/>
        <v>26.590544283900247</v>
      </c>
      <c r="AL37" s="20">
        <f t="shared" si="4"/>
        <v>217.76543262779288</v>
      </c>
      <c r="AM37" s="59">
        <f t="shared" si="5"/>
        <v>511.09876596112622</v>
      </c>
      <c r="AN37" s="59">
        <f ca="1">AVERAGE(OFFSET($AM$3,0,0,'Données projet'!$E$10+1,1))-AVERAGE(OFFSET($H$3,0,0,'Données projet'!$E$10+1,1))</f>
        <v>237.22177246688199</v>
      </c>
      <c r="AO37" s="59">
        <f t="shared" si="36"/>
        <v>149.27472147904302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2.7798925331306776</v>
      </c>
      <c r="AW37" s="21">
        <f>EXP(-LN(2)/2)*AW36+(1-EXP(-LN(2)/2))/(LN(2)/2)*AQ37*AT37*VLOOKUP('Données projet'!$B$10,Paramètres!$A$1:$I$89,3,0)*0.475*44/12</f>
        <v>1.5473369636071068</v>
      </c>
      <c r="AX37" s="21">
        <f t="shared" si="6"/>
        <v>4.3272294967377842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244</v>
      </c>
      <c r="BB37" s="12">
        <f>VLOOKUP(A37,'Données projet'!$A$87:$I$107,9,0)</f>
        <v>14.833333333333334</v>
      </c>
      <c r="BC37" s="12">
        <f t="array" ref="BC37">INDEX(BB:BB,MIN(IF(ISNUMBER(BB37:BB233),ROW(BB37:BB233),"")))</f>
        <v>14.833333333333334</v>
      </c>
      <c r="BD37" s="12">
        <f>IF('Données projet'!$A$88&gt;35,BD36+BC37-BL36,IF(A37&lt;'Données projet'!$A$88,$BA$205^A37,IF(A37='Données projet'!$A$88,'Données projet'!$B$88,BD36+BC37-BL36)))</f>
        <v>244.00000000000006</v>
      </c>
      <c r="BE37" s="13">
        <f>BD37*VLOOKUP('Données projet'!$B$11,Paramètres!$A$1:$I$89,3,0)*VLOOKUP('Données projet'!$B$11,Paramètres!$A$1:$I$89,5,0)</f>
        <v>145.91200000000006</v>
      </c>
      <c r="BF37" s="13">
        <f t="shared" si="37"/>
        <v>37.648084239987625</v>
      </c>
      <c r="BG37" s="20">
        <f t="shared" si="7"/>
        <v>319.7004800513119</v>
      </c>
      <c r="BH37" s="59">
        <f t="shared" si="8"/>
        <v>613.03381338464521</v>
      </c>
      <c r="BI37" s="59">
        <f ca="1">AVERAGE(OFFSET($BH$3,0,0,'Données projet'!$E$11+1,1))-AVERAGE(OFFSET($H$3,0,0,'Données projet'!$E$11+1,1))</f>
        <v>168.08890945052406</v>
      </c>
      <c r="BJ37" s="59">
        <f t="shared" si="38"/>
        <v>182.52462557642343</v>
      </c>
      <c r="BK37" s="15">
        <f>IF(ISNA(VLOOKUP(A37,'Données projet'!$A$87:$I$107,3,0)),0,VLOOKUP(A37,'Données projet'!$A$87:$I$107,3,0))</f>
        <v>5</v>
      </c>
      <c r="BL37" s="15">
        <f>IF(ISNA(VLOOKUP(A37,'Données projet'!$A$87:$I$107,4,0)),0,VLOOKUP(A37,'Données projet'!$A$87:$I$107,4,0))</f>
        <v>46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5.7391356507705522</v>
      </c>
      <c r="BQ37" s="21">
        <f>EXP(-LN(2)/25)*BQ36+(1-EXP(-LN(2)/25))/(LN(2)/25)*Calculateur!BL37*Calculateur!BN37*VLOOKUP('Données projet'!$B$11,Paramètres!$A$1:$I$89,3,0)*0.475*44/12</f>
        <v>11.036448762161216</v>
      </c>
      <c r="BR37" s="21">
        <f>EXP(-LN(2)/2)*BR36+(1-EXP(-LN(2)/2))/(LN(2)/2)*BL37*BO37*VLOOKUP('Données projet'!$B$11,Paramètres!$A$1:$I$89,3,0)*0.475*44/12</f>
        <v>1.3614230935185379</v>
      </c>
      <c r="BS37" s="22">
        <f t="shared" si="9"/>
        <v>18.137007506450306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408</v>
      </c>
      <c r="L38" s="12">
        <f>VLOOKUP(A38,'Données projet'!$A$35:$I$55,9,0)</f>
        <v>37.5</v>
      </c>
      <c r="M38" s="12">
        <f t="array" ref="M38">INDEX(L:L,MIN(IF(ISNUMBER(L38:L234),ROW(L38:L234),"")))</f>
        <v>37.5</v>
      </c>
      <c r="N38" s="13">
        <f>IF('Données projet'!$A$36&gt;35,N37+M38-V37,IF(A38&lt;'Données projet'!$A$36,$K$205^A38,IF(A38='Données projet'!$A$36,'Données projet'!$B$36,N37+M38-V37)))</f>
        <v>408</v>
      </c>
      <c r="O38" s="13">
        <f>N38*VLOOKUP('Données projet'!$B$9,Paramètres!$A$1:$I$89,3,0)*VLOOKUP('Données projet'!$B$9,Paramètres!$A$1:$I$89,5,0)</f>
        <v>190.94399999999999</v>
      </c>
      <c r="P38" s="13">
        <f t="shared" si="33"/>
        <v>47.748597609826597</v>
      </c>
      <c r="Q38" s="20">
        <f t="shared" si="53"/>
        <v>415.72294083711455</v>
      </c>
      <c r="R38" s="59">
        <f t="shared" si="0"/>
        <v>709.05627417044786</v>
      </c>
      <c r="S38" s="59">
        <f ca="1">AVERAGE(OFFSET($R$3,0,0,'Données projet'!$E$9+1,1))-AVERAGE(OFFSET($H$3,0,0,'Données projet'!$E$9+1,1))</f>
        <v>214.51224556840771</v>
      </c>
      <c r="T38" s="59">
        <f t="shared" si="34"/>
        <v>225.78309962707215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64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3.5961543377245295</v>
      </c>
      <c r="AA38" s="21">
        <f>EXP(-LN(2)/25)*AA37+(1-EXP(-LN(2)/25))/(LN(2)/25)*Calculateur!V38*Calculateur!X38*VLOOKUP('Données projet'!$B$9,Paramètres!$A$1:$I$89,3,0)*0.475*44/12</f>
        <v>22.365061921650572</v>
      </c>
      <c r="AB38" s="21">
        <f>EXP(-LN(2)/2)*AB37+(1-EXP(-LN(2)/2))/(LN(2)/2)*V38*Y38*VLOOKUP('Données projet'!$B$9,Paramètres!$A$1:$I$89,3,0)*0.475*44/12</f>
        <v>4.3077971459470863</v>
      </c>
      <c r="AC38" s="22">
        <f t="shared" si="3"/>
        <v>30.269013405322184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8.1999999999999993</v>
      </c>
      <c r="AI38" s="13">
        <f>IF('Données projet'!$A$62&gt;35,AI37+AH38-AQ37,IF(A38&lt;'Données projet'!$A$62,$AF$205^A38,IF(A38='Données projet'!$A$62,'Données projet'!$B$62,AI37+AH38-AQ37)))</f>
        <v>116.99999999999999</v>
      </c>
      <c r="AJ38" s="13">
        <f>AI38*VLOOKUP('Données projet'!$B$10,Paramètres!$A$1:$I$89,3,0)*VLOOKUP('Données projet'!$B$10,Paramètres!$A$1:$I$89,5,0)</f>
        <v>105.86159999999998</v>
      </c>
      <c r="AK38" s="13">
        <f t="shared" si="35"/>
        <v>28.353779818951288</v>
      </c>
      <c r="AL38" s="20">
        <f t="shared" si="4"/>
        <v>233.75845318467347</v>
      </c>
      <c r="AM38" s="59">
        <f t="shared" si="5"/>
        <v>527.09178651800676</v>
      </c>
      <c r="AN38" s="59">
        <f ca="1">AVERAGE(OFFSET($AM$3,0,0,'Données projet'!$E$10+1,1))-AVERAGE(OFFSET($H$3,0,0,'Données projet'!$E$10+1,1))</f>
        <v>237.22177246688199</v>
      </c>
      <c r="AO38" s="59">
        <f t="shared" si="36"/>
        <v>149.27472147904302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2.7038762256240245</v>
      </c>
      <c r="AW38" s="21">
        <f>EXP(-LN(2)/2)*AW37+(1-EXP(-LN(2)/2))/(LN(2)/2)*AQ38*AT38*VLOOKUP('Données projet'!$B$10,Paramètres!$A$1:$I$89,3,0)*0.475*44/12</f>
        <v>1.0941324597471873</v>
      </c>
      <c r="AX38" s="21">
        <f t="shared" si="6"/>
        <v>3.7980086853712116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12.833333333333334</v>
      </c>
      <c r="BD38" s="12">
        <f>IF('Données projet'!$A$88&gt;35,BD37+BC38-BL37,IF(A38&lt;'Données projet'!$A$88,$BA$205^A38,IF(A38='Données projet'!$A$88,'Données projet'!$B$88,BD37+BC38-BL37)))</f>
        <v>210.83333333333337</v>
      </c>
      <c r="BE38" s="13">
        <f>BD38*VLOOKUP('Données projet'!$B$11,Paramètres!$A$1:$I$89,3,0)*VLOOKUP('Données projet'!$B$11,Paramètres!$A$1:$I$89,5,0)</f>
        <v>126.07833333333336</v>
      </c>
      <c r="BF38" s="13">
        <f t="shared" si="37"/>
        <v>33.08856817390501</v>
      </c>
      <c r="BG38" s="20">
        <f t="shared" si="7"/>
        <v>277.21568679177352</v>
      </c>
      <c r="BH38" s="59">
        <f t="shared" si="8"/>
        <v>570.54902012510684</v>
      </c>
      <c r="BI38" s="59">
        <f ca="1">AVERAGE(OFFSET($BH$3,0,0,'Données projet'!$E$11+1,1))-AVERAGE(OFFSET($H$3,0,0,'Données projet'!$E$11+1,1))</f>
        <v>168.08890945052406</v>
      </c>
      <c r="BJ38" s="59">
        <f t="shared" si="38"/>
        <v>182.52462557642343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5.6265947011860407</v>
      </c>
      <c r="BQ38" s="21">
        <f>EXP(-LN(2)/25)*BQ37+(1-EXP(-LN(2)/25))/(LN(2)/25)*Calculateur!BL38*Calculateur!BN38*VLOOKUP('Données projet'!$B$11,Paramètres!$A$1:$I$89,3,0)*0.475*44/12</f>
        <v>10.734656490378301</v>
      </c>
      <c r="BR38" s="21">
        <f>EXP(-LN(2)/2)*BR37+(1-EXP(-LN(2)/2))/(LN(2)/2)*BL38*BO38*VLOOKUP('Données projet'!$B$11,Paramètres!$A$1:$I$89,3,0)*0.475*44/12</f>
        <v>0.9626715014909254</v>
      </c>
      <c r="BS38" s="22">
        <f t="shared" si="9"/>
        <v>17.323922693055266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35.75</v>
      </c>
      <c r="N39" s="13">
        <f>IF('Données projet'!$A$36&gt;35,N38+M39-V38,IF(A39&lt;'Données projet'!$A$36,$K$205^A39,IF(A39='Données projet'!$A$36,'Données projet'!$B$36,N38+M39-V38)))</f>
        <v>379.75</v>
      </c>
      <c r="O39" s="13">
        <f>N39*VLOOKUP('Données projet'!$B$9,Paramètres!$A$1:$I$89,3,0)*VLOOKUP('Données projet'!$B$9,Paramètres!$A$1:$I$89,5,0)</f>
        <v>177.72300000000001</v>
      </c>
      <c r="P39" s="13">
        <f t="shared" si="33"/>
        <v>44.815220883057329</v>
      </c>
      <c r="Q39" s="20">
        <f t="shared" si="53"/>
        <v>387.58740137132486</v>
      </c>
      <c r="R39" s="59">
        <f t="shared" si="0"/>
        <v>680.92073470465812</v>
      </c>
      <c r="S39" s="59">
        <f ca="1">AVERAGE(OFFSET($R$3,0,0,'Données projet'!$E$9+1,1))-AVERAGE(OFFSET($H$3,0,0,'Données projet'!$E$9+1,1))</f>
        <v>214.51224556840771</v>
      </c>
      <c r="T39" s="59">
        <f t="shared" si="34"/>
        <v>225.78309962707215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3.5256359445993137</v>
      </c>
      <c r="AA39" s="21">
        <f>EXP(-LN(2)/25)*AA38+(1-EXP(-LN(2)/25))/(LN(2)/25)*Calculateur!V39*Calculateur!X39*VLOOKUP('Données projet'!$B$9,Paramètres!$A$1:$I$89,3,0)*0.475*44/12</f>
        <v>21.753488127275546</v>
      </c>
      <c r="AB39" s="21">
        <f>EXP(-LN(2)/2)*AB38+(1-EXP(-LN(2)/2))/(LN(2)/2)*V39*Y39*VLOOKUP('Données projet'!$B$9,Paramètres!$A$1:$I$89,3,0)*0.475*44/12</f>
        <v>3.0460725738752403</v>
      </c>
      <c r="AC39" s="22">
        <f t="shared" si="3"/>
        <v>28.325196645750101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8.1999999999999993</v>
      </c>
      <c r="AI39" s="13">
        <f>IF('Données projet'!$A$62&gt;35,AI38+AH39-AQ38,IF(A39&lt;'Données projet'!$A$62,$AF$205^A39,IF(A39='Données projet'!$A$62,'Données projet'!$B$62,AI38+AH39-AQ38)))</f>
        <v>125.19999999999999</v>
      </c>
      <c r="AJ39" s="13">
        <f>AI39*VLOOKUP('Données projet'!$B$10,Paramètres!$A$1:$I$89,3,0)*VLOOKUP('Données projet'!$B$10,Paramètres!$A$1:$I$89,5,0)</f>
        <v>113.28095999999998</v>
      </c>
      <c r="AK39" s="13">
        <f t="shared" si="35"/>
        <v>30.102677097724456</v>
      </c>
      <c r="AL39" s="20">
        <f t="shared" si="4"/>
        <v>249.72650127853672</v>
      </c>
      <c r="AM39" s="59">
        <f t="shared" si="5"/>
        <v>543.05983461186997</v>
      </c>
      <c r="AN39" s="59">
        <f ca="1">AVERAGE(OFFSET($AM$3,0,0,'Données projet'!$E$10+1,1))-AVERAGE(OFFSET($H$3,0,0,'Données projet'!$E$10+1,1))</f>
        <v>237.22177246688199</v>
      </c>
      <c r="AO39" s="59">
        <f t="shared" si="36"/>
        <v>149.27472147904302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2.6299385880436645</v>
      </c>
      <c r="AW39" s="21">
        <f>EXP(-LN(2)/2)*AW38+(1-EXP(-LN(2)/2))/(LN(2)/2)*AQ39*AT39*VLOOKUP('Données projet'!$B$10,Paramètres!$A$1:$I$89,3,0)*0.475*44/12</f>
        <v>0.77366848180355341</v>
      </c>
      <c r="AX39" s="21">
        <f t="shared" si="6"/>
        <v>3.4036070698472178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12.833333333333334</v>
      </c>
      <c r="BD39" s="12">
        <f>IF('Données projet'!$A$88&gt;35,BD38+BC39-BL38,IF(A39&lt;'Données projet'!$A$88,$BA$205^A39,IF(A39='Données projet'!$A$88,'Données projet'!$B$88,BD38+BC39-BL38)))</f>
        <v>223.66666666666671</v>
      </c>
      <c r="BE39" s="13">
        <f>BD39*VLOOKUP('Données projet'!$B$11,Paramètres!$A$1:$I$89,3,0)*VLOOKUP('Données projet'!$B$11,Paramètres!$A$1:$I$89,5,0)</f>
        <v>133.75266666666673</v>
      </c>
      <c r="BF39" s="13">
        <f t="shared" si="37"/>
        <v>34.86204901776788</v>
      </c>
      <c r="BG39" s="20">
        <f t="shared" si="7"/>
        <v>293.67062981705698</v>
      </c>
      <c r="BH39" s="59">
        <f t="shared" si="8"/>
        <v>587.00396315039029</v>
      </c>
      <c r="BI39" s="59">
        <f ca="1">AVERAGE(OFFSET($BH$3,0,0,'Données projet'!$E$11+1,1))-AVERAGE(OFFSET($H$3,0,0,'Données projet'!$E$11+1,1))</f>
        <v>168.08890945052406</v>
      </c>
      <c r="BJ39" s="59">
        <f t="shared" si="38"/>
        <v>182.52462557642343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5.5162606109796801</v>
      </c>
      <c r="BQ39" s="21">
        <f>EXP(-LN(2)/25)*BQ38+(1-EXP(-LN(2)/25))/(LN(2)/25)*Calculateur!BL39*Calculateur!BN39*VLOOKUP('Données projet'!$B$11,Paramètres!$A$1:$I$89,3,0)*0.475*44/12</f>
        <v>10.441116744137856</v>
      </c>
      <c r="BR39" s="21">
        <f>EXP(-LN(2)/2)*BR38+(1-EXP(-LN(2)/2))/(LN(2)/2)*BL39*BO39*VLOOKUP('Données projet'!$B$11,Paramètres!$A$1:$I$89,3,0)*0.475*44/12</f>
        <v>0.68071154675926904</v>
      </c>
      <c r="BS39" s="22">
        <f t="shared" si="9"/>
        <v>16.638088901876806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35.75</v>
      </c>
      <c r="N40" s="13">
        <f>IF('Données projet'!$A$36&gt;35,N39+M40-V39,IF(A40&lt;'Données projet'!$A$36,$K$205^A40,IF(A40='Données projet'!$A$36,'Données projet'!$B$36,N39+M40-V39)))</f>
        <v>415.5</v>
      </c>
      <c r="O40" s="13">
        <f>N40*VLOOKUP('Données projet'!$B$9,Paramètres!$A$1:$I$89,3,0)*VLOOKUP('Données projet'!$B$9,Paramètres!$A$1:$I$89,5,0)</f>
        <v>194.45399999999998</v>
      </c>
      <c r="P40" s="13">
        <f t="shared" si="33"/>
        <v>48.52333711074219</v>
      </c>
      <c r="Q40" s="20">
        <f t="shared" si="53"/>
        <v>423.18552880120927</v>
      </c>
      <c r="R40" s="59">
        <f t="shared" si="0"/>
        <v>716.51886213454259</v>
      </c>
      <c r="S40" s="59">
        <f ca="1">AVERAGE(OFFSET($R$3,0,0,'Données projet'!$E$9+1,1))-AVERAGE(OFFSET($H$3,0,0,'Données projet'!$E$9+1,1))</f>
        <v>214.51224556840771</v>
      </c>
      <c r="T40" s="59">
        <f t="shared" si="34"/>
        <v>225.78309962707215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3.4565003741513105</v>
      </c>
      <c r="AA40" s="21">
        <f>EXP(-LN(2)/25)*AA39+(1-EXP(-LN(2)/25))/(LN(2)/25)*Calculateur!V40*Calculateur!X40*VLOOKUP('Données projet'!$B$9,Paramètres!$A$1:$I$89,3,0)*0.475*44/12</f>
        <v>21.158637850468974</v>
      </c>
      <c r="AB40" s="21">
        <f>EXP(-LN(2)/2)*AB39+(1-EXP(-LN(2)/2))/(LN(2)/2)*V40*Y40*VLOOKUP('Données projet'!$B$9,Paramètres!$A$1:$I$89,3,0)*0.475*44/12</f>
        <v>2.1538985729735431</v>
      </c>
      <c r="AC40" s="22">
        <f t="shared" si="3"/>
        <v>26.769036797593827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8.1999999999999993</v>
      </c>
      <c r="AI40" s="13">
        <f>IF('Données projet'!$A$62&gt;35,AI39+AH40-AQ39,IF(A40&lt;'Données projet'!$A$62,$AF$205^A40,IF(A40='Données projet'!$A$62,'Données projet'!$B$62,AI39+AH40-AQ39)))</f>
        <v>133.39999999999998</v>
      </c>
      <c r="AJ40" s="13">
        <f>AI40*VLOOKUP('Données projet'!$B$10,Paramètres!$A$1:$I$89,3,0)*VLOOKUP('Données projet'!$B$10,Paramètres!$A$1:$I$89,5,0)</f>
        <v>120.70031999999998</v>
      </c>
      <c r="AK40" s="13">
        <f t="shared" si="35"/>
        <v>31.838282075030818</v>
      </c>
      <c r="AL40" s="20">
        <f t="shared" si="4"/>
        <v>265.67139861401193</v>
      </c>
      <c r="AM40" s="59">
        <f t="shared" si="5"/>
        <v>559.00473194734525</v>
      </c>
      <c r="AN40" s="59">
        <f ca="1">AVERAGE(OFFSET($AM$3,0,0,'Données projet'!$E$10+1,1))-AVERAGE(OFFSET($H$3,0,0,'Données projet'!$E$10+1,1))</f>
        <v>237.22177246688199</v>
      </c>
      <c r="AO40" s="59">
        <f t="shared" si="36"/>
        <v>149.27472147904302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2.5580227790511509</v>
      </c>
      <c r="AW40" s="21">
        <f>EXP(-LN(2)/2)*AW39+(1-EXP(-LN(2)/2))/(LN(2)/2)*AQ40*AT40*VLOOKUP('Données projet'!$B$10,Paramètres!$A$1:$I$89,3,0)*0.475*44/12</f>
        <v>0.54706622987359366</v>
      </c>
      <c r="AX40" s="21">
        <f t="shared" si="6"/>
        <v>3.1050890089247445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12.833333333333334</v>
      </c>
      <c r="BD40" s="12">
        <f>IF('Données projet'!$A$88&gt;35,BD39+BC40-BL39,IF(A40&lt;'Données projet'!$A$88,$BA$205^A40,IF(A40='Données projet'!$A$88,'Données projet'!$B$88,BD39+BC40-BL39)))</f>
        <v>236.50000000000006</v>
      </c>
      <c r="BE40" s="13">
        <f>BD40*VLOOKUP('Données projet'!$B$11,Paramètres!$A$1:$I$89,3,0)*VLOOKUP('Données projet'!$B$11,Paramètres!$A$1:$I$89,5,0)</f>
        <v>141.42700000000005</v>
      </c>
      <c r="BF40" s="13">
        <f t="shared" si="37"/>
        <v>36.623717959686019</v>
      </c>
      <c r="BG40" s="20">
        <f t="shared" si="7"/>
        <v>310.10500044645323</v>
      </c>
      <c r="BH40" s="59">
        <f t="shared" si="8"/>
        <v>603.43833377978649</v>
      </c>
      <c r="BI40" s="59">
        <f ca="1">AVERAGE(OFFSET($BH$3,0,0,'Données projet'!$E$11+1,1))-AVERAGE(OFFSET($H$3,0,0,'Données projet'!$E$11+1,1))</f>
        <v>168.08890945052406</v>
      </c>
      <c r="BJ40" s="59">
        <f t="shared" si="38"/>
        <v>182.52462557642343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5.4080901049851162</v>
      </c>
      <c r="BQ40" s="21">
        <f>EXP(-LN(2)/25)*BQ39+(1-EXP(-LN(2)/25))/(LN(2)/25)*Calculateur!BL40*Calculateur!BN40*VLOOKUP('Données projet'!$B$11,Paramètres!$A$1:$I$89,3,0)*0.475*44/12</f>
        <v>10.15560385769494</v>
      </c>
      <c r="BR40" s="21">
        <f>EXP(-LN(2)/2)*BR39+(1-EXP(-LN(2)/2))/(LN(2)/2)*BL40*BO40*VLOOKUP('Données projet'!$B$11,Paramètres!$A$1:$I$89,3,0)*0.475*44/12</f>
        <v>0.48133575074546281</v>
      </c>
      <c r="BS40" s="22">
        <f t="shared" si="9"/>
        <v>16.045029713425517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35.75</v>
      </c>
      <c r="N41" s="13">
        <f>IF('Données projet'!$A$36&gt;35,N40+M41-V40,IF(A41&lt;'Données projet'!$A$36,$K$205^A41,IF(A41='Données projet'!$A$36,'Données projet'!$B$36,N40+M41-V40)))</f>
        <v>451.25</v>
      </c>
      <c r="O41" s="13">
        <f>N41*VLOOKUP('Données projet'!$B$9,Paramètres!$A$1:$I$89,3,0)*VLOOKUP('Données projet'!$B$9,Paramètres!$A$1:$I$89,5,0)</f>
        <v>211.185</v>
      </c>
      <c r="P41" s="13">
        <f t="shared" si="33"/>
        <v>52.194453146878672</v>
      </c>
      <c r="Q41" s="20">
        <f t="shared" si="53"/>
        <v>458.71921423081375</v>
      </c>
      <c r="R41" s="59">
        <f t="shared" si="0"/>
        <v>752.05254756414706</v>
      </c>
      <c r="S41" s="59">
        <f ca="1">AVERAGE(OFFSET($R$3,0,0,'Données projet'!$E$9+1,1))-AVERAGE(OFFSET($H$3,0,0,'Données projet'!$E$9+1,1))</f>
        <v>214.51224556840771</v>
      </c>
      <c r="T41" s="59">
        <f t="shared" si="34"/>
        <v>225.78309962707215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3.3887205100712583</v>
      </c>
      <c r="AA41" s="21">
        <f>EXP(-LN(2)/25)*AA40+(1-EXP(-LN(2)/25))/(LN(2)/25)*Calculateur!V41*Calculateur!X41*VLOOKUP('Données projet'!$B$9,Paramètres!$A$1:$I$89,3,0)*0.475*44/12</f>
        <v>20.580053785763493</v>
      </c>
      <c r="AB41" s="21">
        <f>EXP(-LN(2)/2)*AB40+(1-EXP(-LN(2)/2))/(LN(2)/2)*V41*Y41*VLOOKUP('Données projet'!$B$9,Paramètres!$A$1:$I$89,3,0)*0.475*44/12</f>
        <v>1.5230362869376202</v>
      </c>
      <c r="AC41" s="22">
        <f t="shared" si="3"/>
        <v>25.491810582772374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8.1999999999999993</v>
      </c>
      <c r="AI41" s="13">
        <f>IF('Données projet'!$A$62&gt;35,AI40+AH41-AQ40,IF(A41&lt;'Données projet'!$A$62,$AF$205^A41,IF(A41='Données projet'!$A$62,'Données projet'!$B$62,AI40+AH41-AQ40)))</f>
        <v>141.59999999999997</v>
      </c>
      <c r="AJ41" s="13">
        <f>AI41*VLOOKUP('Données projet'!$B$10,Paramètres!$A$1:$I$89,3,0)*VLOOKUP('Données projet'!$B$10,Paramètres!$A$1:$I$89,5,0)</f>
        <v>128.11967999999996</v>
      </c>
      <c r="AK41" s="13">
        <f t="shared" si="35"/>
        <v>33.561504850994297</v>
      </c>
      <c r="AL41" s="20">
        <f t="shared" si="4"/>
        <v>281.5947302821483</v>
      </c>
      <c r="AM41" s="59">
        <f t="shared" si="5"/>
        <v>574.92806361548162</v>
      </c>
      <c r="AN41" s="59">
        <f ca="1">AVERAGE(OFFSET($AM$3,0,0,'Données projet'!$E$10+1,1))-AVERAGE(OFFSET($H$3,0,0,'Données projet'!$E$10+1,1))</f>
        <v>237.22177246688199</v>
      </c>
      <c r="AO41" s="59">
        <f t="shared" si="36"/>
        <v>149.27472147904302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2.4880735116374257</v>
      </c>
      <c r="AW41" s="21">
        <f>EXP(-LN(2)/2)*AW40+(1-EXP(-LN(2)/2))/(LN(2)/2)*AQ41*AT41*VLOOKUP('Données projet'!$B$10,Paramètres!$A$1:$I$89,3,0)*0.475*44/12</f>
        <v>0.3868342409017767</v>
      </c>
      <c r="AX41" s="21">
        <f t="shared" si="6"/>
        <v>2.8749077525392024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12.833333333333334</v>
      </c>
      <c r="BD41" s="12">
        <f>IF('Données projet'!$A$88&gt;35,BD40+BC41-BL40,IF(A41&lt;'Données projet'!$A$88,$BA$205^A41,IF(A41='Données projet'!$A$88,'Données projet'!$B$88,BD40+BC41-BL40)))</f>
        <v>249.3333333333334</v>
      </c>
      <c r="BE41" s="13">
        <f>BD41*VLOOKUP('Données projet'!$B$11,Paramètres!$A$1:$I$89,3,0)*VLOOKUP('Données projet'!$B$11,Paramètres!$A$1:$I$89,5,0)</f>
        <v>149.1013333333334</v>
      </c>
      <c r="BF41" s="13">
        <f t="shared" si="37"/>
        <v>38.37428902704788</v>
      </c>
      <c r="BG41" s="20">
        <f t="shared" si="7"/>
        <v>326.52004227766406</v>
      </c>
      <c r="BH41" s="59">
        <f t="shared" si="8"/>
        <v>619.85337561099732</v>
      </c>
      <c r="BI41" s="59">
        <f ca="1">AVERAGE(OFFSET($BH$3,0,0,'Données projet'!$E$11+1,1))-AVERAGE(OFFSET($H$3,0,0,'Données projet'!$E$11+1,1))</f>
        <v>168.08890945052406</v>
      </c>
      <c r="BJ41" s="59">
        <f t="shared" si="38"/>
        <v>182.52462557642343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5.3020407566356118</v>
      </c>
      <c r="BQ41" s="21">
        <f>EXP(-LN(2)/25)*BQ40+(1-EXP(-LN(2)/25))/(LN(2)/25)*Calculateur!BL41*Calculateur!BN41*VLOOKUP('Données projet'!$B$11,Paramètres!$A$1:$I$89,3,0)*0.475*44/12</f>
        <v>9.8778983361462753</v>
      </c>
      <c r="BR41" s="21">
        <f>EXP(-LN(2)/2)*BR40+(1-EXP(-LN(2)/2))/(LN(2)/2)*BL41*BO41*VLOOKUP('Données projet'!$B$11,Paramètres!$A$1:$I$89,3,0)*0.475*44/12</f>
        <v>0.34035577337963457</v>
      </c>
      <c r="BS41" s="22">
        <f t="shared" si="9"/>
        <v>15.520294866161521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>
        <f>VLOOKUP(A42,'Données projet'!$A$35:$I$55,2,0)</f>
        <v>487</v>
      </c>
      <c r="L42" s="12">
        <f>VLOOKUP(A42,'Données projet'!$A$35:$I$55,9,0)</f>
        <v>35.75</v>
      </c>
      <c r="M42" s="12">
        <f t="array" ref="M42">INDEX(L:L,MIN(IF(ISNUMBER(L42:L238),ROW(L42:L238),"")))</f>
        <v>35.75</v>
      </c>
      <c r="N42" s="13">
        <f>IF('Données projet'!$A$36&gt;35,N41+M42-V41,IF(A42&lt;'Données projet'!$A$36,$K$205^A42,IF(A42='Données projet'!$A$36,'Données projet'!$B$36,N41+M42-V41)))</f>
        <v>487</v>
      </c>
      <c r="O42" s="13">
        <f>N42*VLOOKUP('Données projet'!$B$9,Paramètres!$A$1:$I$89,3,0)*VLOOKUP('Données projet'!$B$9,Paramètres!$A$1:$I$89,5,0)</f>
        <v>227.916</v>
      </c>
      <c r="P42" s="13">
        <f t="shared" si="33"/>
        <v>55.831833576509503</v>
      </c>
      <c r="Q42" s="20">
        <f t="shared" si="53"/>
        <v>494.19414347908742</v>
      </c>
      <c r="R42" s="59">
        <f t="shared" si="0"/>
        <v>787.52747681242067</v>
      </c>
      <c r="S42" s="59">
        <f ca="1">AVERAGE(OFFSET($R$3,0,0,'Données projet'!$E$9+1,1))-AVERAGE(OFFSET($H$3,0,0,'Données projet'!$E$9+1,1))</f>
        <v>214.51224556840771</v>
      </c>
      <c r="T42" s="59">
        <f t="shared" si="34"/>
        <v>225.78309962707215</v>
      </c>
      <c r="U42" s="15">
        <f>IF(ISNA(VLOOKUP(A42,'Données projet'!$A$35:$I$55,3,0)),0,VLOOKUP(A42,'Données projet'!$A$35:$I$55,3,0))</f>
        <v>5</v>
      </c>
      <c r="V42" s="15">
        <f>IF(ISNA(VLOOKUP(A42,'Données projet'!$A$35:$I$55,4,0)),0,VLOOKUP(A42,'Données projet'!$A$35:$I$55,4,0))</f>
        <v>50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3.322269767784181</v>
      </c>
      <c r="AA42" s="21">
        <f>EXP(-LN(2)/25)*AA41+(1-EXP(-LN(2)/25))/(LN(2)/25)*Calculateur!V42*Calculateur!X42*VLOOKUP('Données projet'!$B$9,Paramètres!$A$1:$I$89,3,0)*0.475*44/12</f>
        <v>20.017291132733799</v>
      </c>
      <c r="AB42" s="21">
        <f>EXP(-LN(2)/2)*AB41+(1-EXP(-LN(2)/2))/(LN(2)/2)*V42*Y42*VLOOKUP('Données projet'!$B$9,Paramètres!$A$1:$I$89,3,0)*0.475*44/12</f>
        <v>1.0769492864867716</v>
      </c>
      <c r="AC42" s="22">
        <f t="shared" si="3"/>
        <v>24.416510187004754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8.1999999999999993</v>
      </c>
      <c r="AI42" s="13">
        <f>IF('Données projet'!$A$62&gt;35,AI41+AH42-AQ41,IF(A42&lt;'Données projet'!$A$62,$AF$205^A42,IF(A42='Données projet'!$A$62,'Données projet'!$B$62,AI41+AH42-AQ41)))</f>
        <v>149.79999999999995</v>
      </c>
      <c r="AJ42" s="13">
        <f>AI42*VLOOKUP('Données projet'!$B$10,Paramètres!$A$1:$I$89,3,0)*VLOOKUP('Données projet'!$B$10,Paramètres!$A$1:$I$89,5,0)</f>
        <v>135.53903999999997</v>
      </c>
      <c r="AK42" s="13">
        <f t="shared" si="35"/>
        <v>35.273144164630104</v>
      </c>
      <c r="AL42" s="20">
        <f t="shared" si="4"/>
        <v>297.49788742006405</v>
      </c>
      <c r="AM42" s="59">
        <f t="shared" si="5"/>
        <v>590.83122075339736</v>
      </c>
      <c r="AN42" s="59">
        <f ca="1">AVERAGE(OFFSET($AM$3,0,0,'Données projet'!$E$10+1,1))-AVERAGE(OFFSET($H$3,0,0,'Données projet'!$E$10+1,1))</f>
        <v>237.22177246688199</v>
      </c>
      <c r="AO42" s="59">
        <f t="shared" si="36"/>
        <v>149.27472147904302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2.420037010619601</v>
      </c>
      <c r="AW42" s="21">
        <f>EXP(-LN(2)/2)*AW41+(1-EXP(-LN(2)/2))/(LN(2)/2)*AQ42*AT42*VLOOKUP('Données projet'!$B$10,Paramètres!$A$1:$I$89,3,0)*0.475*44/12</f>
        <v>0.27353311493679683</v>
      </c>
      <c r="AX42" s="21">
        <f t="shared" si="6"/>
        <v>2.693570125556398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12.833333333333334</v>
      </c>
      <c r="BD42" s="12">
        <f>IF('Données projet'!$A$88&gt;35,BD41+BC42-BL41,IF(A42&lt;'Données projet'!$A$88,$BA$205^A42,IF(A42='Données projet'!$A$88,'Données projet'!$B$88,BD41+BC42-BL41)))</f>
        <v>262.16666666666674</v>
      </c>
      <c r="BE42" s="13">
        <f>BD42*VLOOKUP('Données projet'!$B$11,Paramètres!$A$1:$I$89,3,0)*VLOOKUP('Données projet'!$B$11,Paramètres!$A$1:$I$89,5,0)</f>
        <v>156.77566666666672</v>
      </c>
      <c r="BF42" s="13">
        <f t="shared" si="37"/>
        <v>40.114398592763365</v>
      </c>
      <c r="BG42" s="20">
        <f t="shared" si="7"/>
        <v>342.9168636601741</v>
      </c>
      <c r="BH42" s="59">
        <f t="shared" si="8"/>
        <v>636.25019699350742</v>
      </c>
      <c r="BI42" s="59">
        <f ca="1">AVERAGE(OFFSET($BH$3,0,0,'Données projet'!$E$11+1,1))-AVERAGE(OFFSET($H$3,0,0,'Données projet'!$E$11+1,1))</f>
        <v>168.08890945052406</v>
      </c>
      <c r="BJ42" s="59">
        <f t="shared" si="38"/>
        <v>182.52462557642343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5.1980709713235251</v>
      </c>
      <c r="BQ42" s="21">
        <f>EXP(-LN(2)/25)*BQ41+(1-EXP(-LN(2)/25))/(LN(2)/25)*Calculateur!BL42*Calculateur!BN42*VLOOKUP('Données projet'!$B$11,Paramètres!$A$1:$I$89,3,0)*0.475*44/12</f>
        <v>9.6077866866882573</v>
      </c>
      <c r="BR42" s="21">
        <f>EXP(-LN(2)/2)*BR41+(1-EXP(-LN(2)/2))/(LN(2)/2)*BL42*BO42*VLOOKUP('Données projet'!$B$11,Paramètres!$A$1:$I$89,3,0)*0.475*44/12</f>
        <v>0.24066787537273143</v>
      </c>
      <c r="BS42" s="22">
        <f t="shared" si="9"/>
        <v>15.046525533384512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31.8</v>
      </c>
      <c r="N43" s="13">
        <f>IF('Données projet'!$A$36&gt;35,N42+M43-V42,IF(A43&lt;'Données projet'!$A$36,$K$205^A43,IF(A43='Données projet'!$A$36,'Données projet'!$B$36,N42+M43-V42)))</f>
        <v>468.79999999999995</v>
      </c>
      <c r="O43" s="13">
        <f>N43*VLOOKUP('Données projet'!$B$9,Paramètres!$A$1:$I$89,3,0)*VLOOKUP('Données projet'!$B$9,Paramètres!$A$1:$I$89,5,0)</f>
        <v>219.39839999999998</v>
      </c>
      <c r="P43" s="13">
        <f t="shared" si="33"/>
        <v>53.984110102082042</v>
      </c>
      <c r="Q43" s="20">
        <f t="shared" si="53"/>
        <v>476.14120509445956</v>
      </c>
      <c r="R43" s="59">
        <f t="shared" si="0"/>
        <v>769.47453842779282</v>
      </c>
      <c r="S43" s="59">
        <f ca="1">AVERAGE(OFFSET($R$3,0,0,'Données projet'!$E$9+1,1))-AVERAGE(OFFSET($H$3,0,0,'Données projet'!$E$9+1,1))</f>
        <v>214.51224556840771</v>
      </c>
      <c r="T43" s="59">
        <f t="shared" si="34"/>
        <v>225.78309962707215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3.2571220840224027</v>
      </c>
      <c r="AA43" s="21">
        <f>EXP(-LN(2)/25)*AA42+(1-EXP(-LN(2)/25))/(LN(2)/25)*Calculateur!V43*Calculateur!X43*VLOOKUP('Données projet'!$B$9,Paramètres!$A$1:$I$89,3,0)*0.475*44/12</f>
        <v>19.469917254045605</v>
      </c>
      <c r="AB43" s="21">
        <f>EXP(-LN(2)/2)*AB42+(1-EXP(-LN(2)/2))/(LN(2)/2)*V43*Y43*VLOOKUP('Données projet'!$B$9,Paramètres!$A$1:$I$89,3,0)*0.475*44/12</f>
        <v>0.76151814346881008</v>
      </c>
      <c r="AC43" s="22">
        <f t="shared" si="3"/>
        <v>23.488557481536816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158</v>
      </c>
      <c r="AG43" s="12">
        <f>VLOOKUP(A43,'Données projet'!$A$61:$I$81,9,0)</f>
        <v>8.1999999999999993</v>
      </c>
      <c r="AH43" s="12">
        <f t="array" ref="AH43">INDEX(AG:AG,MIN(IF(ISNUMBER(AG43:AG239),ROW(AG43:AG239),"")))</f>
        <v>8.1999999999999993</v>
      </c>
      <c r="AI43" s="13">
        <f>IF('Données projet'!$A$62&gt;35,AI42+AH43-AQ42,IF(A43&lt;'Données projet'!$A$62,$AF$205^A43,IF(A43='Données projet'!$A$62,'Données projet'!$B$62,AI42+AH43-AQ42)))</f>
        <v>157.99999999999994</v>
      </c>
      <c r="AJ43" s="13">
        <f>AI43*VLOOKUP('Données projet'!$B$10,Paramètres!$A$1:$I$89,3,0)*VLOOKUP('Données projet'!$B$10,Paramètres!$A$1:$I$89,5,0)</f>
        <v>142.95839999999993</v>
      </c>
      <c r="AK43" s="13">
        <f t="shared" si="35"/>
        <v>36.973906370811264</v>
      </c>
      <c r="AL43" s="20">
        <f t="shared" si="4"/>
        <v>313.38210026249618</v>
      </c>
      <c r="AM43" s="59">
        <f t="shared" si="5"/>
        <v>606.7154335958295</v>
      </c>
      <c r="AN43" s="59">
        <f ca="1">AVERAGE(OFFSET($AM$3,0,0,'Données projet'!$E$10+1,1))-AVERAGE(OFFSET($H$3,0,0,'Données projet'!$E$10+1,1))</f>
        <v>237.22177246688199</v>
      </c>
      <c r="AO43" s="59">
        <f t="shared" si="36"/>
        <v>149.27472147904302</v>
      </c>
      <c r="AP43" s="15">
        <f>IF(ISNA(VLOOKUP(A43,'Données projet'!$A$61:$I$81,3,0)),0,VLOOKUP(A43,'Données projet'!$A$61:$I$81,3,0))</f>
        <v>2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2.3538609712999925</v>
      </c>
      <c r="AW43" s="21">
        <f>EXP(-LN(2)/2)*AW42+(1-EXP(-LN(2)/2))/(LN(2)/2)*AQ43*AT43*VLOOKUP('Données projet'!$B$10,Paramètres!$A$1:$I$89,3,0)*0.475*44/12</f>
        <v>0.19341712045088835</v>
      </c>
      <c r="AX43" s="21">
        <f t="shared" si="6"/>
        <v>2.547278091750881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275</v>
      </c>
      <c r="BB43" s="12">
        <f>VLOOKUP(A43,'Données projet'!$A$87:$I$107,9,0)</f>
        <v>12.833333333333334</v>
      </c>
      <c r="BC43" s="12">
        <f t="array" ref="BC43">INDEX(BB:BB,MIN(IF(ISNUMBER(BB43:BB239),ROW(BB43:BB239),"")))</f>
        <v>12.833333333333334</v>
      </c>
      <c r="BD43" s="12">
        <f>IF('Données projet'!$A$88&gt;35,BD42+BC43-BL42,IF(A43&lt;'Données projet'!$A$88,$BA$205^A43,IF(A43='Données projet'!$A$88,'Données projet'!$B$88,BD42+BC43-BL42)))</f>
        <v>275.00000000000006</v>
      </c>
      <c r="BE43" s="13">
        <f>BD43*VLOOKUP('Données projet'!$B$11,Paramètres!$A$1:$I$89,3,0)*VLOOKUP('Données projet'!$B$11,Paramètres!$A$1:$I$89,5,0)</f>
        <v>164.45000000000005</v>
      </c>
      <c r="BF43" s="13">
        <f t="shared" si="37"/>
        <v>41.844617207687371</v>
      </c>
      <c r="BG43" s="20">
        <f t="shared" si="7"/>
        <v>359.29645830338887</v>
      </c>
      <c r="BH43" s="59">
        <f t="shared" si="8"/>
        <v>652.62979163672219</v>
      </c>
      <c r="BI43" s="59">
        <f ca="1">AVERAGE(OFFSET($BH$3,0,0,'Données projet'!$E$11+1,1))-AVERAGE(OFFSET($H$3,0,0,'Données projet'!$E$11+1,1))</f>
        <v>168.08890945052406</v>
      </c>
      <c r="BJ43" s="59">
        <f t="shared" si="38"/>
        <v>182.52462557642343</v>
      </c>
      <c r="BK43" s="15">
        <f>IF(ISNA(VLOOKUP(A43,'Données projet'!$A$87:$I$107,3,0)),0,VLOOKUP(A43,'Données projet'!$A$87:$I$107,3,0))</f>
        <v>6</v>
      </c>
      <c r="BL43" s="15">
        <f>IF(ISNA(VLOOKUP(A43,'Données projet'!$A$87:$I$107,4,0)),0,VLOOKUP(A43,'Données projet'!$A$87:$I$107,4,0))</f>
        <v>41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5.0961399700861012</v>
      </c>
      <c r="BQ43" s="21">
        <f>EXP(-LN(2)/25)*BQ42+(1-EXP(-LN(2)/25))/(LN(2)/25)*Calculateur!BL43*Calculateur!BN43*VLOOKUP('Données projet'!$B$11,Paramètres!$A$1:$I$89,3,0)*0.475*44/12</f>
        <v>9.3450612544892238</v>
      </c>
      <c r="BR43" s="21">
        <f>EXP(-LN(2)/2)*BR42+(1-EXP(-LN(2)/2))/(LN(2)/2)*BL43*BO43*VLOOKUP('Données projet'!$B$11,Paramètres!$A$1:$I$89,3,0)*0.475*44/12</f>
        <v>0.17017788668981731</v>
      </c>
      <c r="BS43" s="22">
        <f t="shared" si="9"/>
        <v>14.611379111265142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31.8</v>
      </c>
      <c r="N44" s="13">
        <f>IF('Données projet'!$A$36&gt;35,N43+M44-V43,IF(A44&lt;'Données projet'!$A$36,$K$205^A44,IF(A44='Données projet'!$A$36,'Données projet'!$B$36,N43+M44-V43)))</f>
        <v>500.59999999999997</v>
      </c>
      <c r="O44" s="13">
        <f>N44*VLOOKUP('Données projet'!$B$9,Paramètres!$A$1:$I$89,3,0)*VLOOKUP('Données projet'!$B$9,Paramètres!$A$1:$I$89,5,0)</f>
        <v>234.28079999999997</v>
      </c>
      <c r="P44" s="13">
        <f t="shared" si="33"/>
        <v>57.207294807077886</v>
      </c>
      <c r="Q44" s="20">
        <f t="shared" si="53"/>
        <v>507.67509845566065</v>
      </c>
      <c r="R44" s="59">
        <f t="shared" si="0"/>
        <v>801.0084317889939</v>
      </c>
      <c r="S44" s="59">
        <f ca="1">AVERAGE(OFFSET($R$3,0,0,'Données projet'!$E$9+1,1))-AVERAGE(OFFSET($H$3,0,0,'Données projet'!$E$9+1,1))</f>
        <v>214.51224556840771</v>
      </c>
      <c r="T44" s="59">
        <f t="shared" si="34"/>
        <v>225.78309962707215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3.1932519066030292</v>
      </c>
      <c r="AA44" s="21">
        <f>EXP(-LN(2)/25)*AA43+(1-EXP(-LN(2)/25))/(LN(2)/25)*Calculateur!V44*Calculateur!X44*VLOOKUP('Données projet'!$B$9,Paramètres!$A$1:$I$89,3,0)*0.475*44/12</f>
        <v>18.937511342855277</v>
      </c>
      <c r="AB44" s="21">
        <f>EXP(-LN(2)/2)*AB43+(1-EXP(-LN(2)/2))/(LN(2)/2)*V44*Y44*VLOOKUP('Données projet'!$B$9,Paramètres!$A$1:$I$89,3,0)*0.475*44/12</f>
        <v>0.53847464324338579</v>
      </c>
      <c r="AC44" s="22">
        <f t="shared" si="3"/>
        <v>22.669237892701691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8.3000000000000007</v>
      </c>
      <c r="AI44" s="13">
        <f>IF('Données projet'!$A$62&gt;35,AI43+AH44-AQ43,IF(A44&lt;'Données projet'!$A$62,$AF$205^A44,IF(A44='Données projet'!$A$62,'Données projet'!$B$62,AI43+AH44-AQ43)))</f>
        <v>124.29999999999995</v>
      </c>
      <c r="AJ44" s="13">
        <f>AI44*VLOOKUP('Données projet'!$B$10,Paramètres!$A$1:$I$89,3,0)*VLOOKUP('Données projet'!$B$10,Paramètres!$A$1:$I$89,5,0)</f>
        <v>112.46663999999996</v>
      </c>
      <c r="AK44" s="13">
        <f t="shared" si="35"/>
        <v>29.911391992758421</v>
      </c>
      <c r="AL44" s="20">
        <f t="shared" si="4"/>
        <v>247.97507238738748</v>
      </c>
      <c r="AM44" s="59">
        <f t="shared" si="5"/>
        <v>541.30840572072077</v>
      </c>
      <c r="AN44" s="59">
        <f ca="1">AVERAGE(OFFSET($AM$3,0,0,'Données projet'!$E$10+1,1))-AVERAGE(OFFSET($H$3,0,0,'Données projet'!$E$10+1,1))</f>
        <v>237.22177246688199</v>
      </c>
      <c r="AO44" s="59">
        <f t="shared" si="36"/>
        <v>149.27472147904302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2.2894945192556255</v>
      </c>
      <c r="AW44" s="21">
        <f>EXP(-LN(2)/2)*AW43+(1-EXP(-LN(2)/2))/(LN(2)/2)*AQ44*AT44*VLOOKUP('Données projet'!$B$10,Paramètres!$A$1:$I$89,3,0)*0.475*44/12</f>
        <v>0.13676655746839841</v>
      </c>
      <c r="AX44" s="21">
        <f t="shared" si="6"/>
        <v>2.4262610767240238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9.8333333333333339</v>
      </c>
      <c r="BD44" s="12">
        <f>IF('Données projet'!$A$88&gt;35,BD43+BC44-BL43,IF(A44&lt;'Données projet'!$A$88,$BA$205^A44,IF(A44='Données projet'!$A$88,'Données projet'!$B$88,BD43+BC44-BL43)))</f>
        <v>243.83333333333337</v>
      </c>
      <c r="BE44" s="13">
        <f>BD44*VLOOKUP('Données projet'!$B$11,Paramètres!$A$1:$I$89,3,0)*VLOOKUP('Données projet'!$B$11,Paramètres!$A$1:$I$89,5,0)</f>
        <v>145.81233333333336</v>
      </c>
      <c r="BF44" s="13">
        <f t="shared" si="37"/>
        <v>37.625360763194948</v>
      </c>
      <c r="BG44" s="20">
        <f t="shared" si="7"/>
        <v>319.4873172181201</v>
      </c>
      <c r="BH44" s="59">
        <f t="shared" si="8"/>
        <v>612.82065055145335</v>
      </c>
      <c r="BI44" s="59">
        <f ca="1">AVERAGE(OFFSET($BH$3,0,0,'Données projet'!$E$11+1,1))-AVERAGE(OFFSET($H$3,0,0,'Données projet'!$E$11+1,1))</f>
        <v>168.08890945052406</v>
      </c>
      <c r="BJ44" s="59">
        <f t="shared" si="38"/>
        <v>182.52462557642343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4.9962077736111716</v>
      </c>
      <c r="BQ44" s="21">
        <f>EXP(-LN(2)/25)*BQ43+(1-EXP(-LN(2)/25))/(LN(2)/25)*Calculateur!BL44*Calculateur!BN44*VLOOKUP('Données projet'!$B$11,Paramètres!$A$1:$I$89,3,0)*0.475*44/12</f>
        <v>9.0895200630498039</v>
      </c>
      <c r="BR44" s="21">
        <f>EXP(-LN(2)/2)*BR43+(1-EXP(-LN(2)/2))/(LN(2)/2)*BL44*BO44*VLOOKUP('Données projet'!$B$11,Paramètres!$A$1:$I$89,3,0)*0.475*44/12</f>
        <v>0.12033393768636574</v>
      </c>
      <c r="BS44" s="22">
        <f t="shared" si="9"/>
        <v>14.206061774347342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31.8</v>
      </c>
      <c r="N45" s="13">
        <f>IF('Données projet'!$A$36&gt;35,N44+M45-V44,IF(A45&lt;'Données projet'!$A$36,$K$205^A45,IF(A45='Données projet'!$A$36,'Données projet'!$B$36,N44+M45-V44)))</f>
        <v>532.4</v>
      </c>
      <c r="O45" s="13">
        <f>N45*VLOOKUP('Données projet'!$B$9,Paramètres!$A$1:$I$89,3,0)*VLOOKUP('Données projet'!$B$9,Paramètres!$A$1:$I$89,5,0)</f>
        <v>249.16319999999999</v>
      </c>
      <c r="P45" s="13">
        <f t="shared" si="33"/>
        <v>60.406717776063964</v>
      </c>
      <c r="Q45" s="20">
        <f t="shared" si="53"/>
        <v>539.16760679331139</v>
      </c>
      <c r="R45" s="59">
        <f t="shared" si="0"/>
        <v>832.50094012664476</v>
      </c>
      <c r="S45" s="59">
        <f ca="1">AVERAGE(OFFSET($R$3,0,0,'Données projet'!$E$9+1,1))-AVERAGE(OFFSET($H$3,0,0,'Données projet'!$E$9+1,1))</f>
        <v>214.51224556840771</v>
      </c>
      <c r="T45" s="59">
        <f t="shared" si="34"/>
        <v>225.78309962707215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3.130634184405888</v>
      </c>
      <c r="AA45" s="21">
        <f>EXP(-LN(2)/25)*AA44+(1-EXP(-LN(2)/25))/(LN(2)/25)*Calculateur!V45*Calculateur!X45*VLOOKUP('Données projet'!$B$9,Paramètres!$A$1:$I$89,3,0)*0.475*44/12</f>
        <v>18.419664099304459</v>
      </c>
      <c r="AB45" s="21">
        <f>EXP(-LN(2)/2)*AB44+(1-EXP(-LN(2)/2))/(LN(2)/2)*V45*Y45*VLOOKUP('Données projet'!$B$9,Paramètres!$A$1:$I$89,3,0)*0.475*44/12</f>
        <v>0.38075907173440504</v>
      </c>
      <c r="AC45" s="22">
        <f t="shared" si="3"/>
        <v>21.931057355444754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8.3000000000000007</v>
      </c>
      <c r="AI45" s="13">
        <f>IF('Données projet'!$A$62&gt;35,AI44+AH45-AQ44,IF(A45&lt;'Données projet'!$A$62,$AF$205^A45,IF(A45='Données projet'!$A$62,'Données projet'!$B$62,AI44+AH45-AQ44)))</f>
        <v>132.59999999999997</v>
      </c>
      <c r="AJ45" s="13">
        <f>AI45*VLOOKUP('Données projet'!$B$10,Paramètres!$A$1:$I$89,3,0)*VLOOKUP('Données projet'!$B$10,Paramètres!$A$1:$I$89,5,0)</f>
        <v>119.97647999999997</v>
      </c>
      <c r="AK45" s="13">
        <f t="shared" si="35"/>
        <v>31.669513577784763</v>
      </c>
      <c r="AL45" s="20">
        <f t="shared" si="4"/>
        <v>264.11677214797504</v>
      </c>
      <c r="AM45" s="59">
        <f t="shared" si="5"/>
        <v>557.45010548130836</v>
      </c>
      <c r="AN45" s="59">
        <f ca="1">AVERAGE(OFFSET($AM$3,0,0,'Données projet'!$E$10+1,1))-AVERAGE(OFFSET($H$3,0,0,'Données projet'!$E$10+1,1))</f>
        <v>237.22177246688199</v>
      </c>
      <c r="AO45" s="59">
        <f t="shared" si="36"/>
        <v>149.27472147904302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2.2268881712272965</v>
      </c>
      <c r="AW45" s="21">
        <f>EXP(-LN(2)/2)*AW44+(1-EXP(-LN(2)/2))/(LN(2)/2)*AQ45*AT45*VLOOKUP('Données projet'!$B$10,Paramètres!$A$1:$I$89,3,0)*0.475*44/12</f>
        <v>9.6708560225444176E-2</v>
      </c>
      <c r="AX45" s="21">
        <f t="shared" si="6"/>
        <v>2.3235967314527408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9.8333333333333339</v>
      </c>
      <c r="BD45" s="12">
        <f>IF('Données projet'!$A$88&gt;35,BD44+BC45-BL44,IF(A45&lt;'Données projet'!$A$88,$BA$205^A45,IF(A45='Données projet'!$A$88,'Données projet'!$B$88,BD44+BC45-BL44)))</f>
        <v>253.66666666666671</v>
      </c>
      <c r="BE45" s="13">
        <f>BD45*VLOOKUP('Données projet'!$B$11,Paramètres!$A$1:$I$89,3,0)*VLOOKUP('Données projet'!$B$11,Paramètres!$A$1:$I$89,5,0)</f>
        <v>151.6926666666667</v>
      </c>
      <c r="BF45" s="13">
        <f t="shared" si="37"/>
        <v>38.96299861908853</v>
      </c>
      <c r="BG45" s="20">
        <f t="shared" si="7"/>
        <v>332.05861703935699</v>
      </c>
      <c r="BH45" s="59">
        <f t="shared" si="8"/>
        <v>625.3919503726903</v>
      </c>
      <c r="BI45" s="59">
        <f ca="1">AVERAGE(OFFSET($BH$3,0,0,'Données projet'!$E$11+1,1))-AVERAGE(OFFSET($H$3,0,0,'Données projet'!$E$11+1,1))</f>
        <v>168.08890945052406</v>
      </c>
      <c r="BJ45" s="59">
        <f t="shared" si="38"/>
        <v>182.52462557642343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4.8982351865564944</v>
      </c>
      <c r="BQ45" s="21">
        <f>EXP(-LN(2)/25)*BQ44+(1-EXP(-LN(2)/25))/(LN(2)/25)*Calculateur!BL45*Calculateur!BN45*VLOOKUP('Données projet'!$B$11,Paramètres!$A$1:$I$89,3,0)*0.475*44/12</f>
        <v>8.8409666589286218</v>
      </c>
      <c r="BR45" s="21">
        <f>EXP(-LN(2)/2)*BR44+(1-EXP(-LN(2)/2))/(LN(2)/2)*BL45*BO45*VLOOKUP('Données projet'!$B$11,Paramètres!$A$1:$I$89,3,0)*0.475*44/12</f>
        <v>8.5088943344908671E-2</v>
      </c>
      <c r="BS45" s="22">
        <f t="shared" si="9"/>
        <v>13.824290788830025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31.8</v>
      </c>
      <c r="N46" s="13">
        <f>IF('Données projet'!$A$36&gt;35,N45+M46-V45,IF(A46&lt;'Données projet'!$A$36,$K$205^A46,IF(A46='Données projet'!$A$36,'Données projet'!$B$36,N45+M46-V45)))</f>
        <v>564.19999999999993</v>
      </c>
      <c r="O46" s="13">
        <f>N46*VLOOKUP('Données projet'!$B$9,Paramètres!$A$1:$I$89,3,0)*VLOOKUP('Données projet'!$B$9,Paramètres!$A$1:$I$89,5,0)</f>
        <v>264.04559999999998</v>
      </c>
      <c r="P46" s="13">
        <f t="shared" si="33"/>
        <v>63.583959929973737</v>
      </c>
      <c r="Q46" s="20">
        <f t="shared" si="53"/>
        <v>570.62148354470423</v>
      </c>
      <c r="R46" s="59">
        <f t="shared" si="0"/>
        <v>863.95481687803749</v>
      </c>
      <c r="S46" s="59">
        <f ca="1">AVERAGE(OFFSET($R$3,0,0,'Données projet'!$E$9+1,1))-AVERAGE(OFFSET($H$3,0,0,'Données projet'!$E$9+1,1))</f>
        <v>214.51224556840771</v>
      </c>
      <c r="T46" s="59">
        <f t="shared" si="34"/>
        <v>225.78309962707215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3.0692443575479937</v>
      </c>
      <c r="AA46" s="21">
        <f>EXP(-LN(2)/25)*AA45+(1-EXP(-LN(2)/25))/(LN(2)/25)*Calculateur!V46*Calculateur!X46*VLOOKUP('Données projet'!$B$9,Paramètres!$A$1:$I$89,3,0)*0.475*44/12</f>
        <v>17.915977415860944</v>
      </c>
      <c r="AB46" s="21">
        <f>EXP(-LN(2)/2)*AB45+(1-EXP(-LN(2)/2))/(LN(2)/2)*V46*Y46*VLOOKUP('Données projet'!$B$9,Paramètres!$A$1:$I$89,3,0)*0.475*44/12</f>
        <v>0.26923732162169289</v>
      </c>
      <c r="AC46" s="22">
        <f t="shared" si="3"/>
        <v>21.254459095030629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8.3000000000000007</v>
      </c>
      <c r="AI46" s="13">
        <f>IF('Données projet'!$A$62&gt;35,AI45+AH46-AQ45,IF(A46&lt;'Données projet'!$A$62,$AF$205^A46,IF(A46='Données projet'!$A$62,'Données projet'!$B$62,AI45+AH46-AQ45)))</f>
        <v>140.89999999999998</v>
      </c>
      <c r="AJ46" s="13">
        <f>AI46*VLOOKUP('Données projet'!$B$10,Paramètres!$A$1:$I$89,3,0)*VLOOKUP('Données projet'!$B$10,Paramètres!$A$1:$I$89,5,0)</f>
        <v>127.48631999999998</v>
      </c>
      <c r="AK46" s="13">
        <f t="shared" si="35"/>
        <v>33.414863287066048</v>
      </c>
      <c r="AL46" s="20">
        <f t="shared" si="4"/>
        <v>280.23622755830667</v>
      </c>
      <c r="AM46" s="59">
        <f t="shared" si="5"/>
        <v>573.56956089163998</v>
      </c>
      <c r="AN46" s="59">
        <f ca="1">AVERAGE(OFFSET($AM$3,0,0,'Données projet'!$E$10+1,1))-AVERAGE(OFFSET($H$3,0,0,'Données projet'!$E$10+1,1))</f>
        <v>237.22177246688199</v>
      </c>
      <c r="AO46" s="59">
        <f t="shared" si="36"/>
        <v>149.27472147904302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2.1659937970781269</v>
      </c>
      <c r="AW46" s="21">
        <f>EXP(-LN(2)/2)*AW45+(1-EXP(-LN(2)/2))/(LN(2)/2)*AQ46*AT46*VLOOKUP('Données projet'!$B$10,Paramètres!$A$1:$I$89,3,0)*0.475*44/12</f>
        <v>6.8383278734199207E-2</v>
      </c>
      <c r="AX46" s="21">
        <f t="shared" si="6"/>
        <v>2.234377075812326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9.8333333333333339</v>
      </c>
      <c r="BD46" s="12">
        <f>IF('Données projet'!$A$88&gt;35,BD45+BC46-BL45,IF(A46&lt;'Données projet'!$A$88,$BA$205^A46,IF(A46='Données projet'!$A$88,'Données projet'!$B$88,BD45+BC46-BL45)))</f>
        <v>263.50000000000006</v>
      </c>
      <c r="BE46" s="13">
        <f>BD46*VLOOKUP('Données projet'!$B$11,Paramètres!$A$1:$I$89,3,0)*VLOOKUP('Données projet'!$B$11,Paramètres!$A$1:$I$89,5,0)</f>
        <v>157.57300000000006</v>
      </c>
      <c r="BF46" s="13">
        <f t="shared" si="37"/>
        <v>40.294612761030372</v>
      </c>
      <c r="BG46" s="20">
        <f t="shared" si="7"/>
        <v>344.61942555879472</v>
      </c>
      <c r="BH46" s="59">
        <f t="shared" si="8"/>
        <v>637.95275889212803</v>
      </c>
      <c r="BI46" s="59">
        <f ca="1">AVERAGE(OFFSET($BH$3,0,0,'Données projet'!$E$11+1,1))-AVERAGE(OFFSET($H$3,0,0,'Données projet'!$E$11+1,1))</f>
        <v>168.08890945052406</v>
      </c>
      <c r="BJ46" s="59">
        <f t="shared" si="38"/>
        <v>182.52462557642343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4.8021837821765816</v>
      </c>
      <c r="BQ46" s="21">
        <f>EXP(-LN(2)/25)*BQ45+(1-EXP(-LN(2)/25))/(LN(2)/25)*Calculateur!BL46*Calculateur!BN46*VLOOKUP('Données projet'!$B$11,Paramètres!$A$1:$I$89,3,0)*0.475*44/12</f>
        <v>8.5992099607139885</v>
      </c>
      <c r="BR46" s="21">
        <f>EXP(-LN(2)/2)*BR45+(1-EXP(-LN(2)/2))/(LN(2)/2)*BL46*BO46*VLOOKUP('Données projet'!$B$11,Paramètres!$A$1:$I$89,3,0)*0.475*44/12</f>
        <v>6.0166968843182879E-2</v>
      </c>
      <c r="BS46" s="22">
        <f t="shared" si="9"/>
        <v>13.461560711733751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596</v>
      </c>
      <c r="L47" s="12">
        <f>VLOOKUP(A47,'Données projet'!$A$35:$I$55,9,0)</f>
        <v>31.8</v>
      </c>
      <c r="M47" s="12">
        <f t="array" ref="M47">INDEX(L:L,MIN(IF(ISNUMBER(L47:L243),ROW(L47:L243),"")))</f>
        <v>31.8</v>
      </c>
      <c r="N47" s="13">
        <f>IF('Données projet'!$A$36&gt;35,N46+M47-V46,IF(A47&lt;'Données projet'!$A$36,$K$205^A47,IF(A47='Données projet'!$A$36,'Données projet'!$B$36,N46+M47-V46)))</f>
        <v>595.99999999999989</v>
      </c>
      <c r="O47" s="13">
        <f>N47*VLOOKUP('Données projet'!$B$9,Paramètres!$A$1:$I$89,3,0)*VLOOKUP('Données projet'!$B$9,Paramètres!$A$1:$I$89,5,0)</f>
        <v>278.92799999999994</v>
      </c>
      <c r="P47" s="13">
        <f t="shared" si="33"/>
        <v>66.740413913415367</v>
      </c>
      <c r="Q47" s="20">
        <f t="shared" si="53"/>
        <v>602.03915423253159</v>
      </c>
      <c r="R47" s="59">
        <f t="shared" si="0"/>
        <v>895.37248756586496</v>
      </c>
      <c r="S47" s="59">
        <f ca="1">AVERAGE(OFFSET($R$3,0,0,'Données projet'!$E$9+1,1))-AVERAGE(OFFSET($H$3,0,0,'Données projet'!$E$9+1,1))</f>
        <v>214.51224556840771</v>
      </c>
      <c r="T47" s="59">
        <f t="shared" si="34"/>
        <v>225.78309962707215</v>
      </c>
      <c r="U47" s="15">
        <f>IF(ISNA(VLOOKUP(A47,'Données projet'!$A$35:$I$55,3,0)),0,VLOOKUP(A47,'Données projet'!$A$35:$I$55,3,0))</f>
        <v>6</v>
      </c>
      <c r="V47" s="15">
        <f>IF(ISNA(VLOOKUP(A47,'Données projet'!$A$35:$I$55,4,0)),0,VLOOKUP(A47,'Données projet'!$A$35:$I$55,4,0))</f>
        <v>57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3.0090583477506856</v>
      </c>
      <c r="AA47" s="21">
        <f>EXP(-LN(2)/25)*AA46+(1-EXP(-LN(2)/25))/(LN(2)/25)*Calculateur!V47*Calculateur!X47*VLOOKUP('Données projet'!$B$9,Paramètres!$A$1:$I$89,3,0)*0.475*44/12</f>
        <v>17.426064071263923</v>
      </c>
      <c r="AB47" s="21">
        <f>EXP(-LN(2)/2)*AB46+(1-EXP(-LN(2)/2))/(LN(2)/2)*V47*Y47*VLOOKUP('Données projet'!$B$9,Paramètres!$A$1:$I$89,3,0)*0.475*44/12</f>
        <v>0.19037953586720252</v>
      </c>
      <c r="AC47" s="22">
        <f t="shared" si="3"/>
        <v>20.625501954881809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8.3000000000000007</v>
      </c>
      <c r="AI47" s="13">
        <f>IF('Données projet'!$A$62&gt;35,AI46+AH47-AQ46,IF(A47&lt;'Données projet'!$A$62,$AF$205^A47,IF(A47='Données projet'!$A$62,'Données projet'!$B$62,AI46+AH47-AQ46)))</f>
        <v>149.19999999999999</v>
      </c>
      <c r="AJ47" s="13">
        <f>AI47*VLOOKUP('Données projet'!$B$10,Paramètres!$A$1:$I$89,3,0)*VLOOKUP('Données projet'!$B$10,Paramètres!$A$1:$I$89,5,0)</f>
        <v>134.99615999999997</v>
      </c>
      <c r="AK47" s="13">
        <f t="shared" si="35"/>
        <v>35.148279172043118</v>
      </c>
      <c r="AL47" s="20">
        <f t="shared" si="4"/>
        <v>296.33489822464168</v>
      </c>
      <c r="AM47" s="59">
        <f t="shared" si="5"/>
        <v>589.66823155797499</v>
      </c>
      <c r="AN47" s="59">
        <f ca="1">AVERAGE(OFFSET($AM$3,0,0,'Données projet'!$E$10+1,1))-AVERAGE(OFFSET($H$3,0,0,'Données projet'!$E$10+1,1))</f>
        <v>237.22177246688199</v>
      </c>
      <c r="AO47" s="59">
        <f t="shared" si="36"/>
        <v>149.27472147904302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2.106764582792362</v>
      </c>
      <c r="AW47" s="21">
        <f>EXP(-LN(2)/2)*AW46+(1-EXP(-LN(2)/2))/(LN(2)/2)*AQ47*AT47*VLOOKUP('Données projet'!$B$10,Paramètres!$A$1:$I$89,3,0)*0.475*44/12</f>
        <v>4.8354280112722088E-2</v>
      </c>
      <c r="AX47" s="21">
        <f t="shared" si="6"/>
        <v>2.1551188629050841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9.8333333333333339</v>
      </c>
      <c r="BD47" s="12">
        <f>IF('Données projet'!$A$88&gt;35,BD46+BC47-BL46,IF(A47&lt;'Données projet'!$A$88,$BA$205^A47,IF(A47='Données projet'!$A$88,'Données projet'!$B$88,BD46+BC47-BL46)))</f>
        <v>273.33333333333337</v>
      </c>
      <c r="BE47" s="13">
        <f>BD47*VLOOKUP('Données projet'!$B$11,Paramètres!$A$1:$I$89,3,0)*VLOOKUP('Données projet'!$B$11,Paramètres!$A$1:$I$89,5,0)</f>
        <v>163.45333333333338</v>
      </c>
      <c r="BF47" s="13">
        <f t="shared" si="37"/>
        <v>41.620453722976563</v>
      </c>
      <c r="BG47" s="20">
        <f t="shared" si="7"/>
        <v>357.17017912307307</v>
      </c>
      <c r="BH47" s="59">
        <f t="shared" si="8"/>
        <v>650.50351245640638</v>
      </c>
      <c r="BI47" s="59">
        <f ca="1">AVERAGE(OFFSET($BH$3,0,0,'Données projet'!$E$11+1,1))-AVERAGE(OFFSET($H$3,0,0,'Données projet'!$E$11+1,1))</f>
        <v>168.08890945052406</v>
      </c>
      <c r="BJ47" s="59">
        <f t="shared" si="38"/>
        <v>182.52462557642343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4.708015887250987</v>
      </c>
      <c r="BQ47" s="21">
        <f>EXP(-LN(2)/25)*BQ46+(1-EXP(-LN(2)/25))/(LN(2)/25)*Calculateur!BL47*Calculateur!BN47*VLOOKUP('Données projet'!$B$11,Paramètres!$A$1:$I$89,3,0)*0.475*44/12</f>
        <v>8.3640641121254671</v>
      </c>
      <c r="BR47" s="21">
        <f>EXP(-LN(2)/2)*BR46+(1-EXP(-LN(2)/2))/(LN(2)/2)*BL47*BO47*VLOOKUP('Données projet'!$B$11,Paramètres!$A$1:$I$89,3,0)*0.475*44/12</f>
        <v>4.2544471672454343E-2</v>
      </c>
      <c r="BS47" s="22">
        <f t="shared" si="9"/>
        <v>13.114624471048909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26.333333333333332</v>
      </c>
      <c r="N48" s="13">
        <f>IF('Données projet'!$A$36&gt;35,N47+M48-V47,IF(A48&lt;'Données projet'!$A$36,$K$205^A48,IF(A48='Données projet'!$A$36,'Données projet'!$B$36,N47+M48-V47)))</f>
        <v>565.33333333333326</v>
      </c>
      <c r="O48" s="13">
        <f>N48*VLOOKUP('Données projet'!$B$9,Paramètres!$A$1:$I$89,3,0)*VLOOKUP('Données projet'!$B$9,Paramètres!$A$1:$I$89,5,0)</f>
        <v>264.57599999999996</v>
      </c>
      <c r="P48" s="13">
        <f t="shared" si="33"/>
        <v>63.696803579002321</v>
      </c>
      <c r="Q48" s="20">
        <f t="shared" si="53"/>
        <v>571.74179956676232</v>
      </c>
      <c r="R48" s="59">
        <f t="shared" si="0"/>
        <v>865.0751329000957</v>
      </c>
      <c r="S48" s="59">
        <f ca="1">AVERAGE(OFFSET($R$3,0,0,'Données projet'!$E$9+1,1))-AVERAGE(OFFSET($H$3,0,0,'Données projet'!$E$9+1,1))</f>
        <v>214.51224556840771</v>
      </c>
      <c r="T48" s="59">
        <f t="shared" si="34"/>
        <v>225.78309962707215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2.9500525488956617</v>
      </c>
      <c r="AA48" s="21">
        <f>EXP(-LN(2)/25)*AA47+(1-EXP(-LN(2)/25))/(LN(2)/25)*Calculateur!V48*Calculateur!X48*VLOOKUP('Données projet'!$B$9,Paramètres!$A$1:$I$89,3,0)*0.475*44/12</f>
        <v>16.94954743283833</v>
      </c>
      <c r="AB48" s="21">
        <f>EXP(-LN(2)/2)*AB47+(1-EXP(-LN(2)/2))/(LN(2)/2)*V48*Y48*VLOOKUP('Données projet'!$B$9,Paramètres!$A$1:$I$89,3,0)*0.475*44/12</f>
        <v>0.13461866081084645</v>
      </c>
      <c r="AC48" s="22">
        <f t="shared" si="3"/>
        <v>20.03421864254484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8.3000000000000007</v>
      </c>
      <c r="AI48" s="13">
        <f>IF('Données projet'!$A$62&gt;35,AI47+AH48-AQ47,IF(A48&lt;'Données projet'!$A$62,$AF$205^A48,IF(A48='Données projet'!$A$62,'Données projet'!$B$62,AI47+AH48-AQ47)))</f>
        <v>157.5</v>
      </c>
      <c r="AJ48" s="13">
        <f>AI48*VLOOKUP('Données projet'!$B$10,Paramètres!$A$1:$I$89,3,0)*VLOOKUP('Données projet'!$B$10,Paramètres!$A$1:$I$89,5,0)</f>
        <v>142.506</v>
      </c>
      <c r="AK48" s="13">
        <f t="shared" si="35"/>
        <v>36.870500776307537</v>
      </c>
      <c r="AL48" s="20">
        <f t="shared" si="4"/>
        <v>312.41407218540223</v>
      </c>
      <c r="AM48" s="59">
        <f t="shared" si="5"/>
        <v>605.7474055187356</v>
      </c>
      <c r="AN48" s="59">
        <f ca="1">AVERAGE(OFFSET($AM$3,0,0,'Données projet'!$E$10+1,1))-AVERAGE(OFFSET($H$3,0,0,'Données projet'!$E$10+1,1))</f>
        <v>237.22177246688199</v>
      </c>
      <c r="AO48" s="59">
        <f t="shared" si="36"/>
        <v>149.27472147904302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2.0491549944859706</v>
      </c>
      <c r="AW48" s="21">
        <f>EXP(-LN(2)/2)*AW47+(1-EXP(-LN(2)/2))/(LN(2)/2)*AQ48*AT48*VLOOKUP('Données projet'!$B$10,Paramètres!$A$1:$I$89,3,0)*0.475*44/12</f>
        <v>3.4191639367099604E-2</v>
      </c>
      <c r="AX48" s="21">
        <f t="shared" si="6"/>
        <v>2.0833466338530702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9.8333333333333339</v>
      </c>
      <c r="BD48" s="12">
        <f>IF('Données projet'!$A$88&gt;35,BD47+BC48-BL47,IF(A48&lt;'Données projet'!$A$88,$BA$205^A48,IF(A48='Données projet'!$A$88,'Données projet'!$B$88,BD47+BC48-BL47)))</f>
        <v>283.16666666666669</v>
      </c>
      <c r="BE48" s="13">
        <f>BD48*VLOOKUP('Données projet'!$B$11,Paramètres!$A$1:$I$89,3,0)*VLOOKUP('Données projet'!$B$11,Paramètres!$A$1:$I$89,5,0)</f>
        <v>169.33366666666672</v>
      </c>
      <c r="BF48" s="13">
        <f t="shared" si="37"/>
        <v>42.940752990888512</v>
      </c>
      <c r="BG48" s="20">
        <f t="shared" si="7"/>
        <v>369.7112809035753</v>
      </c>
      <c r="BH48" s="59">
        <f t="shared" si="8"/>
        <v>663.04461423690861</v>
      </c>
      <c r="BI48" s="59">
        <f ca="1">AVERAGE(OFFSET($BH$3,0,0,'Données projet'!$E$11+1,1))-AVERAGE(OFFSET($H$3,0,0,'Données projet'!$E$11+1,1))</f>
        <v>168.08890945052406</v>
      </c>
      <c r="BJ48" s="59">
        <f t="shared" si="38"/>
        <v>182.52462557642343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4.6156945673081387</v>
      </c>
      <c r="BQ48" s="21">
        <f>EXP(-LN(2)/25)*BQ47+(1-EXP(-LN(2)/25))/(LN(2)/25)*Calculateur!BL48*Calculateur!BN48*VLOOKUP('Données projet'!$B$11,Paramètres!$A$1:$I$89,3,0)*0.475*44/12</f>
        <v>8.1353483391323813</v>
      </c>
      <c r="BR48" s="21">
        <f>EXP(-LN(2)/2)*BR47+(1-EXP(-LN(2)/2))/(LN(2)/2)*BL48*BO48*VLOOKUP('Données projet'!$B$11,Paramètres!$A$1:$I$89,3,0)*0.475*44/12</f>
        <v>3.0083484421591443E-2</v>
      </c>
      <c r="BS48" s="22">
        <f t="shared" si="9"/>
        <v>12.781126390862113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26.333333333333332</v>
      </c>
      <c r="N49" s="13">
        <f>IF('Données projet'!$A$36&gt;35,N48+M49-V48,IF(A49&lt;'Données projet'!$A$36,$K$205^A49,IF(A49='Données projet'!$A$36,'Données projet'!$B$36,N48+M49-V48)))</f>
        <v>591.66666666666663</v>
      </c>
      <c r="O49" s="13">
        <f>N49*VLOOKUP('Données projet'!$B$9,Paramètres!$A$1:$I$89,3,0)*VLOOKUP('Données projet'!$B$9,Paramètres!$A$1:$I$89,5,0)</f>
        <v>276.89999999999998</v>
      </c>
      <c r="P49" s="13">
        <f t="shared" si="33"/>
        <v>66.311465886517013</v>
      </c>
      <c r="Q49" s="20">
        <f t="shared" si="53"/>
        <v>597.75996975235046</v>
      </c>
      <c r="R49" s="59">
        <f t="shared" si="0"/>
        <v>891.09330308568383</v>
      </c>
      <c r="S49" s="59">
        <f ca="1">AVERAGE(OFFSET($R$3,0,0,'Données projet'!$E$9+1,1))-AVERAGE(OFFSET($H$3,0,0,'Données projet'!$E$9+1,1))</f>
        <v>214.51224556840771</v>
      </c>
      <c r="T49" s="59">
        <f t="shared" si="34"/>
        <v>225.78309962707215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2.8922038177662013</v>
      </c>
      <c r="AA49" s="21">
        <f>EXP(-LN(2)/25)*AA48+(1-EXP(-LN(2)/25))/(LN(2)/25)*Calculateur!V49*Calculateur!X49*VLOOKUP('Données projet'!$B$9,Paramètres!$A$1:$I$89,3,0)*0.475*44/12</f>
        <v>16.486061166949405</v>
      </c>
      <c r="AB49" s="21">
        <f>EXP(-LN(2)/2)*AB48+(1-EXP(-LN(2)/2))/(LN(2)/2)*V49*Y49*VLOOKUP('Données projet'!$B$9,Paramètres!$A$1:$I$89,3,0)*0.475*44/12</f>
        <v>9.518976793360126E-2</v>
      </c>
      <c r="AC49" s="22">
        <f t="shared" si="3"/>
        <v>19.473454752649207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8.3000000000000007</v>
      </c>
      <c r="AI49" s="13">
        <f>IF('Données projet'!$A$62&gt;35,AI48+AH49-AQ48,IF(A49&lt;'Données projet'!$A$62,$AF$205^A49,IF(A49='Données projet'!$A$62,'Données projet'!$B$62,AI48+AH49-AQ48)))</f>
        <v>165.8</v>
      </c>
      <c r="AJ49" s="13">
        <f>AI49*VLOOKUP('Données projet'!$B$10,Paramètres!$A$1:$I$89,3,0)*VLOOKUP('Données projet'!$B$10,Paramètres!$A$1:$I$89,5,0)</f>
        <v>150.01584</v>
      </c>
      <c r="AK49" s="13">
        <f t="shared" si="35"/>
        <v>38.582185295570788</v>
      </c>
      <c r="AL49" s="20">
        <f t="shared" si="4"/>
        <v>328.47489405645246</v>
      </c>
      <c r="AM49" s="59">
        <f t="shared" si="5"/>
        <v>621.80822738978577</v>
      </c>
      <c r="AN49" s="59">
        <f ca="1">AVERAGE(OFFSET($AM$3,0,0,'Données projet'!$E$10+1,1))-AVERAGE(OFFSET($H$3,0,0,'Données projet'!$E$10+1,1))</f>
        <v>237.22177246688199</v>
      </c>
      <c r="AO49" s="59">
        <f t="shared" si="36"/>
        <v>149.27472147904302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1.993120743401374</v>
      </c>
      <c r="AW49" s="21">
        <f>EXP(-LN(2)/2)*AW48+(1-EXP(-LN(2)/2))/(LN(2)/2)*AQ49*AT49*VLOOKUP('Données projet'!$B$10,Paramètres!$A$1:$I$89,3,0)*0.475*44/12</f>
        <v>2.4177140056361044E-2</v>
      </c>
      <c r="AX49" s="21">
        <f t="shared" si="6"/>
        <v>2.0172978834577351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>
        <f>VLOOKUP(A49,'Données projet'!$A$87:$I$107,2,0)</f>
        <v>293</v>
      </c>
      <c r="BB49" s="12">
        <f>VLOOKUP(A49,'Données projet'!$A$87:$I$107,9,0)</f>
        <v>9.8333333333333339</v>
      </c>
      <c r="BC49" s="12">
        <f t="array" ref="BC49">INDEX(BB:BB,MIN(IF(ISNUMBER(BB49:BB245),ROW(BB49:BB245),"")))</f>
        <v>9.8333333333333339</v>
      </c>
      <c r="BD49" s="12">
        <f>IF('Données projet'!$A$88&gt;35,BD48+BC49-BL48,IF(A49&lt;'Données projet'!$A$88,$BA$205^A49,IF(A49='Données projet'!$A$88,'Données projet'!$B$88,BD48+BC49-BL48)))</f>
        <v>293</v>
      </c>
      <c r="BE49" s="13">
        <f>BD49*VLOOKUP('Données projet'!$B$11,Paramètres!$A$1:$I$89,3,0)*VLOOKUP('Données projet'!$B$11,Paramètres!$A$1:$I$89,5,0)</f>
        <v>175.214</v>
      </c>
      <c r="BF49" s="13">
        <f t="shared" si="37"/>
        <v>44.255725061661991</v>
      </c>
      <c r="BG49" s="20">
        <f t="shared" si="7"/>
        <v>382.24310448239459</v>
      </c>
      <c r="BH49" s="59">
        <f t="shared" si="8"/>
        <v>675.5764378157279</v>
      </c>
      <c r="BI49" s="59">
        <f ca="1">AVERAGE(OFFSET($BH$3,0,0,'Données projet'!$E$11+1,1))-AVERAGE(OFFSET($H$3,0,0,'Données projet'!$E$11+1,1))</f>
        <v>168.08890945052406</v>
      </c>
      <c r="BJ49" s="59">
        <f t="shared" si="38"/>
        <v>182.52462557642343</v>
      </c>
      <c r="BK49" s="15">
        <f>IF(ISNA(VLOOKUP(A49,'Données projet'!$A$87:$I$107,3,0)),0,VLOOKUP(A49,'Données projet'!$A$87:$I$107,3,0))</f>
        <v>7</v>
      </c>
      <c r="BL49" s="15">
        <f>IF(ISNA(VLOOKUP(A49,'Données projet'!$A$87:$I$107,4,0)),0,VLOOKUP(A49,'Données projet'!$A$87:$I$107,4,0))</f>
        <v>29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4.5251836121389246</v>
      </c>
      <c r="BQ49" s="21">
        <f>EXP(-LN(2)/25)*BQ48+(1-EXP(-LN(2)/25))/(LN(2)/25)*Calculateur!BL49*Calculateur!BN49*VLOOKUP('Données projet'!$B$11,Paramètres!$A$1:$I$89,3,0)*0.475*44/12</f>
        <v>7.9128868109794306</v>
      </c>
      <c r="BR49" s="21">
        <f>EXP(-LN(2)/2)*BR48+(1-EXP(-LN(2)/2))/(LN(2)/2)*BL49*BO49*VLOOKUP('Données projet'!$B$11,Paramètres!$A$1:$I$89,3,0)*0.475*44/12</f>
        <v>2.1272235836227175E-2</v>
      </c>
      <c r="BS49" s="22">
        <f t="shared" si="9"/>
        <v>12.459342658954581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26.333333333333332</v>
      </c>
      <c r="N50" s="13">
        <f>IF('Données projet'!$A$36&gt;35,N49+M50-V49,IF(A50&lt;'Données projet'!$A$36,$K$205^A50,IF(A50='Données projet'!$A$36,'Données projet'!$B$36,N49+M50-V49)))</f>
        <v>618</v>
      </c>
      <c r="O50" s="13">
        <f>N50*VLOOKUP('Données projet'!$B$9,Paramètres!$A$1:$I$89,3,0)*VLOOKUP('Données projet'!$B$9,Paramètres!$A$1:$I$89,5,0)</f>
        <v>289.22399999999999</v>
      </c>
      <c r="P50" s="13">
        <f t="shared" si="33"/>
        <v>68.912612937896569</v>
      </c>
      <c r="Q50" s="20">
        <f t="shared" si="53"/>
        <v>623.75460086683643</v>
      </c>
      <c r="R50" s="59">
        <f t="shared" si="0"/>
        <v>917.08793420016968</v>
      </c>
      <c r="S50" s="59">
        <f ca="1">AVERAGE(OFFSET($R$3,0,0,'Données projet'!$E$9+1,1))-AVERAGE(OFFSET($H$3,0,0,'Données projet'!$E$9+1,1))</f>
        <v>214.51224556840771</v>
      </c>
      <c r="T50" s="59">
        <f t="shared" si="34"/>
        <v>225.78309962707215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2.8354894649699474</v>
      </c>
      <c r="AA50" s="21">
        <f>EXP(-LN(2)/25)*AA49+(1-EXP(-LN(2)/25))/(LN(2)/25)*Calculateur!V50*Calculateur!X50*VLOOKUP('Données projet'!$B$9,Paramètres!$A$1:$I$89,3,0)*0.475*44/12</f>
        <v>16.035248957374897</v>
      </c>
      <c r="AB50" s="21">
        <f>EXP(-LN(2)/2)*AB49+(1-EXP(-LN(2)/2))/(LN(2)/2)*V50*Y50*VLOOKUP('Données projet'!$B$9,Paramètres!$A$1:$I$89,3,0)*0.475*44/12</f>
        <v>6.7309330405423223E-2</v>
      </c>
      <c r="AC50" s="22">
        <f t="shared" si="3"/>
        <v>18.938047752750265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8.3000000000000007</v>
      </c>
      <c r="AI50" s="13">
        <f>IF('Données projet'!$A$62&gt;35,AI49+AH50-AQ49,IF(A50&lt;'Données projet'!$A$62,$AF$205^A50,IF(A50='Données projet'!$A$62,'Données projet'!$B$62,AI49+AH50-AQ49)))</f>
        <v>174.10000000000002</v>
      </c>
      <c r="AJ50" s="13">
        <f>AI50*VLOOKUP('Données projet'!$B$10,Paramètres!$A$1:$I$89,3,0)*VLOOKUP('Données projet'!$B$10,Paramètres!$A$1:$I$89,5,0)</f>
        <v>157.52568000000002</v>
      </c>
      <c r="AK50" s="13">
        <f t="shared" si="35"/>
        <v>40.283920409774808</v>
      </c>
      <c r="AL50" s="20">
        <f t="shared" si="4"/>
        <v>344.51838738035781</v>
      </c>
      <c r="AM50" s="59">
        <f t="shared" si="5"/>
        <v>637.85172071369107</v>
      </c>
      <c r="AN50" s="59">
        <f ca="1">AVERAGE(OFFSET($AM$3,0,0,'Données projet'!$E$10+1,1))-AVERAGE(OFFSET($H$3,0,0,'Données projet'!$E$10+1,1))</f>
        <v>237.22177246688199</v>
      </c>
      <c r="AO50" s="59">
        <f t="shared" si="36"/>
        <v>149.27472147904302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1.9386187518593989</v>
      </c>
      <c r="AW50" s="21">
        <f>EXP(-LN(2)/2)*AW49+(1-EXP(-LN(2)/2))/(LN(2)/2)*AQ50*AT50*VLOOKUP('Données projet'!$B$10,Paramètres!$A$1:$I$89,3,0)*0.475*44/12</f>
        <v>1.7095819683549802E-2</v>
      </c>
      <c r="AX50" s="21">
        <f t="shared" si="6"/>
        <v>1.9557145715429487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5.875</v>
      </c>
      <c r="BD50" s="12">
        <f>IF('Données projet'!$A$88&gt;35,BD49+BC50-BL49,IF(A50&lt;'Données projet'!$A$88,$BA$205^A50,IF(A50='Données projet'!$A$88,'Données projet'!$B$88,BD49+BC50-BL49)))</f>
        <v>269.875</v>
      </c>
      <c r="BE50" s="13">
        <f>BD50*VLOOKUP('Données projet'!$B$11,Paramètres!$A$1:$I$89,3,0)*VLOOKUP('Données projet'!$B$11,Paramètres!$A$1:$I$89,5,0)</f>
        <v>161.38525000000001</v>
      </c>
      <c r="BF50" s="13">
        <f t="shared" si="37"/>
        <v>41.154805478559268</v>
      </c>
      <c r="BG50" s="20">
        <f t="shared" si="7"/>
        <v>352.75726329182407</v>
      </c>
      <c r="BH50" s="59">
        <f t="shared" si="8"/>
        <v>646.09059662515733</v>
      </c>
      <c r="BI50" s="59">
        <f ca="1">AVERAGE(OFFSET($BH$3,0,0,'Données projet'!$E$11+1,1))-AVERAGE(OFFSET($H$3,0,0,'Données projet'!$E$11+1,1))</f>
        <v>168.08890945052406</v>
      </c>
      <c r="BJ50" s="59">
        <f t="shared" si="38"/>
        <v>182.52462557642343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4.4364475215943475</v>
      </c>
      <c r="BQ50" s="21">
        <f>EXP(-LN(2)/25)*BQ49+(1-EXP(-LN(2)/25))/(LN(2)/25)*Calculateur!BL50*Calculateur!BN50*VLOOKUP('Données projet'!$B$11,Paramètres!$A$1:$I$89,3,0)*0.475*44/12</f>
        <v>7.6965085050125657</v>
      </c>
      <c r="BR50" s="21">
        <f>EXP(-LN(2)/2)*BR49+(1-EXP(-LN(2)/2))/(LN(2)/2)*BL50*BO50*VLOOKUP('Données projet'!$B$11,Paramètres!$A$1:$I$89,3,0)*0.475*44/12</f>
        <v>1.5041742210795725E-2</v>
      </c>
      <c r="BS50" s="22">
        <f t="shared" si="9"/>
        <v>12.147997768817708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26.333333333333332</v>
      </c>
      <c r="N51" s="13">
        <f>IF('Données projet'!$A$36&gt;35,N50+M51-V50,IF(A51&lt;'Données projet'!$A$36,$K$205^A51,IF(A51='Données projet'!$A$36,'Données projet'!$B$36,N50+M51-V50)))</f>
        <v>644.33333333333337</v>
      </c>
      <c r="O51" s="13">
        <f>N51*VLOOKUP('Données projet'!$B$9,Paramètres!$A$1:$I$89,3,0)*VLOOKUP('Données projet'!$B$9,Paramètres!$A$1:$I$89,5,0)</f>
        <v>301.548</v>
      </c>
      <c r="P51" s="13">
        <f t="shared" si="33"/>
        <v>71.500886464325177</v>
      </c>
      <c r="Q51" s="20">
        <f t="shared" si="53"/>
        <v>649.72681059203296</v>
      </c>
      <c r="R51" s="59">
        <f t="shared" si="0"/>
        <v>943.06014392536622</v>
      </c>
      <c r="S51" s="59">
        <f ca="1">AVERAGE(OFFSET($R$3,0,0,'Données projet'!$E$9+1,1))-AVERAGE(OFFSET($H$3,0,0,'Données projet'!$E$9+1,1))</f>
        <v>214.51224556840771</v>
      </c>
      <c r="T51" s="59">
        <f t="shared" si="34"/>
        <v>225.78309962707215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2.7798872460396886</v>
      </c>
      <c r="AA51" s="21">
        <f>EXP(-LN(2)/25)*AA50+(1-EXP(-LN(2)/25))/(LN(2)/25)*Calculateur!V51*Calculateur!X51*VLOOKUP('Données projet'!$B$9,Paramètres!$A$1:$I$89,3,0)*0.475*44/12</f>
        <v>15.596764231378387</v>
      </c>
      <c r="AB51" s="21">
        <f>EXP(-LN(2)/2)*AB50+(1-EXP(-LN(2)/2))/(LN(2)/2)*V51*Y51*VLOOKUP('Données projet'!$B$9,Paramètres!$A$1:$I$89,3,0)*0.475*44/12</f>
        <v>4.759488396680063E-2</v>
      </c>
      <c r="AC51" s="22">
        <f t="shared" si="3"/>
        <v>18.424246361384878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8.3000000000000007</v>
      </c>
      <c r="AI51" s="13">
        <f>IF('Données projet'!$A$62&gt;35,AI50+AH51-AQ50,IF(A51&lt;'Données projet'!$A$62,$AF$205^A51,IF(A51='Données projet'!$A$62,'Données projet'!$B$62,AI50+AH51-AQ50)))</f>
        <v>182.40000000000003</v>
      </c>
      <c r="AJ51" s="13">
        <f>AI51*VLOOKUP('Données projet'!$B$10,Paramètres!$A$1:$I$89,3,0)*VLOOKUP('Données projet'!$B$10,Paramètres!$A$1:$I$89,5,0)</f>
        <v>165.03552000000002</v>
      </c>
      <c r="AK51" s="13">
        <f t="shared" si="35"/>
        <v>41.976234598846517</v>
      </c>
      <c r="AL51" s="20">
        <f t="shared" si="4"/>
        <v>360.54547259299108</v>
      </c>
      <c r="AM51" s="59">
        <f t="shared" si="5"/>
        <v>653.87880592632439</v>
      </c>
      <c r="AN51" s="59">
        <f ca="1">AVERAGE(OFFSET($AM$3,0,0,'Données projet'!$E$10+1,1))-AVERAGE(OFFSET($H$3,0,0,'Données projet'!$E$10+1,1))</f>
        <v>237.22177246688199</v>
      </c>
      <c r="AO51" s="59">
        <f t="shared" si="36"/>
        <v>149.27472147904302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1.8856071201422742</v>
      </c>
      <c r="AW51" s="21">
        <f>EXP(-LN(2)/2)*AW50+(1-EXP(-LN(2)/2))/(LN(2)/2)*AQ51*AT51*VLOOKUP('Données projet'!$B$10,Paramètres!$A$1:$I$89,3,0)*0.475*44/12</f>
        <v>1.2088570028180522E-2</v>
      </c>
      <c r="AX51" s="21">
        <f t="shared" si="6"/>
        <v>1.8976956901704547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5.875</v>
      </c>
      <c r="BD51" s="12">
        <f>IF('Données projet'!$A$88&gt;35,BD50+BC51-BL50,IF(A51&lt;'Données projet'!$A$88,$BA$205^A51,IF(A51='Données projet'!$A$88,'Données projet'!$B$88,BD50+BC51-BL50)))</f>
        <v>275.75</v>
      </c>
      <c r="BE51" s="13">
        <f>BD51*VLOOKUP('Données projet'!$B$11,Paramètres!$A$1:$I$89,3,0)*VLOOKUP('Données projet'!$B$11,Paramètres!$A$1:$I$89,5,0)</f>
        <v>164.89850000000001</v>
      </c>
      <c r="BF51" s="13">
        <f t="shared" si="37"/>
        <v>41.94543913753872</v>
      </c>
      <c r="BG51" s="20">
        <f t="shared" si="7"/>
        <v>360.25319399788003</v>
      </c>
      <c r="BH51" s="59">
        <f t="shared" si="8"/>
        <v>653.58652733121335</v>
      </c>
      <c r="BI51" s="59">
        <f ca="1">AVERAGE(OFFSET($BH$3,0,0,'Données projet'!$E$11+1,1))-AVERAGE(OFFSET($H$3,0,0,'Données projet'!$E$11+1,1))</f>
        <v>168.08890945052406</v>
      </c>
      <c r="BJ51" s="59">
        <f t="shared" si="38"/>
        <v>182.52462557642343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4.3494514916616787</v>
      </c>
      <c r="BQ51" s="21">
        <f>EXP(-LN(2)/25)*BQ50+(1-EXP(-LN(2)/25))/(LN(2)/25)*Calculateur!BL51*Calculateur!BN51*VLOOKUP('Données projet'!$B$11,Paramètres!$A$1:$I$89,3,0)*0.475*44/12</f>
        <v>7.4860470752012054</v>
      </c>
      <c r="BR51" s="21">
        <f>EXP(-LN(2)/2)*BR50+(1-EXP(-LN(2)/2))/(LN(2)/2)*BL51*BO51*VLOOKUP('Données projet'!$B$11,Paramètres!$A$1:$I$89,3,0)*0.475*44/12</f>
        <v>1.0636117918113589E-2</v>
      </c>
      <c r="BS51" s="22">
        <f t="shared" si="9"/>
        <v>11.846134684780999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26.333333333333332</v>
      </c>
      <c r="N52" s="13">
        <f>IF('Données projet'!$A$36&gt;35,N51+M52-V51,IF(A52&lt;'Données projet'!$A$36,$K$205^A52,IF(A52='Données projet'!$A$36,'Données projet'!$B$36,N51+M52-V51)))</f>
        <v>670.66666666666674</v>
      </c>
      <c r="O52" s="13">
        <f>N52*VLOOKUP('Données projet'!$B$9,Paramètres!$A$1:$I$89,3,0)*VLOOKUP('Données projet'!$B$9,Paramètres!$A$1:$I$89,5,0)</f>
        <v>313.87200000000007</v>
      </c>
      <c r="P52" s="13">
        <f t="shared" si="33"/>
        <v>74.076872774720428</v>
      </c>
      <c r="Q52" s="20">
        <f t="shared" si="53"/>
        <v>675.6776200826381</v>
      </c>
      <c r="R52" s="59">
        <f t="shared" si="0"/>
        <v>969.01095341597147</v>
      </c>
      <c r="S52" s="59">
        <f ca="1">AVERAGE(OFFSET($R$3,0,0,'Données projet'!$E$9+1,1))-AVERAGE(OFFSET($H$3,0,0,'Données projet'!$E$9+1,1))</f>
        <v>214.51224556840771</v>
      </c>
      <c r="T52" s="59">
        <f t="shared" si="34"/>
        <v>225.78309962707215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2.7253753527086473</v>
      </c>
      <c r="AA52" s="21">
        <f>EXP(-LN(2)/25)*AA51+(1-EXP(-LN(2)/25))/(LN(2)/25)*Calculateur!V52*Calculateur!X52*VLOOKUP('Données projet'!$B$9,Paramètres!$A$1:$I$89,3,0)*0.475*44/12</f>
        <v>15.170269893273161</v>
      </c>
      <c r="AB52" s="21">
        <f>EXP(-LN(2)/2)*AB51+(1-EXP(-LN(2)/2))/(LN(2)/2)*V52*Y52*VLOOKUP('Données projet'!$B$9,Paramètres!$A$1:$I$89,3,0)*0.475*44/12</f>
        <v>3.3654665202711612E-2</v>
      </c>
      <c r="AC52" s="22">
        <f t="shared" si="3"/>
        <v>17.929299911184518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8.3000000000000007</v>
      </c>
      <c r="AI52" s="13">
        <f>IF('Données projet'!$A$62&gt;35,AI51+AH52-AQ51,IF(A52&lt;'Données projet'!$A$62,$AF$205^A52,IF(A52='Données projet'!$A$62,'Données projet'!$B$62,AI51+AH52-AQ51)))</f>
        <v>190.70000000000005</v>
      </c>
      <c r="AJ52" s="13">
        <f>AI52*VLOOKUP('Données projet'!$B$10,Paramètres!$A$1:$I$89,3,0)*VLOOKUP('Données projet'!$B$10,Paramètres!$A$1:$I$89,5,0)</f>
        <v>172.54536000000004</v>
      </c>
      <c r="AK52" s="13">
        <f t="shared" si="35"/>
        <v>43.65960552772448</v>
      </c>
      <c r="AL52" s="20">
        <f t="shared" si="4"/>
        <v>376.55698162745358</v>
      </c>
      <c r="AM52" s="59">
        <f t="shared" si="5"/>
        <v>669.8903149607869</v>
      </c>
      <c r="AN52" s="59">
        <f ca="1">AVERAGE(OFFSET($AM$3,0,0,'Données projet'!$E$10+1,1))-AVERAGE(OFFSET($H$3,0,0,'Données projet'!$E$10+1,1))</f>
        <v>237.22177246688199</v>
      </c>
      <c r="AO52" s="59">
        <f t="shared" si="36"/>
        <v>149.27472147904302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1.8340450942822148</v>
      </c>
      <c r="AW52" s="21">
        <f>EXP(-LN(2)/2)*AW51+(1-EXP(-LN(2)/2))/(LN(2)/2)*AQ52*AT52*VLOOKUP('Données projet'!$B$10,Paramètres!$A$1:$I$89,3,0)*0.475*44/12</f>
        <v>8.5479098417749009E-3</v>
      </c>
      <c r="AX52" s="21">
        <f t="shared" si="6"/>
        <v>1.8425930041239897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5.875</v>
      </c>
      <c r="BD52" s="12">
        <f>IF('Données projet'!$A$88&gt;35,BD51+BC52-BL51,IF(A52&lt;'Données projet'!$A$88,$BA$205^A52,IF(A52='Données projet'!$A$88,'Données projet'!$B$88,BD51+BC52-BL51)))</f>
        <v>281.625</v>
      </c>
      <c r="BE52" s="13">
        <f>BD52*VLOOKUP('Données projet'!$B$11,Paramètres!$A$1:$I$89,3,0)*VLOOKUP('Données projet'!$B$11,Paramètres!$A$1:$I$89,5,0)</f>
        <v>168.41175000000001</v>
      </c>
      <c r="BF52" s="13">
        <f t="shared" si="37"/>
        <v>42.73411432638013</v>
      </c>
      <c r="BG52" s="20">
        <f t="shared" si="7"/>
        <v>367.74571370177881</v>
      </c>
      <c r="BH52" s="59">
        <f t="shared" si="8"/>
        <v>661.07904703511213</v>
      </c>
      <c r="BI52" s="59">
        <f ca="1">AVERAGE(OFFSET($BH$3,0,0,'Données projet'!$E$11+1,1))-AVERAGE(OFFSET($H$3,0,0,'Données projet'!$E$11+1,1))</f>
        <v>168.08890945052406</v>
      </c>
      <c r="BJ52" s="59">
        <f t="shared" si="38"/>
        <v>182.52462557642343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4.2641614008136504</v>
      </c>
      <c r="BQ52" s="21">
        <f>EXP(-LN(2)/25)*BQ51+(1-EXP(-LN(2)/25))/(LN(2)/25)*Calculateur!BL52*Calculateur!BN52*VLOOKUP('Données projet'!$B$11,Paramètres!$A$1:$I$89,3,0)*0.475*44/12</f>
        <v>7.2813407242557222</v>
      </c>
      <c r="BR52" s="21">
        <f>EXP(-LN(2)/2)*BR51+(1-EXP(-LN(2)/2))/(LN(2)/2)*BL52*BO52*VLOOKUP('Données projet'!$B$11,Paramètres!$A$1:$I$89,3,0)*0.475*44/12</f>
        <v>7.5208711053978633E-3</v>
      </c>
      <c r="BS52" s="22">
        <f t="shared" si="9"/>
        <v>11.55302299617477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697</v>
      </c>
      <c r="L53" s="12">
        <f>VLOOKUP(A53,'Données projet'!$A$35:$I$55,9,0)</f>
        <v>26.333333333333332</v>
      </c>
      <c r="M53" s="12">
        <f t="array" ref="M53">INDEX(L:L,MIN(IF(ISNUMBER(L53:L249),ROW(L53:L249),"")))</f>
        <v>26.333333333333332</v>
      </c>
      <c r="N53" s="13">
        <f>IF('Données projet'!$A$36&gt;35,N52+M53-V52,IF(A53&lt;'Données projet'!$A$36,$K$205^A53,IF(A53='Données projet'!$A$36,'Données projet'!$B$36,N52+M53-V52)))</f>
        <v>697.00000000000011</v>
      </c>
      <c r="O53" s="13">
        <f>N53*VLOOKUP('Données projet'!$B$9,Paramètres!$A$1:$I$89,3,0)*VLOOKUP('Données projet'!$B$9,Paramètres!$A$1:$I$89,5,0)</f>
        <v>326.19600000000008</v>
      </c>
      <c r="P53" s="13">
        <f t="shared" si="33"/>
        <v>76.641109529113464</v>
      </c>
      <c r="Q53" s="20">
        <f t="shared" si="53"/>
        <v>701.60796576320615</v>
      </c>
      <c r="R53" s="59">
        <f t="shared" si="0"/>
        <v>994.94129909653952</v>
      </c>
      <c r="S53" s="59">
        <f ca="1">AVERAGE(OFFSET($R$3,0,0,'Données projet'!$E$9+1,1))-AVERAGE(OFFSET($H$3,0,0,'Données projet'!$E$9+1,1))</f>
        <v>214.51224556840771</v>
      </c>
      <c r="T53" s="59">
        <f t="shared" si="34"/>
        <v>225.78309962707215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67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2.671932404356856</v>
      </c>
      <c r="AA53" s="21">
        <f>EXP(-LN(2)/25)*AA52+(1-EXP(-LN(2)/25))/(LN(2)/25)*Calculateur!V53*Calculateur!X53*VLOOKUP('Données projet'!$B$9,Paramètres!$A$1:$I$89,3,0)*0.475*44/12</f>
        <v>14.755438065271786</v>
      </c>
      <c r="AB53" s="21">
        <f>EXP(-LN(2)/2)*AB52+(1-EXP(-LN(2)/2))/(LN(2)/2)*V53*Y53*VLOOKUP('Données projet'!$B$9,Paramètres!$A$1:$I$89,3,0)*0.475*44/12</f>
        <v>2.3797441983400315E-2</v>
      </c>
      <c r="AC53" s="22">
        <f t="shared" si="3"/>
        <v>17.451167911612043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199</v>
      </c>
      <c r="AG53" s="12">
        <f>VLOOKUP(A53,'Données projet'!$A$61:$I$81,9,0)</f>
        <v>8.3000000000000007</v>
      </c>
      <c r="AH53" s="12">
        <f t="array" ref="AH53">INDEX(AG:AG,MIN(IF(ISNUMBER(AG53:AG249),ROW(AG53:AG249),"")))</f>
        <v>8.3000000000000007</v>
      </c>
      <c r="AI53" s="13">
        <f>IF('Données projet'!$A$62&gt;35,AI52+AH53-AQ52,IF(A53&lt;'Données projet'!$A$62,$AF$205^A53,IF(A53='Données projet'!$A$62,'Données projet'!$B$62,AI52+AH53-AQ52)))</f>
        <v>199.00000000000006</v>
      </c>
      <c r="AJ53" s="13">
        <f>AI53*VLOOKUP('Données projet'!$B$10,Paramètres!$A$1:$I$89,3,0)*VLOOKUP('Données projet'!$B$10,Paramètres!$A$1:$I$89,5,0)</f>
        <v>180.05520000000004</v>
      </c>
      <c r="AK53" s="13">
        <f t="shared" si="35"/>
        <v>45.334466930398399</v>
      </c>
      <c r="AL53" s="20">
        <f t="shared" si="4"/>
        <v>392.55366990377729</v>
      </c>
      <c r="AM53" s="59">
        <f t="shared" si="5"/>
        <v>685.88700323711055</v>
      </c>
      <c r="AN53" s="59">
        <f ca="1">AVERAGE(OFFSET($AM$3,0,0,'Données projet'!$E$10+1,1))-AVERAGE(OFFSET($H$3,0,0,'Données projet'!$E$10+1,1))</f>
        <v>237.22177246688199</v>
      </c>
      <c r="AO53" s="59">
        <f t="shared" si="36"/>
        <v>149.27472147904302</v>
      </c>
      <c r="AP53" s="15">
        <f>IF(ISNA(VLOOKUP(A53,'Données projet'!$A$61:$I$81,3,0)),0,VLOOKUP(A53,'Données projet'!$A$61:$I$81,3,0))</f>
        <v>3</v>
      </c>
      <c r="AQ53" s="15">
        <f>IF(ISNA(VLOOKUP(A53,'Données projet'!$A$61:$I$81,4,0)),0,VLOOKUP(A53,'Données projet'!$A$61:$I$81,4,0))</f>
        <v>42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1.7838930347308279</v>
      </c>
      <c r="AW53" s="21">
        <f>EXP(-LN(2)/2)*AW52+(1-EXP(-LN(2)/2))/(LN(2)/2)*AQ53*AT53*VLOOKUP('Données projet'!$B$10,Paramètres!$A$1:$I$89,3,0)*0.475*44/12</f>
        <v>6.044285014090261E-3</v>
      </c>
      <c r="AX53" s="21">
        <f t="shared" si="6"/>
        <v>1.7899373197449182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5.875</v>
      </c>
      <c r="BD53" s="12">
        <f>IF('Données projet'!$A$88&gt;35,BD52+BC53-BL52,IF(A53&lt;'Données projet'!$A$88,$BA$205^A53,IF(A53='Données projet'!$A$88,'Données projet'!$B$88,BD52+BC53-BL52)))</f>
        <v>287.5</v>
      </c>
      <c r="BE53" s="13">
        <f>BD53*VLOOKUP('Données projet'!$B$11,Paramètres!$A$1:$I$89,3,0)*VLOOKUP('Données projet'!$B$11,Paramètres!$A$1:$I$89,5,0)</f>
        <v>171.92500000000001</v>
      </c>
      <c r="BF53" s="13">
        <f t="shared" si="37"/>
        <v>43.520876607827979</v>
      </c>
      <c r="BG53" s="20">
        <f t="shared" si="7"/>
        <v>375.23490175863367</v>
      </c>
      <c r="BH53" s="59">
        <f t="shared" si="8"/>
        <v>668.56823509196693</v>
      </c>
      <c r="BI53" s="59">
        <f ca="1">AVERAGE(OFFSET($BH$3,0,0,'Données projet'!$E$11+1,1))-AVERAGE(OFFSET($H$3,0,0,'Données projet'!$E$11+1,1))</f>
        <v>168.08890945052406</v>
      </c>
      <c r="BJ53" s="59">
        <f t="shared" si="38"/>
        <v>182.52462557642343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4.1805437966253338</v>
      </c>
      <c r="BQ53" s="21">
        <f>EXP(-LN(2)/25)*BQ52+(1-EXP(-LN(2)/25))/(LN(2)/25)*Calculateur!BL53*Calculateur!BN53*VLOOKUP('Données projet'!$B$11,Paramètres!$A$1:$I$89,3,0)*0.475*44/12</f>
        <v>7.0822320792418827</v>
      </c>
      <c r="BR53" s="21">
        <f>EXP(-LN(2)/2)*BR52+(1-EXP(-LN(2)/2))/(LN(2)/2)*BL53*BO53*VLOOKUP('Données projet'!$B$11,Paramètres!$A$1:$I$89,3,0)*0.475*44/12</f>
        <v>5.3180589590567954E-3</v>
      </c>
      <c r="BS53" s="22">
        <f t="shared" si="9"/>
        <v>11.268093934826274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22.333333333333332</v>
      </c>
      <c r="N54" s="13">
        <f>IF('Données projet'!$A$36&gt;35,N53+M54-V53,IF(A54&lt;'Données projet'!$A$36,$K$205^A54,IF(A54='Données projet'!$A$36,'Données projet'!$B$36,N53+M54-V53)))</f>
        <v>652.33333333333348</v>
      </c>
      <c r="O54" s="13">
        <f>N54*VLOOKUP('Données projet'!$B$9,Paramètres!$A$1:$I$89,3,0)*VLOOKUP('Données projet'!$B$9,Paramètres!$A$1:$I$89,5,0)</f>
        <v>305.29200000000003</v>
      </c>
      <c r="P54" s="13">
        <f t="shared" si="33"/>
        <v>72.284738381385523</v>
      </c>
      <c r="Q54" s="20">
        <f t="shared" si="53"/>
        <v>657.61281934757983</v>
      </c>
      <c r="R54" s="59">
        <f t="shared" si="0"/>
        <v>950.9461526809132</v>
      </c>
      <c r="S54" s="59">
        <f ca="1">AVERAGE(OFFSET($R$3,0,0,'Données projet'!$E$9+1,1))-AVERAGE(OFFSET($H$3,0,0,'Données projet'!$E$9+1,1))</f>
        <v>214.51224556840771</v>
      </c>
      <c r="T54" s="59">
        <f t="shared" si="34"/>
        <v>225.78309962707215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2.6195374396252635</v>
      </c>
      <c r="AA54" s="21">
        <f>EXP(-LN(2)/25)*AA53+(1-EXP(-LN(2)/25))/(LN(2)/25)*Calculateur!V54*Calculateur!X54*VLOOKUP('Données projet'!$B$9,Paramètres!$A$1:$I$89,3,0)*0.475*44/12</f>
        <v>14.351949835422165</v>
      </c>
      <c r="AB54" s="21">
        <f>EXP(-LN(2)/2)*AB53+(1-EXP(-LN(2)/2))/(LN(2)/2)*V54*Y54*VLOOKUP('Données projet'!$B$9,Paramètres!$A$1:$I$89,3,0)*0.475*44/12</f>
        <v>1.6827332601355806E-2</v>
      </c>
      <c r="AC54" s="22">
        <f t="shared" si="3"/>
        <v>16.988314607648785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164.80000000000007</v>
      </c>
      <c r="AJ54" s="13">
        <f>AI54*VLOOKUP('Données projet'!$B$10,Paramètres!$A$1:$I$89,3,0)*VLOOKUP('Données projet'!$B$10,Paramètres!$A$1:$I$89,5,0)</f>
        <v>149.11104000000006</v>
      </c>
      <c r="AK54" s="13">
        <f t="shared" si="35"/>
        <v>38.376496436982386</v>
      </c>
      <c r="AL54" s="20">
        <f t="shared" si="4"/>
        <v>326.54079262774445</v>
      </c>
      <c r="AM54" s="59">
        <f t="shared" si="5"/>
        <v>619.87412596107777</v>
      </c>
      <c r="AN54" s="59">
        <f ca="1">AVERAGE(OFFSET($AM$3,0,0,'Données projet'!$E$10+1,1))-AVERAGE(OFFSET($H$3,0,0,'Données projet'!$E$10+1,1))</f>
        <v>237.22177246688199</v>
      </c>
      <c r="AO54" s="59">
        <f t="shared" si="36"/>
        <v>149.27472147904302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1.735112385885256</v>
      </c>
      <c r="AW54" s="21">
        <f>EXP(-LN(2)/2)*AW53+(1-EXP(-LN(2)/2))/(LN(2)/2)*AQ54*AT54*VLOOKUP('Données projet'!$B$10,Paramètres!$A$1:$I$89,3,0)*0.475*44/12</f>
        <v>4.2739549208874504E-3</v>
      </c>
      <c r="AX54" s="21">
        <f t="shared" si="6"/>
        <v>1.7393863408061434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5.875</v>
      </c>
      <c r="BD54" s="12">
        <f>IF('Données projet'!$A$88&gt;35,BD53+BC54-BL53,IF(A54&lt;'Données projet'!$A$88,$BA$205^A54,IF(A54='Données projet'!$A$88,'Données projet'!$B$88,BD53+BC54-BL53)))</f>
        <v>293.375</v>
      </c>
      <c r="BE54" s="13">
        <f>BD54*VLOOKUP('Données projet'!$B$11,Paramètres!$A$1:$I$89,3,0)*VLOOKUP('Données projet'!$B$11,Paramètres!$A$1:$I$89,5,0)</f>
        <v>175.43825000000004</v>
      </c>
      <c r="BF54" s="13">
        <f t="shared" si="37"/>
        <v>44.305769576051844</v>
      </c>
      <c r="BG54" s="20">
        <f t="shared" si="7"/>
        <v>382.72083409495696</v>
      </c>
      <c r="BH54" s="59">
        <f t="shared" si="8"/>
        <v>676.05416742829027</v>
      </c>
      <c r="BI54" s="59">
        <f ca="1">AVERAGE(OFFSET($BH$3,0,0,'Données projet'!$E$11+1,1))-AVERAGE(OFFSET($H$3,0,0,'Données projet'!$E$11+1,1))</f>
        <v>168.08890945052406</v>
      </c>
      <c r="BJ54" s="59">
        <f t="shared" si="38"/>
        <v>182.52462557642343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4.098565882653447</v>
      </c>
      <c r="BQ54" s="21">
        <f>EXP(-LN(2)/25)*BQ53+(1-EXP(-LN(2)/25))/(LN(2)/25)*Calculateur!BL54*Calculateur!BN54*VLOOKUP('Données projet'!$B$11,Paramètres!$A$1:$I$89,3,0)*0.475*44/12</f>
        <v>6.888568070596615</v>
      </c>
      <c r="BR54" s="21">
        <f>EXP(-LN(2)/2)*BR53+(1-EXP(-LN(2)/2))/(LN(2)/2)*BL54*BO54*VLOOKUP('Données projet'!$B$11,Paramètres!$A$1:$I$89,3,0)*0.475*44/12</f>
        <v>3.7604355526989325E-3</v>
      </c>
      <c r="BS54" s="22">
        <f t="shared" si="9"/>
        <v>10.990894388802761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22.333333333333332</v>
      </c>
      <c r="N55" s="13">
        <f>IF('Données projet'!$A$36&gt;35,N54+M55-V54,IF(A55&lt;'Données projet'!$A$36,$K$205^A55,IF(A55='Données projet'!$A$36,'Données projet'!$B$36,N54+M55-V54)))</f>
        <v>674.66666666666686</v>
      </c>
      <c r="O55" s="13">
        <f>N55*VLOOKUP('Données projet'!$B$9,Paramètres!$A$1:$I$89,3,0)*VLOOKUP('Données projet'!$B$9,Paramètres!$A$1:$I$89,5,0)</f>
        <v>315.74400000000009</v>
      </c>
      <c r="P55" s="13">
        <f t="shared" si="33"/>
        <v>74.467121212440205</v>
      </c>
      <c r="Q55" s="20">
        <f t="shared" si="53"/>
        <v>679.61770277833341</v>
      </c>
      <c r="R55" s="59">
        <f t="shared" si="0"/>
        <v>972.95103611166678</v>
      </c>
      <c r="S55" s="59">
        <f ca="1">AVERAGE(OFFSET($R$3,0,0,'Données projet'!$E$9+1,1))-AVERAGE(OFFSET($H$3,0,0,'Données projet'!$E$9+1,1))</f>
        <v>214.51224556840771</v>
      </c>
      <c r="T55" s="59">
        <f t="shared" si="34"/>
        <v>225.78309962707215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2.5681699081942844</v>
      </c>
      <c r="AA55" s="21">
        <f>EXP(-LN(2)/25)*AA54+(1-EXP(-LN(2)/25))/(LN(2)/25)*Calculateur!V55*Calculateur!X55*VLOOKUP('Données projet'!$B$9,Paramètres!$A$1:$I$89,3,0)*0.475*44/12</f>
        <v>13.959495012436305</v>
      </c>
      <c r="AB55" s="21">
        <f>EXP(-LN(2)/2)*AB54+(1-EXP(-LN(2)/2))/(LN(2)/2)*V55*Y55*VLOOKUP('Données projet'!$B$9,Paramètres!$A$1:$I$89,3,0)*0.475*44/12</f>
        <v>1.1898720991700158E-2</v>
      </c>
      <c r="AC55" s="22">
        <f t="shared" si="3"/>
        <v>16.539563641622287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172.60000000000008</v>
      </c>
      <c r="AJ55" s="13">
        <f>AI55*VLOOKUP('Données projet'!$B$10,Paramètres!$A$1:$I$89,3,0)*VLOOKUP('Données projet'!$B$10,Paramètres!$A$1:$I$89,5,0)</f>
        <v>156.16848000000005</v>
      </c>
      <c r="AK55" s="13">
        <f t="shared" si="35"/>
        <v>39.977090041212335</v>
      </c>
      <c r="AL55" s="20">
        <f t="shared" si="4"/>
        <v>341.62020115511154</v>
      </c>
      <c r="AM55" s="59">
        <f t="shared" si="5"/>
        <v>634.9535344884448</v>
      </c>
      <c r="AN55" s="59">
        <f ca="1">AVERAGE(OFFSET($AM$3,0,0,'Données projet'!$E$10+1,1))-AVERAGE(OFFSET($H$3,0,0,'Données projet'!$E$10+1,1))</f>
        <v>237.22177246688199</v>
      </c>
      <c r="AO55" s="59">
        <f t="shared" si="36"/>
        <v>149.27472147904302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1.687665646447629</v>
      </c>
      <c r="AW55" s="21">
        <f>EXP(-LN(2)/2)*AW54+(1-EXP(-LN(2)/2))/(LN(2)/2)*AQ55*AT55*VLOOKUP('Données projet'!$B$10,Paramètres!$A$1:$I$89,3,0)*0.475*44/12</f>
        <v>3.0221425070451305E-3</v>
      </c>
      <c r="AX55" s="21">
        <f t="shared" si="6"/>
        <v>1.6906877889546741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5.875</v>
      </c>
      <c r="BD55" s="12">
        <f>IF('Données projet'!$A$88&gt;35,BD54+BC55-BL54,IF(A55&lt;'Données projet'!$A$88,$BA$205^A55,IF(A55='Données projet'!$A$88,'Données projet'!$B$88,BD54+BC55-BL54)))</f>
        <v>299.25</v>
      </c>
      <c r="BE55" s="13">
        <f>BD55*VLOOKUP('Données projet'!$B$11,Paramètres!$A$1:$I$89,3,0)*VLOOKUP('Données projet'!$B$11,Paramètres!$A$1:$I$89,5,0)</f>
        <v>178.95150000000001</v>
      </c>
      <c r="BF55" s="13">
        <f t="shared" si="37"/>
        <v>45.088834979390157</v>
      </c>
      <c r="BG55" s="20">
        <f t="shared" si="7"/>
        <v>390.20358342243782</v>
      </c>
      <c r="BH55" s="59">
        <f t="shared" si="8"/>
        <v>683.53691675577113</v>
      </c>
      <c r="BI55" s="59">
        <f ca="1">AVERAGE(OFFSET($BH$3,0,0,'Données projet'!$E$11+1,1))-AVERAGE(OFFSET($H$3,0,0,'Données projet'!$E$11+1,1))</f>
        <v>168.08890945052406</v>
      </c>
      <c r="BJ55" s="59">
        <f t="shared" si="38"/>
        <v>182.52462557642343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4.018195505572959</v>
      </c>
      <c r="BQ55" s="21">
        <f>EXP(-LN(2)/25)*BQ54+(1-EXP(-LN(2)/25))/(LN(2)/25)*Calculateur!BL55*Calculateur!BN55*VLOOKUP('Données projet'!$B$11,Paramètres!$A$1:$I$89,3,0)*0.475*44/12</f>
        <v>6.7001998144521</v>
      </c>
      <c r="BR55" s="21">
        <f>EXP(-LN(2)/2)*BR54+(1-EXP(-LN(2)/2))/(LN(2)/2)*BL55*BO55*VLOOKUP('Données projet'!$B$11,Paramètres!$A$1:$I$89,3,0)*0.475*44/12</f>
        <v>2.6590294795283981E-3</v>
      </c>
      <c r="BS55" s="22">
        <f t="shared" si="9"/>
        <v>10.721054349504588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>
        <f>VLOOKUP(A56,'Données projet'!$A$35:$I$55,2,0)</f>
        <v>697</v>
      </c>
      <c r="L56" s="12">
        <f>VLOOKUP(A56,'Données projet'!$A$35:$I$55,9,0)</f>
        <v>22.333333333333332</v>
      </c>
      <c r="M56" s="12">
        <f t="array" ref="M56">INDEX(L:L,MIN(IF(ISNUMBER(L56:L252),ROW(L56:L252),"")))</f>
        <v>22.333333333333332</v>
      </c>
      <c r="N56" s="13">
        <f>IF('Données projet'!$A$36&gt;35,N55+M56-V55,IF(A56&lt;'Données projet'!$A$36,$K$205^A56,IF(A56='Données projet'!$A$36,'Données projet'!$B$36,N55+M56-V55)))</f>
        <v>697.00000000000023</v>
      </c>
      <c r="O56" s="13">
        <f>N56*VLOOKUP('Données projet'!$B$9,Paramètres!$A$1:$I$89,3,0)*VLOOKUP('Données projet'!$B$9,Paramètres!$A$1:$I$89,5,0)</f>
        <v>326.19600000000008</v>
      </c>
      <c r="P56" s="13">
        <f t="shared" si="33"/>
        <v>76.641109529113464</v>
      </c>
      <c r="Q56" s="20">
        <f t="shared" si="53"/>
        <v>701.60796576320615</v>
      </c>
      <c r="R56" s="59">
        <f t="shared" si="0"/>
        <v>994.94129909653952</v>
      </c>
      <c r="S56" s="59">
        <f ca="1">AVERAGE(OFFSET($R$3,0,0,'Données projet'!$E$9+1,1))-AVERAGE(OFFSET($H$3,0,0,'Données projet'!$E$9+1,1))</f>
        <v>214.51224556840771</v>
      </c>
      <c r="T56" s="59">
        <f t="shared" si="34"/>
        <v>225.78309962707215</v>
      </c>
      <c r="U56" s="15">
        <f>IF(ISNA(VLOOKUP(A56,'Données projet'!$A$35:$I$55,3,0)),0,VLOOKUP(A56,'Données projet'!$A$35:$I$55,3,0))</f>
        <v>8</v>
      </c>
      <c r="V56" s="15">
        <f>IF(ISNA(VLOOKUP(A56,'Données projet'!$A$35:$I$55,4,0)),0,VLOOKUP(A56,'Données projet'!$A$35:$I$55,4,0))</f>
        <v>697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2.5178096627235664</v>
      </c>
      <c r="AA56" s="21">
        <f>EXP(-LN(2)/25)*AA55+(1-EXP(-LN(2)/25))/(LN(2)/25)*Calculateur!V56*Calculateur!X56*VLOOKUP('Données projet'!$B$9,Paramètres!$A$1:$I$89,3,0)*0.475*44/12</f>
        <v>13.577771887223296</v>
      </c>
      <c r="AB56" s="21">
        <f>EXP(-LN(2)/2)*AB55+(1-EXP(-LN(2)/2))/(LN(2)/2)*V56*Y56*VLOOKUP('Données projet'!$B$9,Paramètres!$A$1:$I$89,3,0)*0.475*44/12</f>
        <v>8.4136663006779029E-3</v>
      </c>
      <c r="AC56" s="22">
        <f t="shared" si="3"/>
        <v>16.103995216247544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180.40000000000009</v>
      </c>
      <c r="AJ56" s="13">
        <f>AI56*VLOOKUP('Données projet'!$B$10,Paramètres!$A$1:$I$89,3,0)*VLOOKUP('Données projet'!$B$10,Paramètres!$A$1:$I$89,5,0)</f>
        <v>163.22592000000009</v>
      </c>
      <c r="AK56" s="13">
        <f t="shared" si="35"/>
        <v>41.569283201466128</v>
      </c>
      <c r="AL56" s="20">
        <f t="shared" si="4"/>
        <v>356.68497890922026</v>
      </c>
      <c r="AM56" s="59">
        <f t="shared" si="5"/>
        <v>650.01831224255352</v>
      </c>
      <c r="AN56" s="59">
        <f ca="1">AVERAGE(OFFSET($AM$3,0,0,'Données projet'!$E$10+1,1))-AVERAGE(OFFSET($H$3,0,0,'Données projet'!$E$10+1,1))</f>
        <v>237.22177246688199</v>
      </c>
      <c r="AO56" s="59">
        <f t="shared" si="36"/>
        <v>149.27472147904302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1.6415163405950395</v>
      </c>
      <c r="AW56" s="21">
        <f>EXP(-LN(2)/2)*AW55+(1-EXP(-LN(2)/2))/(LN(2)/2)*AQ56*AT56*VLOOKUP('Données projet'!$B$10,Paramètres!$A$1:$I$89,3,0)*0.475*44/12</f>
        <v>2.1369774604437252E-3</v>
      </c>
      <c r="AX56" s="21">
        <f t="shared" si="6"/>
        <v>1.6436533180554833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5.875</v>
      </c>
      <c r="BD56" s="12">
        <f>IF('Données projet'!$A$88&gt;35,BD55+BC56-BL55,IF(A56&lt;'Données projet'!$A$88,$BA$205^A56,IF(A56='Données projet'!$A$88,'Données projet'!$B$88,BD55+BC56-BL55)))</f>
        <v>305.125</v>
      </c>
      <c r="BE56" s="13">
        <f>BD56*VLOOKUP('Données projet'!$B$11,Paramètres!$A$1:$I$89,3,0)*VLOOKUP('Données projet'!$B$11,Paramètres!$A$1:$I$89,5,0)</f>
        <v>182.46475000000004</v>
      </c>
      <c r="BF56" s="13">
        <f t="shared" si="37"/>
        <v>45.870112833182944</v>
      </c>
      <c r="BG56" s="20">
        <f t="shared" si="7"/>
        <v>397.68321943446034</v>
      </c>
      <c r="BH56" s="59">
        <f t="shared" si="8"/>
        <v>691.01655276779366</v>
      </c>
      <c r="BI56" s="59">
        <f ca="1">AVERAGE(OFFSET($BH$3,0,0,'Données projet'!$E$11+1,1))-AVERAGE(OFFSET($H$3,0,0,'Données projet'!$E$11+1,1))</f>
        <v>168.08890945052406</v>
      </c>
      <c r="BJ56" s="59">
        <f t="shared" si="38"/>
        <v>182.52462557642343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3.9394011425659294</v>
      </c>
      <c r="BQ56" s="21">
        <f>EXP(-LN(2)/25)*BQ55+(1-EXP(-LN(2)/25))/(LN(2)/25)*Calculateur!BL56*Calculateur!BN56*VLOOKUP('Données projet'!$B$11,Paramètres!$A$1:$I$89,3,0)*0.475*44/12</f>
        <v>6.5169824981777129</v>
      </c>
      <c r="BR56" s="21">
        <f>EXP(-LN(2)/2)*BR55+(1-EXP(-LN(2)/2))/(LN(2)/2)*BL56*BO56*VLOOKUP('Données projet'!$B$11,Paramètres!$A$1:$I$89,3,0)*0.475*44/12</f>
        <v>1.8802177763494665E-3</v>
      </c>
      <c r="BS56" s="22">
        <f t="shared" si="9"/>
        <v>10.458263858519992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1.064108801074326E-13</v>
      </c>
      <c r="P57" s="13">
        <f t="shared" si="33"/>
        <v>1.5870730813698654E-12</v>
      </c>
      <c r="Q57" s="20">
        <f t="shared" si="53"/>
        <v>2.9494845662396269E-12</v>
      </c>
      <c r="R57" s="59">
        <f t="shared" si="0"/>
        <v>293.33333333333627</v>
      </c>
      <c r="S57" s="59">
        <f ca="1">AVERAGE(OFFSET($R$3,0,0,'Données projet'!$E$9+1,1))-AVERAGE(OFFSET($H$3,0,0,'Données projet'!$E$9+1,1))</f>
        <v>214.51224556840771</v>
      </c>
      <c r="T57" s="59">
        <f t="shared" si="34"/>
        <v>225.78309962707215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2.4684369509498127</v>
      </c>
      <c r="AA57" s="21">
        <f>EXP(-LN(2)/25)*AA56+(1-EXP(-LN(2)/25))/(LN(2)/25)*Calculateur!V57*Calculateur!X57*VLOOKUP('Données projet'!$B$9,Paramètres!$A$1:$I$89,3,0)*0.475*44/12</f>
        <v>13.206487000943184</v>
      </c>
      <c r="AB57" s="21">
        <f>EXP(-LN(2)/2)*AB56+(1-EXP(-LN(2)/2))/(LN(2)/2)*V57*Y57*VLOOKUP('Données projet'!$B$9,Paramètres!$A$1:$I$89,3,0)*0.475*44/12</f>
        <v>5.9493604958500788E-3</v>
      </c>
      <c r="AC57" s="22">
        <f t="shared" si="3"/>
        <v>15.680873312388846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188.2000000000001</v>
      </c>
      <c r="AJ57" s="13">
        <f>AI57*VLOOKUP('Données projet'!$B$10,Paramètres!$A$1:$I$89,3,0)*VLOOKUP('Données projet'!$B$10,Paramètres!$A$1:$I$89,5,0)</f>
        <v>170.28336000000007</v>
      </c>
      <c r="AK57" s="13">
        <f t="shared" si="35"/>
        <v>43.153480646462619</v>
      </c>
      <c r="AL57" s="20">
        <f t="shared" si="4"/>
        <v>371.73583079258918</v>
      </c>
      <c r="AM57" s="59">
        <f t="shared" si="5"/>
        <v>665.0691641259225</v>
      </c>
      <c r="AN57" s="59">
        <f ca="1">AVERAGE(OFFSET($AM$3,0,0,'Données projet'!$E$10+1,1))-AVERAGE(OFFSET($H$3,0,0,'Données projet'!$E$10+1,1))</f>
        <v>237.22177246688199</v>
      </c>
      <c r="AO57" s="59">
        <f t="shared" si="36"/>
        <v>149.27472147904302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1.5966289899378756</v>
      </c>
      <c r="AW57" s="21">
        <f>EXP(-LN(2)/2)*AW56+(1-EXP(-LN(2)/2))/(LN(2)/2)*AQ57*AT57*VLOOKUP('Données projet'!$B$10,Paramètres!$A$1:$I$89,3,0)*0.475*44/12</f>
        <v>1.5110712535225653E-3</v>
      </c>
      <c r="AX57" s="21">
        <f t="shared" si="6"/>
        <v>1.5981400611913981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311</v>
      </c>
      <c r="BB57" s="12">
        <f>VLOOKUP(A57,'Données projet'!$A$87:$I$107,9,0)</f>
        <v>5.875</v>
      </c>
      <c r="BC57" s="12">
        <f t="array" ref="BC57">INDEX(BB:BB,MIN(IF(ISNUMBER(BB57:BB253),ROW(BB57:BB253),"")))</f>
        <v>5.875</v>
      </c>
      <c r="BD57" s="12">
        <f>IF('Données projet'!$A$88&gt;35,BD56+BC57-BL56,IF(A57&lt;'Données projet'!$A$88,$BA$205^A57,IF(A57='Données projet'!$A$88,'Données projet'!$B$88,BD56+BC57-BL56)))</f>
        <v>311</v>
      </c>
      <c r="BE57" s="13">
        <f>BD57*VLOOKUP('Données projet'!$B$11,Paramètres!$A$1:$I$89,3,0)*VLOOKUP('Données projet'!$B$11,Paramètres!$A$1:$I$89,5,0)</f>
        <v>185.97800000000001</v>
      </c>
      <c r="BF57" s="13">
        <f t="shared" si="37"/>
        <v>46.649641523668571</v>
      </c>
      <c r="BG57" s="20">
        <f t="shared" si="7"/>
        <v>405.15980898705612</v>
      </c>
      <c r="BH57" s="59">
        <f t="shared" si="8"/>
        <v>698.49314232038944</v>
      </c>
      <c r="BI57" s="59">
        <f ca="1">AVERAGE(OFFSET($BH$3,0,0,'Données projet'!$E$11+1,1))-AVERAGE(OFFSET($H$3,0,0,'Données projet'!$E$11+1,1))</f>
        <v>168.08890945052406</v>
      </c>
      <c r="BJ57" s="59">
        <f t="shared" si="38"/>
        <v>182.52462557642343</v>
      </c>
      <c r="BK57" s="15">
        <f>IF(ISNA(VLOOKUP(A57,'Données projet'!$A$87:$I$107,3,0)),0,VLOOKUP(A57,'Données projet'!$A$87:$I$107,3,0))</f>
        <v>8</v>
      </c>
      <c r="BL57" s="15">
        <f>IF(ISNA(VLOOKUP(A57,'Données projet'!$A$87:$I$107,4,0)),0,VLOOKUP(A57,'Données projet'!$A$87:$I$107,4,0))</f>
        <v>16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3.8621518889576518</v>
      </c>
      <c r="BQ57" s="21">
        <f>EXP(-LN(2)/25)*BQ56+(1-EXP(-LN(2)/25))/(LN(2)/25)*Calculateur!BL57*Calculateur!BN57*VLOOKUP('Données projet'!$B$11,Paramètres!$A$1:$I$89,3,0)*0.475*44/12</f>
        <v>6.3387752690518289</v>
      </c>
      <c r="BR57" s="21">
        <f>EXP(-LN(2)/2)*BR56+(1-EXP(-LN(2)/2))/(LN(2)/2)*BL57*BO57*VLOOKUP('Données projet'!$B$11,Paramètres!$A$1:$I$89,3,0)*0.475*44/12</f>
        <v>1.3295147397641993E-3</v>
      </c>
      <c r="BS57" s="22">
        <f t="shared" si="9"/>
        <v>10.202256672749245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1.064108801074326E-13</v>
      </c>
      <c r="P58" s="13">
        <f t="shared" si="33"/>
        <v>1.5870730813698654E-12</v>
      </c>
      <c r="Q58" s="20">
        <f t="shared" si="53"/>
        <v>2.9494845662396269E-12</v>
      </c>
      <c r="R58" s="59">
        <f t="shared" si="0"/>
        <v>293.33333333333627</v>
      </c>
      <c r="S58" s="59">
        <f ca="1">AVERAGE(OFFSET($R$3,0,0,'Données projet'!$E$9+1,1))-AVERAGE(OFFSET($H$3,0,0,'Données projet'!$E$9+1,1))</f>
        <v>214.51224556840771</v>
      </c>
      <c r="T58" s="59">
        <f t="shared" si="34"/>
        <v>225.78309962707215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2.4200324079395616</v>
      </c>
      <c r="AA58" s="21">
        <f>EXP(-LN(2)/25)*AA57+(1-EXP(-LN(2)/25))/(LN(2)/25)*Calculateur!V58*Calculateur!X58*VLOOKUP('Données projet'!$B$9,Paramètres!$A$1:$I$89,3,0)*0.475*44/12</f>
        <v>12.845354919403425</v>
      </c>
      <c r="AB58" s="21">
        <f>EXP(-LN(2)/2)*AB57+(1-EXP(-LN(2)/2))/(LN(2)/2)*V58*Y58*VLOOKUP('Données projet'!$B$9,Paramètres!$A$1:$I$89,3,0)*0.475*44/12</f>
        <v>4.2068331503389515E-3</v>
      </c>
      <c r="AC58" s="22">
        <f t="shared" si="3"/>
        <v>15.269594160493327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196.00000000000011</v>
      </c>
      <c r="AJ58" s="13">
        <f>AI58*VLOOKUP('Données projet'!$B$10,Paramètres!$A$1:$I$89,3,0)*VLOOKUP('Données projet'!$B$10,Paramètres!$A$1:$I$89,5,0)</f>
        <v>177.34080000000012</v>
      </c>
      <c r="AK58" s="13">
        <f t="shared" si="35"/>
        <v>44.730051658603102</v>
      </c>
      <c r="AL58" s="20">
        <f t="shared" si="4"/>
        <v>386.77339997206718</v>
      </c>
      <c r="AM58" s="59">
        <f t="shared" si="5"/>
        <v>680.10673330540044</v>
      </c>
      <c r="AN58" s="59">
        <f ca="1">AVERAGE(OFFSET($AM$3,0,0,'Données projet'!$E$10+1,1))-AVERAGE(OFFSET($H$3,0,0,'Données projet'!$E$10+1,1))</f>
        <v>237.22177246688199</v>
      </c>
      <c r="AO58" s="59">
        <f t="shared" si="36"/>
        <v>149.27472147904302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1.552969086244955</v>
      </c>
      <c r="AW58" s="21">
        <f>EXP(-LN(2)/2)*AW57+(1-EXP(-LN(2)/2))/(LN(2)/2)*AQ58*AT58*VLOOKUP('Données projet'!$B$10,Paramètres!$A$1:$I$89,3,0)*0.475*44/12</f>
        <v>1.0684887302218626E-3</v>
      </c>
      <c r="AX58" s="21">
        <f t="shared" si="6"/>
        <v>1.5540375749751769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2.625</v>
      </c>
      <c r="BD58" s="12">
        <f>IF('Données projet'!$A$88&gt;35,BD57+BC58-BL57,IF(A58&lt;'Données projet'!$A$88,$BA$205^A58,IF(A58='Données projet'!$A$88,'Données projet'!$B$88,BD57+BC58-BL57)))</f>
        <v>297.625</v>
      </c>
      <c r="BE58" s="13">
        <f>BD58*VLOOKUP('Données projet'!$B$11,Paramètres!$A$1:$I$89,3,0)*VLOOKUP('Données projet'!$B$11,Paramètres!$A$1:$I$89,5,0)</f>
        <v>177.97975</v>
      </c>
      <c r="BF58" s="13">
        <f t="shared" si="37"/>
        <v>44.87242292972973</v>
      </c>
      <c r="BG58" s="20">
        <f t="shared" si="7"/>
        <v>388.13420118594587</v>
      </c>
      <c r="BH58" s="59">
        <f t="shared" si="8"/>
        <v>681.46753451927918</v>
      </c>
      <c r="BI58" s="59">
        <f ca="1">AVERAGE(OFFSET($BH$3,0,0,'Données projet'!$E$11+1,1))-AVERAGE(OFFSET($H$3,0,0,'Données projet'!$E$11+1,1))</f>
        <v>168.08890945052406</v>
      </c>
      <c r="BJ58" s="59">
        <f t="shared" si="38"/>
        <v>182.52462557642343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3.7864174460952404</v>
      </c>
      <c r="BQ58" s="21">
        <f>EXP(-LN(2)/25)*BQ57+(1-EXP(-LN(2)/25))/(LN(2)/25)*Calculateur!BL58*Calculateur!BN58*VLOOKUP('Données projet'!$B$11,Paramètres!$A$1:$I$89,3,0)*0.475*44/12</f>
        <v>6.1654411259779023</v>
      </c>
      <c r="BR58" s="21">
        <f>EXP(-LN(2)/2)*BR57+(1-EXP(-LN(2)/2))/(LN(2)/2)*BL58*BO58*VLOOKUP('Données projet'!$B$11,Paramètres!$A$1:$I$89,3,0)*0.475*44/12</f>
        <v>9.4010888817473346E-4</v>
      </c>
      <c r="BS58" s="22">
        <f t="shared" si="9"/>
        <v>9.9527986809613171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1.064108801074326E-13</v>
      </c>
      <c r="P59" s="13">
        <f t="shared" si="33"/>
        <v>1.5870730813698654E-12</v>
      </c>
      <c r="Q59" s="20">
        <f t="shared" si="53"/>
        <v>2.9494845662396269E-12</v>
      </c>
      <c r="R59" s="59">
        <f t="shared" si="0"/>
        <v>293.33333333333627</v>
      </c>
      <c r="S59" s="59">
        <f ca="1">AVERAGE(OFFSET($R$3,0,0,'Données projet'!$E$9+1,1))-AVERAGE(OFFSET($H$3,0,0,'Données projet'!$E$9+1,1))</f>
        <v>214.51224556840771</v>
      </c>
      <c r="T59" s="59">
        <f t="shared" si="34"/>
        <v>225.78309962707215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2.3725770484938855</v>
      </c>
      <c r="AA59" s="21">
        <f>EXP(-LN(2)/25)*AA58+(1-EXP(-LN(2)/25))/(LN(2)/25)*Calculateur!V59*Calculateur!X59*VLOOKUP('Données projet'!$B$9,Paramètres!$A$1:$I$89,3,0)*0.475*44/12</f>
        <v>12.494098013624482</v>
      </c>
      <c r="AB59" s="21">
        <f>EXP(-LN(2)/2)*AB58+(1-EXP(-LN(2)/2))/(LN(2)/2)*V59*Y59*VLOOKUP('Données projet'!$B$9,Paramètres!$A$1:$I$89,3,0)*0.475*44/12</f>
        <v>2.9746802479250394E-3</v>
      </c>
      <c r="AC59" s="22">
        <f t="shared" si="3"/>
        <v>14.869649742366294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7.8</v>
      </c>
      <c r="AI59" s="13">
        <f>IF('Données projet'!$A$62&gt;35,AI58+AH59-AQ58,IF(A59&lt;'Données projet'!$A$62,$AF$205^A59,IF(A59='Données projet'!$A$62,'Données projet'!$B$62,AI58+AH59-AQ58)))</f>
        <v>203.80000000000013</v>
      </c>
      <c r="AJ59" s="13">
        <f>AI59*VLOOKUP('Données projet'!$B$10,Paramètres!$A$1:$I$89,3,0)*VLOOKUP('Données projet'!$B$10,Paramètres!$A$1:$I$89,5,0)</f>
        <v>184.3982400000001</v>
      </c>
      <c r="AK59" s="13">
        <f t="shared" si="35"/>
        <v>46.299334464645959</v>
      </c>
      <c r="AL59" s="20">
        <f t="shared" si="4"/>
        <v>401.79827552592519</v>
      </c>
      <c r="AM59" s="59">
        <f t="shared" si="5"/>
        <v>695.13160885925845</v>
      </c>
      <c r="AN59" s="59">
        <f ca="1">AVERAGE(OFFSET($AM$3,0,0,'Données projet'!$E$10+1,1))-AVERAGE(OFFSET($H$3,0,0,'Données projet'!$E$10+1,1))</f>
        <v>237.22177246688199</v>
      </c>
      <c r="AO59" s="59">
        <f t="shared" si="36"/>
        <v>149.27472147904302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1.5105030649144917</v>
      </c>
      <c r="AW59" s="21">
        <f>EXP(-LN(2)/2)*AW58+(1-EXP(-LN(2)/2))/(LN(2)/2)*AQ59*AT59*VLOOKUP('Données projet'!$B$10,Paramètres!$A$1:$I$89,3,0)*0.475*44/12</f>
        <v>7.5553562676128263E-4</v>
      </c>
      <c r="AX59" s="21">
        <f t="shared" si="6"/>
        <v>1.5112586005412529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2.625</v>
      </c>
      <c r="BD59" s="12">
        <f>IF('Données projet'!$A$88&gt;35,BD58+BC59-BL58,IF(A59&lt;'Données projet'!$A$88,$BA$205^A59,IF(A59='Données projet'!$A$88,'Données projet'!$B$88,BD58+BC59-BL58)))</f>
        <v>300.25</v>
      </c>
      <c r="BE59" s="13">
        <f>BD59*VLOOKUP('Données projet'!$B$11,Paramètres!$A$1:$I$89,3,0)*VLOOKUP('Données projet'!$B$11,Paramètres!$A$1:$I$89,5,0)</f>
        <v>179.54950000000002</v>
      </c>
      <c r="BF59" s="13">
        <f t="shared" si="37"/>
        <v>45.221943603548368</v>
      </c>
      <c r="BG59" s="20">
        <f t="shared" si="7"/>
        <v>391.47693094284676</v>
      </c>
      <c r="BH59" s="59">
        <f t="shared" si="8"/>
        <v>684.81026427618008</v>
      </c>
      <c r="BI59" s="59">
        <f ca="1">AVERAGE(OFFSET($BH$3,0,0,'Données projet'!$E$11+1,1))-AVERAGE(OFFSET($H$3,0,0,'Données projet'!$E$11+1,1))</f>
        <v>168.08890945052406</v>
      </c>
      <c r="BJ59" s="59">
        <f t="shared" si="38"/>
        <v>182.52462557642343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3.7121681094639118</v>
      </c>
      <c r="BQ59" s="21">
        <f>EXP(-LN(2)/25)*BQ58+(1-EXP(-LN(2)/25))/(LN(2)/25)*Calculateur!BL59*Calculateur!BN59*VLOOKUP('Données projet'!$B$11,Paramètres!$A$1:$I$89,3,0)*0.475*44/12</f>
        <v>5.9968468141615787</v>
      </c>
      <c r="BR59" s="21">
        <f>EXP(-LN(2)/2)*BR58+(1-EXP(-LN(2)/2))/(LN(2)/2)*BL59*BO59*VLOOKUP('Données projet'!$B$11,Paramètres!$A$1:$I$89,3,0)*0.475*44/12</f>
        <v>6.6475736988209975E-4</v>
      </c>
      <c r="BS59" s="22">
        <f t="shared" si="9"/>
        <v>9.7096796809953734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1.064108801074326E-13</v>
      </c>
      <c r="P60" s="13">
        <f t="shared" si="33"/>
        <v>1.5870730813698654E-12</v>
      </c>
      <c r="Q60" s="20">
        <f t="shared" si="53"/>
        <v>2.9494845662396269E-12</v>
      </c>
      <c r="R60" s="59">
        <f t="shared" si="0"/>
        <v>293.33333333333627</v>
      </c>
      <c r="S60" s="59">
        <f ca="1">AVERAGE(OFFSET($R$3,0,0,'Données projet'!$E$9+1,1))-AVERAGE(OFFSET($H$3,0,0,'Données projet'!$E$9+1,1))</f>
        <v>214.51224556840771</v>
      </c>
      <c r="T60" s="59">
        <f t="shared" si="34"/>
        <v>225.78309962707215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2.3260522597020277</v>
      </c>
      <c r="AA60" s="21">
        <f>EXP(-LN(2)/25)*AA59+(1-EXP(-LN(2)/25))/(LN(2)/25)*Calculateur!V60*Calculateur!X60*VLOOKUP('Données projet'!$B$9,Paramètres!$A$1:$I$89,3,0)*0.475*44/12</f>
        <v>12.152446246405862</v>
      </c>
      <c r="AB60" s="21">
        <f>EXP(-LN(2)/2)*AB59+(1-EXP(-LN(2)/2))/(LN(2)/2)*V60*Y60*VLOOKUP('Données projet'!$B$9,Paramètres!$A$1:$I$89,3,0)*0.475*44/12</f>
        <v>2.1034165751694757E-3</v>
      </c>
      <c r="AC60" s="22">
        <f t="shared" si="3"/>
        <v>14.480601922683059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7.8</v>
      </c>
      <c r="AI60" s="13">
        <f>IF('Données projet'!$A$62&gt;35,AI59+AH60-AQ59,IF(A60&lt;'Données projet'!$A$62,$AF$205^A60,IF(A60='Données projet'!$A$62,'Données projet'!$B$62,AI59+AH60-AQ59)))</f>
        <v>211.60000000000014</v>
      </c>
      <c r="AJ60" s="13">
        <f>AI60*VLOOKUP('Données projet'!$B$10,Paramètres!$A$1:$I$89,3,0)*VLOOKUP('Données projet'!$B$10,Paramètres!$A$1:$I$89,5,0)</f>
        <v>191.45568000000011</v>
      </c>
      <c r="AK60" s="13">
        <f t="shared" si="35"/>
        <v>47.861639935303188</v>
      </c>
      <c r="AL60" s="20">
        <f t="shared" si="4"/>
        <v>416.81099888731995</v>
      </c>
      <c r="AM60" s="59">
        <f t="shared" si="5"/>
        <v>710.14433222065327</v>
      </c>
      <c r="AN60" s="59">
        <f ca="1">AVERAGE(OFFSET($AM$3,0,0,'Données projet'!$E$10+1,1))-AVERAGE(OFFSET($H$3,0,0,'Données projet'!$E$10+1,1))</f>
        <v>237.22177246688199</v>
      </c>
      <c r="AO60" s="59">
        <f t="shared" si="36"/>
        <v>149.27472147904302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1.4691982791705009</v>
      </c>
      <c r="AW60" s="21">
        <f>EXP(-LN(2)/2)*AW59+(1-EXP(-LN(2)/2))/(LN(2)/2)*AQ60*AT60*VLOOKUP('Données projet'!$B$10,Paramètres!$A$1:$I$89,3,0)*0.475*44/12</f>
        <v>5.3424436511093131E-4</v>
      </c>
      <c r="AX60" s="21">
        <f t="shared" si="6"/>
        <v>1.4697325235356118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2.625</v>
      </c>
      <c r="BD60" s="12">
        <f>IF('Données projet'!$A$88&gt;35,BD59+BC60-BL59,IF(A60&lt;'Données projet'!$A$88,$BA$205^A60,IF(A60='Données projet'!$A$88,'Données projet'!$B$88,BD59+BC60-BL59)))</f>
        <v>302.875</v>
      </c>
      <c r="BE60" s="13">
        <f>BD60*VLOOKUP('Données projet'!$B$11,Paramètres!$A$1:$I$89,3,0)*VLOOKUP('Données projet'!$B$11,Paramètres!$A$1:$I$89,5,0)</f>
        <v>181.11925000000002</v>
      </c>
      <c r="BF60" s="13">
        <f t="shared" si="37"/>
        <v>45.571108763102352</v>
      </c>
      <c r="BG60" s="20">
        <f t="shared" si="7"/>
        <v>394.81904151240332</v>
      </c>
      <c r="BH60" s="59">
        <f t="shared" si="8"/>
        <v>688.15237484573663</v>
      </c>
      <c r="BI60" s="59">
        <f ca="1">AVERAGE(OFFSET($BH$3,0,0,'Données projet'!$E$11+1,1))-AVERAGE(OFFSET($H$3,0,0,'Données projet'!$E$11+1,1))</f>
        <v>168.08890945052406</v>
      </c>
      <c r="BJ60" s="59">
        <f t="shared" si="38"/>
        <v>182.52462557642343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3.6393747570363004</v>
      </c>
      <c r="BQ60" s="21">
        <f>EXP(-LN(2)/25)*BQ59+(1-EXP(-LN(2)/25))/(LN(2)/25)*Calculateur!BL60*Calculateur!BN60*VLOOKUP('Données projet'!$B$11,Paramètres!$A$1:$I$89,3,0)*0.475*44/12</f>
        <v>5.832862722667862</v>
      </c>
      <c r="BR60" s="21">
        <f>EXP(-LN(2)/2)*BR59+(1-EXP(-LN(2)/2))/(LN(2)/2)*BL60*BO60*VLOOKUP('Données projet'!$B$11,Paramètres!$A$1:$I$89,3,0)*0.475*44/12</f>
        <v>4.7005444408736678E-4</v>
      </c>
      <c r="BS60" s="22">
        <f t="shared" si="9"/>
        <v>9.472707534148249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1.064108801074326E-13</v>
      </c>
      <c r="P61" s="13">
        <f t="shared" si="33"/>
        <v>1.5870730813698654E-12</v>
      </c>
      <c r="Q61" s="20">
        <f t="shared" si="53"/>
        <v>2.9494845662396269E-12</v>
      </c>
      <c r="R61" s="59">
        <f t="shared" si="0"/>
        <v>293.33333333333627</v>
      </c>
      <c r="S61" s="59">
        <f ca="1">AVERAGE(OFFSET($R$3,0,0,'Données projet'!$E$9+1,1))-AVERAGE(OFFSET($H$3,0,0,'Données projet'!$E$9+1,1))</f>
        <v>214.51224556840771</v>
      </c>
      <c r="T61" s="59">
        <f t="shared" si="34"/>
        <v>225.78309962707215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2.2804397936410594</v>
      </c>
      <c r="AA61" s="21">
        <f>EXP(-LN(2)/25)*AA60+(1-EXP(-LN(2)/25))/(LN(2)/25)*Calculateur!V61*Calculateur!X61*VLOOKUP('Données projet'!$B$9,Paramètres!$A$1:$I$89,3,0)*0.475*44/12</f>
        <v>11.820136964728521</v>
      </c>
      <c r="AB61" s="21">
        <f>EXP(-LN(2)/2)*AB60+(1-EXP(-LN(2)/2))/(LN(2)/2)*V61*Y61*VLOOKUP('Données projet'!$B$9,Paramètres!$A$1:$I$89,3,0)*0.475*44/12</f>
        <v>1.4873401239625197E-3</v>
      </c>
      <c r="AC61" s="22">
        <f t="shared" si="3"/>
        <v>14.102064098493543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7.8</v>
      </c>
      <c r="AI61" s="13">
        <f>IF('Données projet'!$A$62&gt;35,AI60+AH61-AQ60,IF(A61&lt;'Données projet'!$A$62,$AF$205^A61,IF(A61='Données projet'!$A$62,'Données projet'!$B$62,AI60+AH61-AQ60)))</f>
        <v>219.40000000000015</v>
      </c>
      <c r="AJ61" s="13">
        <f>AI61*VLOOKUP('Données projet'!$B$10,Paramètres!$A$1:$I$89,3,0)*VLOOKUP('Données projet'!$B$10,Paramètres!$A$1:$I$89,5,0)</f>
        <v>198.51312000000013</v>
      </c>
      <c r="AK61" s="13">
        <f t="shared" si="35"/>
        <v>49.417254724004458</v>
      </c>
      <c r="AL61" s="20">
        <f t="shared" si="4"/>
        <v>431.81206931097466</v>
      </c>
      <c r="AM61" s="59">
        <f t="shared" si="5"/>
        <v>725.14540264430798</v>
      </c>
      <c r="AN61" s="59">
        <f ca="1">AVERAGE(OFFSET($AM$3,0,0,'Données projet'!$E$10+1,1))-AVERAGE(OFFSET($H$3,0,0,'Données projet'!$E$10+1,1))</f>
        <v>237.22177246688199</v>
      </c>
      <c r="AO61" s="59">
        <f t="shared" si="36"/>
        <v>149.27472147904302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1.429022974964804</v>
      </c>
      <c r="AW61" s="21">
        <f>EXP(-LN(2)/2)*AW60+(1-EXP(-LN(2)/2))/(LN(2)/2)*AQ61*AT61*VLOOKUP('Données projet'!$B$10,Paramètres!$A$1:$I$89,3,0)*0.475*44/12</f>
        <v>3.7776781338064131E-4</v>
      </c>
      <c r="AX61" s="21">
        <f t="shared" si="6"/>
        <v>1.4294007427781847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2.625</v>
      </c>
      <c r="BD61" s="12">
        <f>IF('Données projet'!$A$88&gt;35,BD60+BC61-BL60,IF(A61&lt;'Données projet'!$A$88,$BA$205^A61,IF(A61='Données projet'!$A$88,'Données projet'!$B$88,BD60+BC61-BL60)))</f>
        <v>305.5</v>
      </c>
      <c r="BE61" s="13">
        <f>BD61*VLOOKUP('Données projet'!$B$11,Paramètres!$A$1:$I$89,3,0)*VLOOKUP('Données projet'!$B$11,Paramètres!$A$1:$I$89,5,0)</f>
        <v>182.68900000000002</v>
      </c>
      <c r="BF61" s="13">
        <f t="shared" si="37"/>
        <v>45.919921846619154</v>
      </c>
      <c r="BG61" s="20">
        <f t="shared" si="7"/>
        <v>398.16053888286166</v>
      </c>
      <c r="BH61" s="59">
        <f t="shared" si="8"/>
        <v>691.49387221619497</v>
      </c>
      <c r="BI61" s="59">
        <f ca="1">AVERAGE(OFFSET($BH$3,0,0,'Données projet'!$E$11+1,1))-AVERAGE(OFFSET($H$3,0,0,'Données projet'!$E$11+1,1))</f>
        <v>168.08890945052406</v>
      </c>
      <c r="BJ61" s="59">
        <f t="shared" si="38"/>
        <v>182.52462557642343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3.5680088378502335</v>
      </c>
      <c r="BQ61" s="21">
        <f>EXP(-LN(2)/25)*BQ60+(1-EXP(-LN(2)/25))/(LN(2)/25)*Calculateur!BL61*Calculateur!BN61*VLOOKUP('Données projet'!$B$11,Paramètres!$A$1:$I$89,3,0)*0.475*44/12</f>
        <v>5.6733627847795898</v>
      </c>
      <c r="BR61" s="21">
        <f>EXP(-LN(2)/2)*BR60+(1-EXP(-LN(2)/2))/(LN(2)/2)*BL61*BO61*VLOOKUP('Données projet'!$B$11,Paramètres!$A$1:$I$89,3,0)*0.475*44/12</f>
        <v>3.3237868494104993E-4</v>
      </c>
      <c r="BS61" s="22">
        <f t="shared" si="9"/>
        <v>9.2417040013147655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1.064108801074326E-13</v>
      </c>
      <c r="P62" s="13">
        <f t="shared" si="33"/>
        <v>1.5870730813698654E-12</v>
      </c>
      <c r="Q62" s="20">
        <f t="shared" si="53"/>
        <v>2.9494845662396269E-12</v>
      </c>
      <c r="R62" s="59">
        <f t="shared" si="0"/>
        <v>293.33333333333627</v>
      </c>
      <c r="S62" s="59">
        <f ca="1">AVERAGE(OFFSET($R$3,0,0,'Données projet'!$E$9+1,1))-AVERAGE(OFFSET($H$3,0,0,'Données projet'!$E$9+1,1))</f>
        <v>214.51224556840771</v>
      </c>
      <c r="T62" s="59">
        <f t="shared" si="34"/>
        <v>225.78309962707215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2.2357217602186892</v>
      </c>
      <c r="AA62" s="21">
        <f>EXP(-LN(2)/25)*AA61+(1-EXP(-LN(2)/25))/(LN(2)/25)*Calculateur!V62*Calculateur!X62*VLOOKUP('Données projet'!$B$9,Paramètres!$A$1:$I$89,3,0)*0.475*44/12</f>
        <v>11.496914697834031</v>
      </c>
      <c r="AB62" s="21">
        <f>EXP(-LN(2)/2)*AB61+(1-EXP(-LN(2)/2))/(LN(2)/2)*V62*Y62*VLOOKUP('Données projet'!$B$9,Paramètres!$A$1:$I$89,3,0)*0.475*44/12</f>
        <v>1.0517082875847379E-3</v>
      </c>
      <c r="AC62" s="22">
        <f t="shared" si="3"/>
        <v>13.733688166340306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7.8</v>
      </c>
      <c r="AI62" s="13">
        <f>IF('Données projet'!$A$62&gt;35,AI61+AH62-AQ61,IF(A62&lt;'Données projet'!$A$62,$AF$205^A62,IF(A62='Données projet'!$A$62,'Données projet'!$B$62,AI61+AH62-AQ61)))</f>
        <v>227.20000000000016</v>
      </c>
      <c r="AJ62" s="13">
        <f>AI62*VLOOKUP('Données projet'!$B$10,Paramètres!$A$1:$I$89,3,0)*VLOOKUP('Données projet'!$B$10,Paramètres!$A$1:$I$89,5,0)</f>
        <v>205.57056000000014</v>
      </c>
      <c r="AK62" s="13">
        <f t="shared" si="35"/>
        <v>50.966443946767434</v>
      </c>
      <c r="AL62" s="20">
        <f t="shared" si="4"/>
        <v>446.80194854062023</v>
      </c>
      <c r="AM62" s="59">
        <f t="shared" si="5"/>
        <v>740.13528187395355</v>
      </c>
      <c r="AN62" s="59">
        <f ca="1">AVERAGE(OFFSET($AM$3,0,0,'Données projet'!$E$10+1,1))-AVERAGE(OFFSET($H$3,0,0,'Données projet'!$E$10+1,1))</f>
        <v>237.22177246688199</v>
      </c>
      <c r="AO62" s="59">
        <f t="shared" si="36"/>
        <v>149.27472147904302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1.3899462665653393</v>
      </c>
      <c r="AW62" s="21">
        <f>EXP(-LN(2)/2)*AW61+(1-EXP(-LN(2)/2))/(LN(2)/2)*AQ62*AT62*VLOOKUP('Données projet'!$B$10,Paramètres!$A$1:$I$89,3,0)*0.475*44/12</f>
        <v>2.6712218255546565E-4</v>
      </c>
      <c r="AX62" s="21">
        <f t="shared" si="6"/>
        <v>1.3902133887478947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2.625</v>
      </c>
      <c r="BD62" s="12">
        <f>IF('Données projet'!$A$88&gt;35,BD61+BC62-BL61,IF(A62&lt;'Données projet'!$A$88,$BA$205^A62,IF(A62='Données projet'!$A$88,'Données projet'!$B$88,BD61+BC62-BL61)))</f>
        <v>308.125</v>
      </c>
      <c r="BE62" s="13">
        <f>BD62*VLOOKUP('Données projet'!$B$11,Paramètres!$A$1:$I$89,3,0)*VLOOKUP('Données projet'!$B$11,Paramètres!$A$1:$I$89,5,0)</f>
        <v>184.25875000000002</v>
      </c>
      <c r="BF62" s="13">
        <f t="shared" si="37"/>
        <v>46.26838622983076</v>
      </c>
      <c r="BG62" s="20">
        <f t="shared" si="7"/>
        <v>401.50142893362187</v>
      </c>
      <c r="BH62" s="59">
        <f t="shared" si="8"/>
        <v>694.83476226695518</v>
      </c>
      <c r="BI62" s="59">
        <f ca="1">AVERAGE(OFFSET($BH$3,0,0,'Données projet'!$E$11+1,1))-AVERAGE(OFFSET($H$3,0,0,'Données projet'!$E$11+1,1))</f>
        <v>168.08890945052406</v>
      </c>
      <c r="BJ62" s="59">
        <f t="shared" si="38"/>
        <v>182.52462557642343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3.4980423608104925</v>
      </c>
      <c r="BQ62" s="21">
        <f>EXP(-LN(2)/25)*BQ61+(1-EXP(-LN(2)/25))/(LN(2)/25)*Calculateur!BL62*Calculateur!BN62*VLOOKUP('Données projet'!$B$11,Paramètres!$A$1:$I$89,3,0)*0.475*44/12</f>
        <v>5.5182243810806098</v>
      </c>
      <c r="BR62" s="21">
        <f>EXP(-LN(2)/2)*BR61+(1-EXP(-LN(2)/2))/(LN(2)/2)*BL62*BO62*VLOOKUP('Données projet'!$B$11,Paramètres!$A$1:$I$89,3,0)*0.475*44/12</f>
        <v>2.3502722204368342E-4</v>
      </c>
      <c r="BS62" s="22">
        <f t="shared" si="9"/>
        <v>9.0165017691131446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1.064108801074326E-13</v>
      </c>
      <c r="P63" s="13">
        <f t="shared" si="33"/>
        <v>1.5870730813698654E-12</v>
      </c>
      <c r="Q63" s="20">
        <f t="shared" si="53"/>
        <v>2.9494845662396269E-12</v>
      </c>
      <c r="R63" s="59">
        <f t="shared" si="0"/>
        <v>293.33333333333627</v>
      </c>
      <c r="S63" s="59">
        <f ca="1">AVERAGE(OFFSET($R$3,0,0,'Données projet'!$E$9+1,1))-AVERAGE(OFFSET($H$3,0,0,'Données projet'!$E$9+1,1))</f>
        <v>214.51224556840771</v>
      </c>
      <c r="T63" s="59">
        <f t="shared" si="34"/>
        <v>225.78309962707215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2.1918806201564247</v>
      </c>
      <c r="AA63" s="21">
        <f>EXP(-LN(2)/25)*AA62+(1-EXP(-LN(2)/25))/(LN(2)/25)*Calculateur!V63*Calculateur!X63*VLOOKUP('Données projet'!$B$9,Paramètres!$A$1:$I$89,3,0)*0.475*44/12</f>
        <v>11.182530960825291</v>
      </c>
      <c r="AB63" s="21">
        <f>EXP(-LN(2)/2)*AB62+(1-EXP(-LN(2)/2))/(LN(2)/2)*V63*Y63*VLOOKUP('Données projet'!$B$9,Paramètres!$A$1:$I$89,3,0)*0.475*44/12</f>
        <v>7.4367006198125985E-4</v>
      </c>
      <c r="AC63" s="22">
        <f t="shared" si="3"/>
        <v>13.375155251043697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235</v>
      </c>
      <c r="AG63" s="12">
        <f>VLOOKUP(A63,'Données projet'!$A$61:$I$81,9,0)</f>
        <v>7.8</v>
      </c>
      <c r="AH63" s="12">
        <f t="array" ref="AH63">INDEX(AG:AG,MIN(IF(ISNUMBER(AG63:AG259),ROW(AG63:AG259),"")))</f>
        <v>7.8</v>
      </c>
      <c r="AI63" s="13">
        <f>IF('Données projet'!$A$62&gt;35,AI62+AH63-AQ62,IF(A63&lt;'Données projet'!$A$62,$AF$205^A63,IF(A63='Données projet'!$A$62,'Données projet'!$B$62,AI62+AH63-AQ62)))</f>
        <v>235.00000000000017</v>
      </c>
      <c r="AJ63" s="13">
        <f>AI63*VLOOKUP('Données projet'!$B$10,Paramètres!$A$1:$I$89,3,0)*VLOOKUP('Données projet'!$B$10,Paramètres!$A$1:$I$89,5,0)</f>
        <v>212.62800000000016</v>
      </c>
      <c r="AK63" s="13">
        <f t="shared" si="35"/>
        <v>52.509453483719085</v>
      </c>
      <c r="AL63" s="20">
        <f t="shared" si="4"/>
        <v>461.78106481747767</v>
      </c>
      <c r="AM63" s="59">
        <f t="shared" si="5"/>
        <v>755.11439815081098</v>
      </c>
      <c r="AN63" s="59">
        <f ca="1">AVERAGE(OFFSET($AM$3,0,0,'Données projet'!$E$10+1,1))-AVERAGE(OFFSET($H$3,0,0,'Données projet'!$E$10+1,1))</f>
        <v>237.22177246688199</v>
      </c>
      <c r="AO63" s="59">
        <f t="shared" si="36"/>
        <v>149.27472147904302</v>
      </c>
      <c r="AP63" s="15">
        <f>IF(ISNA(VLOOKUP(A63,'Données projet'!$A$61:$I$81,3,0)),0,VLOOKUP(A63,'Données projet'!$A$61:$I$81,3,0))</f>
        <v>4</v>
      </c>
      <c r="AQ63" s="15">
        <f>IF(ISNA(VLOOKUP(A63,'Données projet'!$A$61:$I$81,4,0)),0,VLOOKUP(A63,'Données projet'!$A$61:$I$81,4,0))</f>
        <v>42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1.3519381128120127</v>
      </c>
      <c r="AW63" s="21">
        <f>EXP(-LN(2)/2)*AW62+(1-EXP(-LN(2)/2))/(LN(2)/2)*AQ63*AT63*VLOOKUP('Données projet'!$B$10,Paramètres!$A$1:$I$89,3,0)*0.475*44/12</f>
        <v>1.8888390669032066E-4</v>
      </c>
      <c r="AX63" s="21">
        <f t="shared" si="6"/>
        <v>1.3521269967187031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2.625</v>
      </c>
      <c r="BD63" s="12">
        <f>IF('Données projet'!$A$88&gt;35,BD62+BC63-BL62,IF(A63&lt;'Données projet'!$A$88,$BA$205^A63,IF(A63='Données projet'!$A$88,'Données projet'!$B$88,BD62+BC63-BL62)))</f>
        <v>310.75</v>
      </c>
      <c r="BE63" s="13">
        <f>BD63*VLOOKUP('Données projet'!$B$11,Paramètres!$A$1:$I$89,3,0)*VLOOKUP('Données projet'!$B$11,Paramètres!$A$1:$I$89,5,0)</f>
        <v>185.82849999999999</v>
      </c>
      <c r="BF63" s="13">
        <f t="shared" si="37"/>
        <v>46.616505227631926</v>
      </c>
      <c r="BG63" s="20">
        <f t="shared" si="7"/>
        <v>404.84171743812561</v>
      </c>
      <c r="BH63" s="59">
        <f t="shared" si="8"/>
        <v>698.17505077145893</v>
      </c>
      <c r="BI63" s="59">
        <f ca="1">AVERAGE(OFFSET($BH$3,0,0,'Données projet'!$E$11+1,1))-AVERAGE(OFFSET($H$3,0,0,'Données projet'!$E$11+1,1))</f>
        <v>168.08890945052406</v>
      </c>
      <c r="BJ63" s="59">
        <f t="shared" si="38"/>
        <v>182.52462557642343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3.4294478837101638</v>
      </c>
      <c r="BQ63" s="21">
        <f>EXP(-LN(2)/25)*BQ62+(1-EXP(-LN(2)/25))/(LN(2)/25)*Calculateur!BL63*Calculateur!BN63*VLOOKUP('Données projet'!$B$11,Paramètres!$A$1:$I$89,3,0)*0.475*44/12</f>
        <v>5.3673282451891522</v>
      </c>
      <c r="BR63" s="21">
        <f>EXP(-LN(2)/2)*BR62+(1-EXP(-LN(2)/2))/(LN(2)/2)*BL63*BO63*VLOOKUP('Données projet'!$B$11,Paramètres!$A$1:$I$89,3,0)*0.475*44/12</f>
        <v>1.6618934247052499E-4</v>
      </c>
      <c r="BS63" s="22">
        <f t="shared" si="9"/>
        <v>8.7969423182417863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1.064108801074326E-13</v>
      </c>
      <c r="P64" s="13">
        <f t="shared" si="33"/>
        <v>1.5870730813698654E-12</v>
      </c>
      <c r="Q64" s="20">
        <f t="shared" si="53"/>
        <v>2.9494845662396269E-12</v>
      </c>
      <c r="R64" s="59">
        <f t="shared" si="0"/>
        <v>293.33333333333627</v>
      </c>
      <c r="S64" s="59">
        <f ca="1">AVERAGE(OFFSET($R$3,0,0,'Données projet'!$E$9+1,1))-AVERAGE(OFFSET($H$3,0,0,'Données projet'!$E$9+1,1))</f>
        <v>214.51224556840771</v>
      </c>
      <c r="T64" s="59">
        <f t="shared" si="34"/>
        <v>225.78309962707215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2.1488991781103262</v>
      </c>
      <c r="AA64" s="21">
        <f>EXP(-LN(2)/25)*AA63+(1-EXP(-LN(2)/25))/(LN(2)/25)*Calculateur!V64*Calculateur!X64*VLOOKUP('Données projet'!$B$9,Paramètres!$A$1:$I$89,3,0)*0.475*44/12</f>
        <v>10.876744063637778</v>
      </c>
      <c r="AB64" s="21">
        <f>EXP(-LN(2)/2)*AB63+(1-EXP(-LN(2)/2))/(LN(2)/2)*V64*Y64*VLOOKUP('Données projet'!$B$9,Paramètres!$A$1:$I$89,3,0)*0.475*44/12</f>
        <v>5.2585414379236893E-4</v>
      </c>
      <c r="AC64" s="22">
        <f t="shared" si="3"/>
        <v>13.026169095891897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</v>
      </c>
      <c r="AI64" s="13">
        <f>IF('Données projet'!$A$62&gt;35,AI63+AH64-AQ63,IF(A64&lt;'Données projet'!$A$62,$AF$205^A64,IF(A64='Données projet'!$A$62,'Données projet'!$B$62,AI63+AH64-AQ63)))</f>
        <v>200.00000000000017</v>
      </c>
      <c r="AJ64" s="13">
        <f>AI64*VLOOKUP('Données projet'!$B$10,Paramètres!$A$1:$I$89,3,0)*VLOOKUP('Données projet'!$B$10,Paramètres!$A$1:$I$89,5,0)</f>
        <v>180.96000000000015</v>
      </c>
      <c r="AK64" s="13">
        <f t="shared" si="35"/>
        <v>45.535702314871806</v>
      </c>
      <c r="AL64" s="20">
        <f t="shared" si="4"/>
        <v>394.48001486506865</v>
      </c>
      <c r="AM64" s="59">
        <f t="shared" si="5"/>
        <v>687.81334819840197</v>
      </c>
      <c r="AN64" s="59">
        <f ca="1">AVERAGE(OFFSET($AM$3,0,0,'Données projet'!$E$10+1,1))-AVERAGE(OFFSET($H$3,0,0,'Données projet'!$E$10+1,1))</f>
        <v>237.22177246688199</v>
      </c>
      <c r="AO64" s="59">
        <f t="shared" si="36"/>
        <v>149.27472147904302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1.3149692940218327</v>
      </c>
      <c r="AW64" s="21">
        <f>EXP(-LN(2)/2)*AW63+(1-EXP(-LN(2)/2))/(LN(2)/2)*AQ64*AT64*VLOOKUP('Données projet'!$B$10,Paramètres!$A$1:$I$89,3,0)*0.475*44/12</f>
        <v>1.3356109127773283E-4</v>
      </c>
      <c r="AX64" s="21">
        <f t="shared" si="6"/>
        <v>1.3151028551131105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2.625</v>
      </c>
      <c r="BD64" s="12">
        <f>IF('Données projet'!$A$88&gt;35,BD63+BC64-BL63,IF(A64&lt;'Données projet'!$A$88,$BA$205^A64,IF(A64='Données projet'!$A$88,'Données projet'!$B$88,BD63+BC64-BL63)))</f>
        <v>313.375</v>
      </c>
      <c r="BE64" s="13">
        <f>BD64*VLOOKUP('Données projet'!$B$11,Paramètres!$A$1:$I$89,3,0)*VLOOKUP('Données projet'!$B$11,Paramètres!$A$1:$I$89,5,0)</f>
        <v>187.39825000000002</v>
      </c>
      <c r="BF64" s="13">
        <f t="shared" si="37"/>
        <v>46.964282095681376</v>
      </c>
      <c r="BG64" s="20">
        <f t="shared" si="7"/>
        <v>408.18141006664501</v>
      </c>
      <c r="BH64" s="59">
        <f t="shared" si="8"/>
        <v>701.51474339997833</v>
      </c>
      <c r="BI64" s="59">
        <f ca="1">AVERAGE(OFFSET($BH$3,0,0,'Données projet'!$E$11+1,1))-AVERAGE(OFFSET($H$3,0,0,'Données projet'!$E$11+1,1))</f>
        <v>168.08890945052406</v>
      </c>
      <c r="BJ64" s="59">
        <f t="shared" si="38"/>
        <v>182.52462557642343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3.3621985024672729</v>
      </c>
      <c r="BQ64" s="21">
        <f>EXP(-LN(2)/25)*BQ63+(1-EXP(-LN(2)/25))/(LN(2)/25)*Calculateur!BL64*Calculateur!BN64*VLOOKUP('Données projet'!$B$11,Paramètres!$A$1:$I$89,3,0)*0.475*44/12</f>
        <v>5.2205583720689299</v>
      </c>
      <c r="BR64" s="21">
        <f>EXP(-LN(2)/2)*BR63+(1-EXP(-LN(2)/2))/(LN(2)/2)*BL64*BO64*VLOOKUP('Données projet'!$B$11,Paramètres!$A$1:$I$89,3,0)*0.475*44/12</f>
        <v>1.1751361102184174E-4</v>
      </c>
      <c r="BS64" s="22">
        <f t="shared" si="9"/>
        <v>8.5828743881472249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1.064108801074326E-13</v>
      </c>
      <c r="P65" s="13">
        <f t="shared" si="33"/>
        <v>1.5870730813698654E-12</v>
      </c>
      <c r="Q65" s="20">
        <f t="shared" si="53"/>
        <v>2.9494845662396269E-12</v>
      </c>
      <c r="R65" s="59">
        <f t="shared" si="0"/>
        <v>293.33333333333627</v>
      </c>
      <c r="S65" s="59">
        <f ca="1">AVERAGE(OFFSET($R$3,0,0,'Données projet'!$E$9+1,1))-AVERAGE(OFFSET($H$3,0,0,'Données projet'!$E$9+1,1))</f>
        <v>214.51224556840771</v>
      </c>
      <c r="T65" s="59">
        <f t="shared" si="34"/>
        <v>225.78309962707215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2.1067605759266606</v>
      </c>
      <c r="AA65" s="21">
        <f>EXP(-LN(2)/25)*AA64+(1-EXP(-LN(2)/25))/(LN(2)/25)*Calculateur!V65*Calculateur!X65*VLOOKUP('Données projet'!$B$9,Paramètres!$A$1:$I$89,3,0)*0.475*44/12</f>
        <v>10.579318925234492</v>
      </c>
      <c r="AB65" s="21">
        <f>EXP(-LN(2)/2)*AB64+(1-EXP(-LN(2)/2))/(LN(2)/2)*V65*Y65*VLOOKUP('Données projet'!$B$9,Paramètres!$A$1:$I$89,3,0)*0.475*44/12</f>
        <v>3.7183503099062992E-4</v>
      </c>
      <c r="AC65" s="22">
        <f t="shared" si="3"/>
        <v>12.686451336192144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</v>
      </c>
      <c r="AI65" s="13">
        <f>IF('Données projet'!$A$62&gt;35,AI64+AH65-AQ64,IF(A65&lt;'Données projet'!$A$62,$AF$205^A65,IF(A65='Données projet'!$A$62,'Données projet'!$B$62,AI64+AH65-AQ64)))</f>
        <v>207.00000000000017</v>
      </c>
      <c r="AJ65" s="13">
        <f>AI65*VLOOKUP('Données projet'!$B$10,Paramètres!$A$1:$I$89,3,0)*VLOOKUP('Données projet'!$B$10,Paramètres!$A$1:$I$89,5,0)</f>
        <v>187.29360000000014</v>
      </c>
      <c r="AK65" s="13">
        <f t="shared" si="35"/>
        <v>46.941107550760456</v>
      </c>
      <c r="AL65" s="20">
        <f t="shared" si="4"/>
        <v>407.95878231757462</v>
      </c>
      <c r="AM65" s="59">
        <f t="shared" si="5"/>
        <v>701.29211565090793</v>
      </c>
      <c r="AN65" s="59">
        <f ca="1">AVERAGE(OFFSET($AM$3,0,0,'Données projet'!$E$10+1,1))-AVERAGE(OFFSET($H$3,0,0,'Données projet'!$E$10+1,1))</f>
        <v>237.22177246688199</v>
      </c>
      <c r="AO65" s="59">
        <f t="shared" si="36"/>
        <v>149.27472147904302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1.2790113895255759</v>
      </c>
      <c r="AW65" s="21">
        <f>EXP(-LN(2)/2)*AW64+(1-EXP(-LN(2)/2))/(LN(2)/2)*AQ65*AT65*VLOOKUP('Données projet'!$B$10,Paramètres!$A$1:$I$89,3,0)*0.475*44/12</f>
        <v>9.4441953345160328E-5</v>
      </c>
      <c r="AX65" s="21">
        <f t="shared" si="6"/>
        <v>1.279105831478921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>
        <f>VLOOKUP(A65,'Données projet'!$A$87:$I$107,2,0)</f>
        <v>316</v>
      </c>
      <c r="BB65" s="12">
        <f>VLOOKUP(A65,'Données projet'!$A$87:$I$107,9,0)</f>
        <v>2.625</v>
      </c>
      <c r="BC65" s="12">
        <f t="array" ref="BC65">INDEX(BB:BB,MIN(IF(ISNUMBER(BB65:BB261),ROW(BB65:BB261),"")))</f>
        <v>2.625</v>
      </c>
      <c r="BD65" s="12">
        <f>IF('Données projet'!$A$88&gt;35,BD64+BC65-BL64,IF(A65&lt;'Données projet'!$A$88,$BA$205^A65,IF(A65='Données projet'!$A$88,'Données projet'!$B$88,BD64+BC65-BL64)))</f>
        <v>316</v>
      </c>
      <c r="BE65" s="13">
        <f>BD65*VLOOKUP('Données projet'!$B$11,Paramètres!$A$1:$I$89,3,0)*VLOOKUP('Données projet'!$B$11,Paramètres!$A$1:$I$89,5,0)</f>
        <v>188.96800000000002</v>
      </c>
      <c r="BF65" s="13">
        <f t="shared" si="37"/>
        <v>47.311720031947068</v>
      </c>
      <c r="BG65" s="20">
        <f t="shared" si="7"/>
        <v>411.52051238897451</v>
      </c>
      <c r="BH65" s="59">
        <f t="shared" si="8"/>
        <v>704.85384572230782</v>
      </c>
      <c r="BI65" s="59">
        <f ca="1">AVERAGE(OFFSET($BH$3,0,0,'Données projet'!$E$11+1,1))-AVERAGE(OFFSET($H$3,0,0,'Données projet'!$E$11+1,1))</f>
        <v>168.08890945052406</v>
      </c>
      <c r="BJ65" s="59">
        <f t="shared" si="38"/>
        <v>182.52462557642343</v>
      </c>
      <c r="BK65" s="15">
        <f>IF(ISNA(VLOOKUP(A65,'Données projet'!$A$87:$I$107,3,0)),0,VLOOKUP(A65,'Données projet'!$A$87:$I$107,3,0))</f>
        <v>9</v>
      </c>
      <c r="BL65" s="15">
        <f>IF(ISNA(VLOOKUP(A65,'Données projet'!$A$87:$I$107,4,0)),0,VLOOKUP(A65,'Données projet'!$A$87:$I$107,4,0))</f>
        <v>316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3.2962678405724826</v>
      </c>
      <c r="BQ65" s="21">
        <f>EXP(-LN(2)/25)*BQ64+(1-EXP(-LN(2)/25))/(LN(2)/25)*Calculateur!BL65*Calculateur!BN65*VLOOKUP('Données projet'!$B$11,Paramètres!$A$1:$I$89,3,0)*0.475*44/12</f>
        <v>5.0778019288474718</v>
      </c>
      <c r="BR65" s="21">
        <f>EXP(-LN(2)/2)*BR64+(1-EXP(-LN(2)/2))/(LN(2)/2)*BL65*BO65*VLOOKUP('Données projet'!$B$11,Paramètres!$A$1:$I$89,3,0)*0.475*44/12</f>
        <v>8.309467123526251E-5</v>
      </c>
      <c r="BS65" s="22">
        <f t="shared" si="9"/>
        <v>8.3741528640911884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1.064108801074326E-13</v>
      </c>
      <c r="P66" s="13">
        <f t="shared" si="33"/>
        <v>1.5870730813698654E-12</v>
      </c>
      <c r="Q66" s="20">
        <f t="shared" si="53"/>
        <v>2.9494845662396269E-12</v>
      </c>
      <c r="R66" s="59">
        <f t="shared" si="0"/>
        <v>293.33333333333627</v>
      </c>
      <c r="S66" s="59">
        <f ca="1">AVERAGE(OFFSET($R$3,0,0,'Données projet'!$E$9+1,1))-AVERAGE(OFFSET($H$3,0,0,'Données projet'!$E$9+1,1))</f>
        <v>214.51224556840771</v>
      </c>
      <c r="T66" s="59">
        <f t="shared" si="34"/>
        <v>225.78309962707215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2.0654482860298073</v>
      </c>
      <c r="AA66" s="21">
        <f>EXP(-LN(2)/25)*AA65+(1-EXP(-LN(2)/25))/(LN(2)/25)*Calculateur!V66*Calculateur!X66*VLOOKUP('Données projet'!$B$9,Paramètres!$A$1:$I$89,3,0)*0.475*44/12</f>
        <v>10.290026892881752</v>
      </c>
      <c r="AB66" s="21">
        <f>EXP(-LN(2)/2)*AB65+(1-EXP(-LN(2)/2))/(LN(2)/2)*V66*Y66*VLOOKUP('Données projet'!$B$9,Paramètres!$A$1:$I$89,3,0)*0.475*44/12</f>
        <v>2.6292707189618447E-4</v>
      </c>
      <c r="AC66" s="22">
        <f t="shared" si="3"/>
        <v>12.355738105983455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</v>
      </c>
      <c r="AI66" s="13">
        <f>IF('Données projet'!$A$62&gt;35,AI65+AH66-AQ65,IF(A66&lt;'Données projet'!$A$62,$AF$205^A66,IF(A66='Données projet'!$A$62,'Données projet'!$B$62,AI65+AH66-AQ65)))</f>
        <v>214.00000000000017</v>
      </c>
      <c r="AJ66" s="13">
        <f>AI66*VLOOKUP('Données projet'!$B$10,Paramètres!$A$1:$I$89,3,0)*VLOOKUP('Données projet'!$B$10,Paramètres!$A$1:$I$89,5,0)</f>
        <v>193.62720000000016</v>
      </c>
      <c r="AK66" s="13">
        <f t="shared" si="35"/>
        <v>48.340990547231236</v>
      </c>
      <c r="AL66" s="20">
        <f t="shared" si="4"/>
        <v>421.42793186976132</v>
      </c>
      <c r="AM66" s="59">
        <f t="shared" si="5"/>
        <v>714.76126520309458</v>
      </c>
      <c r="AN66" s="59">
        <f ca="1">AVERAGE(OFFSET($AM$3,0,0,'Données projet'!$E$10+1,1))-AVERAGE(OFFSET($H$3,0,0,'Données projet'!$E$10+1,1))</f>
        <v>237.22177246688199</v>
      </c>
      <c r="AO66" s="59">
        <f t="shared" si="36"/>
        <v>149.27472147904302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1.2440367558187133</v>
      </c>
      <c r="AW66" s="21">
        <f>EXP(-LN(2)/2)*AW65+(1-EXP(-LN(2)/2))/(LN(2)/2)*AQ66*AT66*VLOOKUP('Données projet'!$B$10,Paramètres!$A$1:$I$89,3,0)*0.475*44/12</f>
        <v>6.6780545638866413E-5</v>
      </c>
      <c r="AX66" s="21">
        <f t="shared" si="6"/>
        <v>1.2441035363643522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168.08890945052406</v>
      </c>
      <c r="BJ66" s="59">
        <f t="shared" si="38"/>
        <v>182.52462557642343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3.2316300387437162</v>
      </c>
      <c r="BQ66" s="21">
        <f>EXP(-LN(2)/25)*BQ65+(1-EXP(-LN(2)/25))/(LN(2)/25)*Calculateur!BL66*Calculateur!BN66*VLOOKUP('Données projet'!$B$11,Paramètres!$A$1:$I$89,3,0)*0.475*44/12</f>
        <v>4.9389491680731394</v>
      </c>
      <c r="BR66" s="21">
        <f>EXP(-LN(2)/2)*BR65+(1-EXP(-LN(2)/2))/(LN(2)/2)*BL66*BO66*VLOOKUP('Données projet'!$B$11,Paramètres!$A$1:$I$89,3,0)*0.475*44/12</f>
        <v>5.8756805510920875E-5</v>
      </c>
      <c r="BS66" s="22">
        <f t="shared" si="9"/>
        <v>8.1706379636223669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1.064108801074326E-13</v>
      </c>
      <c r="P67" s="13">
        <f t="shared" si="33"/>
        <v>1.5870730813698654E-12</v>
      </c>
      <c r="Q67" s="20">
        <f t="shared" ref="Q67:Q98" si="54">(O67+P67)*0.475*44/12</f>
        <v>2.9494845662396269E-12</v>
      </c>
      <c r="R67" s="59">
        <f t="shared" ref="R67:R130" si="55">Q67+(I67+J67)*44/12</f>
        <v>293.33333333333627</v>
      </c>
      <c r="S67" s="59">
        <f ca="1">AVERAGE(OFFSET($R$3,0,0,'Données projet'!$E$9+1,1))-AVERAGE(OFFSET($H$3,0,0,'Données projet'!$E$9+1,1))</f>
        <v>214.51224556840771</v>
      </c>
      <c r="T67" s="59">
        <f t="shared" si="34"/>
        <v>225.78309962707215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2.0249461049398225</v>
      </c>
      <c r="AA67" s="21">
        <f>EXP(-LN(2)/25)*AA66+(1-EXP(-LN(2)/25))/(LN(2)/25)*Calculateur!V67*Calculateur!X67*VLOOKUP('Données projet'!$B$9,Paramètres!$A$1:$I$89,3,0)*0.475*44/12</f>
        <v>10.008645566366905</v>
      </c>
      <c r="AB67" s="21">
        <f>EXP(-LN(2)/2)*AB66+(1-EXP(-LN(2)/2))/(LN(2)/2)*V67*Y67*VLOOKUP('Données projet'!$B$9,Paramètres!$A$1:$I$89,3,0)*0.475*44/12</f>
        <v>1.8591751549531496E-4</v>
      </c>
      <c r="AC67" s="22">
        <f t="shared" si="3"/>
        <v>12.033777588822222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</v>
      </c>
      <c r="AI67" s="13">
        <f>IF('Données projet'!$A$62&gt;35,AI66+AH67-AQ66,IF(A67&lt;'Données projet'!$A$62,$AF$205^A67,IF(A67='Données projet'!$A$62,'Données projet'!$B$62,AI66+AH67-AQ66)))</f>
        <v>221.00000000000017</v>
      </c>
      <c r="AJ67" s="13">
        <f>AI67*VLOOKUP('Données projet'!$B$10,Paramètres!$A$1:$I$89,3,0)*VLOOKUP('Données projet'!$B$10,Paramètres!$A$1:$I$89,5,0)</f>
        <v>199.96080000000015</v>
      </c>
      <c r="AK67" s="13">
        <f t="shared" si="35"/>
        <v>49.735552653569265</v>
      </c>
      <c r="AL67" s="20">
        <f t="shared" si="4"/>
        <v>434.88781420496679</v>
      </c>
      <c r="AM67" s="59">
        <f t="shared" si="5"/>
        <v>728.2211475383001</v>
      </c>
      <c r="AN67" s="59">
        <f ca="1">AVERAGE(OFFSET($AM$3,0,0,'Données projet'!$E$10+1,1))-AVERAGE(OFFSET($H$3,0,0,'Données projet'!$E$10+1,1))</f>
        <v>237.22177246688199</v>
      </c>
      <c r="AO67" s="59">
        <f t="shared" si="36"/>
        <v>149.27472147904302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1.2100185053098009</v>
      </c>
      <c r="AW67" s="21">
        <f>EXP(-LN(2)/2)*AW66+(1-EXP(-LN(2)/2))/(LN(2)/2)*AQ67*AT67*VLOOKUP('Données projet'!$B$10,Paramètres!$A$1:$I$89,3,0)*0.475*44/12</f>
        <v>4.7220976672580164E-5</v>
      </c>
      <c r="AX67" s="21">
        <f t="shared" si="6"/>
        <v>1.2100657262864736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168.08890945052406</v>
      </c>
      <c r="BJ67" s="59">
        <f t="shared" si="38"/>
        <v>182.52462557642343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3.1682597447836458</v>
      </c>
      <c r="BQ67" s="21">
        <f>EXP(-LN(2)/25)*BQ66+(1-EXP(-LN(2)/25))/(LN(2)/25)*Calculateur!BL67*Calculateur!BN67*VLOOKUP('Données projet'!$B$11,Paramètres!$A$1:$I$89,3,0)*0.475*44/12</f>
        <v>4.8038933433441304</v>
      </c>
      <c r="BR67" s="21">
        <f>EXP(-LN(2)/2)*BR66+(1-EXP(-LN(2)/2))/(LN(2)/2)*BL67*BO67*VLOOKUP('Données projet'!$B$11,Paramètres!$A$1:$I$89,3,0)*0.475*44/12</f>
        <v>4.1547335617631262E-5</v>
      </c>
      <c r="BS67" s="22">
        <f t="shared" si="9"/>
        <v>7.972194635463393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1.064108801074326E-13</v>
      </c>
      <c r="P68" s="13">
        <f t="shared" si="33"/>
        <v>1.5870730813698654E-12</v>
      </c>
      <c r="Q68" s="20">
        <f t="shared" si="54"/>
        <v>2.9494845662396269E-12</v>
      </c>
      <c r="R68" s="59">
        <f t="shared" si="55"/>
        <v>293.33333333333627</v>
      </c>
      <c r="S68" s="59">
        <f ca="1">AVERAGE(OFFSET($R$3,0,0,'Données projet'!$E$9+1,1))-AVERAGE(OFFSET($H$3,0,0,'Données projet'!$E$9+1,1))</f>
        <v>214.51224556840771</v>
      </c>
      <c r="T68" s="59">
        <f t="shared" si="34"/>
        <v>225.78309962707215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1.9852381469171212</v>
      </c>
      <c r="AA68" s="21">
        <f>EXP(-LN(2)/25)*AA67+(1-EXP(-LN(2)/25))/(LN(2)/25)*Calculateur!V68*Calculateur!X68*VLOOKUP('Données projet'!$B$9,Paramètres!$A$1:$I$89,3,0)*0.475*44/12</f>
        <v>9.7349586270228059</v>
      </c>
      <c r="AB68" s="21">
        <f>EXP(-LN(2)/2)*AB67+(1-EXP(-LN(2)/2))/(LN(2)/2)*V68*Y68*VLOOKUP('Données projet'!$B$9,Paramètres!$A$1:$I$89,3,0)*0.475*44/12</f>
        <v>1.3146353594809223E-4</v>
      </c>
      <c r="AC68" s="22">
        <f t="shared" ref="AC68:AC131" si="57">SUM(Z68:AB68)</f>
        <v>11.720328237475876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</v>
      </c>
      <c r="AI68" s="13">
        <f>IF('Données projet'!$A$62&gt;35,AI67+AH68-AQ67,IF(A68&lt;'Données projet'!$A$62,$AF$205^A68,IF(A68='Données projet'!$A$62,'Données projet'!$B$62,AI67+AH68-AQ67)))</f>
        <v>228.00000000000017</v>
      </c>
      <c r="AJ68" s="13">
        <f>AI68*VLOOKUP('Données projet'!$B$10,Paramètres!$A$1:$I$89,3,0)*VLOOKUP('Données projet'!$B$10,Paramètres!$A$1:$I$89,5,0)</f>
        <v>206.29440000000017</v>
      </c>
      <c r="AK68" s="13">
        <f t="shared" si="35"/>
        <v>51.124981739560774</v>
      </c>
      <c r="AL68" s="20">
        <f t="shared" ref="AL68:AL131" si="58">(AJ68+AK68)*0.475*44/12</f>
        <v>448.33875652973529</v>
      </c>
      <c r="AM68" s="59">
        <f t="shared" ref="AM68:AM131" si="59">AL68+(AD68+AE68)*44/12</f>
        <v>741.67208986306855</v>
      </c>
      <c r="AN68" s="59">
        <f ca="1">AVERAGE(OFFSET($AM$3,0,0,'Données projet'!$E$10+1,1))-AVERAGE(OFFSET($H$3,0,0,'Données projet'!$E$10+1,1))</f>
        <v>237.22177246688199</v>
      </c>
      <c r="AO68" s="59">
        <f t="shared" si="36"/>
        <v>149.27472147904302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1.1769304856499967</v>
      </c>
      <c r="AW68" s="21">
        <f>EXP(-LN(2)/2)*AW67+(1-EXP(-LN(2)/2))/(LN(2)/2)*AQ68*AT68*VLOOKUP('Données projet'!$B$10,Paramètres!$A$1:$I$89,3,0)*0.475*44/12</f>
        <v>3.3390272819433207E-5</v>
      </c>
      <c r="AX68" s="21">
        <f t="shared" ref="AX68:AX131" si="60">SUM(AU68:AW68)</f>
        <v>1.176963875922816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168.08890945052406</v>
      </c>
      <c r="BJ68" s="59">
        <f t="shared" si="38"/>
        <v>182.52462557642343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3.1061321036360696</v>
      </c>
      <c r="BQ68" s="21">
        <f>EXP(-LN(2)/25)*BQ67+(1-EXP(-LN(2)/25))/(LN(2)/25)*Calculateur!BL68*Calculateur!BN68*VLOOKUP('Données projet'!$B$11,Paramètres!$A$1:$I$89,3,0)*0.475*44/12</f>
        <v>4.6725306272446137</v>
      </c>
      <c r="BR68" s="21">
        <f>EXP(-LN(2)/2)*BR67+(1-EXP(-LN(2)/2))/(LN(2)/2)*BL68*BO68*VLOOKUP('Données projet'!$B$11,Paramètres!$A$1:$I$89,3,0)*0.475*44/12</f>
        <v>2.9378402755460444E-5</v>
      </c>
      <c r="BS68" s="22">
        <f t="shared" ref="BS68:BS131" si="63">SUM(BP68:BR68)</f>
        <v>7.7786921092834387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1.064108801074326E-13</v>
      </c>
      <c r="P69" s="13">
        <f t="shared" ref="P69:P132" si="87">EXP(-1.0587+0.8836*LN(O69)+0.284)</f>
        <v>1.5870730813698654E-12</v>
      </c>
      <c r="Q69" s="20">
        <f t="shared" si="54"/>
        <v>2.9494845662396269E-12</v>
      </c>
      <c r="R69" s="59">
        <f t="shared" si="55"/>
        <v>293.33333333333627</v>
      </c>
      <c r="S69" s="59">
        <f ca="1">AVERAGE(OFFSET($R$3,0,0,'Données projet'!$E$9+1,1))-AVERAGE(OFFSET($H$3,0,0,'Données projet'!$E$9+1,1))</f>
        <v>214.51224556840771</v>
      </c>
      <c r="T69" s="59">
        <f t="shared" ref="T69:T132" si="88">$T$3</f>
        <v>225.78309962707215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1.9463088377317821</v>
      </c>
      <c r="AA69" s="21">
        <f>EXP(-LN(2)/25)*AA68+(1-EXP(-LN(2)/25))/(LN(2)/25)*Calculateur!V69*Calculateur!X69*VLOOKUP('Données projet'!$B$9,Paramètres!$A$1:$I$89,3,0)*0.475*44/12</f>
        <v>9.4687556714276422</v>
      </c>
      <c r="AB69" s="21">
        <f>EXP(-LN(2)/2)*AB68+(1-EXP(-LN(2)/2))/(LN(2)/2)*V69*Y69*VLOOKUP('Données projet'!$B$9,Paramètres!$A$1:$I$89,3,0)*0.475*44/12</f>
        <v>9.2958757747657481E-5</v>
      </c>
      <c r="AC69" s="22">
        <f t="shared" si="57"/>
        <v>11.415157467917172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</v>
      </c>
      <c r="AI69" s="13">
        <f>IF('Données projet'!$A$62&gt;35,AI68+AH69-AQ68,IF(A69&lt;'Données projet'!$A$62,$AF$205^A69,IF(A69='Données projet'!$A$62,'Données projet'!$B$62,AI68+AH69-AQ68)))</f>
        <v>235.00000000000017</v>
      </c>
      <c r="AJ69" s="13">
        <f>AI69*VLOOKUP('Données projet'!$B$10,Paramètres!$A$1:$I$89,3,0)*VLOOKUP('Données projet'!$B$10,Paramètres!$A$1:$I$89,5,0)</f>
        <v>212.62800000000016</v>
      </c>
      <c r="AK69" s="13">
        <f t="shared" ref="AK69:AK132" si="89">EXP(-1.0587+0.8836*LN(AJ69)+0.284)</f>
        <v>52.509453483719085</v>
      </c>
      <c r="AL69" s="20">
        <f t="shared" si="58"/>
        <v>461.78106481747767</v>
      </c>
      <c r="AM69" s="59">
        <f t="shared" si="59"/>
        <v>755.11439815081098</v>
      </c>
      <c r="AN69" s="59">
        <f ca="1">AVERAGE(OFFSET($AM$3,0,0,'Données projet'!$E$10+1,1))-AVERAGE(OFFSET($H$3,0,0,'Données projet'!$E$10+1,1))</f>
        <v>237.22177246688199</v>
      </c>
      <c r="AO69" s="59">
        <f t="shared" ref="AO69:AO132" si="90">$AO$3</f>
        <v>149.27472147904302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1.1447472596278132</v>
      </c>
      <c r="AW69" s="21">
        <f>EXP(-LN(2)/2)*AW68+(1-EXP(-LN(2)/2))/(LN(2)/2)*AQ69*AT69*VLOOKUP('Données projet'!$B$10,Paramètres!$A$1:$I$89,3,0)*0.475*44/12</f>
        <v>2.3610488336290082E-5</v>
      </c>
      <c r="AX69" s="21">
        <f t="shared" si="60"/>
        <v>1.1447708701161494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168.08890945052406</v>
      </c>
      <c r="BJ69" s="59">
        <f t="shared" ref="BJ69:BJ132" si="92">$BJ$3</f>
        <v>182.52462557642343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3.0452227476372777</v>
      </c>
      <c r="BQ69" s="21">
        <f>EXP(-LN(2)/25)*BQ68+(1-EXP(-LN(2)/25))/(LN(2)/25)*Calculateur!BL69*Calculateur!BN69*VLOOKUP('Données projet'!$B$11,Paramètres!$A$1:$I$89,3,0)*0.475*44/12</f>
        <v>4.5447600315249028</v>
      </c>
      <c r="BR69" s="21">
        <f>EXP(-LN(2)/2)*BR68+(1-EXP(-LN(2)/2))/(LN(2)/2)*BL69*BO69*VLOOKUP('Données projet'!$B$11,Paramètres!$A$1:$I$89,3,0)*0.475*44/12</f>
        <v>2.0773667808815634E-5</v>
      </c>
      <c r="BS69" s="22">
        <f t="shared" si="63"/>
        <v>7.5900035528299901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1.064108801074326E-13</v>
      </c>
      <c r="P70" s="13">
        <f t="shared" si="87"/>
        <v>1.5870730813698654E-12</v>
      </c>
      <c r="Q70" s="20">
        <f t="shared" si="54"/>
        <v>2.9494845662396269E-12</v>
      </c>
      <c r="R70" s="59">
        <f t="shared" si="55"/>
        <v>293.33333333333627</v>
      </c>
      <c r="S70" s="59">
        <f ca="1">AVERAGE(OFFSET($R$3,0,0,'Données projet'!$E$9+1,1))-AVERAGE(OFFSET($H$3,0,0,'Données projet'!$E$9+1,1))</f>
        <v>214.51224556840771</v>
      </c>
      <c r="T70" s="59">
        <f t="shared" si="88"/>
        <v>225.78309962707215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1.9081429085550334</v>
      </c>
      <c r="AA70" s="21">
        <f>EXP(-LN(2)/25)*AA69+(1-EXP(-LN(2)/25))/(LN(2)/25)*Calculateur!V70*Calculateur!X70*VLOOKUP('Données projet'!$B$9,Paramètres!$A$1:$I$89,3,0)*0.475*44/12</f>
        <v>9.209832049652233</v>
      </c>
      <c r="AB70" s="21">
        <f>EXP(-LN(2)/2)*AB69+(1-EXP(-LN(2)/2))/(LN(2)/2)*V70*Y70*VLOOKUP('Données projet'!$B$9,Paramètres!$A$1:$I$89,3,0)*0.475*44/12</f>
        <v>6.5731767974046117E-5</v>
      </c>
      <c r="AC70" s="22">
        <f t="shared" si="57"/>
        <v>11.11804068997524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</v>
      </c>
      <c r="AI70" s="13">
        <f>IF('Données projet'!$A$62&gt;35,AI69+AH70-AQ69,IF(A70&lt;'Données projet'!$A$62,$AF$205^A70,IF(A70='Données projet'!$A$62,'Données projet'!$B$62,AI69+AH70-AQ69)))</f>
        <v>242.00000000000017</v>
      </c>
      <c r="AJ70" s="13">
        <f>AI70*VLOOKUP('Données projet'!$B$10,Paramètres!$A$1:$I$89,3,0)*VLOOKUP('Données projet'!$B$10,Paramètres!$A$1:$I$89,5,0)</f>
        <v>218.96160000000017</v>
      </c>
      <c r="AK70" s="13">
        <f t="shared" si="89"/>
        <v>53.889132503707479</v>
      </c>
      <c r="AL70" s="20">
        <f t="shared" si="58"/>
        <v>475.2150257772908</v>
      </c>
      <c r="AM70" s="59">
        <f t="shared" si="59"/>
        <v>768.54835911062412</v>
      </c>
      <c r="AN70" s="59">
        <f ca="1">AVERAGE(OFFSET($AM$3,0,0,'Données projet'!$E$10+1,1))-AVERAGE(OFFSET($H$3,0,0,'Données projet'!$E$10+1,1))</f>
        <v>237.22177246688199</v>
      </c>
      <c r="AO70" s="59">
        <f t="shared" si="90"/>
        <v>149.27472147904302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1.1134440856136487</v>
      </c>
      <c r="AW70" s="21">
        <f>EXP(-LN(2)/2)*AW69+(1-EXP(-LN(2)/2))/(LN(2)/2)*AQ70*AT70*VLOOKUP('Données projet'!$B$10,Paramètres!$A$1:$I$89,3,0)*0.475*44/12</f>
        <v>1.6695136409716603E-5</v>
      </c>
      <c r="AX70" s="21">
        <f t="shared" si="60"/>
        <v>1.1134607807500585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168.08890945052406</v>
      </c>
      <c r="BJ70" s="59">
        <f t="shared" si="92"/>
        <v>182.52462557642343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2.9855077869585833</v>
      </c>
      <c r="BQ70" s="21">
        <f>EXP(-LN(2)/25)*BQ69+(1-EXP(-LN(2)/25))/(LN(2)/25)*Calculateur!BL70*Calculateur!BN70*VLOOKUP('Données projet'!$B$11,Paramètres!$A$1:$I$89,3,0)*0.475*44/12</f>
        <v>4.4204833294643118</v>
      </c>
      <c r="BR70" s="21">
        <f>EXP(-LN(2)/2)*BR69+(1-EXP(-LN(2)/2))/(LN(2)/2)*BL70*BO70*VLOOKUP('Données projet'!$B$11,Paramètres!$A$1:$I$89,3,0)*0.475*44/12</f>
        <v>1.4689201377730224E-5</v>
      </c>
      <c r="BS70" s="22">
        <f t="shared" si="63"/>
        <v>7.4060058056242726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1.064108801074326E-13</v>
      </c>
      <c r="P71" s="13">
        <f t="shared" si="87"/>
        <v>1.5870730813698654E-12</v>
      </c>
      <c r="Q71" s="20">
        <f t="shared" si="54"/>
        <v>2.9494845662396269E-12</v>
      </c>
      <c r="R71" s="59">
        <f t="shared" si="55"/>
        <v>293.33333333333627</v>
      </c>
      <c r="S71" s="59">
        <f ca="1">AVERAGE(OFFSET($R$3,0,0,'Données projet'!$E$9+1,1))-AVERAGE(OFFSET($H$3,0,0,'Données projet'!$E$9+1,1))</f>
        <v>214.51224556840771</v>
      </c>
      <c r="T71" s="59">
        <f t="shared" si="88"/>
        <v>225.78309962707215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1.8707253899705225</v>
      </c>
      <c r="AA71" s="21">
        <f>EXP(-LN(2)/25)*AA70+(1-EXP(-LN(2)/25))/(LN(2)/25)*Calculateur!V71*Calculateur!X71*VLOOKUP('Données projet'!$B$9,Paramètres!$A$1:$I$89,3,0)*0.475*44/12</f>
        <v>8.9579887079304754</v>
      </c>
      <c r="AB71" s="21">
        <f>EXP(-LN(2)/2)*AB70+(1-EXP(-LN(2)/2))/(LN(2)/2)*V71*Y71*VLOOKUP('Données projet'!$B$9,Paramètres!$A$1:$I$89,3,0)*0.475*44/12</f>
        <v>4.647937887382874E-5</v>
      </c>
      <c r="AC71" s="22">
        <f t="shared" si="57"/>
        <v>10.828760577279871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</v>
      </c>
      <c r="AI71" s="13">
        <f>IF('Données projet'!$A$62&gt;35,AI70+AH71-AQ70,IF(A71&lt;'Données projet'!$A$62,$AF$205^A71,IF(A71='Données projet'!$A$62,'Données projet'!$B$62,AI70+AH71-AQ70)))</f>
        <v>249.00000000000017</v>
      </c>
      <c r="AJ71" s="13">
        <f>AI71*VLOOKUP('Données projet'!$B$10,Paramètres!$A$1:$I$89,3,0)*VLOOKUP('Données projet'!$B$10,Paramètres!$A$1:$I$89,5,0)</f>
        <v>225.29520000000016</v>
      </c>
      <c r="AK71" s="13">
        <f t="shared" si="89"/>
        <v>55.264173352293128</v>
      </c>
      <c r="AL71" s="20">
        <f t="shared" si="58"/>
        <v>488.64090858857736</v>
      </c>
      <c r="AM71" s="59">
        <f t="shared" si="59"/>
        <v>781.97424192191068</v>
      </c>
      <c r="AN71" s="59">
        <f ca="1">AVERAGE(OFFSET($AM$3,0,0,'Données projet'!$E$10+1,1))-AVERAGE(OFFSET($H$3,0,0,'Données projet'!$E$10+1,1))</f>
        <v>237.22177246688199</v>
      </c>
      <c r="AO71" s="59">
        <f t="shared" si="90"/>
        <v>149.27472147904302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1.0829968985390639</v>
      </c>
      <c r="AW71" s="21">
        <f>EXP(-LN(2)/2)*AW70+(1-EXP(-LN(2)/2))/(LN(2)/2)*AQ71*AT71*VLOOKUP('Données projet'!$B$10,Paramètres!$A$1:$I$89,3,0)*0.475*44/12</f>
        <v>1.1805244168145041E-5</v>
      </c>
      <c r="AX71" s="21">
        <f t="shared" si="60"/>
        <v>1.0830087037832321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168.08890945052406</v>
      </c>
      <c r="BJ71" s="59">
        <f t="shared" si="92"/>
        <v>182.52462557642343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2.9269638002362686</v>
      </c>
      <c r="BQ71" s="21">
        <f>EXP(-LN(2)/25)*BQ70+(1-EXP(-LN(2)/25))/(LN(2)/25)*Calculateur!BL71*Calculateur!BN71*VLOOKUP('Données projet'!$B$11,Paramètres!$A$1:$I$89,3,0)*0.475*44/12</f>
        <v>4.2996049803569951</v>
      </c>
      <c r="BR71" s="21">
        <f>EXP(-LN(2)/2)*BR70+(1-EXP(-LN(2)/2))/(LN(2)/2)*BL71*BO71*VLOOKUP('Données projet'!$B$11,Paramètres!$A$1:$I$89,3,0)*0.475*44/12</f>
        <v>1.0386833904407819E-5</v>
      </c>
      <c r="BS71" s="22">
        <f t="shared" si="63"/>
        <v>7.2265791674271673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1.064108801074326E-13</v>
      </c>
      <c r="P72" s="13">
        <f t="shared" si="87"/>
        <v>1.5870730813698654E-12</v>
      </c>
      <c r="Q72" s="20">
        <f t="shared" si="54"/>
        <v>2.9494845662396269E-12</v>
      </c>
      <c r="R72" s="59">
        <f t="shared" si="55"/>
        <v>293.33333333333627</v>
      </c>
      <c r="S72" s="59">
        <f ca="1">AVERAGE(OFFSET($R$3,0,0,'Données projet'!$E$9+1,1))-AVERAGE(OFFSET($H$3,0,0,'Données projet'!$E$9+1,1))</f>
        <v>214.51224556840771</v>
      </c>
      <c r="T72" s="59">
        <f t="shared" si="88"/>
        <v>225.78309962707215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1.8340416061030211</v>
      </c>
      <c r="AA72" s="21">
        <f>EXP(-LN(2)/25)*AA71+(1-EXP(-LN(2)/25))/(LN(2)/25)*Calculateur!V72*Calculateur!X72*VLOOKUP('Données projet'!$B$9,Paramètres!$A$1:$I$89,3,0)*0.475*44/12</f>
        <v>8.713032035631965</v>
      </c>
      <c r="AB72" s="21">
        <f>EXP(-LN(2)/2)*AB71+(1-EXP(-LN(2)/2))/(LN(2)/2)*V72*Y72*VLOOKUP('Données projet'!$B$9,Paramètres!$A$1:$I$89,3,0)*0.475*44/12</f>
        <v>3.2865883987023058E-5</v>
      </c>
      <c r="AC72" s="22">
        <f t="shared" si="57"/>
        <v>10.547106507618974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</v>
      </c>
      <c r="AI72" s="13">
        <f>IF('Données projet'!$A$62&gt;35,AI71+AH72-AQ71,IF(A72&lt;'Données projet'!$A$62,$AF$205^A72,IF(A72='Données projet'!$A$62,'Données projet'!$B$62,AI71+AH72-AQ71)))</f>
        <v>256.00000000000017</v>
      </c>
      <c r="AJ72" s="13">
        <f>AI72*VLOOKUP('Données projet'!$B$10,Paramètres!$A$1:$I$89,3,0)*VLOOKUP('Données projet'!$B$10,Paramètres!$A$1:$I$89,5,0)</f>
        <v>231.62880000000013</v>
      </c>
      <c r="AK72" s="13">
        <f t="shared" si="89"/>
        <v>56.63472139815827</v>
      </c>
      <c r="AL72" s="20">
        <f t="shared" si="58"/>
        <v>502.0589664351258</v>
      </c>
      <c r="AM72" s="59">
        <f t="shared" si="59"/>
        <v>795.39229976845911</v>
      </c>
      <c r="AN72" s="59">
        <f ca="1">AVERAGE(OFFSET($AM$3,0,0,'Données projet'!$E$10+1,1))-AVERAGE(OFFSET($H$3,0,0,'Données projet'!$E$10+1,1))</f>
        <v>237.22177246688199</v>
      </c>
      <c r="AO72" s="59">
        <f t="shared" si="90"/>
        <v>149.27472147904302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1.0533822913961814</v>
      </c>
      <c r="AW72" s="21">
        <f>EXP(-LN(2)/2)*AW71+(1-EXP(-LN(2)/2))/(LN(2)/2)*AQ72*AT72*VLOOKUP('Données projet'!$B$10,Paramètres!$A$1:$I$89,3,0)*0.475*44/12</f>
        <v>8.3475682048583016E-6</v>
      </c>
      <c r="AX72" s="21">
        <f t="shared" si="60"/>
        <v>1.0533906389643863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168.08890945052406</v>
      </c>
      <c r="BJ72" s="59">
        <f t="shared" si="92"/>
        <v>182.52462557642343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2.8695678253852726</v>
      </c>
      <c r="BQ72" s="21">
        <f>EXP(-LN(2)/25)*BQ71+(1-EXP(-LN(2)/25))/(LN(2)/25)*Calculateur!BL72*Calculateur!BN72*VLOOKUP('Données projet'!$B$11,Paramètres!$A$1:$I$89,3,0)*0.475*44/12</f>
        <v>4.1820320560627344</v>
      </c>
      <c r="BR72" s="21">
        <f>EXP(-LN(2)/2)*BR71+(1-EXP(-LN(2)/2))/(LN(2)/2)*BL72*BO72*VLOOKUP('Données projet'!$B$11,Paramètres!$A$1:$I$89,3,0)*0.475*44/12</f>
        <v>7.3446006888651128E-6</v>
      </c>
      <c r="BS72" s="22">
        <f t="shared" si="63"/>
        <v>7.0516072260486959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1.064108801074326E-13</v>
      </c>
      <c r="P73" s="13">
        <f t="shared" si="87"/>
        <v>1.5870730813698654E-12</v>
      </c>
      <c r="Q73" s="20">
        <f t="shared" si="54"/>
        <v>2.9494845662396269E-12</v>
      </c>
      <c r="R73" s="59">
        <f t="shared" si="55"/>
        <v>293.33333333333627</v>
      </c>
      <c r="S73" s="59">
        <f ca="1">AVERAGE(OFFSET($R$3,0,0,'Données projet'!$E$9+1,1))-AVERAGE(OFFSET($H$3,0,0,'Données projet'!$E$9+1,1))</f>
        <v>214.51224556840771</v>
      </c>
      <c r="T73" s="59">
        <f t="shared" si="88"/>
        <v>225.78309962707215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1.7980771688622625</v>
      </c>
      <c r="AA73" s="21">
        <f>EXP(-LN(2)/25)*AA72+(1-EXP(-LN(2)/25))/(LN(2)/25)*Calculateur!V73*Calculateur!X73*VLOOKUP('Données projet'!$B$9,Paramètres!$A$1:$I$89,3,0)*0.475*44/12</f>
        <v>8.4747737164191683</v>
      </c>
      <c r="AB73" s="21">
        <f>EXP(-LN(2)/2)*AB72+(1-EXP(-LN(2)/2))/(LN(2)/2)*V73*Y73*VLOOKUP('Données projet'!$B$9,Paramètres!$A$1:$I$89,3,0)*0.475*44/12</f>
        <v>2.323968943691437E-5</v>
      </c>
      <c r="AC73" s="22">
        <f t="shared" si="57"/>
        <v>10.272874124970867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263</v>
      </c>
      <c r="AG73" s="12">
        <f>VLOOKUP(A73,'Données projet'!$A$61:$I$81,9,0)</f>
        <v>7</v>
      </c>
      <c r="AH73" s="12">
        <f t="array" ref="AH73">INDEX(AG:AG,MIN(IF(ISNUMBER(AG73:AG269),ROW(AG73:AG269),"")))</f>
        <v>7</v>
      </c>
      <c r="AI73" s="13">
        <f>IF('Données projet'!$A$62&gt;35,AI72+AH73-AQ72,IF(A73&lt;'Données projet'!$A$62,$AF$205^A73,IF(A73='Données projet'!$A$62,'Données projet'!$B$62,AI72+AH73-AQ72)))</f>
        <v>263.00000000000017</v>
      </c>
      <c r="AJ73" s="13">
        <f>AI73*VLOOKUP('Données projet'!$B$10,Paramètres!$A$1:$I$89,3,0)*VLOOKUP('Données projet'!$B$10,Paramètres!$A$1:$I$89,5,0)</f>
        <v>237.96240000000012</v>
      </c>
      <c r="AK73" s="13">
        <f t="shared" si="89"/>
        <v>58.000913607663399</v>
      </c>
      <c r="AL73" s="20">
        <f t="shared" si="58"/>
        <v>515.46943786668055</v>
      </c>
      <c r="AM73" s="59">
        <f t="shared" si="59"/>
        <v>808.80277120001392</v>
      </c>
      <c r="AN73" s="59">
        <f ca="1">AVERAGE(OFFSET($AM$3,0,0,'Données projet'!$E$10+1,1))-AVERAGE(OFFSET($H$3,0,0,'Données projet'!$E$10+1,1))</f>
        <v>237.22177246688199</v>
      </c>
      <c r="AO73" s="59">
        <f t="shared" si="90"/>
        <v>149.27472147904302</v>
      </c>
      <c r="AP73" s="15">
        <f>IF(ISNA(VLOOKUP(A73,'Données projet'!$A$61:$I$81,3,0)),0,VLOOKUP(A73,'Données projet'!$A$61:$I$81,3,0))</f>
        <v>5</v>
      </c>
      <c r="AQ73" s="15">
        <f>IF(ISNA(VLOOKUP(A73,'Données projet'!$A$61:$I$81,4,0)),0,VLOOKUP(A73,'Données projet'!$A$61:$I$81,4,0))</f>
        <v>42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1.0245774972429857</v>
      </c>
      <c r="AW73" s="21">
        <f>EXP(-LN(2)/2)*AW72+(1-EXP(-LN(2)/2))/(LN(2)/2)*AQ73*AT73*VLOOKUP('Données projet'!$B$10,Paramètres!$A$1:$I$89,3,0)*0.475*44/12</f>
        <v>5.9026220840725205E-6</v>
      </c>
      <c r="AX73" s="21">
        <f t="shared" si="60"/>
        <v>1.0245833998650697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168.08890945052406</v>
      </c>
      <c r="BJ73" s="59">
        <f t="shared" si="92"/>
        <v>182.52462557642343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2.8132973505930168</v>
      </c>
      <c r="BQ73" s="21">
        <f>EXP(-LN(2)/25)*BQ72+(1-EXP(-LN(2)/25))/(LN(2)/25)*Calculateur!BL73*Calculateur!BN73*VLOOKUP('Données projet'!$B$11,Paramètres!$A$1:$I$89,3,0)*0.475*44/12</f>
        <v>4.0676741695661915</v>
      </c>
      <c r="BR73" s="21">
        <f>EXP(-LN(2)/2)*BR72+(1-EXP(-LN(2)/2))/(LN(2)/2)*BL73*BO73*VLOOKUP('Données projet'!$B$11,Paramètres!$A$1:$I$89,3,0)*0.475*44/12</f>
        <v>5.1934169522039103E-6</v>
      </c>
      <c r="BS73" s="22">
        <f t="shared" si="63"/>
        <v>6.8809767135761613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1.064108801074326E-13</v>
      </c>
      <c r="P74" s="13">
        <f t="shared" si="87"/>
        <v>1.5870730813698654E-12</v>
      </c>
      <c r="Q74" s="20">
        <f t="shared" si="54"/>
        <v>2.9494845662396269E-12</v>
      </c>
      <c r="R74" s="59">
        <f t="shared" si="55"/>
        <v>293.33333333333627</v>
      </c>
      <c r="S74" s="59">
        <f ca="1">AVERAGE(OFFSET($R$3,0,0,'Données projet'!$E$9+1,1))-AVERAGE(OFFSET($H$3,0,0,'Données projet'!$E$9+1,1))</f>
        <v>214.51224556840771</v>
      </c>
      <c r="T74" s="59">
        <f t="shared" si="88"/>
        <v>225.78309962707215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1.7628179722996546</v>
      </c>
      <c r="AA74" s="21">
        <f>EXP(-LN(2)/25)*AA73+(1-EXP(-LN(2)/25))/(LN(2)/25)*Calculateur!V74*Calculateur!X74*VLOOKUP('Données projet'!$B$9,Paramètres!$A$1:$I$89,3,0)*0.475*44/12</f>
        <v>8.243030583474706</v>
      </c>
      <c r="AB74" s="21">
        <f>EXP(-LN(2)/2)*AB73+(1-EXP(-LN(2)/2))/(LN(2)/2)*V74*Y74*VLOOKUP('Données projet'!$B$9,Paramètres!$A$1:$I$89,3,0)*0.475*44/12</f>
        <v>1.6432941993511529E-5</v>
      </c>
      <c r="AC74" s="22">
        <f t="shared" si="57"/>
        <v>10.005864988716354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6.1</v>
      </c>
      <c r="AI74" s="13">
        <f>IF('Données projet'!$A$62&gt;35,AI73+AH74-AQ73,IF(A74&lt;'Données projet'!$A$62,$AF$205^A74,IF(A74='Données projet'!$A$62,'Données projet'!$B$62,AI73+AH74-AQ73)))</f>
        <v>227.10000000000019</v>
      </c>
      <c r="AJ74" s="13">
        <f>AI74*VLOOKUP('Données projet'!$B$10,Paramètres!$A$1:$I$89,3,0)*VLOOKUP('Données projet'!$B$10,Paramètres!$A$1:$I$89,5,0)</f>
        <v>205.48008000000016</v>
      </c>
      <c r="AK74" s="13">
        <f t="shared" si="89"/>
        <v>50.94662215818515</v>
      </c>
      <c r="AL74" s="20">
        <f t="shared" si="58"/>
        <v>446.6098395921727</v>
      </c>
      <c r="AM74" s="59">
        <f t="shared" si="59"/>
        <v>739.94317292550602</v>
      </c>
      <c r="AN74" s="59">
        <f ca="1">AVERAGE(OFFSET($AM$3,0,0,'Données projet'!$E$10+1,1))-AVERAGE(OFFSET($H$3,0,0,'Données projet'!$E$10+1,1))</f>
        <v>237.22177246688199</v>
      </c>
      <c r="AO74" s="59">
        <f t="shared" si="90"/>
        <v>149.27472147904302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0.99656037170068745</v>
      </c>
      <c r="AW74" s="21">
        <f>EXP(-LN(2)/2)*AW73+(1-EXP(-LN(2)/2))/(LN(2)/2)*AQ74*AT74*VLOOKUP('Données projet'!$B$10,Paramètres!$A$1:$I$89,3,0)*0.475*44/12</f>
        <v>4.1737841024291508E-6</v>
      </c>
      <c r="AX74" s="21">
        <f t="shared" si="60"/>
        <v>0.9965645454847899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168.08890945052406</v>
      </c>
      <c r="BJ74" s="59">
        <f t="shared" si="92"/>
        <v>182.52462557642343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2.7581303054898365</v>
      </c>
      <c r="BQ74" s="21">
        <f>EXP(-LN(2)/25)*BQ73+(1-EXP(-LN(2)/25))/(LN(2)/25)*Calculateur!BL74*Calculateur!BN74*VLOOKUP('Données projet'!$B$11,Paramètres!$A$1:$I$89,3,0)*0.475*44/12</f>
        <v>3.9564434054897162</v>
      </c>
      <c r="BR74" s="21">
        <f>EXP(-LN(2)/2)*BR73+(1-EXP(-LN(2)/2))/(LN(2)/2)*BL74*BO74*VLOOKUP('Données projet'!$B$11,Paramètres!$A$1:$I$89,3,0)*0.475*44/12</f>
        <v>3.6723003444325572E-6</v>
      </c>
      <c r="BS74" s="22">
        <f t="shared" si="63"/>
        <v>6.7145773832798969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1.064108801074326E-13</v>
      </c>
      <c r="P75" s="13">
        <f t="shared" si="87"/>
        <v>1.5870730813698654E-12</v>
      </c>
      <c r="Q75" s="20">
        <f t="shared" si="54"/>
        <v>2.9494845662396269E-12</v>
      </c>
      <c r="R75" s="59">
        <f t="shared" si="55"/>
        <v>293.33333333333627</v>
      </c>
      <c r="S75" s="59">
        <f ca="1">AVERAGE(OFFSET($R$3,0,0,'Données projet'!$E$9+1,1))-AVERAGE(OFFSET($H$3,0,0,'Données projet'!$E$9+1,1))</f>
        <v>214.51224556840771</v>
      </c>
      <c r="T75" s="59">
        <f t="shared" si="88"/>
        <v>225.78309962707215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1.728250187075653</v>
      </c>
      <c r="AA75" s="21">
        <f>EXP(-LN(2)/25)*AA74+(1-EXP(-LN(2)/25))/(LN(2)/25)*Calculateur!V75*Calculateur!X75*VLOOKUP('Données projet'!$B$9,Paramètres!$A$1:$I$89,3,0)*0.475*44/12</f>
        <v>8.017624478687452</v>
      </c>
      <c r="AB75" s="21">
        <f>EXP(-LN(2)/2)*AB74+(1-EXP(-LN(2)/2))/(LN(2)/2)*V75*Y75*VLOOKUP('Données projet'!$B$9,Paramètres!$A$1:$I$89,3,0)*0.475*44/12</f>
        <v>1.1619844718457185E-5</v>
      </c>
      <c r="AC75" s="22">
        <f t="shared" si="57"/>
        <v>9.7458862856078241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6.1</v>
      </c>
      <c r="AI75" s="13">
        <f>IF('Données projet'!$A$62&gt;35,AI74+AH75-AQ74,IF(A75&lt;'Données projet'!$A$62,$AF$205^A75,IF(A75='Données projet'!$A$62,'Données projet'!$B$62,AI74+AH75-AQ74)))</f>
        <v>233.20000000000019</v>
      </c>
      <c r="AJ75" s="13">
        <f>AI75*VLOOKUP('Données projet'!$B$10,Paramètres!$A$1:$I$89,3,0)*VLOOKUP('Données projet'!$B$10,Paramètres!$A$1:$I$89,5,0)</f>
        <v>210.99936000000014</v>
      </c>
      <c r="AK75" s="13">
        <f t="shared" si="89"/>
        <v>52.153910623486667</v>
      </c>
      <c r="AL75" s="20">
        <f t="shared" si="58"/>
        <v>458.32527966923953</v>
      </c>
      <c r="AM75" s="59">
        <f t="shared" si="59"/>
        <v>751.65861300257279</v>
      </c>
      <c r="AN75" s="59">
        <f ca="1">AVERAGE(OFFSET($AM$3,0,0,'Données projet'!$E$10+1,1))-AVERAGE(OFFSET($H$3,0,0,'Données projet'!$E$10+1,1))</f>
        <v>237.22177246688199</v>
      </c>
      <c r="AO75" s="59">
        <f t="shared" si="90"/>
        <v>149.27472147904302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0.9693093759296999</v>
      </c>
      <c r="AW75" s="21">
        <f>EXP(-LN(2)/2)*AW74+(1-EXP(-LN(2)/2))/(LN(2)/2)*AQ75*AT75*VLOOKUP('Données projet'!$B$10,Paramètres!$A$1:$I$89,3,0)*0.475*44/12</f>
        <v>2.9513110420362603E-6</v>
      </c>
      <c r="AX75" s="21">
        <f t="shared" si="60"/>
        <v>0.9693123272407419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168.08890945052406</v>
      </c>
      <c r="BJ75" s="59">
        <f t="shared" si="92"/>
        <v>182.52462557642343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2.7040450524925546</v>
      </c>
      <c r="BQ75" s="21">
        <f>EXP(-LN(2)/25)*BQ74+(1-EXP(-LN(2)/25))/(LN(2)/25)*Calculateur!BL75*Calculateur!BN75*VLOOKUP('Données projet'!$B$11,Paramètres!$A$1:$I$89,3,0)*0.475*44/12</f>
        <v>3.8482542525062837</v>
      </c>
      <c r="BR75" s="21">
        <f>EXP(-LN(2)/2)*BR74+(1-EXP(-LN(2)/2))/(LN(2)/2)*BL75*BO75*VLOOKUP('Données projet'!$B$11,Paramètres!$A$1:$I$89,3,0)*0.475*44/12</f>
        <v>2.5967084761019555E-6</v>
      </c>
      <c r="BS75" s="22">
        <f t="shared" si="63"/>
        <v>6.5523019017073141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1.064108801074326E-13</v>
      </c>
      <c r="P76" s="13">
        <f t="shared" si="87"/>
        <v>1.5870730813698654E-12</v>
      </c>
      <c r="Q76" s="20">
        <f t="shared" si="54"/>
        <v>2.9494845662396269E-12</v>
      </c>
      <c r="R76" s="59">
        <f t="shared" si="55"/>
        <v>293.33333333333627</v>
      </c>
      <c r="S76" s="59">
        <f ca="1">AVERAGE(OFFSET($R$3,0,0,'Données projet'!$E$9+1,1))-AVERAGE(OFFSET($H$3,0,0,'Données projet'!$E$9+1,1))</f>
        <v>214.51224556840771</v>
      </c>
      <c r="T76" s="59">
        <f t="shared" si="88"/>
        <v>225.78309962707215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1.6943602550356271</v>
      </c>
      <c r="AA76" s="21">
        <f>EXP(-LN(2)/25)*AA75+(1-EXP(-LN(2)/25))/(LN(2)/25)*Calculateur!V76*Calculateur!X76*VLOOKUP('Données projet'!$B$9,Paramètres!$A$1:$I$89,3,0)*0.475*44/12</f>
        <v>7.798382115689197</v>
      </c>
      <c r="AB76" s="21">
        <f>EXP(-LN(2)/2)*AB75+(1-EXP(-LN(2)/2))/(LN(2)/2)*V76*Y76*VLOOKUP('Données projet'!$B$9,Paramètres!$A$1:$I$89,3,0)*0.475*44/12</f>
        <v>8.2164709967557646E-6</v>
      </c>
      <c r="AC76" s="22">
        <f t="shared" si="57"/>
        <v>9.4927505871958218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6.1</v>
      </c>
      <c r="AI76" s="13">
        <f>IF('Données projet'!$A$62&gt;35,AI75+AH76-AQ75,IF(A76&lt;'Données projet'!$A$62,$AF$205^A76,IF(A76='Données projet'!$A$62,'Données projet'!$B$62,AI75+AH76-AQ75)))</f>
        <v>239.30000000000018</v>
      </c>
      <c r="AJ76" s="13">
        <f>AI76*VLOOKUP('Données projet'!$B$10,Paramètres!$A$1:$I$89,3,0)*VLOOKUP('Données projet'!$B$10,Paramètres!$A$1:$I$89,5,0)</f>
        <v>216.51864000000015</v>
      </c>
      <c r="AK76" s="13">
        <f t="shared" si="89"/>
        <v>53.357528323079173</v>
      </c>
      <c r="AL76" s="20">
        <f t="shared" si="58"/>
        <v>470.03432649602973</v>
      </c>
      <c r="AM76" s="59">
        <f t="shared" si="59"/>
        <v>763.36765982936299</v>
      </c>
      <c r="AN76" s="59">
        <f ca="1">AVERAGE(OFFSET($AM$3,0,0,'Données projet'!$E$10+1,1))-AVERAGE(OFFSET($H$3,0,0,'Données projet'!$E$10+1,1))</f>
        <v>237.22177246688199</v>
      </c>
      <c r="AO76" s="59">
        <f t="shared" si="90"/>
        <v>149.27472147904302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0.94280356007113753</v>
      </c>
      <c r="AW76" s="21">
        <f>EXP(-LN(2)/2)*AW75+(1-EXP(-LN(2)/2))/(LN(2)/2)*AQ76*AT76*VLOOKUP('Données projet'!$B$10,Paramètres!$A$1:$I$89,3,0)*0.475*44/12</f>
        <v>2.0868920512145754E-6</v>
      </c>
      <c r="AX76" s="21">
        <f t="shared" si="60"/>
        <v>0.94280564696318869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168.08890945052406</v>
      </c>
      <c r="BJ76" s="59">
        <f t="shared" si="92"/>
        <v>182.52462557642343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2.6510203783178024</v>
      </c>
      <c r="BQ76" s="21">
        <f>EXP(-LN(2)/25)*BQ75+(1-EXP(-LN(2)/25))/(LN(2)/25)*Calculateur!BL76*Calculateur!BN76*VLOOKUP('Données projet'!$B$11,Paramètres!$A$1:$I$89,3,0)*0.475*44/12</f>
        <v>3.7430235376006036</v>
      </c>
      <c r="BR76" s="21">
        <f>EXP(-LN(2)/2)*BR75+(1-EXP(-LN(2)/2))/(LN(2)/2)*BL76*BO76*VLOOKUP('Données projet'!$B$11,Paramètres!$A$1:$I$89,3,0)*0.475*44/12</f>
        <v>1.8361501722162788E-6</v>
      </c>
      <c r="BS76" s="22">
        <f t="shared" si="63"/>
        <v>6.3940457520685783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1.064108801074326E-13</v>
      </c>
      <c r="P77" s="13">
        <f t="shared" si="87"/>
        <v>1.5870730813698654E-12</v>
      </c>
      <c r="Q77" s="20">
        <f t="shared" si="54"/>
        <v>2.9494845662396269E-12</v>
      </c>
      <c r="R77" s="59">
        <f t="shared" si="55"/>
        <v>293.33333333333627</v>
      </c>
      <c r="S77" s="59">
        <f ca="1">AVERAGE(OFFSET($R$3,0,0,'Données projet'!$E$9+1,1))-AVERAGE(OFFSET($H$3,0,0,'Données projet'!$E$9+1,1))</f>
        <v>214.51224556840771</v>
      </c>
      <c r="T77" s="59">
        <f t="shared" si="88"/>
        <v>225.78309962707215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1.6611348838920885</v>
      </c>
      <c r="AA77" s="21">
        <f>EXP(-LN(2)/25)*AA76+(1-EXP(-LN(2)/25))/(LN(2)/25)*Calculateur!V77*Calculateur!X77*VLOOKUP('Données projet'!$B$9,Paramètres!$A$1:$I$89,3,0)*0.475*44/12</f>
        <v>7.5851349466365843</v>
      </c>
      <c r="AB77" s="21">
        <f>EXP(-LN(2)/2)*AB76+(1-EXP(-LN(2)/2))/(LN(2)/2)*V77*Y77*VLOOKUP('Données projet'!$B$9,Paramètres!$A$1:$I$89,3,0)*0.475*44/12</f>
        <v>5.8099223592285925E-6</v>
      </c>
      <c r="AC77" s="22">
        <f t="shared" si="57"/>
        <v>9.2462756404510333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6.1</v>
      </c>
      <c r="AI77" s="13">
        <f>IF('Données projet'!$A$62&gt;35,AI76+AH77-AQ76,IF(A77&lt;'Données projet'!$A$62,$AF$205^A77,IF(A77='Données projet'!$A$62,'Données projet'!$B$62,AI76+AH77-AQ76)))</f>
        <v>245.40000000000018</v>
      </c>
      <c r="AJ77" s="13">
        <f>AI77*VLOOKUP('Données projet'!$B$10,Paramètres!$A$1:$I$89,3,0)*VLOOKUP('Données projet'!$B$10,Paramètres!$A$1:$I$89,5,0)</f>
        <v>222.03792000000013</v>
      </c>
      <c r="AK77" s="13">
        <f t="shared" si="89"/>
        <v>54.5575795882731</v>
      </c>
      <c r="AL77" s="20">
        <f t="shared" si="58"/>
        <v>481.7371617829092</v>
      </c>
      <c r="AM77" s="59">
        <f t="shared" si="59"/>
        <v>775.07049511624245</v>
      </c>
      <c r="AN77" s="59">
        <f ca="1">AVERAGE(OFFSET($AM$3,0,0,'Données projet'!$E$10+1,1))-AVERAGE(OFFSET($H$3,0,0,'Données projet'!$E$10+1,1))</f>
        <v>237.22177246688199</v>
      </c>
      <c r="AO77" s="59">
        <f t="shared" si="90"/>
        <v>149.27472147904302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0.91702254714110787</v>
      </c>
      <c r="AW77" s="21">
        <f>EXP(-LN(2)/2)*AW76+(1-EXP(-LN(2)/2))/(LN(2)/2)*AQ77*AT77*VLOOKUP('Données projet'!$B$10,Paramètres!$A$1:$I$89,3,0)*0.475*44/12</f>
        <v>1.4756555210181301E-6</v>
      </c>
      <c r="AX77" s="21">
        <f t="shared" si="60"/>
        <v>0.91702402279662887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168.08890945052406</v>
      </c>
      <c r="BJ77" s="59">
        <f t="shared" si="92"/>
        <v>182.52462557642343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2.599035485661759</v>
      </c>
      <c r="BQ77" s="21">
        <f>EXP(-LN(2)/25)*BQ76+(1-EXP(-LN(2)/25))/(LN(2)/25)*Calculateur!BL77*Calculateur!BN77*VLOOKUP('Données projet'!$B$11,Paramètres!$A$1:$I$89,3,0)*0.475*44/12</f>
        <v>3.640670362127862</v>
      </c>
      <c r="BR77" s="21">
        <f>EXP(-LN(2)/2)*BR76+(1-EXP(-LN(2)/2))/(LN(2)/2)*BL77*BO77*VLOOKUP('Données projet'!$B$11,Paramètres!$A$1:$I$89,3,0)*0.475*44/12</f>
        <v>1.298354238050978E-6</v>
      </c>
      <c r="BS77" s="22">
        <f t="shared" si="63"/>
        <v>6.2397071461438589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1.064108801074326E-13</v>
      </c>
      <c r="P78" s="13">
        <f t="shared" si="87"/>
        <v>1.5870730813698654E-12</v>
      </c>
      <c r="Q78" s="20">
        <f t="shared" si="54"/>
        <v>2.9494845662396269E-12</v>
      </c>
      <c r="R78" s="59">
        <f t="shared" si="55"/>
        <v>293.33333333333627</v>
      </c>
      <c r="S78" s="59">
        <f ca="1">AVERAGE(OFFSET($R$3,0,0,'Données projet'!$E$9+1,1))-AVERAGE(OFFSET($H$3,0,0,'Données projet'!$E$9+1,1))</f>
        <v>214.51224556840771</v>
      </c>
      <c r="T78" s="59">
        <f t="shared" si="88"/>
        <v>225.78309962707215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1.6285610420111993</v>
      </c>
      <c r="AA78" s="21">
        <f>EXP(-LN(2)/25)*AA77+(1-EXP(-LN(2)/25))/(LN(2)/25)*Calculateur!V78*Calculateur!X78*VLOOKUP('Données projet'!$B$9,Paramètres!$A$1:$I$89,3,0)*0.475*44/12</f>
        <v>7.3777190326358957</v>
      </c>
      <c r="AB78" s="21">
        <f>EXP(-LN(2)/2)*AB77+(1-EXP(-LN(2)/2))/(LN(2)/2)*V78*Y78*VLOOKUP('Données projet'!$B$9,Paramètres!$A$1:$I$89,3,0)*0.475*44/12</f>
        <v>4.1082354983778823E-6</v>
      </c>
      <c r="AC78" s="22">
        <f t="shared" si="57"/>
        <v>9.0062841828825917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6.1</v>
      </c>
      <c r="AI78" s="13">
        <f>IF('Données projet'!$A$62&gt;35,AI77+AH78-AQ77,IF(A78&lt;'Données projet'!$A$62,$AF$205^A78,IF(A78='Données projet'!$A$62,'Données projet'!$B$62,AI77+AH78-AQ77)))</f>
        <v>251.50000000000017</v>
      </c>
      <c r="AJ78" s="13">
        <f>AI78*VLOOKUP('Données projet'!$B$10,Paramètres!$A$1:$I$89,3,0)*VLOOKUP('Données projet'!$B$10,Paramètres!$A$1:$I$89,5,0)</f>
        <v>227.55720000000014</v>
      </c>
      <c r="AK78" s="13">
        <f t="shared" si="89"/>
        <v>55.754163267932753</v>
      </c>
      <c r="AL78" s="20">
        <f t="shared" si="58"/>
        <v>493.43395769164982</v>
      </c>
      <c r="AM78" s="59">
        <f t="shared" si="59"/>
        <v>786.76729102498314</v>
      </c>
      <c r="AN78" s="59">
        <f ca="1">AVERAGE(OFFSET($AM$3,0,0,'Données projet'!$E$10+1,1))-AVERAGE(OFFSET($H$3,0,0,'Données projet'!$E$10+1,1))</f>
        <v>237.22177246688199</v>
      </c>
      <c r="AO78" s="59">
        <f t="shared" si="90"/>
        <v>149.27472147904302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0.89194651736541442</v>
      </c>
      <c r="AW78" s="21">
        <f>EXP(-LN(2)/2)*AW77+(1-EXP(-LN(2)/2))/(LN(2)/2)*AQ78*AT78*VLOOKUP('Données projet'!$B$10,Paramètres!$A$1:$I$89,3,0)*0.475*44/12</f>
        <v>1.0434460256072877E-6</v>
      </c>
      <c r="AX78" s="21">
        <f t="shared" si="60"/>
        <v>0.89194756081144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168.08890945052406</v>
      </c>
      <c r="BJ78" s="59">
        <f t="shared" si="92"/>
        <v>182.52462557642343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2.548069985043047</v>
      </c>
      <c r="BQ78" s="21">
        <f>EXP(-LN(2)/25)*BQ77+(1-EXP(-LN(2)/25))/(LN(2)/25)*Calculateur!BL78*Calculateur!BN78*VLOOKUP('Données projet'!$B$11,Paramètres!$A$1:$I$89,3,0)*0.475*44/12</f>
        <v>3.5411160396209422</v>
      </c>
      <c r="BR78" s="21">
        <f>EXP(-LN(2)/2)*BR77+(1-EXP(-LN(2)/2))/(LN(2)/2)*BL78*BO78*VLOOKUP('Données projet'!$B$11,Paramètres!$A$1:$I$89,3,0)*0.475*44/12</f>
        <v>9.1807508610813963E-7</v>
      </c>
      <c r="BS78" s="22">
        <f t="shared" si="63"/>
        <v>6.0891869427390759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1.064108801074326E-13</v>
      </c>
      <c r="P79" s="13">
        <f t="shared" si="87"/>
        <v>1.5870730813698654E-12</v>
      </c>
      <c r="Q79" s="20">
        <f t="shared" si="54"/>
        <v>2.9494845662396269E-12</v>
      </c>
      <c r="R79" s="59">
        <f t="shared" si="55"/>
        <v>293.33333333333627</v>
      </c>
      <c r="S79" s="59">
        <f ca="1">AVERAGE(OFFSET($R$3,0,0,'Données projet'!$E$9+1,1))-AVERAGE(OFFSET($H$3,0,0,'Données projet'!$E$9+1,1))</f>
        <v>214.51224556840771</v>
      </c>
      <c r="T79" s="59">
        <f t="shared" si="88"/>
        <v>225.78309962707215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1.5966259533015128</v>
      </c>
      <c r="AA79" s="21">
        <f>EXP(-LN(2)/25)*AA78+(1-EXP(-LN(2)/25))/(LN(2)/25)*Calculateur!V79*Calculateur!X79*VLOOKUP('Données projet'!$B$9,Paramètres!$A$1:$I$89,3,0)*0.475*44/12</f>
        <v>7.175974917711085</v>
      </c>
      <c r="AB79" s="21">
        <f>EXP(-LN(2)/2)*AB78+(1-EXP(-LN(2)/2))/(LN(2)/2)*V79*Y79*VLOOKUP('Données projet'!$B$9,Paramètres!$A$1:$I$89,3,0)*0.475*44/12</f>
        <v>2.9049611796142963E-6</v>
      </c>
      <c r="AC79" s="22">
        <f t="shared" si="57"/>
        <v>8.7726037759737778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6.1</v>
      </c>
      <c r="AI79" s="13">
        <f>IF('Données projet'!$A$62&gt;35,AI78+AH79-AQ78,IF(A79&lt;'Données projet'!$A$62,$AF$205^A79,IF(A79='Données projet'!$A$62,'Données projet'!$B$62,AI78+AH79-AQ78)))</f>
        <v>257.60000000000019</v>
      </c>
      <c r="AJ79" s="13">
        <f>AI79*VLOOKUP('Données projet'!$B$10,Paramètres!$A$1:$I$89,3,0)*VLOOKUP('Données projet'!$B$10,Paramètres!$A$1:$I$89,5,0)</f>
        <v>233.07648000000017</v>
      </c>
      <c r="AK79" s="13">
        <f t="shared" si="89"/>
        <v>56.947373142454929</v>
      </c>
      <c r="AL79" s="20">
        <f t="shared" si="58"/>
        <v>505.12487755644264</v>
      </c>
      <c r="AM79" s="59">
        <f t="shared" si="59"/>
        <v>798.45821088977596</v>
      </c>
      <c r="AN79" s="59">
        <f ca="1">AVERAGE(OFFSET($AM$3,0,0,'Données projet'!$E$10+1,1))-AVERAGE(OFFSET($H$3,0,0,'Données projet'!$E$10+1,1))</f>
        <v>237.22177246688199</v>
      </c>
      <c r="AO79" s="59">
        <f t="shared" si="90"/>
        <v>149.27472147904302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0.86755619294262842</v>
      </c>
      <c r="AW79" s="21">
        <f>EXP(-LN(2)/2)*AW78+(1-EXP(-LN(2)/2))/(LN(2)/2)*AQ79*AT79*VLOOKUP('Données projet'!$B$10,Paramètres!$A$1:$I$89,3,0)*0.475*44/12</f>
        <v>7.3782776050906506E-7</v>
      </c>
      <c r="AX79" s="21">
        <f t="shared" si="60"/>
        <v>0.86755693077038898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168.08890945052406</v>
      </c>
      <c r="BJ79" s="59">
        <f t="shared" si="92"/>
        <v>182.52462557642343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2.4981038868055823</v>
      </c>
      <c r="BQ79" s="21">
        <f>EXP(-LN(2)/25)*BQ78+(1-EXP(-LN(2)/25))/(LN(2)/25)*Calculateur!BL79*Calculateur!BN79*VLOOKUP('Données projet'!$B$11,Paramètres!$A$1:$I$89,3,0)*0.475*44/12</f>
        <v>3.4442840352983084</v>
      </c>
      <c r="BR79" s="21">
        <f>EXP(-LN(2)/2)*BR78+(1-EXP(-LN(2)/2))/(LN(2)/2)*BL79*BO79*VLOOKUP('Données projet'!$B$11,Paramètres!$A$1:$I$89,3,0)*0.475*44/12</f>
        <v>6.491771190254891E-7</v>
      </c>
      <c r="BS79" s="22">
        <f t="shared" si="63"/>
        <v>5.9423885712810094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1.064108801074326E-13</v>
      </c>
      <c r="P80" s="13">
        <f t="shared" si="87"/>
        <v>1.5870730813698654E-12</v>
      </c>
      <c r="Q80" s="20">
        <f t="shared" si="54"/>
        <v>2.9494845662396269E-12</v>
      </c>
      <c r="R80" s="59">
        <f t="shared" si="55"/>
        <v>293.33333333333627</v>
      </c>
      <c r="S80" s="59">
        <f ca="1">AVERAGE(OFFSET($R$3,0,0,'Données projet'!$E$9+1,1))-AVERAGE(OFFSET($H$3,0,0,'Données projet'!$E$9+1,1))</f>
        <v>214.51224556840771</v>
      </c>
      <c r="T80" s="59">
        <f t="shared" si="88"/>
        <v>225.78309962707215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1.5653170922029425</v>
      </c>
      <c r="AA80" s="21">
        <f>EXP(-LN(2)/25)*AA79+(1-EXP(-LN(2)/25))/(LN(2)/25)*Calculateur!V80*Calculateur!X80*VLOOKUP('Données projet'!$B$9,Paramètres!$A$1:$I$89,3,0)*0.475*44/12</f>
        <v>6.9797475062181551</v>
      </c>
      <c r="AB80" s="21">
        <f>EXP(-LN(2)/2)*AB79+(1-EXP(-LN(2)/2))/(LN(2)/2)*V80*Y80*VLOOKUP('Données projet'!$B$9,Paramètres!$A$1:$I$89,3,0)*0.475*44/12</f>
        <v>2.0541177491889411E-6</v>
      </c>
      <c r="AC80" s="22">
        <f t="shared" si="57"/>
        <v>8.5450666525388463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6.1</v>
      </c>
      <c r="AI80" s="13">
        <f>IF('Données projet'!$A$62&gt;35,AI79+AH80-AQ79,IF(A80&lt;'Données projet'!$A$62,$AF$205^A80,IF(A80='Données projet'!$A$62,'Données projet'!$B$62,AI79+AH80-AQ79)))</f>
        <v>263.70000000000022</v>
      </c>
      <c r="AJ80" s="13">
        <f>AI80*VLOOKUP('Données projet'!$B$10,Paramètres!$A$1:$I$89,3,0)*VLOOKUP('Données projet'!$B$10,Paramètres!$A$1:$I$89,5,0)</f>
        <v>238.59576000000018</v>
      </c>
      <c r="AK80" s="13">
        <f t="shared" si="89"/>
        <v>58.137298297430824</v>
      </c>
      <c r="AL80" s="20">
        <f t="shared" si="58"/>
        <v>516.81007653469237</v>
      </c>
      <c r="AM80" s="59">
        <f t="shared" si="59"/>
        <v>810.14340986802563</v>
      </c>
      <c r="AN80" s="59">
        <f ca="1">AVERAGE(OFFSET($AM$3,0,0,'Données projet'!$E$10+1,1))-AVERAGE(OFFSET($H$3,0,0,'Données projet'!$E$10+1,1))</f>
        <v>237.22177246688199</v>
      </c>
      <c r="AO80" s="59">
        <f t="shared" si="90"/>
        <v>149.27472147904302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0.84383282322381492</v>
      </c>
      <c r="AW80" s="21">
        <f>EXP(-LN(2)/2)*AW79+(1-EXP(-LN(2)/2))/(LN(2)/2)*AQ80*AT80*VLOOKUP('Données projet'!$B$10,Paramètres!$A$1:$I$89,3,0)*0.475*44/12</f>
        <v>5.2172301280364385E-7</v>
      </c>
      <c r="AX80" s="21">
        <f t="shared" si="60"/>
        <v>0.84383334494682771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168.08890945052406</v>
      </c>
      <c r="BJ80" s="59">
        <f t="shared" si="92"/>
        <v>182.52462557642343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2.4491175932782436</v>
      </c>
      <c r="BQ80" s="21">
        <f>EXP(-LN(2)/25)*BQ79+(1-EXP(-LN(2)/25))/(LN(2)/25)*Calculateur!BL80*Calculateur!BN80*VLOOKUP('Données projet'!$B$11,Paramètres!$A$1:$I$89,3,0)*0.475*44/12</f>
        <v>3.3500999072260509</v>
      </c>
      <c r="BR80" s="21">
        <f>EXP(-LN(2)/2)*BR79+(1-EXP(-LN(2)/2))/(LN(2)/2)*BL80*BO80*VLOOKUP('Données projet'!$B$11,Paramètres!$A$1:$I$89,3,0)*0.475*44/12</f>
        <v>4.5903754305406987E-7</v>
      </c>
      <c r="BS80" s="22">
        <f t="shared" si="63"/>
        <v>5.7992179595418376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1.064108801074326E-13</v>
      </c>
      <c r="P81" s="13">
        <f t="shared" si="87"/>
        <v>1.5870730813698654E-12</v>
      </c>
      <c r="Q81" s="20">
        <f t="shared" si="54"/>
        <v>2.9494845662396269E-12</v>
      </c>
      <c r="R81" s="59">
        <f t="shared" si="55"/>
        <v>293.33333333333627</v>
      </c>
      <c r="S81" s="59">
        <f ca="1">AVERAGE(OFFSET($R$3,0,0,'Données projet'!$E$9+1,1))-AVERAGE(OFFSET($H$3,0,0,'Données projet'!$E$9+1,1))</f>
        <v>214.51224556840771</v>
      </c>
      <c r="T81" s="59">
        <f t="shared" si="88"/>
        <v>225.78309962707215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1.5346221787739953</v>
      </c>
      <c r="AA81" s="21">
        <f>EXP(-LN(2)/25)*AA80+(1-EXP(-LN(2)/25))/(LN(2)/25)*Calculateur!V81*Calculateur!X81*VLOOKUP('Données projet'!$B$9,Paramètres!$A$1:$I$89,3,0)*0.475*44/12</f>
        <v>6.7888859436116507</v>
      </c>
      <c r="AB81" s="21">
        <f>EXP(-LN(2)/2)*AB80+(1-EXP(-LN(2)/2))/(LN(2)/2)*V81*Y81*VLOOKUP('Données projet'!$B$9,Paramètres!$A$1:$I$89,3,0)*0.475*44/12</f>
        <v>1.4524805898071481E-6</v>
      </c>
      <c r="AC81" s="22">
        <f t="shared" si="57"/>
        <v>8.323509574866236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6.1</v>
      </c>
      <c r="AI81" s="13">
        <f>IF('Données projet'!$A$62&gt;35,AI80+AH81-AQ80,IF(A81&lt;'Données projet'!$A$62,$AF$205^A81,IF(A81='Données projet'!$A$62,'Données projet'!$B$62,AI80+AH81-AQ80)))</f>
        <v>269.80000000000024</v>
      </c>
      <c r="AJ81" s="13">
        <f>AI81*VLOOKUP('Données projet'!$B$10,Paramètres!$A$1:$I$89,3,0)*VLOOKUP('Données projet'!$B$10,Paramètres!$A$1:$I$89,5,0)</f>
        <v>244.11504000000019</v>
      </c>
      <c r="AK81" s="13">
        <f t="shared" si="89"/>
        <v>59.324023461759062</v>
      </c>
      <c r="AL81" s="20">
        <f t="shared" si="58"/>
        <v>528.48970219589739</v>
      </c>
      <c r="AM81" s="59">
        <f t="shared" si="59"/>
        <v>821.82303552923076</v>
      </c>
      <c r="AN81" s="59">
        <f ca="1">AVERAGE(OFFSET($AM$3,0,0,'Données projet'!$E$10+1,1))-AVERAGE(OFFSET($H$3,0,0,'Données projet'!$E$10+1,1))</f>
        <v>237.22177246688199</v>
      </c>
      <c r="AO81" s="59">
        <f t="shared" si="90"/>
        <v>149.27472147904302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0.82075817029752018</v>
      </c>
      <c r="AW81" s="21">
        <f>EXP(-LN(2)/2)*AW80+(1-EXP(-LN(2)/2))/(LN(2)/2)*AQ81*AT81*VLOOKUP('Données projet'!$B$10,Paramètres!$A$1:$I$89,3,0)*0.475*44/12</f>
        <v>3.6891388025453253E-7</v>
      </c>
      <c r="AX81" s="21">
        <f t="shared" si="60"/>
        <v>0.82075853921140041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168.08890945052406</v>
      </c>
      <c r="BJ81" s="59">
        <f t="shared" si="92"/>
        <v>182.52462557642343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2.4010918910882872</v>
      </c>
      <c r="BQ81" s="21">
        <f>EXP(-LN(2)/25)*BQ80+(1-EXP(-LN(2)/25))/(LN(2)/25)*Calculateur!BL81*Calculateur!BN81*VLOOKUP('Données projet'!$B$11,Paramètres!$A$1:$I$89,3,0)*0.475*44/12</f>
        <v>3.2584912490888573</v>
      </c>
      <c r="BR81" s="21">
        <f>EXP(-LN(2)/2)*BR80+(1-EXP(-LN(2)/2))/(LN(2)/2)*BL81*BO81*VLOOKUP('Données projet'!$B$11,Paramètres!$A$1:$I$89,3,0)*0.475*44/12</f>
        <v>3.245885595127446E-7</v>
      </c>
      <c r="BS81" s="22">
        <f t="shared" si="63"/>
        <v>5.6595834647657037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1.064108801074326E-13</v>
      </c>
      <c r="P82" s="13">
        <f t="shared" si="87"/>
        <v>1.5870730813698654E-12</v>
      </c>
      <c r="Q82" s="20">
        <f t="shared" si="54"/>
        <v>2.9494845662396269E-12</v>
      </c>
      <c r="R82" s="59">
        <f t="shared" si="55"/>
        <v>293.33333333333627</v>
      </c>
      <c r="S82" s="59">
        <f ca="1">AVERAGE(OFFSET($R$3,0,0,'Données projet'!$E$9+1,1))-AVERAGE(OFFSET($H$3,0,0,'Données projet'!$E$9+1,1))</f>
        <v>214.51224556840771</v>
      </c>
      <c r="T82" s="59">
        <f t="shared" si="88"/>
        <v>225.78309962707215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1.5045291738753412</v>
      </c>
      <c r="AA82" s="21">
        <f>EXP(-LN(2)/25)*AA81+(1-EXP(-LN(2)/25))/(LN(2)/25)*Calculateur!V82*Calculateur!X82*VLOOKUP('Données projet'!$B$9,Paramètres!$A$1:$I$89,3,0)*0.475*44/12</f>
        <v>6.6032435004715948</v>
      </c>
      <c r="AB82" s="21">
        <f>EXP(-LN(2)/2)*AB81+(1-EXP(-LN(2)/2))/(LN(2)/2)*V82*Y82*VLOOKUP('Données projet'!$B$9,Paramètres!$A$1:$I$89,3,0)*0.475*44/12</f>
        <v>1.0270588745944706E-6</v>
      </c>
      <c r="AC82" s="22">
        <f t="shared" si="57"/>
        <v>8.1077737014058116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6.1</v>
      </c>
      <c r="AI82" s="13">
        <f>IF('Données projet'!$A$62&gt;35,AI81+AH82-AQ81,IF(A82&lt;'Données projet'!$A$62,$AF$205^A82,IF(A82='Données projet'!$A$62,'Données projet'!$B$62,AI81+AH82-AQ81)))</f>
        <v>275.90000000000026</v>
      </c>
      <c r="AJ82" s="13">
        <f>AI82*VLOOKUP('Données projet'!$B$10,Paramètres!$A$1:$I$89,3,0)*VLOOKUP('Données projet'!$B$10,Paramètres!$A$1:$I$89,5,0)</f>
        <v>249.63432000000023</v>
      </c>
      <c r="AK82" s="13">
        <f t="shared" si="89"/>
        <v>60.507629314318471</v>
      </c>
      <c r="AL82" s="20">
        <f t="shared" si="58"/>
        <v>540.16389505577172</v>
      </c>
      <c r="AM82" s="59">
        <f t="shared" si="59"/>
        <v>833.49722838910498</v>
      </c>
      <c r="AN82" s="59">
        <f ca="1">AVERAGE(OFFSET($AM$3,0,0,'Données projet'!$E$10+1,1))-AVERAGE(OFFSET($H$3,0,0,'Données projet'!$E$10+1,1))</f>
        <v>237.22177246688199</v>
      </c>
      <c r="AO82" s="59">
        <f t="shared" si="90"/>
        <v>149.27472147904302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0.79831449496893814</v>
      </c>
      <c r="AW82" s="21">
        <f>EXP(-LN(2)/2)*AW81+(1-EXP(-LN(2)/2))/(LN(2)/2)*AQ82*AT82*VLOOKUP('Données projet'!$B$10,Paramètres!$A$1:$I$89,3,0)*0.475*44/12</f>
        <v>2.6086150640182193E-7</v>
      </c>
      <c r="AX82" s="21">
        <f t="shared" si="60"/>
        <v>0.79831475583044453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168.08890945052406</v>
      </c>
      <c r="BJ82" s="59">
        <f t="shared" si="92"/>
        <v>182.52462557642343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2.3540079436254899</v>
      </c>
      <c r="BQ82" s="21">
        <f>EXP(-LN(2)/25)*BQ81+(1-EXP(-LN(2)/25))/(LN(2)/25)*Calculateur!BL82*Calculateur!BN82*VLOOKUP('Données projet'!$B$11,Paramètres!$A$1:$I$89,3,0)*0.475*44/12</f>
        <v>3.1693876345259153</v>
      </c>
      <c r="BR82" s="21">
        <f>EXP(-LN(2)/2)*BR81+(1-EXP(-LN(2)/2))/(LN(2)/2)*BL82*BO82*VLOOKUP('Données projet'!$B$11,Paramètres!$A$1:$I$89,3,0)*0.475*44/12</f>
        <v>2.2951877152703496E-7</v>
      </c>
      <c r="BS82" s="22">
        <f t="shared" si="63"/>
        <v>5.5233958076701759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1.064108801074326E-13</v>
      </c>
      <c r="P83" s="13">
        <f t="shared" si="87"/>
        <v>1.5870730813698654E-12</v>
      </c>
      <c r="Q83" s="20">
        <f t="shared" si="54"/>
        <v>2.9494845662396269E-12</v>
      </c>
      <c r="R83" s="59">
        <f t="shared" si="55"/>
        <v>293.33333333333627</v>
      </c>
      <c r="S83" s="59">
        <f ca="1">AVERAGE(OFFSET($R$3,0,0,'Données projet'!$E$9+1,1))-AVERAGE(OFFSET($H$3,0,0,'Données projet'!$E$9+1,1))</f>
        <v>214.51224556840771</v>
      </c>
      <c r="T83" s="59">
        <f t="shared" si="88"/>
        <v>225.78309962707215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1.4750262744478293</v>
      </c>
      <c r="AA83" s="21">
        <f>EXP(-LN(2)/25)*AA82+(1-EXP(-LN(2)/25))/(LN(2)/25)*Calculateur!V83*Calculateur!X83*VLOOKUP('Données projet'!$B$9,Paramètres!$A$1:$I$89,3,0)*0.475*44/12</f>
        <v>6.4226774597017151</v>
      </c>
      <c r="AB83" s="21">
        <f>EXP(-LN(2)/2)*AB82+(1-EXP(-LN(2)/2))/(LN(2)/2)*V83*Y83*VLOOKUP('Données projet'!$B$9,Paramètres!$A$1:$I$89,3,0)*0.475*44/12</f>
        <v>7.2624029490357407E-7</v>
      </c>
      <c r="AC83" s="22">
        <f t="shared" si="57"/>
        <v>7.8977044603898392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282</v>
      </c>
      <c r="AG83" s="12">
        <f>VLOOKUP(A83,'Données projet'!$A$61:$I$81,9,0)</f>
        <v>6.1</v>
      </c>
      <c r="AH83" s="12">
        <f t="array" ref="AH83">INDEX(AG:AG,MIN(IF(ISNUMBER(AG83:AG279),ROW(AG83:AG279),"")))</f>
        <v>6.1</v>
      </c>
      <c r="AI83" s="13">
        <f>IF('Données projet'!$A$62&gt;35,AI82+AH83-AQ82,IF(A83&lt;'Données projet'!$A$62,$AF$205^A83,IF(A83='Données projet'!$A$62,'Données projet'!$B$62,AI82+AH83-AQ82)))</f>
        <v>282.00000000000028</v>
      </c>
      <c r="AJ83" s="13">
        <f>AI83*VLOOKUP('Données projet'!$B$10,Paramètres!$A$1:$I$89,3,0)*VLOOKUP('Données projet'!$B$10,Paramètres!$A$1:$I$89,5,0)</f>
        <v>255.15360000000024</v>
      </c>
      <c r="AK83" s="13">
        <f t="shared" si="89"/>
        <v>61.688192762754483</v>
      </c>
      <c r="AL83" s="20">
        <f t="shared" si="58"/>
        <v>551.83278906179783</v>
      </c>
      <c r="AM83" s="59">
        <f t="shared" si="59"/>
        <v>845.1661223951312</v>
      </c>
      <c r="AN83" s="59">
        <f ca="1">AVERAGE(OFFSET($AM$3,0,0,'Données projet'!$E$10+1,1))-AVERAGE(OFFSET($H$3,0,0,'Données projet'!$E$10+1,1))</f>
        <v>237.22177246688199</v>
      </c>
      <c r="AO83" s="59">
        <f t="shared" si="90"/>
        <v>149.27472147904302</v>
      </c>
      <c r="AP83" s="15">
        <f>IF(ISNA(VLOOKUP(A83,'Données projet'!$A$61:$I$81,3,0)),0,VLOOKUP(A83,'Données projet'!$A$61:$I$81,3,0))</f>
        <v>6</v>
      </c>
      <c r="AQ83" s="15">
        <f>IF(ISNA(VLOOKUP(A83,'Données projet'!$A$61:$I$81,4,0)),0,VLOOKUP(A83,'Données projet'!$A$61:$I$81,4,0))</f>
        <v>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0.77648454312247783</v>
      </c>
      <c r="AW83" s="21">
        <f>EXP(-LN(2)/2)*AW82+(1-EXP(-LN(2)/2))/(LN(2)/2)*AQ83*AT83*VLOOKUP('Données projet'!$B$10,Paramètres!$A$1:$I$89,3,0)*0.475*44/12</f>
        <v>1.8445694012726627E-7</v>
      </c>
      <c r="AX83" s="21">
        <f t="shared" si="60"/>
        <v>0.776484727579418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168.08890945052406</v>
      </c>
      <c r="BJ83" s="59">
        <f t="shared" si="92"/>
        <v>182.52462557642343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2.3078472836540658</v>
      </c>
      <c r="BQ83" s="21">
        <f>EXP(-LN(2)/25)*BQ82+(1-EXP(-LN(2)/25))/(LN(2)/25)*Calculateur!BL83*Calculateur!BN83*VLOOKUP('Données projet'!$B$11,Paramètres!$A$1:$I$89,3,0)*0.475*44/12</f>
        <v>3.082720562988952</v>
      </c>
      <c r="BR83" s="21">
        <f>EXP(-LN(2)/2)*BR82+(1-EXP(-LN(2)/2))/(LN(2)/2)*BL83*BO83*VLOOKUP('Données projet'!$B$11,Paramètres!$A$1:$I$89,3,0)*0.475*44/12</f>
        <v>1.622942797563723E-7</v>
      </c>
      <c r="BS83" s="22">
        <f t="shared" si="63"/>
        <v>5.3905680089372972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1.064108801074326E-13</v>
      </c>
      <c r="P84" s="13">
        <f t="shared" si="87"/>
        <v>1.5870730813698654E-12</v>
      </c>
      <c r="Q84" s="20">
        <f t="shared" si="54"/>
        <v>2.9494845662396269E-12</v>
      </c>
      <c r="R84" s="59">
        <f t="shared" si="55"/>
        <v>293.33333333333627</v>
      </c>
      <c r="S84" s="59">
        <f ca="1">AVERAGE(OFFSET($R$3,0,0,'Données projet'!$E$9+1,1))-AVERAGE(OFFSET($H$3,0,0,'Données projet'!$E$9+1,1))</f>
        <v>214.51224556840771</v>
      </c>
      <c r="T84" s="59">
        <f t="shared" si="88"/>
        <v>225.78309962707215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1.4461019088830991</v>
      </c>
      <c r="AA84" s="21">
        <f>EXP(-LN(2)/25)*AA83+(1-EXP(-LN(2)/25))/(LN(2)/25)*Calculateur!V84*Calculateur!X84*VLOOKUP('Données projet'!$B$9,Paramètres!$A$1:$I$89,3,0)*0.475*44/12</f>
        <v>6.2470490068122437</v>
      </c>
      <c r="AB84" s="21">
        <f>EXP(-LN(2)/2)*AB83+(1-EXP(-LN(2)/2))/(LN(2)/2)*V84*Y84*VLOOKUP('Données projet'!$B$9,Paramètres!$A$1:$I$89,3,0)*0.475*44/12</f>
        <v>5.1352943729723529E-7</v>
      </c>
      <c r="AC84" s="22">
        <f t="shared" si="57"/>
        <v>7.6931514292247805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5.6</v>
      </c>
      <c r="AI84" s="13">
        <f>IF('Données projet'!$A$62&gt;35,AI83+AH84-AQ83,IF(A84&lt;'Données projet'!$A$62,$AF$205^A84,IF(A84='Données projet'!$A$62,'Données projet'!$B$62,AI83+AH84-AQ83)))</f>
        <v>245.60000000000031</v>
      </c>
      <c r="AJ84" s="13">
        <f>AI84*VLOOKUP('Données projet'!$B$10,Paramètres!$A$1:$I$89,3,0)*VLOOKUP('Données projet'!$B$10,Paramètres!$A$1:$I$89,5,0)</f>
        <v>222.2188800000003</v>
      </c>
      <c r="AK84" s="13">
        <f t="shared" si="89"/>
        <v>54.596866296848951</v>
      </c>
      <c r="AL84" s="20">
        <f t="shared" si="58"/>
        <v>482.12075813367898</v>
      </c>
      <c r="AM84" s="59">
        <f t="shared" si="59"/>
        <v>775.45409146701229</v>
      </c>
      <c r="AN84" s="59">
        <f ca="1">AVERAGE(OFFSET($AM$3,0,0,'Données projet'!$E$10+1,1))-AVERAGE(OFFSET($H$3,0,0,'Données projet'!$E$10+1,1))</f>
        <v>237.22177246688199</v>
      </c>
      <c r="AO84" s="59">
        <f t="shared" si="90"/>
        <v>149.27472147904302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0.75525153245724619</v>
      </c>
      <c r="AW84" s="21">
        <f>EXP(-LN(2)/2)*AW83+(1-EXP(-LN(2)/2))/(LN(2)/2)*AQ84*AT84*VLOOKUP('Données projet'!$B$10,Paramètres!$A$1:$I$89,3,0)*0.475*44/12</f>
        <v>1.3043075320091096E-7</v>
      </c>
      <c r="AX84" s="21">
        <f t="shared" si="60"/>
        <v>0.75525166288799939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168.08890945052406</v>
      </c>
      <c r="BJ84" s="59">
        <f t="shared" si="92"/>
        <v>182.52462557642343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2.2625918060694588</v>
      </c>
      <c r="BQ84" s="21">
        <f>EXP(-LN(2)/25)*BQ83+(1-EXP(-LN(2)/25))/(LN(2)/25)*Calculateur!BL84*Calculateur!BN84*VLOOKUP('Données projet'!$B$11,Paramètres!$A$1:$I$89,3,0)*0.475*44/12</f>
        <v>2.9984234070807902</v>
      </c>
      <c r="BR84" s="21">
        <f>EXP(-LN(2)/2)*BR83+(1-EXP(-LN(2)/2))/(LN(2)/2)*BL84*BO84*VLOOKUP('Données projet'!$B$11,Paramètres!$A$1:$I$89,3,0)*0.475*44/12</f>
        <v>1.1475938576351748E-7</v>
      </c>
      <c r="BS84" s="22">
        <f t="shared" si="63"/>
        <v>5.261015327909635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1.064108801074326E-13</v>
      </c>
      <c r="P85" s="13">
        <f t="shared" si="87"/>
        <v>1.5870730813698654E-12</v>
      </c>
      <c r="Q85" s="20">
        <f t="shared" si="54"/>
        <v>2.9494845662396269E-12</v>
      </c>
      <c r="R85" s="59">
        <f t="shared" si="55"/>
        <v>293.33333333333627</v>
      </c>
      <c r="S85" s="59">
        <f ca="1">AVERAGE(OFFSET($R$3,0,0,'Données projet'!$E$9+1,1))-AVERAGE(OFFSET($H$3,0,0,'Données projet'!$E$9+1,1))</f>
        <v>214.51224556840771</v>
      </c>
      <c r="T85" s="59">
        <f t="shared" si="88"/>
        <v>225.78309962707215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1.4177447324849721</v>
      </c>
      <c r="AA85" s="21">
        <f>EXP(-LN(2)/25)*AA84+(1-EXP(-LN(2)/25))/(LN(2)/25)*Calculateur!V85*Calculateur!X85*VLOOKUP('Données projet'!$B$9,Paramètres!$A$1:$I$89,3,0)*0.475*44/12</f>
        <v>6.0762231232029338</v>
      </c>
      <c r="AB85" s="21">
        <f>EXP(-LN(2)/2)*AB84+(1-EXP(-LN(2)/2))/(LN(2)/2)*V85*Y85*VLOOKUP('Données projet'!$B$9,Paramètres!$A$1:$I$89,3,0)*0.475*44/12</f>
        <v>3.6312014745178703E-7</v>
      </c>
      <c r="AC85" s="22">
        <f t="shared" si="57"/>
        <v>7.4939682188080532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5.6</v>
      </c>
      <c r="AI85" s="13">
        <f>IF('Données projet'!$A$62&gt;35,AI84+AH85-AQ84,IF(A85&lt;'Données projet'!$A$62,$AF$205^A85,IF(A85='Données projet'!$A$62,'Données projet'!$B$62,AI84+AH85-AQ84)))</f>
        <v>251.2000000000003</v>
      </c>
      <c r="AJ85" s="13">
        <f>AI85*VLOOKUP('Données projet'!$B$10,Paramètres!$A$1:$I$89,3,0)*VLOOKUP('Données projet'!$B$10,Paramètres!$A$1:$I$89,5,0)</f>
        <v>227.28576000000027</v>
      </c>
      <c r="AK85" s="13">
        <f t="shared" si="89"/>
        <v>55.695394520076427</v>
      </c>
      <c r="AL85" s="20">
        <f t="shared" si="58"/>
        <v>492.85884412246696</v>
      </c>
      <c r="AM85" s="59">
        <f t="shared" si="59"/>
        <v>786.19217745580022</v>
      </c>
      <c r="AN85" s="59">
        <f ca="1">AVERAGE(OFFSET($AM$3,0,0,'Données projet'!$E$10+1,1))-AVERAGE(OFFSET($H$3,0,0,'Données projet'!$E$10+1,1))</f>
        <v>237.22177246688199</v>
      </c>
      <c r="AO85" s="59">
        <f t="shared" si="90"/>
        <v>149.27472147904302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0.7345991395852508</v>
      </c>
      <c r="AW85" s="21">
        <f>EXP(-LN(2)/2)*AW84+(1-EXP(-LN(2)/2))/(LN(2)/2)*AQ85*AT85*VLOOKUP('Données projet'!$B$10,Paramètres!$A$1:$I$89,3,0)*0.475*44/12</f>
        <v>9.2228470063633133E-8</v>
      </c>
      <c r="AX85" s="21">
        <f t="shared" si="60"/>
        <v>0.73459923181372089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168.08890945052406</v>
      </c>
      <c r="BJ85" s="59">
        <f t="shared" si="92"/>
        <v>182.52462557642343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2.2182237607971702</v>
      </c>
      <c r="BQ85" s="21">
        <f>EXP(-LN(2)/25)*BQ84+(1-EXP(-LN(2)/25))/(LN(2)/25)*Calculateur!BL85*Calculateur!BN85*VLOOKUP('Données projet'!$B$11,Paramètres!$A$1:$I$89,3,0)*0.475*44/12</f>
        <v>2.9164313613339319</v>
      </c>
      <c r="BR85" s="21">
        <f>EXP(-LN(2)/2)*BR84+(1-EXP(-LN(2)/2))/(LN(2)/2)*BL85*BO85*VLOOKUP('Données projet'!$B$11,Paramètres!$A$1:$I$89,3,0)*0.475*44/12</f>
        <v>8.1147139878186151E-8</v>
      </c>
      <c r="BS85" s="22">
        <f t="shared" si="63"/>
        <v>5.1346552032782418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1.064108801074326E-13</v>
      </c>
      <c r="P86" s="13">
        <f t="shared" si="87"/>
        <v>1.5870730813698654E-12</v>
      </c>
      <c r="Q86" s="20">
        <f t="shared" si="54"/>
        <v>2.9494845662396269E-12</v>
      </c>
      <c r="R86" s="59">
        <f t="shared" si="55"/>
        <v>293.33333333333627</v>
      </c>
      <c r="S86" s="59">
        <f ca="1">AVERAGE(OFFSET($R$3,0,0,'Données projet'!$E$9+1,1))-AVERAGE(OFFSET($H$3,0,0,'Données projet'!$E$9+1,1))</f>
        <v>214.51224556840771</v>
      </c>
      <c r="T86" s="59">
        <f t="shared" si="88"/>
        <v>225.78309962707215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1.3899436230198428</v>
      </c>
      <c r="AA86" s="21">
        <f>EXP(-LN(2)/25)*AA85+(1-EXP(-LN(2)/25))/(LN(2)/25)*Calculateur!V86*Calculateur!X86*VLOOKUP('Données projet'!$B$9,Paramètres!$A$1:$I$89,3,0)*0.475*44/12</f>
        <v>5.9100684823642631</v>
      </c>
      <c r="AB86" s="21">
        <f>EXP(-LN(2)/2)*AB85+(1-EXP(-LN(2)/2))/(LN(2)/2)*V86*Y86*VLOOKUP('Données projet'!$B$9,Paramètres!$A$1:$I$89,3,0)*0.475*44/12</f>
        <v>2.5676471864861764E-7</v>
      </c>
      <c r="AC86" s="22">
        <f t="shared" si="57"/>
        <v>7.3000123621488244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5.6</v>
      </c>
      <c r="AI86" s="13">
        <f>IF('Données projet'!$A$62&gt;35,AI85+AH86-AQ85,IF(A86&lt;'Données projet'!$A$62,$AF$205^A86,IF(A86='Données projet'!$A$62,'Données projet'!$B$62,AI85+AH86-AQ85)))</f>
        <v>256.8000000000003</v>
      </c>
      <c r="AJ86" s="13">
        <f>AI86*VLOOKUP('Données projet'!$B$10,Paramètres!$A$1:$I$89,3,0)*VLOOKUP('Données projet'!$B$10,Paramètres!$A$1:$I$89,5,0)</f>
        <v>232.35264000000026</v>
      </c>
      <c r="AK86" s="13">
        <f t="shared" si="89"/>
        <v>56.791075613550355</v>
      </c>
      <c r="AL86" s="20">
        <f t="shared" si="58"/>
        <v>503.59197136026728</v>
      </c>
      <c r="AM86" s="59">
        <f t="shared" si="59"/>
        <v>796.92530469360054</v>
      </c>
      <c r="AN86" s="59">
        <f ca="1">AVERAGE(OFFSET($AM$3,0,0,'Données projet'!$E$10+1,1))-AVERAGE(OFFSET($H$3,0,0,'Données projet'!$E$10+1,1))</f>
        <v>237.22177246688199</v>
      </c>
      <c r="AO86" s="59">
        <f t="shared" si="90"/>
        <v>149.27472147904302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0.71451148748240234</v>
      </c>
      <c r="AW86" s="21">
        <f>EXP(-LN(2)/2)*AW85+(1-EXP(-LN(2)/2))/(LN(2)/2)*AQ86*AT86*VLOOKUP('Données projet'!$B$10,Paramètres!$A$1:$I$89,3,0)*0.475*44/12</f>
        <v>6.5215376600455482E-8</v>
      </c>
      <c r="AX86" s="21">
        <f t="shared" si="60"/>
        <v>0.714511552697779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168.08890945052406</v>
      </c>
      <c r="BJ86" s="59">
        <f t="shared" si="92"/>
        <v>182.52462557642343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2.1747257458308358</v>
      </c>
      <c r="BQ86" s="21">
        <f>EXP(-LN(2)/25)*BQ85+(1-EXP(-LN(2)/25))/(LN(2)/25)*Calculateur!BL86*Calculateur!BN86*VLOOKUP('Données projet'!$B$11,Paramètres!$A$1:$I$89,3,0)*0.475*44/12</f>
        <v>2.8366813923897958</v>
      </c>
      <c r="BR86" s="21">
        <f>EXP(-LN(2)/2)*BR85+(1-EXP(-LN(2)/2))/(LN(2)/2)*BL86*BO86*VLOOKUP('Données projet'!$B$11,Paramètres!$A$1:$I$89,3,0)*0.475*44/12</f>
        <v>5.737969288175874E-8</v>
      </c>
      <c r="BS86" s="22">
        <f t="shared" si="63"/>
        <v>5.0114071956003245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1.064108801074326E-13</v>
      </c>
      <c r="P87" s="13">
        <f t="shared" si="87"/>
        <v>1.5870730813698654E-12</v>
      </c>
      <c r="Q87" s="20">
        <f t="shared" si="54"/>
        <v>2.9494845662396269E-12</v>
      </c>
      <c r="R87" s="59">
        <f t="shared" si="55"/>
        <v>293.33333333333627</v>
      </c>
      <c r="S87" s="59">
        <f ca="1">AVERAGE(OFFSET($R$3,0,0,'Données projet'!$E$9+1,1))-AVERAGE(OFFSET($H$3,0,0,'Données projet'!$E$9+1,1))</f>
        <v>214.51224556840771</v>
      </c>
      <c r="T87" s="59">
        <f t="shared" si="88"/>
        <v>225.78309962707215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1.3626876763543221</v>
      </c>
      <c r="AA87" s="21">
        <f>EXP(-LN(2)/25)*AA86+(1-EXP(-LN(2)/25))/(LN(2)/25)*Calculateur!V87*Calculateur!X87*VLOOKUP('Données projet'!$B$9,Paramètres!$A$1:$I$89,3,0)*0.475*44/12</f>
        <v>5.7484573489170181</v>
      </c>
      <c r="AB87" s="21">
        <f>EXP(-LN(2)/2)*AB86+(1-EXP(-LN(2)/2))/(LN(2)/2)*V87*Y87*VLOOKUP('Données projet'!$B$9,Paramètres!$A$1:$I$89,3,0)*0.475*44/12</f>
        <v>1.8156007372589352E-7</v>
      </c>
      <c r="AC87" s="22">
        <f t="shared" si="57"/>
        <v>7.1111452068314138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5.6</v>
      </c>
      <c r="AI87" s="13">
        <f>IF('Données projet'!$A$62&gt;35,AI86+AH87-AQ86,IF(A87&lt;'Données projet'!$A$62,$AF$205^A87,IF(A87='Données projet'!$A$62,'Données projet'!$B$62,AI86+AH87-AQ86)))</f>
        <v>262.40000000000032</v>
      </c>
      <c r="AJ87" s="13">
        <f>AI87*VLOOKUP('Données projet'!$B$10,Paramètres!$A$1:$I$89,3,0)*VLOOKUP('Données projet'!$B$10,Paramètres!$A$1:$I$89,5,0)</f>
        <v>237.41952000000029</v>
      </c>
      <c r="AK87" s="13">
        <f t="shared" si="89"/>
        <v>57.883978814320969</v>
      </c>
      <c r="AL87" s="20">
        <f t="shared" si="58"/>
        <v>514.32026043494284</v>
      </c>
      <c r="AM87" s="59">
        <f t="shared" si="59"/>
        <v>807.6535937682761</v>
      </c>
      <c r="AN87" s="59">
        <f ca="1">AVERAGE(OFFSET($AM$3,0,0,'Données projet'!$E$10+1,1))-AVERAGE(OFFSET($H$3,0,0,'Données projet'!$E$10+1,1))</f>
        <v>237.22177246688199</v>
      </c>
      <c r="AO87" s="59">
        <f t="shared" si="90"/>
        <v>149.27472147904302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0.69497313328266996</v>
      </c>
      <c r="AW87" s="21">
        <f>EXP(-LN(2)/2)*AW86+(1-EXP(-LN(2)/2))/(LN(2)/2)*AQ87*AT87*VLOOKUP('Données projet'!$B$10,Paramètres!$A$1:$I$89,3,0)*0.475*44/12</f>
        <v>4.6114235031816567E-8</v>
      </c>
      <c r="AX87" s="21">
        <f t="shared" si="60"/>
        <v>0.69497317939690495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168.08890945052406</v>
      </c>
      <c r="BJ87" s="59">
        <f t="shared" si="92"/>
        <v>182.52462557642343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2.1320807004068216</v>
      </c>
      <c r="BQ87" s="21">
        <f>EXP(-LN(2)/25)*BQ86+(1-EXP(-LN(2)/25))/(LN(2)/25)*Calculateur!BL87*Calculateur!BN87*VLOOKUP('Données projet'!$B$11,Paramètres!$A$1:$I$89,3,0)*0.475*44/12</f>
        <v>2.7591121905403058</v>
      </c>
      <c r="BR87" s="21">
        <f>EXP(-LN(2)/2)*BR86+(1-EXP(-LN(2)/2))/(LN(2)/2)*BL87*BO87*VLOOKUP('Données projet'!$B$11,Paramètres!$A$1:$I$89,3,0)*0.475*44/12</f>
        <v>4.0573569939093075E-8</v>
      </c>
      <c r="BS87" s="22">
        <f t="shared" si="63"/>
        <v>4.8911929315206981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1.064108801074326E-13</v>
      </c>
      <c r="P88" s="13">
        <f t="shared" si="87"/>
        <v>1.5870730813698654E-12</v>
      </c>
      <c r="Q88" s="20">
        <f t="shared" si="54"/>
        <v>2.9494845662396269E-12</v>
      </c>
      <c r="R88" s="59">
        <f t="shared" si="55"/>
        <v>293.33333333333627</v>
      </c>
      <c r="S88" s="59">
        <f ca="1">AVERAGE(OFFSET($R$3,0,0,'Données projet'!$E$9+1,1))-AVERAGE(OFFSET($H$3,0,0,'Données projet'!$E$9+1,1))</f>
        <v>214.51224556840771</v>
      </c>
      <c r="T88" s="59">
        <f t="shared" si="88"/>
        <v>225.78309962707215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1.3359662021784264</v>
      </c>
      <c r="AA88" s="21">
        <f>EXP(-LN(2)/25)*AA87+(1-EXP(-LN(2)/25))/(LN(2)/25)*Calculateur!V88*Calculateur!X88*VLOOKUP('Données projet'!$B$9,Paramètres!$A$1:$I$89,3,0)*0.475*44/12</f>
        <v>5.5912654804126483</v>
      </c>
      <c r="AB88" s="21">
        <f>EXP(-LN(2)/2)*AB87+(1-EXP(-LN(2)/2))/(LN(2)/2)*V88*Y88*VLOOKUP('Données projet'!$B$9,Paramètres!$A$1:$I$89,3,0)*0.475*44/12</f>
        <v>1.2838235932430882E-7</v>
      </c>
      <c r="AC88" s="22">
        <f t="shared" si="57"/>
        <v>6.9272318109734332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5.6</v>
      </c>
      <c r="AI88" s="13">
        <f>IF('Données projet'!$A$62&gt;35,AI87+AH88-AQ87,IF(A88&lt;'Données projet'!$A$62,$AF$205^A88,IF(A88='Données projet'!$A$62,'Données projet'!$B$62,AI87+AH88-AQ87)))</f>
        <v>268.00000000000034</v>
      </c>
      <c r="AJ88" s="13">
        <f>AI88*VLOOKUP('Données projet'!$B$10,Paramètres!$A$1:$I$89,3,0)*VLOOKUP('Données projet'!$B$10,Paramètres!$A$1:$I$89,5,0)</f>
        <v>242.48640000000032</v>
      </c>
      <c r="AK88" s="13">
        <f t="shared" si="89"/>
        <v>58.974170235372526</v>
      </c>
      <c r="AL88" s="20">
        <f t="shared" si="58"/>
        <v>525.04382649327442</v>
      </c>
      <c r="AM88" s="59">
        <f t="shared" si="59"/>
        <v>818.37715982660779</v>
      </c>
      <c r="AN88" s="59">
        <f ca="1">AVERAGE(OFFSET($AM$3,0,0,'Données projet'!$E$10+1,1))-AVERAGE(OFFSET($H$3,0,0,'Données projet'!$E$10+1,1))</f>
        <v>237.22177246688199</v>
      </c>
      <c r="AO88" s="59">
        <f t="shared" si="90"/>
        <v>149.27472147904302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0.67596905640600669</v>
      </c>
      <c r="AW88" s="21">
        <f>EXP(-LN(2)/2)*AW87+(1-EXP(-LN(2)/2))/(LN(2)/2)*AQ88*AT88*VLOOKUP('Données projet'!$B$10,Paramètres!$A$1:$I$89,3,0)*0.475*44/12</f>
        <v>3.2607688300227741E-8</v>
      </c>
      <c r="AX88" s="21">
        <f t="shared" si="60"/>
        <v>0.67596908901369501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168.08890945052406</v>
      </c>
      <c r="BJ88" s="59">
        <f t="shared" si="92"/>
        <v>182.52462557642343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2.0902718983126634</v>
      </c>
      <c r="BQ88" s="21">
        <f>EXP(-LN(2)/25)*BQ87+(1-EXP(-LN(2)/25))/(LN(2)/25)*Calculateur!BL88*Calculateur!BN88*VLOOKUP('Données projet'!$B$11,Paramètres!$A$1:$I$89,3,0)*0.475*44/12</f>
        <v>2.683664122594577</v>
      </c>
      <c r="BR88" s="21">
        <f>EXP(-LN(2)/2)*BR87+(1-EXP(-LN(2)/2))/(LN(2)/2)*BL88*BO88*VLOOKUP('Données projet'!$B$11,Paramètres!$A$1:$I$89,3,0)*0.475*44/12</f>
        <v>2.868984644087937E-8</v>
      </c>
      <c r="BS88" s="22">
        <f t="shared" si="63"/>
        <v>4.7739360495970864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1.064108801074326E-13</v>
      </c>
      <c r="P89" s="13">
        <f t="shared" si="87"/>
        <v>1.5870730813698654E-12</v>
      </c>
      <c r="Q89" s="20">
        <f t="shared" si="54"/>
        <v>2.9494845662396269E-12</v>
      </c>
      <c r="R89" s="59">
        <f t="shared" si="55"/>
        <v>293.33333333333627</v>
      </c>
      <c r="S89" s="59">
        <f ca="1">AVERAGE(OFFSET($R$3,0,0,'Données projet'!$E$9+1,1))-AVERAGE(OFFSET($H$3,0,0,'Données projet'!$E$9+1,1))</f>
        <v>214.51224556840771</v>
      </c>
      <c r="T89" s="59">
        <f t="shared" si="88"/>
        <v>225.78309962707215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1.3097687198126302</v>
      </c>
      <c r="AA89" s="21">
        <f>EXP(-LN(2)/25)*AA88+(1-EXP(-LN(2)/25))/(LN(2)/25)*Calculateur!V89*Calculateur!X89*VLOOKUP('Données projet'!$B$9,Paramètres!$A$1:$I$89,3,0)*0.475*44/12</f>
        <v>5.4383720318188917</v>
      </c>
      <c r="AB89" s="21">
        <f>EXP(-LN(2)/2)*AB88+(1-EXP(-LN(2)/2))/(LN(2)/2)*V89*Y89*VLOOKUP('Données projet'!$B$9,Paramètres!$A$1:$I$89,3,0)*0.475*44/12</f>
        <v>9.0780036862946759E-8</v>
      </c>
      <c r="AC89" s="22">
        <f t="shared" si="57"/>
        <v>6.7481408424115585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5.6</v>
      </c>
      <c r="AI89" s="13">
        <f>IF('Données projet'!$A$62&gt;35,AI88+AH89-AQ88,IF(A89&lt;'Données projet'!$A$62,$AF$205^A89,IF(A89='Données projet'!$A$62,'Données projet'!$B$62,AI88+AH89-AQ88)))</f>
        <v>273.60000000000036</v>
      </c>
      <c r="AJ89" s="13">
        <f>AI89*VLOOKUP('Données projet'!$B$10,Paramètres!$A$1:$I$89,3,0)*VLOOKUP('Données projet'!$B$10,Paramètres!$A$1:$I$89,5,0)</f>
        <v>247.55328000000031</v>
      </c>
      <c r="AK89" s="13">
        <f t="shared" si="89"/>
        <v>60.061713068870304</v>
      </c>
      <c r="AL89" s="20">
        <f t="shared" si="58"/>
        <v>535.76277959494962</v>
      </c>
      <c r="AM89" s="59">
        <f t="shared" si="59"/>
        <v>829.09611292828299</v>
      </c>
      <c r="AN89" s="59">
        <f ca="1">AVERAGE(OFFSET($AM$3,0,0,'Données projet'!$E$10+1,1))-AVERAGE(OFFSET($H$3,0,0,'Données projet'!$E$10+1,1))</f>
        <v>237.22177246688199</v>
      </c>
      <c r="AO89" s="59">
        <f t="shared" si="90"/>
        <v>149.27472147904302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0.65748464701091669</v>
      </c>
      <c r="AW89" s="21">
        <f>EXP(-LN(2)/2)*AW88+(1-EXP(-LN(2)/2))/(LN(2)/2)*AQ89*AT89*VLOOKUP('Données projet'!$B$10,Paramètres!$A$1:$I$89,3,0)*0.475*44/12</f>
        <v>2.3057117515908283E-8</v>
      </c>
      <c r="AX89" s="21">
        <f t="shared" si="60"/>
        <v>0.65748467006803424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168.08890945052406</v>
      </c>
      <c r="BJ89" s="59">
        <f t="shared" si="92"/>
        <v>182.52462557642343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2.04928294132672</v>
      </c>
      <c r="BQ89" s="21">
        <f>EXP(-LN(2)/25)*BQ88+(1-EXP(-LN(2)/25))/(LN(2)/25)*Calculateur!BL89*Calculateur!BN89*VLOOKUP('Données projet'!$B$11,Paramètres!$A$1:$I$89,3,0)*0.475*44/12</f>
        <v>2.6102791860344658</v>
      </c>
      <c r="BR89" s="21">
        <f>EXP(-LN(2)/2)*BR88+(1-EXP(-LN(2)/2))/(LN(2)/2)*BL89*BO89*VLOOKUP('Données projet'!$B$11,Paramètres!$A$1:$I$89,3,0)*0.475*44/12</f>
        <v>2.0286784969546538E-8</v>
      </c>
      <c r="BS89" s="22">
        <f t="shared" si="63"/>
        <v>4.6595621476479705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1.064108801074326E-13</v>
      </c>
      <c r="P90" s="13">
        <f t="shared" si="87"/>
        <v>1.5870730813698654E-12</v>
      </c>
      <c r="Q90" s="20">
        <f t="shared" si="54"/>
        <v>2.9494845662396269E-12</v>
      </c>
      <c r="R90" s="59">
        <f t="shared" si="55"/>
        <v>293.33333333333627</v>
      </c>
      <c r="S90" s="59">
        <f ca="1">AVERAGE(OFFSET($R$3,0,0,'Données projet'!$E$9+1,1))-AVERAGE(OFFSET($H$3,0,0,'Données projet'!$E$9+1,1))</f>
        <v>214.51224556840771</v>
      </c>
      <c r="T90" s="59">
        <f t="shared" si="88"/>
        <v>225.78309962707215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1.2840849540971409</v>
      </c>
      <c r="AA90" s="21">
        <f>EXP(-LN(2)/25)*AA89+(1-EXP(-LN(2)/25))/(LN(2)/25)*Calculateur!V90*Calculateur!X90*VLOOKUP('Données projet'!$B$9,Paramètres!$A$1:$I$89,3,0)*0.475*44/12</f>
        <v>5.2896594626172488</v>
      </c>
      <c r="AB90" s="21">
        <f>EXP(-LN(2)/2)*AB89+(1-EXP(-LN(2)/2))/(LN(2)/2)*V90*Y90*VLOOKUP('Données projet'!$B$9,Paramètres!$A$1:$I$89,3,0)*0.475*44/12</f>
        <v>6.4191179662154411E-8</v>
      </c>
      <c r="AC90" s="22">
        <f t="shared" si="57"/>
        <v>6.5737444809055692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5.6</v>
      </c>
      <c r="AI90" s="13">
        <f>IF('Données projet'!$A$62&gt;35,AI89+AH90-AQ89,IF(A90&lt;'Données projet'!$A$62,$AF$205^A90,IF(A90='Données projet'!$A$62,'Données projet'!$B$62,AI89+AH90-AQ89)))</f>
        <v>279.20000000000039</v>
      </c>
      <c r="AJ90" s="13">
        <f>AI90*VLOOKUP('Données projet'!$B$10,Paramètres!$A$1:$I$89,3,0)*VLOOKUP('Données projet'!$B$10,Paramètres!$A$1:$I$89,5,0)</f>
        <v>252.62016000000034</v>
      </c>
      <c r="AK90" s="13">
        <f t="shared" si="89"/>
        <v>61.146667772298876</v>
      </c>
      <c r="AL90" s="20">
        <f t="shared" si="58"/>
        <v>546.47722503675448</v>
      </c>
      <c r="AM90" s="59">
        <f t="shared" si="59"/>
        <v>839.81055837008785</v>
      </c>
      <c r="AN90" s="59">
        <f ca="1">AVERAGE(OFFSET($AM$3,0,0,'Données projet'!$E$10+1,1))-AVERAGE(OFFSET($H$3,0,0,'Données projet'!$E$10+1,1))</f>
        <v>237.22177246688199</v>
      </c>
      <c r="AO90" s="59">
        <f t="shared" si="90"/>
        <v>149.27472147904302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0.63950569476278829</v>
      </c>
      <c r="AW90" s="21">
        <f>EXP(-LN(2)/2)*AW89+(1-EXP(-LN(2)/2))/(LN(2)/2)*AQ90*AT90*VLOOKUP('Données projet'!$B$10,Paramètres!$A$1:$I$89,3,0)*0.475*44/12</f>
        <v>1.630384415011387E-8</v>
      </c>
      <c r="AX90" s="21">
        <f t="shared" si="60"/>
        <v>0.63950571106663245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168.08890945052406</v>
      </c>
      <c r="BJ90" s="59">
        <f t="shared" si="92"/>
        <v>182.52462557642343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2.009097752786476</v>
      </c>
      <c r="BQ90" s="21">
        <f>EXP(-LN(2)/25)*BQ89+(1-EXP(-LN(2)/25))/(LN(2)/25)*Calculateur!BL90*Calculateur!BN90*VLOOKUP('Données projet'!$B$11,Paramètres!$A$1:$I$89,3,0)*0.475*44/12</f>
        <v>2.5389009644237368</v>
      </c>
      <c r="BR90" s="21">
        <f>EXP(-LN(2)/2)*BR89+(1-EXP(-LN(2)/2))/(LN(2)/2)*BL90*BO90*VLOOKUP('Données projet'!$B$11,Paramètres!$A$1:$I$89,3,0)*0.475*44/12</f>
        <v>1.4344923220439685E-8</v>
      </c>
      <c r="BS90" s="22">
        <f t="shared" si="63"/>
        <v>4.5479987315551362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1.064108801074326E-13</v>
      </c>
      <c r="P91" s="13">
        <f t="shared" si="87"/>
        <v>1.5870730813698654E-12</v>
      </c>
      <c r="Q91" s="20">
        <f t="shared" si="54"/>
        <v>2.9494845662396269E-12</v>
      </c>
      <c r="R91" s="59">
        <f t="shared" si="55"/>
        <v>293.33333333333627</v>
      </c>
      <c r="S91" s="59">
        <f ca="1">AVERAGE(OFFSET($R$3,0,0,'Données projet'!$E$9+1,1))-AVERAGE(OFFSET($H$3,0,0,'Données projet'!$E$9+1,1))</f>
        <v>214.51224556840771</v>
      </c>
      <c r="T91" s="59">
        <f t="shared" si="88"/>
        <v>225.78309962707215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1.2589048313617819</v>
      </c>
      <c r="AA91" s="21">
        <f>EXP(-LN(2)/25)*AA90+(1-EXP(-LN(2)/25))/(LN(2)/25)*Calculateur!V91*Calculateur!X91*VLOOKUP('Données projet'!$B$9,Paramètres!$A$1:$I$89,3,0)*0.475*44/12</f>
        <v>5.1450134464408785</v>
      </c>
      <c r="AB91" s="21">
        <f>EXP(-LN(2)/2)*AB90+(1-EXP(-LN(2)/2))/(LN(2)/2)*V91*Y91*VLOOKUP('Données projet'!$B$9,Paramètres!$A$1:$I$89,3,0)*0.475*44/12</f>
        <v>4.5390018431473379E-8</v>
      </c>
      <c r="AC91" s="22">
        <f t="shared" si="57"/>
        <v>6.4039183231926788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5.6</v>
      </c>
      <c r="AI91" s="13">
        <f>IF('Données projet'!$A$62&gt;35,AI90+AH91-AQ90,IF(A91&lt;'Données projet'!$A$62,$AF$205^A91,IF(A91='Données projet'!$A$62,'Données projet'!$B$62,AI90+AH91-AQ90)))</f>
        <v>284.80000000000041</v>
      </c>
      <c r="AJ91" s="13">
        <f>AI91*VLOOKUP('Données projet'!$B$10,Paramètres!$A$1:$I$89,3,0)*VLOOKUP('Données projet'!$B$10,Paramètres!$A$1:$I$89,5,0)</f>
        <v>257.68704000000037</v>
      </c>
      <c r="AK91" s="13">
        <f t="shared" si="89"/>
        <v>62.229092239243457</v>
      </c>
      <c r="AL91" s="20">
        <f t="shared" si="58"/>
        <v>557.18726365001623</v>
      </c>
      <c r="AM91" s="59">
        <f t="shared" si="59"/>
        <v>850.52059698334961</v>
      </c>
      <c r="AN91" s="59">
        <f ca="1">AVERAGE(OFFSET($AM$3,0,0,'Données projet'!$E$10+1,1))-AVERAGE(OFFSET($H$3,0,0,'Données projet'!$E$10+1,1))</f>
        <v>237.22177246688199</v>
      </c>
      <c r="AO91" s="59">
        <f t="shared" si="90"/>
        <v>149.27472147904302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0.62201837790935699</v>
      </c>
      <c r="AW91" s="21">
        <f>EXP(-LN(2)/2)*AW90+(1-EXP(-LN(2)/2))/(LN(2)/2)*AQ91*AT91*VLOOKUP('Données projet'!$B$10,Paramètres!$A$1:$I$89,3,0)*0.475*44/12</f>
        <v>1.1528558757954142E-8</v>
      </c>
      <c r="AX91" s="21">
        <f t="shared" si="60"/>
        <v>0.62201838943791576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168.08890945052406</v>
      </c>
      <c r="BJ91" s="59">
        <f t="shared" si="92"/>
        <v>182.52462557642343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1.9697005712829614</v>
      </c>
      <c r="BQ91" s="21">
        <f>EXP(-LN(2)/25)*BQ90+(1-EXP(-LN(2)/25))/(LN(2)/25)*Calculateur!BL91*Calculateur!BN91*VLOOKUP('Données projet'!$B$11,Paramètres!$A$1:$I$89,3,0)*0.475*44/12</f>
        <v>2.4694745840365706</v>
      </c>
      <c r="BR91" s="21">
        <f>EXP(-LN(2)/2)*BR90+(1-EXP(-LN(2)/2))/(LN(2)/2)*BL91*BO91*VLOOKUP('Données projet'!$B$11,Paramètres!$A$1:$I$89,3,0)*0.475*44/12</f>
        <v>1.0143392484773269E-8</v>
      </c>
      <c r="BS91" s="22">
        <f t="shared" si="63"/>
        <v>4.4391751654629248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1.064108801074326E-13</v>
      </c>
      <c r="P92" s="13">
        <f t="shared" si="87"/>
        <v>1.5870730813698654E-12</v>
      </c>
      <c r="Q92" s="20">
        <f t="shared" si="54"/>
        <v>2.9494845662396269E-12</v>
      </c>
      <c r="R92" s="59">
        <f t="shared" si="55"/>
        <v>293.33333333333627</v>
      </c>
      <c r="S92" s="59">
        <f ca="1">AVERAGE(OFFSET($R$3,0,0,'Données projet'!$E$9+1,1))-AVERAGE(OFFSET($H$3,0,0,'Données projet'!$E$9+1,1))</f>
        <v>214.51224556840771</v>
      </c>
      <c r="T92" s="59">
        <f t="shared" si="88"/>
        <v>225.78309962707215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1.234218475474905</v>
      </c>
      <c r="AA92" s="21">
        <f>EXP(-LN(2)/25)*AA91+(1-EXP(-LN(2)/25))/(LN(2)/25)*Calculateur!V92*Calculateur!X92*VLOOKUP('Données projet'!$B$9,Paramètres!$A$1:$I$89,3,0)*0.475*44/12</f>
        <v>5.0043227831834542</v>
      </c>
      <c r="AB92" s="21">
        <f>EXP(-LN(2)/2)*AB91+(1-EXP(-LN(2)/2))/(LN(2)/2)*V92*Y92*VLOOKUP('Données projet'!$B$9,Paramètres!$A$1:$I$89,3,0)*0.475*44/12</f>
        <v>3.2095589831077205E-8</v>
      </c>
      <c r="AC92" s="22">
        <f t="shared" si="57"/>
        <v>6.2385412907539495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5.6</v>
      </c>
      <c r="AI92" s="13">
        <f>IF('Données projet'!$A$62&gt;35,AI91+AH92-AQ91,IF(A92&lt;'Données projet'!$A$62,$AF$205^A92,IF(A92='Données projet'!$A$62,'Données projet'!$B$62,AI91+AH92-AQ91)))</f>
        <v>290.40000000000043</v>
      </c>
      <c r="AJ92" s="13">
        <f>AI92*VLOOKUP('Données projet'!$B$10,Paramètres!$A$1:$I$89,3,0)*VLOOKUP('Données projet'!$B$10,Paramètres!$A$1:$I$89,5,0)</f>
        <v>262.75392000000039</v>
      </c>
      <c r="AK92" s="13">
        <f t="shared" si="89"/>
        <v>63.309041956360382</v>
      </c>
      <c r="AL92" s="20">
        <f t="shared" si="58"/>
        <v>567.89299207399495</v>
      </c>
      <c r="AM92" s="59">
        <f t="shared" si="59"/>
        <v>861.2263254073282</v>
      </c>
      <c r="AN92" s="59">
        <f ca="1">AVERAGE(OFFSET($AM$3,0,0,'Données projet'!$E$10+1,1))-AVERAGE(OFFSET($H$3,0,0,'Données projet'!$E$10+1,1))</f>
        <v>237.22177246688199</v>
      </c>
      <c r="AO92" s="59">
        <f t="shared" si="90"/>
        <v>149.27472147904302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0.6050092526549008</v>
      </c>
      <c r="AW92" s="21">
        <f>EXP(-LN(2)/2)*AW91+(1-EXP(-LN(2)/2))/(LN(2)/2)*AQ92*AT92*VLOOKUP('Données projet'!$B$10,Paramètres!$A$1:$I$89,3,0)*0.475*44/12</f>
        <v>8.1519220750569352E-9</v>
      </c>
      <c r="AX92" s="21">
        <f t="shared" si="60"/>
        <v>0.60500926080682282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168.08890945052406</v>
      </c>
      <c r="BJ92" s="59">
        <f t="shared" si="92"/>
        <v>182.52462557642343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1.9310759444788228</v>
      </c>
      <c r="BQ92" s="21">
        <f>EXP(-LN(2)/25)*BQ91+(1-EXP(-LN(2)/25))/(LN(2)/25)*Calculateur!BL92*Calculateur!BN92*VLOOKUP('Données projet'!$B$11,Paramètres!$A$1:$I$89,3,0)*0.475*44/12</f>
        <v>2.4019466716720661</v>
      </c>
      <c r="BR92" s="21">
        <f>EXP(-LN(2)/2)*BR91+(1-EXP(-LN(2)/2))/(LN(2)/2)*BL92*BO92*VLOOKUP('Données projet'!$B$11,Paramètres!$A$1:$I$89,3,0)*0.475*44/12</f>
        <v>7.1724616102198425E-9</v>
      </c>
      <c r="BS92" s="22">
        <f t="shared" si="63"/>
        <v>4.3330226233233509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1.064108801074326E-13</v>
      </c>
      <c r="P93" s="13">
        <f t="shared" si="87"/>
        <v>1.5870730813698654E-12</v>
      </c>
      <c r="Q93" s="20">
        <f t="shared" si="54"/>
        <v>2.9494845662396269E-12</v>
      </c>
      <c r="R93" s="59">
        <f t="shared" si="55"/>
        <v>293.33333333333627</v>
      </c>
      <c r="S93" s="59">
        <f ca="1">AVERAGE(OFFSET($R$3,0,0,'Données projet'!$E$9+1,1))-AVERAGE(OFFSET($H$3,0,0,'Données projet'!$E$9+1,1))</f>
        <v>214.51224556840771</v>
      </c>
      <c r="T93" s="59">
        <f t="shared" si="88"/>
        <v>225.78309962707215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1.2100162039697795</v>
      </c>
      <c r="AA93" s="21">
        <f>EXP(-LN(2)/25)*AA92+(1-EXP(-LN(2)/25))/(LN(2)/25)*Calculateur!V93*Calculateur!X93*VLOOKUP('Données projet'!$B$9,Paramètres!$A$1:$I$89,3,0)*0.475*44/12</f>
        <v>4.8674793135114047</v>
      </c>
      <c r="AB93" s="21">
        <f>EXP(-LN(2)/2)*AB92+(1-EXP(-LN(2)/2))/(LN(2)/2)*V93*Y93*VLOOKUP('Données projet'!$B$9,Paramètres!$A$1:$I$89,3,0)*0.475*44/12</f>
        <v>2.269500921573669E-8</v>
      </c>
      <c r="AC93" s="22">
        <f t="shared" si="57"/>
        <v>6.0774955401761934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296</v>
      </c>
      <c r="AG93" s="12">
        <f>VLOOKUP(A93,'Données projet'!$A$61:$I$81,9,0)</f>
        <v>5.6</v>
      </c>
      <c r="AH93" s="12">
        <f t="array" ref="AH93">INDEX(AG:AG,MIN(IF(ISNUMBER(AG93:AG289),ROW(AG93:AG289),"")))</f>
        <v>5.6</v>
      </c>
      <c r="AI93" s="13">
        <f>IF('Données projet'!$A$62&gt;35,AI92+AH93-AQ92,IF(A93&lt;'Données projet'!$A$62,$AF$205^A93,IF(A93='Données projet'!$A$62,'Données projet'!$B$62,AI92+AH93-AQ92)))</f>
        <v>296.00000000000045</v>
      </c>
      <c r="AJ93" s="13">
        <f>AI93*VLOOKUP('Données projet'!$B$10,Paramètres!$A$1:$I$89,3,0)*VLOOKUP('Données projet'!$B$10,Paramètres!$A$1:$I$89,5,0)</f>
        <v>267.82080000000042</v>
      </c>
      <c r="AK93" s="13">
        <f t="shared" si="89"/>
        <v>64.38657014789743</v>
      </c>
      <c r="AL93" s="20">
        <f t="shared" si="58"/>
        <v>578.59450300758874</v>
      </c>
      <c r="AM93" s="59">
        <f t="shared" si="59"/>
        <v>871.92783634092211</v>
      </c>
      <c r="AN93" s="59">
        <f ca="1">AVERAGE(OFFSET($AM$3,0,0,'Données projet'!$E$10+1,1))-AVERAGE(OFFSET($H$3,0,0,'Données projet'!$E$10+1,1))</f>
        <v>237.22177246688199</v>
      </c>
      <c r="AO93" s="59">
        <f t="shared" si="90"/>
        <v>149.27472147904302</v>
      </c>
      <c r="AP93" s="15">
        <f>IF(ISNA(VLOOKUP(A93,'Données projet'!$A$61:$I$81,3,0)),0,VLOOKUP(A93,'Données projet'!$A$61:$I$81,3,0))</f>
        <v>7</v>
      </c>
      <c r="AQ93" s="15">
        <f>IF(ISNA(VLOOKUP(A93,'Données projet'!$A$61:$I$81,4,0)),0,VLOOKUP(A93,'Données projet'!$A$61:$I$81,4,0))</f>
        <v>42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0.58846524282499868</v>
      </c>
      <c r="AW93" s="21">
        <f>EXP(-LN(2)/2)*AW92+(1-EXP(-LN(2)/2))/(LN(2)/2)*AQ93*AT93*VLOOKUP('Données projet'!$B$10,Paramètres!$A$1:$I$89,3,0)*0.475*44/12</f>
        <v>5.7642793789770708E-9</v>
      </c>
      <c r="AX93" s="21">
        <f t="shared" si="60"/>
        <v>0.58846524858927807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168.08890945052406</v>
      </c>
      <c r="BJ93" s="59">
        <f t="shared" si="92"/>
        <v>182.52462557642343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1.8932087230476171</v>
      </c>
      <c r="BQ93" s="21">
        <f>EXP(-LN(2)/25)*BQ92+(1-EXP(-LN(2)/25))/(LN(2)/25)*Calculateur!BL93*Calculateur!BN93*VLOOKUP('Données projet'!$B$11,Paramètres!$A$1:$I$89,3,0)*0.475*44/12</f>
        <v>2.3362653136223077</v>
      </c>
      <c r="BR93" s="21">
        <f>EXP(-LN(2)/2)*BR92+(1-EXP(-LN(2)/2))/(LN(2)/2)*BL93*BO93*VLOOKUP('Données projet'!$B$11,Paramètres!$A$1:$I$89,3,0)*0.475*44/12</f>
        <v>5.0716962423866344E-9</v>
      </c>
      <c r="BS93" s="22">
        <f t="shared" si="63"/>
        <v>4.2294740417416206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1.064108801074326E-13</v>
      </c>
      <c r="P94" s="13">
        <f t="shared" si="87"/>
        <v>1.5870730813698654E-12</v>
      </c>
      <c r="Q94" s="20">
        <f t="shared" si="54"/>
        <v>2.9494845662396269E-12</v>
      </c>
      <c r="R94" s="59">
        <f t="shared" si="55"/>
        <v>293.33333333333627</v>
      </c>
      <c r="S94" s="59">
        <f ca="1">AVERAGE(OFFSET($R$3,0,0,'Données projet'!$E$9+1,1))-AVERAGE(OFFSET($H$3,0,0,'Données projet'!$E$9+1,1))</f>
        <v>214.51224556840771</v>
      </c>
      <c r="T94" s="59">
        <f t="shared" si="88"/>
        <v>225.78309962707215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1.1862885242469414</v>
      </c>
      <c r="AA94" s="21">
        <f>EXP(-LN(2)/25)*AA93+(1-EXP(-LN(2)/25))/(LN(2)/25)*Calculateur!V94*Calculateur!X94*VLOOKUP('Données projet'!$B$9,Paramètres!$A$1:$I$89,3,0)*0.475*44/12</f>
        <v>4.7343778357138229</v>
      </c>
      <c r="AB94" s="21">
        <f>EXP(-LN(2)/2)*AB93+(1-EXP(-LN(2)/2))/(LN(2)/2)*V94*Y94*VLOOKUP('Données projet'!$B$9,Paramètres!$A$1:$I$89,3,0)*0.475*44/12</f>
        <v>1.6047794915538603E-8</v>
      </c>
      <c r="AC94" s="22">
        <f t="shared" si="57"/>
        <v>5.9206663760085592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4.9000000000000004</v>
      </c>
      <c r="AI94" s="13">
        <f>IF('Données projet'!$A$62&gt;35,AI93+AH94-AQ93,IF(A94&lt;'Données projet'!$A$62,$AF$205^A94,IF(A94='Données projet'!$A$62,'Données projet'!$B$62,AI93+AH94-AQ93)))</f>
        <v>258.90000000000043</v>
      </c>
      <c r="AJ94" s="13">
        <f>AI94*VLOOKUP('Données projet'!$B$10,Paramètres!$A$1:$I$89,3,0)*VLOOKUP('Données projet'!$B$10,Paramètres!$A$1:$I$89,5,0)</f>
        <v>234.25272000000038</v>
      </c>
      <c r="AK94" s="13">
        <f t="shared" si="89"/>
        <v>57.2012362311714</v>
      </c>
      <c r="AL94" s="20">
        <f t="shared" si="58"/>
        <v>507.61564043595746</v>
      </c>
      <c r="AM94" s="59">
        <f t="shared" si="59"/>
        <v>800.94897376929077</v>
      </c>
      <c r="AN94" s="59">
        <f ca="1">AVERAGE(OFFSET($AM$3,0,0,'Données projet'!$E$10+1,1))-AVERAGE(OFFSET($H$3,0,0,'Données projet'!$E$10+1,1))</f>
        <v>237.22177246688199</v>
      </c>
      <c r="AO94" s="59">
        <f t="shared" si="90"/>
        <v>149.27472147904302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0.57237362981390694</v>
      </c>
      <c r="AW94" s="21">
        <f>EXP(-LN(2)/2)*AW93+(1-EXP(-LN(2)/2))/(LN(2)/2)*AQ94*AT94*VLOOKUP('Données projet'!$B$10,Paramètres!$A$1:$I$89,3,0)*0.475*44/12</f>
        <v>4.0759610375284676E-9</v>
      </c>
      <c r="AX94" s="21">
        <f t="shared" si="60"/>
        <v>0.57237363388986795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168.08890945052406</v>
      </c>
      <c r="BJ94" s="59">
        <f t="shared" si="92"/>
        <v>182.52462557642343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1.856084054731953</v>
      </c>
      <c r="BQ94" s="21">
        <f>EXP(-LN(2)/25)*BQ93+(1-EXP(-LN(2)/25))/(LN(2)/25)*Calculateur!BL94*Calculateur!BN94*VLOOKUP('Données projet'!$B$11,Paramètres!$A$1:$I$89,3,0)*0.475*44/12</f>
        <v>2.2723800157624523</v>
      </c>
      <c r="BR94" s="21">
        <f>EXP(-LN(2)/2)*BR93+(1-EXP(-LN(2)/2))/(LN(2)/2)*BL94*BO94*VLOOKUP('Données projet'!$B$11,Paramètres!$A$1:$I$89,3,0)*0.475*44/12</f>
        <v>3.5862308051099212E-9</v>
      </c>
      <c r="BS94" s="22">
        <f t="shared" si="63"/>
        <v>4.128464074080636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1.064108801074326E-13</v>
      </c>
      <c r="P95" s="13">
        <f t="shared" si="87"/>
        <v>1.5870730813698654E-12</v>
      </c>
      <c r="Q95" s="20">
        <f t="shared" si="54"/>
        <v>2.9494845662396269E-12</v>
      </c>
      <c r="R95" s="59">
        <f t="shared" si="55"/>
        <v>293.33333333333627</v>
      </c>
      <c r="S95" s="59">
        <f ca="1">AVERAGE(OFFSET($R$3,0,0,'Données projet'!$E$9+1,1))-AVERAGE(OFFSET($H$3,0,0,'Données projet'!$E$9+1,1))</f>
        <v>214.51224556840771</v>
      </c>
      <c r="T95" s="59">
        <f t="shared" si="88"/>
        <v>225.78309962707215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1.1630261298510127</v>
      </c>
      <c r="AA95" s="21">
        <f>EXP(-LN(2)/25)*AA94+(1-EXP(-LN(2)/25))/(LN(2)/25)*Calculateur!V95*Calculateur!X95*VLOOKUP('Données projet'!$B$9,Paramètres!$A$1:$I$89,3,0)*0.475*44/12</f>
        <v>4.6049160248261183</v>
      </c>
      <c r="AB95" s="21">
        <f>EXP(-LN(2)/2)*AB94+(1-EXP(-LN(2)/2))/(LN(2)/2)*V95*Y95*VLOOKUP('Données projet'!$B$9,Paramètres!$A$1:$I$89,3,0)*0.475*44/12</f>
        <v>1.1347504607868345E-8</v>
      </c>
      <c r="AC95" s="22">
        <f t="shared" si="57"/>
        <v>5.7679421660246355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4.9000000000000004</v>
      </c>
      <c r="AI95" s="13">
        <f>IF('Données projet'!$A$62&gt;35,AI94+AH95-AQ94,IF(A95&lt;'Données projet'!$A$62,$AF$205^A95,IF(A95='Données projet'!$A$62,'Données projet'!$B$62,AI94+AH95-AQ94)))</f>
        <v>263.80000000000041</v>
      </c>
      <c r="AJ95" s="13">
        <f>AI95*VLOOKUP('Données projet'!$B$10,Paramètres!$A$1:$I$89,3,0)*VLOOKUP('Données projet'!$B$10,Paramètres!$A$1:$I$89,5,0)</f>
        <v>238.68624000000034</v>
      </c>
      <c r="AK95" s="13">
        <f t="shared" si="89"/>
        <v>58.156778382060978</v>
      </c>
      <c r="AL95" s="20">
        <f t="shared" si="58"/>
        <v>517.00159034875685</v>
      </c>
      <c r="AM95" s="59">
        <f t="shared" si="59"/>
        <v>810.33492368209022</v>
      </c>
      <c r="AN95" s="59">
        <f ca="1">AVERAGE(OFFSET($AM$3,0,0,'Données projet'!$E$10+1,1))-AVERAGE(OFFSET($H$3,0,0,'Données projet'!$E$10+1,1))</f>
        <v>237.22177246688199</v>
      </c>
      <c r="AO95" s="59">
        <f t="shared" si="90"/>
        <v>149.27472147904302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0.55672204280682469</v>
      </c>
      <c r="AW95" s="21">
        <f>EXP(-LN(2)/2)*AW94+(1-EXP(-LN(2)/2))/(LN(2)/2)*AQ95*AT95*VLOOKUP('Données projet'!$B$10,Paramètres!$A$1:$I$89,3,0)*0.475*44/12</f>
        <v>2.8821396894885354E-9</v>
      </c>
      <c r="AX95" s="21">
        <f t="shared" si="60"/>
        <v>0.55672204568896433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168.08890945052406</v>
      </c>
      <c r="BJ95" s="59">
        <f t="shared" si="92"/>
        <v>182.52462557642343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1.8196873785181473</v>
      </c>
      <c r="BQ95" s="21">
        <f>EXP(-LN(2)/25)*BQ94+(1-EXP(-LN(2)/25))/(LN(2)/25)*Calculateur!BL95*Calculateur!BN95*VLOOKUP('Données projet'!$B$11,Paramètres!$A$1:$I$89,3,0)*0.475*44/12</f>
        <v>2.2102416647321568</v>
      </c>
      <c r="BR95" s="21">
        <f>EXP(-LN(2)/2)*BR94+(1-EXP(-LN(2)/2))/(LN(2)/2)*BL95*BO95*VLOOKUP('Données projet'!$B$11,Paramètres!$A$1:$I$89,3,0)*0.475*44/12</f>
        <v>2.5358481211933172E-9</v>
      </c>
      <c r="BS95" s="22">
        <f t="shared" si="63"/>
        <v>4.0299290457861519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1.064108801074326E-13</v>
      </c>
      <c r="P96" s="13">
        <f t="shared" si="87"/>
        <v>1.5870730813698654E-12</v>
      </c>
      <c r="Q96" s="20">
        <f t="shared" si="54"/>
        <v>2.9494845662396269E-12</v>
      </c>
      <c r="R96" s="59">
        <f t="shared" si="55"/>
        <v>293.33333333333627</v>
      </c>
      <c r="S96" s="59">
        <f ca="1">AVERAGE(OFFSET($R$3,0,0,'Données projet'!$E$9+1,1))-AVERAGE(OFFSET($H$3,0,0,'Données projet'!$E$9+1,1))</f>
        <v>214.51224556840771</v>
      </c>
      <c r="T96" s="59">
        <f t="shared" si="88"/>
        <v>225.78309962707215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1.1402198968205286</v>
      </c>
      <c r="AA96" s="21">
        <f>EXP(-LN(2)/25)*AA95+(1-EXP(-LN(2)/25))/(LN(2)/25)*Calculateur!V96*Calculateur!X96*VLOOKUP('Données projet'!$B$9,Paramètres!$A$1:$I$89,3,0)*0.475*44/12</f>
        <v>4.4789943539652386</v>
      </c>
      <c r="AB96" s="21">
        <f>EXP(-LN(2)/2)*AB95+(1-EXP(-LN(2)/2))/(LN(2)/2)*V96*Y96*VLOOKUP('Données projet'!$B$9,Paramètres!$A$1:$I$89,3,0)*0.475*44/12</f>
        <v>8.0238974577693013E-9</v>
      </c>
      <c r="AC96" s="22">
        <f t="shared" si="57"/>
        <v>5.6192142588096639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4.9000000000000004</v>
      </c>
      <c r="AI96" s="13">
        <f>IF('Données projet'!$A$62&gt;35,AI95+AH96-AQ95,IF(A96&lt;'Données projet'!$A$62,$AF$205^A96,IF(A96='Données projet'!$A$62,'Données projet'!$B$62,AI95+AH96-AQ95)))</f>
        <v>268.70000000000039</v>
      </c>
      <c r="AJ96" s="13">
        <f>AI96*VLOOKUP('Données projet'!$B$10,Paramètres!$A$1:$I$89,3,0)*VLOOKUP('Données projet'!$B$10,Paramètres!$A$1:$I$89,5,0)</f>
        <v>243.11976000000033</v>
      </c>
      <c r="AK96" s="13">
        <f t="shared" si="89"/>
        <v>59.110256668778582</v>
      </c>
      <c r="AL96" s="20">
        <f t="shared" si="58"/>
        <v>526.38394569812317</v>
      </c>
      <c r="AM96" s="59">
        <f t="shared" si="59"/>
        <v>819.71727903145643</v>
      </c>
      <c r="AN96" s="59">
        <f ca="1">AVERAGE(OFFSET($AM$3,0,0,'Données projet'!$E$10+1,1))-AVERAGE(OFFSET($H$3,0,0,'Données projet'!$E$10+1,1))</f>
        <v>237.22177246688199</v>
      </c>
      <c r="AO96" s="59">
        <f t="shared" si="90"/>
        <v>149.27472147904302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0.54149844926953228</v>
      </c>
      <c r="AW96" s="21">
        <f>EXP(-LN(2)/2)*AW95+(1-EXP(-LN(2)/2))/(LN(2)/2)*AQ96*AT96*VLOOKUP('Données projet'!$B$10,Paramètres!$A$1:$I$89,3,0)*0.475*44/12</f>
        <v>2.0379805187642338E-9</v>
      </c>
      <c r="AX96" s="21">
        <f t="shared" si="60"/>
        <v>0.54149845130751284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168.08890945052406</v>
      </c>
      <c r="BJ96" s="59">
        <f t="shared" si="92"/>
        <v>182.52462557642343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1.7840044189251139</v>
      </c>
      <c r="BQ96" s="21">
        <f>EXP(-LN(2)/25)*BQ95+(1-EXP(-LN(2)/25))/(LN(2)/25)*Calculateur!BL96*Calculateur!BN96*VLOOKUP('Données projet'!$B$11,Paramètres!$A$1:$I$89,3,0)*0.475*44/12</f>
        <v>2.1498024901784984</v>
      </c>
      <c r="BR96" s="21">
        <f>EXP(-LN(2)/2)*BR95+(1-EXP(-LN(2)/2))/(LN(2)/2)*BL96*BO96*VLOOKUP('Données projet'!$B$11,Paramètres!$A$1:$I$89,3,0)*0.475*44/12</f>
        <v>1.7931154025549606E-9</v>
      </c>
      <c r="BS96" s="22">
        <f t="shared" si="63"/>
        <v>3.933806910896728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1.064108801074326E-13</v>
      </c>
      <c r="P97" s="13">
        <f t="shared" si="87"/>
        <v>1.5870730813698654E-12</v>
      </c>
      <c r="Q97" s="20">
        <f t="shared" si="54"/>
        <v>2.9494845662396269E-12</v>
      </c>
      <c r="R97" s="59">
        <f t="shared" si="55"/>
        <v>293.33333333333627</v>
      </c>
      <c r="S97" s="59">
        <f ca="1">AVERAGE(OFFSET($R$3,0,0,'Données projet'!$E$9+1,1))-AVERAGE(OFFSET($H$3,0,0,'Données projet'!$E$9+1,1))</f>
        <v>214.51224556840771</v>
      </c>
      <c r="T97" s="59">
        <f t="shared" si="88"/>
        <v>225.78309962707215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1.1178608801093435</v>
      </c>
      <c r="AA97" s="21">
        <f>EXP(-LN(2)/25)*AA96+(1-EXP(-LN(2)/25))/(LN(2)/25)*Calculateur!V97*Calculateur!X97*VLOOKUP('Données projet'!$B$9,Paramètres!$A$1:$I$89,3,0)*0.475*44/12</f>
        <v>4.3565160178159825</v>
      </c>
      <c r="AB97" s="21">
        <f>EXP(-LN(2)/2)*AB96+(1-EXP(-LN(2)/2))/(LN(2)/2)*V97*Y97*VLOOKUP('Données projet'!$B$9,Paramètres!$A$1:$I$89,3,0)*0.475*44/12</f>
        <v>5.6737523039341724E-9</v>
      </c>
      <c r="AC97" s="22">
        <f t="shared" si="57"/>
        <v>5.4743769035990786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4.9000000000000004</v>
      </c>
      <c r="AI97" s="13">
        <f>IF('Données projet'!$A$62&gt;35,AI96+AH97-AQ96,IF(A97&lt;'Données projet'!$A$62,$AF$205^A97,IF(A97='Données projet'!$A$62,'Données projet'!$B$62,AI96+AH97-AQ96)))</f>
        <v>273.60000000000036</v>
      </c>
      <c r="AJ97" s="13">
        <f>AI97*VLOOKUP('Données projet'!$B$10,Paramètres!$A$1:$I$89,3,0)*VLOOKUP('Données projet'!$B$10,Paramètres!$A$1:$I$89,5,0)</f>
        <v>247.55328000000031</v>
      </c>
      <c r="AK97" s="13">
        <f t="shared" si="89"/>
        <v>60.061713068870304</v>
      </c>
      <c r="AL97" s="20">
        <f t="shared" si="58"/>
        <v>535.76277959494962</v>
      </c>
      <c r="AM97" s="59">
        <f t="shared" si="59"/>
        <v>829.09611292828299</v>
      </c>
      <c r="AN97" s="59">
        <f ca="1">AVERAGE(OFFSET($AM$3,0,0,'Données projet'!$E$10+1,1))-AVERAGE(OFFSET($H$3,0,0,'Données projet'!$E$10+1,1))</f>
        <v>237.22177246688199</v>
      </c>
      <c r="AO97" s="59">
        <f t="shared" si="90"/>
        <v>149.27472147904302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0.52669114569809106</v>
      </c>
      <c r="AW97" s="21">
        <f>EXP(-LN(2)/2)*AW96+(1-EXP(-LN(2)/2))/(LN(2)/2)*AQ97*AT97*VLOOKUP('Données projet'!$B$10,Paramètres!$A$1:$I$89,3,0)*0.475*44/12</f>
        <v>1.4410698447442677E-9</v>
      </c>
      <c r="AX97" s="21">
        <f t="shared" si="60"/>
        <v>0.52669114713916088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168.08890945052406</v>
      </c>
      <c r="BJ97" s="59">
        <f t="shared" si="92"/>
        <v>182.52462557642343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1.7490211804052436</v>
      </c>
      <c r="BQ97" s="21">
        <f>EXP(-LN(2)/25)*BQ96+(1-EXP(-LN(2)/25))/(LN(2)/25)*Calculateur!BL97*Calculateur!BN97*VLOOKUP('Données projet'!$B$11,Paramètres!$A$1:$I$89,3,0)*0.475*44/12</f>
        <v>2.0910160280313681</v>
      </c>
      <c r="BR97" s="21">
        <f>EXP(-LN(2)/2)*BR96+(1-EXP(-LN(2)/2))/(LN(2)/2)*BL97*BO97*VLOOKUP('Données projet'!$B$11,Paramètres!$A$1:$I$89,3,0)*0.475*44/12</f>
        <v>1.2679240605966586E-9</v>
      </c>
      <c r="BS97" s="22">
        <f t="shared" si="63"/>
        <v>3.8400372097045357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1.064108801074326E-13</v>
      </c>
      <c r="P98" s="13">
        <f t="shared" si="87"/>
        <v>1.5870730813698654E-12</v>
      </c>
      <c r="Q98" s="20">
        <f t="shared" si="54"/>
        <v>2.9494845662396269E-12</v>
      </c>
      <c r="R98" s="59">
        <f t="shared" si="55"/>
        <v>293.33333333333627</v>
      </c>
      <c r="S98" s="59">
        <f ca="1">AVERAGE(OFFSET($R$3,0,0,'Données projet'!$E$9+1,1))-AVERAGE(OFFSET($H$3,0,0,'Données projet'!$E$9+1,1))</f>
        <v>214.51224556840771</v>
      </c>
      <c r="T98" s="59">
        <f t="shared" si="88"/>
        <v>225.78309962707215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1.0959403100782112</v>
      </c>
      <c r="AA98" s="21">
        <f>EXP(-LN(2)/25)*AA97+(1-EXP(-LN(2)/25))/(LN(2)/25)*Calculateur!V98*Calculateur!X98*VLOOKUP('Données projet'!$B$9,Paramètres!$A$1:$I$89,3,0)*0.475*44/12</f>
        <v>4.2373868582095842</v>
      </c>
      <c r="AB98" s="21">
        <f>EXP(-LN(2)/2)*AB97+(1-EXP(-LN(2)/2))/(LN(2)/2)*V98*Y98*VLOOKUP('Données projet'!$B$9,Paramètres!$A$1:$I$89,3,0)*0.475*44/12</f>
        <v>4.0119487288846507E-9</v>
      </c>
      <c r="AC98" s="22">
        <f t="shared" si="57"/>
        <v>5.333327172299744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4.9000000000000004</v>
      </c>
      <c r="AI98" s="13">
        <f>IF('Données projet'!$A$62&gt;35,AI97+AH98-AQ97,IF(A98&lt;'Données projet'!$A$62,$AF$205^A98,IF(A98='Données projet'!$A$62,'Données projet'!$B$62,AI97+AH98-AQ97)))</f>
        <v>278.50000000000034</v>
      </c>
      <c r="AJ98" s="13">
        <f>AI98*VLOOKUP('Données projet'!$B$10,Paramètres!$A$1:$I$89,3,0)*VLOOKUP('Données projet'!$B$10,Paramètres!$A$1:$I$89,5,0)</f>
        <v>251.98680000000033</v>
      </c>
      <c r="AK98" s="13">
        <f t="shared" si="89"/>
        <v>61.011187970195103</v>
      </c>
      <c r="AL98" s="20">
        <f t="shared" si="58"/>
        <v>545.13816238142374</v>
      </c>
      <c r="AM98" s="59">
        <f t="shared" si="59"/>
        <v>838.47149571475711</v>
      </c>
      <c r="AN98" s="59">
        <f ca="1">AVERAGE(OFFSET($AM$3,0,0,'Données projet'!$E$10+1,1))-AVERAGE(OFFSET($H$3,0,0,'Données projet'!$E$10+1,1))</f>
        <v>237.22177246688199</v>
      </c>
      <c r="AO98" s="59">
        <f t="shared" si="90"/>
        <v>149.27472147904302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0.51228874862149321</v>
      </c>
      <c r="AW98" s="21">
        <f>EXP(-LN(2)/2)*AW97+(1-EXP(-LN(2)/2))/(LN(2)/2)*AQ98*AT98*VLOOKUP('Données projet'!$B$10,Paramètres!$A$1:$I$89,3,0)*0.475*44/12</f>
        <v>1.0189902593821169E-9</v>
      </c>
      <c r="AX98" s="21">
        <f t="shared" si="60"/>
        <v>0.51228874964048343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168.08890945052406</v>
      </c>
      <c r="BJ98" s="59">
        <f t="shared" si="92"/>
        <v>182.52462557642343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1.7147239418550793</v>
      </c>
      <c r="BQ98" s="21">
        <f>EXP(-LN(2)/25)*BQ97+(1-EXP(-LN(2)/25))/(LN(2)/25)*Calculateur!BL98*Calculateur!BN98*VLOOKUP('Données projet'!$B$11,Paramètres!$A$1:$I$89,3,0)*0.475*44/12</f>
        <v>2.0338370847830967</v>
      </c>
      <c r="BR98" s="21">
        <f>EXP(-LN(2)/2)*BR97+(1-EXP(-LN(2)/2))/(LN(2)/2)*BL98*BO98*VLOOKUP('Données projet'!$B$11,Paramètres!$A$1:$I$89,3,0)*0.475*44/12</f>
        <v>8.9655770127748031E-10</v>
      </c>
      <c r="BS98" s="22">
        <f t="shared" si="63"/>
        <v>3.7485610275347332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1.064108801074326E-13</v>
      </c>
      <c r="P99" s="13">
        <f t="shared" si="87"/>
        <v>1.5870730813698654E-12</v>
      </c>
      <c r="Q99" s="20">
        <f t="shared" ref="Q99:Q130" si="107">(O99+P99)*0.475*44/12</f>
        <v>2.9494845662396269E-12</v>
      </c>
      <c r="R99" s="59">
        <f t="shared" si="55"/>
        <v>293.33333333333627</v>
      </c>
      <c r="S99" s="59">
        <f ca="1">AVERAGE(OFFSET($R$3,0,0,'Données projet'!$E$9+1,1))-AVERAGE(OFFSET($H$3,0,0,'Données projet'!$E$9+1,1))</f>
        <v>214.51224556840771</v>
      </c>
      <c r="T99" s="59">
        <f t="shared" si="88"/>
        <v>225.78309962707215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1.074449589055162</v>
      </c>
      <c r="AA99" s="21">
        <f>EXP(-LN(2)/25)*AA98+(1-EXP(-LN(2)/25))/(LN(2)/25)*Calculateur!V99*Calculateur!X99*VLOOKUP('Données projet'!$B$9,Paramètres!$A$1:$I$89,3,0)*0.475*44/12</f>
        <v>4.121515291737353</v>
      </c>
      <c r="AB99" s="21">
        <f>EXP(-LN(2)/2)*AB98+(1-EXP(-LN(2)/2))/(LN(2)/2)*V99*Y99*VLOOKUP('Données projet'!$B$9,Paramètres!$A$1:$I$89,3,0)*0.475*44/12</f>
        <v>2.8368761519670862E-9</v>
      </c>
      <c r="AC99" s="22">
        <f t="shared" si="57"/>
        <v>5.195964883629391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4.9000000000000004</v>
      </c>
      <c r="AI99" s="13">
        <f>IF('Données projet'!$A$62&gt;35,AI98+AH99-AQ98,IF(A99&lt;'Données projet'!$A$62,$AF$205^A99,IF(A99='Données projet'!$A$62,'Données projet'!$B$62,AI98+AH99-AQ98)))</f>
        <v>283.40000000000032</v>
      </c>
      <c r="AJ99" s="13">
        <f>AI99*VLOOKUP('Données projet'!$B$10,Paramètres!$A$1:$I$89,3,0)*VLOOKUP('Données projet'!$B$10,Paramètres!$A$1:$I$89,5,0)</f>
        <v>256.42032000000029</v>
      </c>
      <c r="AK99" s="13">
        <f t="shared" si="89"/>
        <v>61.958720258016967</v>
      </c>
      <c r="AL99" s="20">
        <f t="shared" si="58"/>
        <v>554.51016178271334</v>
      </c>
      <c r="AM99" s="59">
        <f t="shared" si="59"/>
        <v>847.8434951160466</v>
      </c>
      <c r="AN99" s="59">
        <f ca="1">AVERAGE(OFFSET($AM$3,0,0,'Données projet'!$E$10+1,1))-AVERAGE(OFFSET($H$3,0,0,'Données projet'!$E$10+1,1))</f>
        <v>237.22177246688199</v>
      </c>
      <c r="AO99" s="59">
        <f t="shared" si="90"/>
        <v>149.27472147904302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0.49828018585034406</v>
      </c>
      <c r="AW99" s="21">
        <f>EXP(-LN(2)/2)*AW98+(1-EXP(-LN(2)/2))/(LN(2)/2)*AQ99*AT99*VLOOKUP('Données projet'!$B$10,Paramètres!$A$1:$I$89,3,0)*0.475*44/12</f>
        <v>7.2053492237213385E-10</v>
      </c>
      <c r="AX99" s="21">
        <f t="shared" si="60"/>
        <v>0.49828018657087897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168.08890945052406</v>
      </c>
      <c r="BJ99" s="59">
        <f t="shared" si="92"/>
        <v>182.52462557642343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1.6810992512336338</v>
      </c>
      <c r="BQ99" s="21">
        <f>EXP(-LN(2)/25)*BQ98+(1-EXP(-LN(2)/25))/(LN(2)/25)*Calculateur!BL99*Calculateur!BN99*VLOOKUP('Données projet'!$B$11,Paramètres!$A$1:$I$89,3,0)*0.475*44/12</f>
        <v>1.978221702744859</v>
      </c>
      <c r="BR99" s="21">
        <f>EXP(-LN(2)/2)*BR98+(1-EXP(-LN(2)/2))/(LN(2)/2)*BL99*BO99*VLOOKUP('Données projet'!$B$11,Paramètres!$A$1:$I$89,3,0)*0.475*44/12</f>
        <v>6.339620302983293E-10</v>
      </c>
      <c r="BS99" s="22">
        <f t="shared" si="63"/>
        <v>3.659320954612455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1.064108801074326E-13</v>
      </c>
      <c r="P100" s="13">
        <f t="shared" si="87"/>
        <v>1.5870730813698654E-12</v>
      </c>
      <c r="Q100" s="20">
        <f t="shared" si="107"/>
        <v>2.9494845662396269E-12</v>
      </c>
      <c r="R100" s="59">
        <f t="shared" si="55"/>
        <v>293.33333333333627</v>
      </c>
      <c r="S100" s="59">
        <f ca="1">AVERAGE(OFFSET($R$3,0,0,'Données projet'!$E$9+1,1))-AVERAGE(OFFSET($H$3,0,0,'Données projet'!$E$9+1,1))</f>
        <v>214.51224556840771</v>
      </c>
      <c r="T100" s="59">
        <f t="shared" si="88"/>
        <v>225.78309962707215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1.0533802879633292</v>
      </c>
      <c r="AA100" s="21">
        <f>EXP(-LN(2)/25)*AA99+(1-EXP(-LN(2)/25))/(LN(2)/25)*Calculateur!V100*Calculateur!X100*VLOOKUP('Données projet'!$B$9,Paramètres!$A$1:$I$89,3,0)*0.475*44/12</f>
        <v>4.008812239343726</v>
      </c>
      <c r="AB100" s="21">
        <f>EXP(-LN(2)/2)*AB99+(1-EXP(-LN(2)/2))/(LN(2)/2)*V100*Y100*VLOOKUP('Données projet'!$B$9,Paramètres!$A$1:$I$89,3,0)*0.475*44/12</f>
        <v>2.0059743644423253E-9</v>
      </c>
      <c r="AC100" s="22">
        <f t="shared" si="57"/>
        <v>5.0621925293130294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4.9000000000000004</v>
      </c>
      <c r="AI100" s="13">
        <f>IF('Données projet'!$A$62&gt;35,AI99+AH100-AQ99,IF(A100&lt;'Données projet'!$A$62,$AF$205^A100,IF(A100='Données projet'!$A$62,'Données projet'!$B$62,AI99+AH100-AQ99)))</f>
        <v>288.3000000000003</v>
      </c>
      <c r="AJ100" s="13">
        <f>AI100*VLOOKUP('Données projet'!$B$10,Paramètres!$A$1:$I$89,3,0)*VLOOKUP('Données projet'!$B$10,Paramètres!$A$1:$I$89,5,0)</f>
        <v>260.85384000000028</v>
      </c>
      <c r="AK100" s="13">
        <f t="shared" si="89"/>
        <v>62.90434739590382</v>
      </c>
      <c r="AL100" s="20">
        <f t="shared" si="58"/>
        <v>563.87884304786633</v>
      </c>
      <c r="AM100" s="59">
        <f t="shared" si="59"/>
        <v>857.2121763811997</v>
      </c>
      <c r="AN100" s="59">
        <f ca="1">AVERAGE(OFFSET($AM$3,0,0,'Données projet'!$E$10+1,1))-AVERAGE(OFFSET($H$3,0,0,'Données projet'!$E$10+1,1))</f>
        <v>237.22177246688199</v>
      </c>
      <c r="AO100" s="59">
        <f t="shared" si="90"/>
        <v>149.27472147904302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0.48465468796485028</v>
      </c>
      <c r="AW100" s="21">
        <f>EXP(-LN(2)/2)*AW99+(1-EXP(-LN(2)/2))/(LN(2)/2)*AQ100*AT100*VLOOKUP('Données projet'!$B$10,Paramètres!$A$1:$I$89,3,0)*0.475*44/12</f>
        <v>5.0949512969105845E-10</v>
      </c>
      <c r="AX100" s="21">
        <f t="shared" si="60"/>
        <v>0.4846546884743454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168.08890945052406</v>
      </c>
      <c r="BJ100" s="59">
        <f t="shared" si="92"/>
        <v>182.52462557642343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1.6481339202862386</v>
      </c>
      <c r="BQ100" s="21">
        <f>EXP(-LN(2)/25)*BQ99+(1-EXP(-LN(2)/25))/(LN(2)/25)*Calculateur!BL100*Calculateur!BN100*VLOOKUP('Données projet'!$B$11,Paramètres!$A$1:$I$89,3,0)*0.475*44/12</f>
        <v>1.9241271262531427</v>
      </c>
      <c r="BR100" s="21">
        <f>EXP(-LN(2)/2)*BR99+(1-EXP(-LN(2)/2))/(LN(2)/2)*BL100*BO100*VLOOKUP('Données projet'!$B$11,Paramètres!$A$1:$I$89,3,0)*0.475*44/12</f>
        <v>4.4827885063874015E-10</v>
      </c>
      <c r="BS100" s="22">
        <f t="shared" si="63"/>
        <v>3.5722610469876601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1.064108801074326E-13</v>
      </c>
      <c r="P101" s="13">
        <f t="shared" si="87"/>
        <v>1.5870730813698654E-12</v>
      </c>
      <c r="Q101" s="20">
        <f t="shared" si="107"/>
        <v>2.9494845662396269E-12</v>
      </c>
      <c r="R101" s="59">
        <f t="shared" si="55"/>
        <v>293.33333333333627</v>
      </c>
      <c r="S101" s="59">
        <f ca="1">AVERAGE(OFFSET($R$3,0,0,'Données projet'!$E$9+1,1))-AVERAGE(OFFSET($H$3,0,0,'Données projet'!$E$9+1,1))</f>
        <v>214.51224556840771</v>
      </c>
      <c r="T101" s="59">
        <f t="shared" si="88"/>
        <v>225.78309962707215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1.0327241430149026</v>
      </c>
      <c r="AA101" s="21">
        <f>EXP(-LN(2)/25)*AA100+(1-EXP(-LN(2)/25))/(LN(2)/25)*Calculateur!V101*Calculateur!X101*VLOOKUP('Données projet'!$B$9,Paramètres!$A$1:$I$89,3,0)*0.475*44/12</f>
        <v>3.8991910578445985</v>
      </c>
      <c r="AB101" s="21">
        <f>EXP(-LN(2)/2)*AB100+(1-EXP(-LN(2)/2))/(LN(2)/2)*V101*Y101*VLOOKUP('Données projet'!$B$9,Paramètres!$A$1:$I$89,3,0)*0.475*44/12</f>
        <v>1.4184380759835431E-9</v>
      </c>
      <c r="AC101" s="22">
        <f t="shared" si="57"/>
        <v>4.9319152022779393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4.9000000000000004</v>
      </c>
      <c r="AI101" s="13">
        <f>IF('Données projet'!$A$62&gt;35,AI100+AH101-AQ100,IF(A101&lt;'Données projet'!$A$62,$AF$205^A101,IF(A101='Données projet'!$A$62,'Données projet'!$B$62,AI100+AH101-AQ100)))</f>
        <v>293.20000000000027</v>
      </c>
      <c r="AJ101" s="13">
        <f>AI101*VLOOKUP('Données projet'!$B$10,Paramètres!$A$1:$I$89,3,0)*VLOOKUP('Données projet'!$B$10,Paramètres!$A$1:$I$89,5,0)</f>
        <v>265.28736000000026</v>
      </c>
      <c r="AK101" s="13">
        <f t="shared" si="89"/>
        <v>63.848105500970064</v>
      </c>
      <c r="AL101" s="20">
        <f t="shared" si="58"/>
        <v>573.24426908085661</v>
      </c>
      <c r="AM101" s="59">
        <f t="shared" si="59"/>
        <v>866.57760241418987</v>
      </c>
      <c r="AN101" s="59">
        <f ca="1">AVERAGE(OFFSET($AM$3,0,0,'Données projet'!$E$10+1,1))-AVERAGE(OFFSET($H$3,0,0,'Données projet'!$E$10+1,1))</f>
        <v>237.22177246688199</v>
      </c>
      <c r="AO101" s="59">
        <f t="shared" si="90"/>
        <v>149.27472147904302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0.4714017800355691</v>
      </c>
      <c r="AW101" s="21">
        <f>EXP(-LN(2)/2)*AW100+(1-EXP(-LN(2)/2))/(LN(2)/2)*AQ101*AT101*VLOOKUP('Données projet'!$B$10,Paramètres!$A$1:$I$89,3,0)*0.475*44/12</f>
        <v>3.6026746118606693E-10</v>
      </c>
      <c r="AX101" s="21">
        <f t="shared" si="60"/>
        <v>0.47140178039583658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168.08890945052406</v>
      </c>
      <c r="BJ101" s="59">
        <f t="shared" si="92"/>
        <v>182.52462557642343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1.6158150193718555</v>
      </c>
      <c r="BQ101" s="21">
        <f>EXP(-LN(2)/25)*BQ100+(1-EXP(-LN(2)/25))/(LN(2)/25)*Calculateur!BL101*Calculateur!BN101*VLOOKUP('Données projet'!$B$11,Paramètres!$A$1:$I$89,3,0)*0.475*44/12</f>
        <v>1.8715117688003027</v>
      </c>
      <c r="BR101" s="21">
        <f>EXP(-LN(2)/2)*BR100+(1-EXP(-LN(2)/2))/(LN(2)/2)*BL101*BO101*VLOOKUP('Données projet'!$B$11,Paramètres!$A$1:$I$89,3,0)*0.475*44/12</f>
        <v>3.1698101514916465E-10</v>
      </c>
      <c r="BS101" s="22">
        <f t="shared" si="63"/>
        <v>3.4873267884891392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1.064108801074326E-13</v>
      </c>
      <c r="P102" s="13">
        <f t="shared" si="87"/>
        <v>1.5870730813698654E-12</v>
      </c>
      <c r="Q102" s="20">
        <f t="shared" si="107"/>
        <v>2.9494845662396269E-12</v>
      </c>
      <c r="R102" s="59">
        <f t="shared" si="55"/>
        <v>293.33333333333627</v>
      </c>
      <c r="S102" s="59">
        <f ca="1">AVERAGE(OFFSET($R$3,0,0,'Données projet'!$E$9+1,1))-AVERAGE(OFFSET($H$3,0,0,'Données projet'!$E$9+1,1))</f>
        <v>214.51224556840771</v>
      </c>
      <c r="T102" s="59">
        <f t="shared" si="88"/>
        <v>225.78309962707215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1.0124730524699102</v>
      </c>
      <c r="AA102" s="21">
        <f>EXP(-LN(2)/25)*AA101+(1-EXP(-LN(2)/25))/(LN(2)/25)*Calculateur!V102*Calculateur!X102*VLOOKUP('Données projet'!$B$9,Paramètres!$A$1:$I$89,3,0)*0.475*44/12</f>
        <v>3.7925674733182921</v>
      </c>
      <c r="AB102" s="21">
        <f>EXP(-LN(2)/2)*AB101+(1-EXP(-LN(2)/2))/(LN(2)/2)*V102*Y102*VLOOKUP('Données projet'!$B$9,Paramètres!$A$1:$I$89,3,0)*0.475*44/12</f>
        <v>1.0029871822211627E-9</v>
      </c>
      <c r="AC102" s="22">
        <f t="shared" si="57"/>
        <v>4.8050405267911893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4.9000000000000004</v>
      </c>
      <c r="AI102" s="13">
        <f>IF('Données projet'!$A$62&gt;35,AI101+AH102-AQ101,IF(A102&lt;'Données projet'!$A$62,$AF$205^A102,IF(A102='Données projet'!$A$62,'Données projet'!$B$62,AI101+AH102-AQ101)))</f>
        <v>298.10000000000025</v>
      </c>
      <c r="AJ102" s="13">
        <f>AI102*VLOOKUP('Données projet'!$B$10,Paramètres!$A$1:$I$89,3,0)*VLOOKUP('Données projet'!$B$10,Paramètres!$A$1:$I$89,5,0)</f>
        <v>269.72088000000025</v>
      </c>
      <c r="AK102" s="13">
        <f t="shared" si="89"/>
        <v>64.790029413947011</v>
      </c>
      <c r="AL102" s="20">
        <f t="shared" si="58"/>
        <v>582.60650056262477</v>
      </c>
      <c r="AM102" s="59">
        <f t="shared" si="59"/>
        <v>875.93983389595815</v>
      </c>
      <c r="AN102" s="59">
        <f ca="1">AVERAGE(OFFSET($AM$3,0,0,'Données projet'!$E$10+1,1))-AVERAGE(OFFSET($H$3,0,0,'Données projet'!$E$10+1,1))</f>
        <v>237.22177246688199</v>
      </c>
      <c r="AO102" s="59">
        <f t="shared" si="90"/>
        <v>149.27472147904302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0.45851127357055427</v>
      </c>
      <c r="AW102" s="21">
        <f>EXP(-LN(2)/2)*AW101+(1-EXP(-LN(2)/2))/(LN(2)/2)*AQ102*AT102*VLOOKUP('Données projet'!$B$10,Paramètres!$A$1:$I$89,3,0)*0.475*44/12</f>
        <v>2.5474756484552923E-10</v>
      </c>
      <c r="AX102" s="21">
        <f t="shared" si="60"/>
        <v>0.45851127382530182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168.08890945052406</v>
      </c>
      <c r="BJ102" s="59">
        <f t="shared" si="92"/>
        <v>182.52462557642343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1.5841298723918202</v>
      </c>
      <c r="BQ102" s="21">
        <f>EXP(-LN(2)/25)*BQ101+(1-EXP(-LN(2)/25))/(LN(2)/25)*Calculateur!BL102*Calculateur!BN102*VLOOKUP('Données projet'!$B$11,Paramètres!$A$1:$I$89,3,0)*0.475*44/12</f>
        <v>1.8203351810639319</v>
      </c>
      <c r="BR102" s="21">
        <f>EXP(-LN(2)/2)*BR101+(1-EXP(-LN(2)/2))/(LN(2)/2)*BL102*BO102*VLOOKUP('Données projet'!$B$11,Paramètres!$A$1:$I$89,3,0)*0.475*44/12</f>
        <v>2.2413942531937008E-10</v>
      </c>
      <c r="BS102" s="22">
        <f t="shared" si="63"/>
        <v>3.4044650536798913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1.064108801074326E-13</v>
      </c>
      <c r="P103" s="13">
        <f t="shared" si="87"/>
        <v>1.5870730813698654E-12</v>
      </c>
      <c r="Q103" s="20">
        <f t="shared" si="107"/>
        <v>2.9494845662396269E-12</v>
      </c>
      <c r="R103" s="59">
        <f t="shared" si="55"/>
        <v>293.33333333333627</v>
      </c>
      <c r="S103" s="59">
        <f ca="1">AVERAGE(OFFSET($R$3,0,0,'Données projet'!$E$9+1,1))-AVERAGE(OFFSET($H$3,0,0,'Données projet'!$E$9+1,1))</f>
        <v>214.51224556840771</v>
      </c>
      <c r="T103" s="59">
        <f t="shared" si="88"/>
        <v>225.78309962707215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0.99261907345855949</v>
      </c>
      <c r="AA103" s="21">
        <f>EXP(-LN(2)/25)*AA102+(1-EXP(-LN(2)/25))/(LN(2)/25)*Calculateur!V103*Calculateur!X103*VLOOKUP('Données projet'!$B$9,Paramètres!$A$1:$I$89,3,0)*0.475*44/12</f>
        <v>3.6888595163179478</v>
      </c>
      <c r="AB103" s="21">
        <f>EXP(-LN(2)/2)*AB102+(1-EXP(-LN(2)/2))/(LN(2)/2)*V103*Y103*VLOOKUP('Données projet'!$B$9,Paramètres!$A$1:$I$89,3,0)*0.475*44/12</f>
        <v>7.0921903799177155E-10</v>
      </c>
      <c r="AC103" s="22">
        <f t="shared" si="57"/>
        <v>4.6814785904857263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303</v>
      </c>
      <c r="AG103" s="12">
        <f>VLOOKUP(A103,'Données projet'!$A$61:$I$81,9,0)</f>
        <v>4.9000000000000004</v>
      </c>
      <c r="AH103" s="12">
        <f t="array" ref="AH103">INDEX(AG:AG,MIN(IF(ISNUMBER(AG103:AG299),ROW(AG103:AG299),"")))</f>
        <v>4.9000000000000004</v>
      </c>
      <c r="AI103" s="13">
        <f>IF('Données projet'!$A$62&gt;35,AI102+AH103-AQ102,IF(A103&lt;'Données projet'!$A$62,$AF$205^A103,IF(A103='Données projet'!$A$62,'Données projet'!$B$62,AI102+AH103-AQ102)))</f>
        <v>303.00000000000023</v>
      </c>
      <c r="AJ103" s="13">
        <f>AI103*VLOOKUP('Données projet'!$B$10,Paramètres!$A$1:$I$89,3,0)*VLOOKUP('Données projet'!$B$10,Paramètres!$A$1:$I$89,5,0)</f>
        <v>274.15440000000018</v>
      </c>
      <c r="AK103" s="13">
        <f t="shared" si="89"/>
        <v>65.730152764515836</v>
      </c>
      <c r="AL103" s="20">
        <f t="shared" si="58"/>
        <v>591.96559606486528</v>
      </c>
      <c r="AM103" s="59">
        <f t="shared" si="59"/>
        <v>885.29892939819865</v>
      </c>
      <c r="AN103" s="59">
        <f ca="1">AVERAGE(OFFSET($AM$3,0,0,'Données projet'!$E$10+1,1))-AVERAGE(OFFSET($H$3,0,0,'Données projet'!$E$10+1,1))</f>
        <v>237.22177246688199</v>
      </c>
      <c r="AO103" s="59">
        <f t="shared" si="90"/>
        <v>149.27472147904302</v>
      </c>
      <c r="AP103" s="15">
        <f>IF(ISNA(VLOOKUP(A103,'Données projet'!$A$61:$I$81,3,0)),0,VLOOKUP(A103,'Données projet'!$A$61:$I$81,3,0))</f>
        <v>8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0.44597325868270754</v>
      </c>
      <c r="AW103" s="21">
        <f>EXP(-LN(2)/2)*AW102+(1-EXP(-LN(2)/2))/(LN(2)/2)*AQ103*AT103*VLOOKUP('Données projet'!$B$10,Paramètres!$A$1:$I$89,3,0)*0.475*44/12</f>
        <v>1.8013373059303346E-10</v>
      </c>
      <c r="AX103" s="21">
        <f t="shared" si="60"/>
        <v>0.44597325886284128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168.08890945052406</v>
      </c>
      <c r="BJ103" s="59">
        <f t="shared" si="92"/>
        <v>182.52462557642343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1.5530660518180321</v>
      </c>
      <c r="BQ103" s="21">
        <f>EXP(-LN(2)/25)*BQ102+(1-EXP(-LN(2)/25))/(LN(2)/25)*Calculateur!BL103*Calculateur!BN103*VLOOKUP('Données projet'!$B$11,Paramètres!$A$1:$I$89,3,0)*0.475*44/12</f>
        <v>1.770558019810472</v>
      </c>
      <c r="BR103" s="21">
        <f>EXP(-LN(2)/2)*BR102+(1-EXP(-LN(2)/2))/(LN(2)/2)*BL103*BO103*VLOOKUP('Données projet'!$B$11,Paramètres!$A$1:$I$89,3,0)*0.475*44/12</f>
        <v>1.5849050757458233E-10</v>
      </c>
      <c r="BS103" s="22">
        <f t="shared" si="63"/>
        <v>3.3236240717869947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1.064108801074326E-13</v>
      </c>
      <c r="P104" s="13">
        <f t="shared" si="87"/>
        <v>1.5870730813698654E-12</v>
      </c>
      <c r="Q104" s="20">
        <f t="shared" si="107"/>
        <v>2.9494845662396269E-12</v>
      </c>
      <c r="R104" s="59">
        <f t="shared" si="55"/>
        <v>293.33333333333627</v>
      </c>
      <c r="S104" s="59">
        <f ca="1">AVERAGE(OFFSET($R$3,0,0,'Données projet'!$E$9+1,1))-AVERAGE(OFFSET($H$3,0,0,'Données projet'!$E$9+1,1))</f>
        <v>214.51224556840771</v>
      </c>
      <c r="T104" s="59">
        <f t="shared" si="88"/>
        <v>225.78309962707215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0.97315441886588994</v>
      </c>
      <c r="AA104" s="21">
        <f>EXP(-LN(2)/25)*AA103+(1-EXP(-LN(2)/25))/(LN(2)/25)*Calculateur!V104*Calculateur!X104*VLOOKUP('Données projet'!$B$9,Paramètres!$A$1:$I$89,3,0)*0.475*44/12</f>
        <v>3.5879874588555425</v>
      </c>
      <c r="AB104" s="21">
        <f>EXP(-LN(2)/2)*AB103+(1-EXP(-LN(2)/2))/(LN(2)/2)*V104*Y104*VLOOKUP('Données projet'!$B$9,Paramètres!$A$1:$I$89,3,0)*0.475*44/12</f>
        <v>5.0149359111058133E-10</v>
      </c>
      <c r="AC104" s="22">
        <f t="shared" si="57"/>
        <v>4.5611418782229265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4.4000000000000004</v>
      </c>
      <c r="AI104" s="13">
        <f>IF('Données projet'!$A$62&gt;35,AI103+AH104-AQ103,IF(A104&lt;'Données projet'!$A$62,$AF$205^A104,IF(A104='Données projet'!$A$62,'Données projet'!$B$62,AI103+AH104-AQ103)))</f>
        <v>265.4000000000002</v>
      </c>
      <c r="AJ104" s="13">
        <f>AI104*VLOOKUP('Données projet'!$B$10,Paramètres!$A$1:$I$89,3,0)*VLOOKUP('Données projet'!$B$10,Paramètres!$A$1:$I$89,5,0)</f>
        <v>240.13392000000016</v>
      </c>
      <c r="AK104" s="13">
        <f t="shared" si="89"/>
        <v>58.468343087048616</v>
      </c>
      <c r="AL104" s="20">
        <f t="shared" si="58"/>
        <v>520.06560820994321</v>
      </c>
      <c r="AM104" s="59">
        <f t="shared" si="59"/>
        <v>813.39894154327658</v>
      </c>
      <c r="AN104" s="59">
        <f ca="1">AVERAGE(OFFSET($AM$3,0,0,'Données projet'!$E$10+1,1))-AVERAGE(OFFSET($H$3,0,0,'Données projet'!$E$10+1,1))</f>
        <v>237.22177246688199</v>
      </c>
      <c r="AO104" s="59">
        <f t="shared" si="90"/>
        <v>149.27472147904302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0.43377809647131449</v>
      </c>
      <c r="AW104" s="21">
        <f>EXP(-LN(2)/2)*AW103+(1-EXP(-LN(2)/2))/(LN(2)/2)*AQ104*AT104*VLOOKUP('Données projet'!$B$10,Paramètres!$A$1:$I$89,3,0)*0.475*44/12</f>
        <v>1.2737378242276461E-10</v>
      </c>
      <c r="AX104" s="21">
        <f t="shared" si="60"/>
        <v>0.43377809659868827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168.08890945052406</v>
      </c>
      <c r="BJ104" s="59">
        <f t="shared" si="92"/>
        <v>182.52462557642343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1.5226113738186364</v>
      </c>
      <c r="BQ104" s="21">
        <f>EXP(-LN(2)/25)*BQ103+(1-EXP(-LN(2)/25))/(LN(2)/25)*Calculateur!BL104*Calculateur!BN104*VLOOKUP('Données projet'!$B$11,Paramètres!$A$1:$I$89,3,0)*0.475*44/12</f>
        <v>1.7221420176491551</v>
      </c>
      <c r="BR104" s="21">
        <f>EXP(-LN(2)/2)*BR103+(1-EXP(-LN(2)/2))/(LN(2)/2)*BL104*BO104*VLOOKUP('Données projet'!$B$11,Paramètres!$A$1:$I$89,3,0)*0.475*44/12</f>
        <v>1.1206971265968504E-10</v>
      </c>
      <c r="BS104" s="22">
        <f t="shared" si="63"/>
        <v>3.2447533915798616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1.064108801074326E-13</v>
      </c>
      <c r="P105" s="13">
        <f t="shared" si="87"/>
        <v>1.5870730813698654E-12</v>
      </c>
      <c r="Q105" s="20">
        <f t="shared" si="107"/>
        <v>2.9494845662396269E-12</v>
      </c>
      <c r="R105" s="59">
        <f t="shared" si="55"/>
        <v>293.33333333333627</v>
      </c>
      <c r="S105" s="59">
        <f ca="1">AVERAGE(OFFSET($R$3,0,0,'Données projet'!$E$9+1,1))-AVERAGE(OFFSET($H$3,0,0,'Données projet'!$E$9+1,1))</f>
        <v>214.51224556840771</v>
      </c>
      <c r="T105" s="59">
        <f t="shared" si="88"/>
        <v>225.78309962707215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0.95407145427751561</v>
      </c>
      <c r="AA105" s="21">
        <f>EXP(-LN(2)/25)*AA104+(1-EXP(-LN(2)/25))/(LN(2)/25)*Calculateur!V105*Calculateur!X105*VLOOKUP('Données projet'!$B$9,Paramètres!$A$1:$I$89,3,0)*0.475*44/12</f>
        <v>3.4898737531090775</v>
      </c>
      <c r="AB105" s="21">
        <f>EXP(-LN(2)/2)*AB104+(1-EXP(-LN(2)/2))/(LN(2)/2)*V105*Y105*VLOOKUP('Données projet'!$B$9,Paramètres!$A$1:$I$89,3,0)*0.475*44/12</f>
        <v>3.5460951899588578E-10</v>
      </c>
      <c r="AC105" s="22">
        <f t="shared" si="57"/>
        <v>4.4439452077412032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4.4000000000000004</v>
      </c>
      <c r="AI105" s="13">
        <f>IF('Données projet'!$A$62&gt;35,AI104+AH105-AQ104,IF(A105&lt;'Données projet'!$A$62,$AF$205^A105,IF(A105='Données projet'!$A$62,'Données projet'!$B$62,AI104+AH105-AQ104)))</f>
        <v>269.80000000000018</v>
      </c>
      <c r="AJ105" s="13">
        <f>AI105*VLOOKUP('Données projet'!$B$10,Paramètres!$A$1:$I$89,3,0)*VLOOKUP('Données projet'!$B$10,Paramètres!$A$1:$I$89,5,0)</f>
        <v>244.11504000000016</v>
      </c>
      <c r="AK105" s="13">
        <f t="shared" si="89"/>
        <v>59.324023461759062</v>
      </c>
      <c r="AL105" s="20">
        <f t="shared" si="58"/>
        <v>528.48970219589739</v>
      </c>
      <c r="AM105" s="59">
        <f t="shared" si="59"/>
        <v>821.82303552923076</v>
      </c>
      <c r="AN105" s="59">
        <f ca="1">AVERAGE(OFFSET($AM$3,0,0,'Données projet'!$E$10+1,1))-AVERAGE(OFFSET($H$3,0,0,'Données projet'!$E$10+1,1))</f>
        <v>237.22177246688199</v>
      </c>
      <c r="AO105" s="59">
        <f t="shared" si="90"/>
        <v>149.27472147904302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0.42191641161190774</v>
      </c>
      <c r="AW105" s="21">
        <f>EXP(-LN(2)/2)*AW104+(1-EXP(-LN(2)/2))/(LN(2)/2)*AQ105*AT105*VLOOKUP('Données projet'!$B$10,Paramètres!$A$1:$I$89,3,0)*0.475*44/12</f>
        <v>9.0066865296516732E-11</v>
      </c>
      <c r="AX105" s="21">
        <f t="shared" si="60"/>
        <v>0.42191641170197458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168.08890945052406</v>
      </c>
      <c r="BJ105" s="59">
        <f t="shared" si="92"/>
        <v>182.52462557642343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1.4927538934792894</v>
      </c>
      <c r="BQ105" s="21">
        <f>EXP(-LN(2)/25)*BQ104+(1-EXP(-LN(2)/25))/(LN(2)/25)*Calculateur!BL105*Calculateur!BN105*VLOOKUP('Données projet'!$B$11,Paramètres!$A$1:$I$89,3,0)*0.475*44/12</f>
        <v>1.6750499536130263</v>
      </c>
      <c r="BR105" s="21">
        <f>EXP(-LN(2)/2)*BR104+(1-EXP(-LN(2)/2))/(LN(2)/2)*BL105*BO105*VLOOKUP('Données projet'!$B$11,Paramètres!$A$1:$I$89,3,0)*0.475*44/12</f>
        <v>7.9245253787291163E-11</v>
      </c>
      <c r="BS105" s="22">
        <f t="shared" si="63"/>
        <v>3.1678038471715606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1.064108801074326E-13</v>
      </c>
      <c r="P106" s="13">
        <f t="shared" si="87"/>
        <v>1.5870730813698654E-12</v>
      </c>
      <c r="Q106" s="20">
        <f t="shared" si="107"/>
        <v>2.9494845662396269E-12</v>
      </c>
      <c r="R106" s="59">
        <f t="shared" si="55"/>
        <v>293.33333333333627</v>
      </c>
      <c r="S106" s="59">
        <f ca="1">AVERAGE(OFFSET($R$3,0,0,'Données projet'!$E$9+1,1))-AVERAGE(OFFSET($H$3,0,0,'Données projet'!$E$9+1,1))</f>
        <v>214.51224556840771</v>
      </c>
      <c r="T106" s="59">
        <f t="shared" si="88"/>
        <v>225.78309962707215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0.93536269498526026</v>
      </c>
      <c r="AA106" s="21">
        <f>EXP(-LN(2)/25)*AA105+(1-EXP(-LN(2)/25))/(LN(2)/25)*Calculateur!V106*Calculateur!X106*VLOOKUP('Données projet'!$B$9,Paramètres!$A$1:$I$89,3,0)*0.475*44/12</f>
        <v>3.3944429718058253</v>
      </c>
      <c r="AB106" s="21">
        <f>EXP(-LN(2)/2)*AB105+(1-EXP(-LN(2)/2))/(LN(2)/2)*V106*Y106*VLOOKUP('Données projet'!$B$9,Paramètres!$A$1:$I$89,3,0)*0.475*44/12</f>
        <v>2.5074679555529067E-10</v>
      </c>
      <c r="AC106" s="22">
        <f t="shared" si="57"/>
        <v>4.3298056670418328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4.4000000000000004</v>
      </c>
      <c r="AI106" s="13">
        <f>IF('Données projet'!$A$62&gt;35,AI105+AH106-AQ105,IF(A106&lt;'Données projet'!$A$62,$AF$205^A106,IF(A106='Données projet'!$A$62,'Données projet'!$B$62,AI105+AH106-AQ105)))</f>
        <v>274.20000000000016</v>
      </c>
      <c r="AJ106" s="13">
        <f>AI106*VLOOKUP('Données projet'!$B$10,Paramètres!$A$1:$I$89,3,0)*VLOOKUP('Données projet'!$B$10,Paramètres!$A$1:$I$89,5,0)</f>
        <v>248.09616000000014</v>
      </c>
      <c r="AK106" s="13">
        <f t="shared" si="89"/>
        <v>60.178080967364686</v>
      </c>
      <c r="AL106" s="20">
        <f t="shared" si="58"/>
        <v>536.91096968482714</v>
      </c>
      <c r="AM106" s="59">
        <f t="shared" si="59"/>
        <v>830.24430301816051</v>
      </c>
      <c r="AN106" s="59">
        <f ca="1">AVERAGE(OFFSET($AM$3,0,0,'Données projet'!$E$10+1,1))-AVERAGE(OFFSET($H$3,0,0,'Données projet'!$E$10+1,1))</f>
        <v>237.22177246688199</v>
      </c>
      <c r="AO106" s="59">
        <f t="shared" si="90"/>
        <v>149.27472147904302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0.41037908514876031</v>
      </c>
      <c r="AW106" s="21">
        <f>EXP(-LN(2)/2)*AW105+(1-EXP(-LN(2)/2))/(LN(2)/2)*AQ106*AT106*VLOOKUP('Données projet'!$B$10,Paramètres!$A$1:$I$89,3,0)*0.475*44/12</f>
        <v>6.3686891211382306E-11</v>
      </c>
      <c r="AX106" s="21">
        <f t="shared" si="60"/>
        <v>0.4103790852124472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168.08890945052406</v>
      </c>
      <c r="BJ106" s="59">
        <f t="shared" si="92"/>
        <v>182.52462557642343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1.4634819001181323</v>
      </c>
      <c r="BQ106" s="21">
        <f>EXP(-LN(2)/25)*BQ105+(1-EXP(-LN(2)/25))/(LN(2)/25)*Calculateur!BL106*Calculateur!BN106*VLOOKUP('Données projet'!$B$11,Paramètres!$A$1:$I$89,3,0)*0.475*44/12</f>
        <v>1.6292456245444293</v>
      </c>
      <c r="BR106" s="21">
        <f>EXP(-LN(2)/2)*BR105+(1-EXP(-LN(2)/2))/(LN(2)/2)*BL106*BO106*VLOOKUP('Données projet'!$B$11,Paramètres!$A$1:$I$89,3,0)*0.475*44/12</f>
        <v>5.6034856329842519E-11</v>
      </c>
      <c r="BS106" s="22">
        <f t="shared" si="63"/>
        <v>3.0927275247185961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1.064108801074326E-13</v>
      </c>
      <c r="P107" s="13">
        <f t="shared" si="87"/>
        <v>1.5870730813698654E-12</v>
      </c>
      <c r="Q107" s="20">
        <f t="shared" si="107"/>
        <v>2.9494845662396269E-12</v>
      </c>
      <c r="R107" s="59">
        <f t="shared" si="55"/>
        <v>293.33333333333627</v>
      </c>
      <c r="S107" s="59">
        <f ca="1">AVERAGE(OFFSET($R$3,0,0,'Données projet'!$E$9+1,1))-AVERAGE(OFFSET($H$3,0,0,'Données projet'!$E$9+1,1))</f>
        <v>214.51224556840771</v>
      </c>
      <c r="T107" s="59">
        <f t="shared" si="88"/>
        <v>225.78309962707215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0.91702080305150957</v>
      </c>
      <c r="AA107" s="21">
        <f>EXP(-LN(2)/25)*AA106+(1-EXP(-LN(2)/25))/(LN(2)/25)*Calculateur!V107*Calculateur!X107*VLOOKUP('Données projet'!$B$9,Paramètres!$A$1:$I$89,3,0)*0.475*44/12</f>
        <v>3.3016217502357974</v>
      </c>
      <c r="AB107" s="21">
        <f>EXP(-LN(2)/2)*AB106+(1-EXP(-LN(2)/2))/(LN(2)/2)*V107*Y107*VLOOKUP('Données projet'!$B$9,Paramètres!$A$1:$I$89,3,0)*0.475*44/12</f>
        <v>1.7730475949794289E-10</v>
      </c>
      <c r="AC107" s="22">
        <f t="shared" si="57"/>
        <v>4.218642553464611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4.4000000000000004</v>
      </c>
      <c r="AI107" s="13">
        <f>IF('Données projet'!$A$62&gt;35,AI106+AH107-AQ106,IF(A107&lt;'Données projet'!$A$62,$AF$205^A107,IF(A107='Données projet'!$A$62,'Données projet'!$B$62,AI106+AH107-AQ106)))</f>
        <v>278.60000000000014</v>
      </c>
      <c r="AJ107" s="13">
        <f>AI107*VLOOKUP('Données projet'!$B$10,Paramètres!$A$1:$I$89,3,0)*VLOOKUP('Données projet'!$B$10,Paramètres!$A$1:$I$89,5,0)</f>
        <v>252.07728000000014</v>
      </c>
      <c r="AK107" s="13">
        <f t="shared" si="89"/>
        <v>61.030544652155044</v>
      </c>
      <c r="AL107" s="20">
        <f t="shared" si="58"/>
        <v>545.32946126917022</v>
      </c>
      <c r="AM107" s="59">
        <f t="shared" si="59"/>
        <v>838.66279460250348</v>
      </c>
      <c r="AN107" s="59">
        <f ca="1">AVERAGE(OFFSET($AM$3,0,0,'Données projet'!$E$10+1,1))-AVERAGE(OFFSET($H$3,0,0,'Données projet'!$E$10+1,1))</f>
        <v>237.22177246688199</v>
      </c>
      <c r="AO107" s="59">
        <f t="shared" si="90"/>
        <v>149.27472147904302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0.39915724748446929</v>
      </c>
      <c r="AW107" s="21">
        <f>EXP(-LN(2)/2)*AW106+(1-EXP(-LN(2)/2))/(LN(2)/2)*AQ107*AT107*VLOOKUP('Données projet'!$B$10,Paramètres!$A$1:$I$89,3,0)*0.475*44/12</f>
        <v>4.5033432648258366E-11</v>
      </c>
      <c r="AX107" s="21">
        <f t="shared" si="60"/>
        <v>0.39915724752950271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168.08890945052406</v>
      </c>
      <c r="BJ107" s="59">
        <f t="shared" si="92"/>
        <v>182.52462557642343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1.4347839126926343</v>
      </c>
      <c r="BQ107" s="21">
        <f>EXP(-LN(2)/25)*BQ106+(1-EXP(-LN(2)/25))/(LN(2)/25)*Calculateur!BL107*Calculateur!BN107*VLOOKUP('Données projet'!$B$11,Paramètres!$A$1:$I$89,3,0)*0.475*44/12</f>
        <v>1.5846938172629581</v>
      </c>
      <c r="BR107" s="21">
        <f>EXP(-LN(2)/2)*BR106+(1-EXP(-LN(2)/2))/(LN(2)/2)*BL107*BO107*VLOOKUP('Données projet'!$B$11,Paramètres!$A$1:$I$89,3,0)*0.475*44/12</f>
        <v>3.9622626893645581E-11</v>
      </c>
      <c r="BS107" s="22">
        <f t="shared" si="63"/>
        <v>3.0194777299952147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1.064108801074326E-13</v>
      </c>
      <c r="P108" s="13">
        <f t="shared" si="87"/>
        <v>1.5870730813698654E-12</v>
      </c>
      <c r="Q108" s="20">
        <f t="shared" si="107"/>
        <v>2.9494845662396269E-12</v>
      </c>
      <c r="R108" s="59">
        <f t="shared" si="55"/>
        <v>293.33333333333627</v>
      </c>
      <c r="S108" s="59">
        <f ca="1">AVERAGE(OFFSET($R$3,0,0,'Données projet'!$E$9+1,1))-AVERAGE(OFFSET($H$3,0,0,'Données projet'!$E$9+1,1))</f>
        <v>214.51224556840771</v>
      </c>
      <c r="T108" s="59">
        <f t="shared" si="88"/>
        <v>225.78309962707215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0.89903858443113038</v>
      </c>
      <c r="AA108" s="21">
        <f>EXP(-LN(2)/25)*AA107+(1-EXP(-LN(2)/25))/(LN(2)/25)*Calculateur!V108*Calculateur!X108*VLOOKUP('Données projet'!$B$9,Paramètres!$A$1:$I$89,3,0)*0.475*44/12</f>
        <v>3.2113387298508576</v>
      </c>
      <c r="AB108" s="21">
        <f>EXP(-LN(2)/2)*AB107+(1-EXP(-LN(2)/2))/(LN(2)/2)*V108*Y108*VLOOKUP('Données projet'!$B$9,Paramètres!$A$1:$I$89,3,0)*0.475*44/12</f>
        <v>1.2537339777764533E-10</v>
      </c>
      <c r="AC108" s="22">
        <f t="shared" si="57"/>
        <v>4.1103773144073612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4.4000000000000004</v>
      </c>
      <c r="AI108" s="13">
        <f>IF('Données projet'!$A$62&gt;35,AI107+AH108-AQ107,IF(A108&lt;'Données projet'!$A$62,$AF$205^A108,IF(A108='Données projet'!$A$62,'Données projet'!$B$62,AI107+AH108-AQ107)))</f>
        <v>283.00000000000011</v>
      </c>
      <c r="AJ108" s="13">
        <f>AI108*VLOOKUP('Données projet'!$B$10,Paramètres!$A$1:$I$89,3,0)*VLOOKUP('Données projet'!$B$10,Paramètres!$A$1:$I$89,5,0)</f>
        <v>256.05840000000006</v>
      </c>
      <c r="AK108" s="13">
        <f t="shared" si="89"/>
        <v>61.881442594256484</v>
      </c>
      <c r="AL108" s="20">
        <f t="shared" si="58"/>
        <v>553.74522585166358</v>
      </c>
      <c r="AM108" s="59">
        <f t="shared" si="59"/>
        <v>847.07855918499695</v>
      </c>
      <c r="AN108" s="59">
        <f ca="1">AVERAGE(OFFSET($AM$3,0,0,'Données projet'!$E$10+1,1))-AVERAGE(OFFSET($H$3,0,0,'Données projet'!$E$10+1,1))</f>
        <v>237.22177246688199</v>
      </c>
      <c r="AO108" s="59">
        <f t="shared" si="90"/>
        <v>149.27472147904302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0.38824227156123914</v>
      </c>
      <c r="AW108" s="21">
        <f>EXP(-LN(2)/2)*AW107+(1-EXP(-LN(2)/2))/(LN(2)/2)*AQ108*AT108*VLOOKUP('Données projet'!$B$10,Paramètres!$A$1:$I$89,3,0)*0.475*44/12</f>
        <v>3.1843445605691153E-11</v>
      </c>
      <c r="AX108" s="21">
        <f t="shared" si="60"/>
        <v>0.38824227159308261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168.08890945052406</v>
      </c>
      <c r="BJ108" s="59">
        <f t="shared" si="92"/>
        <v>182.52462557642343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1.4066486752965064</v>
      </c>
      <c r="BQ108" s="21">
        <f>EXP(-LN(2)/25)*BQ107+(1-EXP(-LN(2)/25))/(LN(2)/25)*Calculateur!BL108*Calculateur!BN108*VLOOKUP('Données projet'!$B$11,Paramètres!$A$1:$I$89,3,0)*0.475*44/12</f>
        <v>1.5413602814944765</v>
      </c>
      <c r="BR108" s="21">
        <f>EXP(-LN(2)/2)*BR107+(1-EXP(-LN(2)/2))/(LN(2)/2)*BL108*BO108*VLOOKUP('Données projet'!$B$11,Paramètres!$A$1:$I$89,3,0)*0.475*44/12</f>
        <v>2.801742816492126E-11</v>
      </c>
      <c r="BS108" s="22">
        <f t="shared" si="63"/>
        <v>2.9480089568190007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1.064108801074326E-13</v>
      </c>
      <c r="P109" s="13">
        <f t="shared" si="87"/>
        <v>1.5870730813698654E-12</v>
      </c>
      <c r="Q109" s="20">
        <f t="shared" si="107"/>
        <v>2.9494845662396269E-12</v>
      </c>
      <c r="R109" s="59">
        <f t="shared" si="55"/>
        <v>293.33333333333627</v>
      </c>
      <c r="S109" s="59">
        <f ca="1">AVERAGE(OFFSET($R$3,0,0,'Données projet'!$E$9+1,1))-AVERAGE(OFFSET($H$3,0,0,'Données projet'!$E$9+1,1))</f>
        <v>214.51224556840771</v>
      </c>
      <c r="T109" s="59">
        <f t="shared" si="88"/>
        <v>225.78309962707215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0.88140898614982643</v>
      </c>
      <c r="AA109" s="21">
        <f>EXP(-LN(2)/25)*AA108+(1-EXP(-LN(2)/25))/(LN(2)/25)*Calculateur!V109*Calculateur!X109*VLOOKUP('Données projet'!$B$9,Paramètres!$A$1:$I$89,3,0)*0.475*44/12</f>
        <v>3.1235245034061219</v>
      </c>
      <c r="AB109" s="21">
        <f>EXP(-LN(2)/2)*AB108+(1-EXP(-LN(2)/2))/(LN(2)/2)*V109*Y109*VLOOKUP('Données projet'!$B$9,Paramètres!$A$1:$I$89,3,0)*0.475*44/12</f>
        <v>8.8652379748971444E-11</v>
      </c>
      <c r="AC109" s="22">
        <f t="shared" si="57"/>
        <v>4.0049334896446007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4.4000000000000004</v>
      </c>
      <c r="AI109" s="13">
        <f>IF('Données projet'!$A$62&gt;35,AI108+AH109-AQ108,IF(A109&lt;'Données projet'!$A$62,$AF$205^A109,IF(A109='Données projet'!$A$62,'Données projet'!$B$62,AI108+AH109-AQ108)))</f>
        <v>287.40000000000009</v>
      </c>
      <c r="AJ109" s="13">
        <f>AI109*VLOOKUP('Données projet'!$B$10,Paramètres!$A$1:$I$89,3,0)*VLOOKUP('Données projet'!$B$10,Paramètres!$A$1:$I$89,5,0)</f>
        <v>260.03952000000004</v>
      </c>
      <c r="AK109" s="13">
        <f t="shared" si="89"/>
        <v>62.730801948604871</v>
      </c>
      <c r="AL109" s="20">
        <f t="shared" si="58"/>
        <v>562.15831072715355</v>
      </c>
      <c r="AM109" s="59">
        <f t="shared" si="59"/>
        <v>855.49164406048681</v>
      </c>
      <c r="AN109" s="59">
        <f ca="1">AVERAGE(OFFSET($AM$3,0,0,'Données projet'!$E$10+1,1))-AVERAGE(OFFSET($H$3,0,0,'Données projet'!$E$10+1,1))</f>
        <v>237.22177246688199</v>
      </c>
      <c r="AO109" s="59">
        <f t="shared" si="90"/>
        <v>149.27472147904302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0.37762576622862332</v>
      </c>
      <c r="AW109" s="21">
        <f>EXP(-LN(2)/2)*AW108+(1-EXP(-LN(2)/2))/(LN(2)/2)*AQ109*AT109*VLOOKUP('Données projet'!$B$10,Paramètres!$A$1:$I$89,3,0)*0.475*44/12</f>
        <v>2.2516716324129183E-11</v>
      </c>
      <c r="AX109" s="21">
        <f t="shared" si="60"/>
        <v>0.37762576625114003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168.08890945052406</v>
      </c>
      <c r="BJ109" s="59">
        <f t="shared" si="92"/>
        <v>182.52462557642343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1.3790651527449163</v>
      </c>
      <c r="BQ109" s="21">
        <f>EXP(-LN(2)/25)*BQ108+(1-EXP(-LN(2)/25))/(LN(2)/25)*Calculateur!BL109*Calculateur!BN109*VLOOKUP('Données projet'!$B$11,Paramètres!$A$1:$I$89,3,0)*0.475*44/12</f>
        <v>1.4992117035403956</v>
      </c>
      <c r="BR109" s="21">
        <f>EXP(-LN(2)/2)*BR108+(1-EXP(-LN(2)/2))/(LN(2)/2)*BL109*BO109*VLOOKUP('Données projet'!$B$11,Paramètres!$A$1:$I$89,3,0)*0.475*44/12</f>
        <v>1.9811313446822791E-11</v>
      </c>
      <c r="BS109" s="22">
        <f t="shared" si="63"/>
        <v>2.8782768563051229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1.064108801074326E-13</v>
      </c>
      <c r="P110" s="13">
        <f t="shared" si="87"/>
        <v>1.5870730813698654E-12</v>
      </c>
      <c r="Q110" s="20">
        <f t="shared" si="107"/>
        <v>2.9494845662396269E-12</v>
      </c>
      <c r="R110" s="59">
        <f t="shared" si="55"/>
        <v>293.33333333333627</v>
      </c>
      <c r="S110" s="59">
        <f ca="1">AVERAGE(OFFSET($R$3,0,0,'Données projet'!$E$9+1,1))-AVERAGE(OFFSET($H$3,0,0,'Données projet'!$E$9+1,1))</f>
        <v>214.51224556840771</v>
      </c>
      <c r="T110" s="59">
        <f t="shared" si="88"/>
        <v>225.78309962707215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0.86412509353782563</v>
      </c>
      <c r="AA110" s="21">
        <f>EXP(-LN(2)/25)*AA109+(1-EXP(-LN(2)/25))/(LN(2)/25)*Calculateur!V110*Calculateur!X110*VLOOKUP('Données projet'!$B$9,Paramètres!$A$1:$I$89,3,0)*0.475*44/12</f>
        <v>3.0381115616014669</v>
      </c>
      <c r="AB110" s="21">
        <f>EXP(-LN(2)/2)*AB109+(1-EXP(-LN(2)/2))/(LN(2)/2)*V110*Y110*VLOOKUP('Données projet'!$B$9,Paramètres!$A$1:$I$89,3,0)*0.475*44/12</f>
        <v>6.2686698888822667E-11</v>
      </c>
      <c r="AC110" s="22">
        <f t="shared" si="57"/>
        <v>3.9022366552019792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4.4000000000000004</v>
      </c>
      <c r="AI110" s="13">
        <f>IF('Données projet'!$A$62&gt;35,AI109+AH110-AQ109,IF(A110&lt;'Données projet'!$A$62,$AF$205^A110,IF(A110='Données projet'!$A$62,'Données projet'!$B$62,AI109+AH110-AQ109)))</f>
        <v>291.80000000000007</v>
      </c>
      <c r="AJ110" s="13">
        <f>AI110*VLOOKUP('Données projet'!$B$10,Paramètres!$A$1:$I$89,3,0)*VLOOKUP('Données projet'!$B$10,Paramètres!$A$1:$I$89,5,0)</f>
        <v>264.02064000000007</v>
      </c>
      <c r="AK110" s="13">
        <f t="shared" si="89"/>
        <v>63.578648990959174</v>
      </c>
      <c r="AL110" s="20">
        <f t="shared" si="58"/>
        <v>570.56876165925394</v>
      </c>
      <c r="AM110" s="59">
        <f t="shared" si="59"/>
        <v>863.90209499258731</v>
      </c>
      <c r="AN110" s="59">
        <f ca="1">AVERAGE(OFFSET($AM$3,0,0,'Données projet'!$E$10+1,1))-AVERAGE(OFFSET($H$3,0,0,'Données projet'!$E$10+1,1))</f>
        <v>237.22177246688199</v>
      </c>
      <c r="AO110" s="59">
        <f t="shared" si="90"/>
        <v>149.27472147904302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0.36729956979262562</v>
      </c>
      <c r="AW110" s="21">
        <f>EXP(-LN(2)/2)*AW109+(1-EXP(-LN(2)/2))/(LN(2)/2)*AQ110*AT110*VLOOKUP('Données projet'!$B$10,Paramètres!$A$1:$I$89,3,0)*0.475*44/12</f>
        <v>1.5921722802845577E-11</v>
      </c>
      <c r="AX110" s="21">
        <f t="shared" si="60"/>
        <v>0.36729956980854733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168.08890945052406</v>
      </c>
      <c r="BJ110" s="59">
        <f t="shared" si="92"/>
        <v>182.52462557642343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1.3520225262462753</v>
      </c>
      <c r="BQ110" s="21">
        <f>EXP(-LN(2)/25)*BQ109+(1-EXP(-LN(2)/25))/(LN(2)/25)*Calculateur!BL110*Calculateur!BN110*VLOOKUP('Données projet'!$B$11,Paramètres!$A$1:$I$89,3,0)*0.475*44/12</f>
        <v>1.4582156806669664</v>
      </c>
      <c r="BR110" s="21">
        <f>EXP(-LN(2)/2)*BR109+(1-EXP(-LN(2)/2))/(LN(2)/2)*BL110*BO110*VLOOKUP('Données projet'!$B$11,Paramètres!$A$1:$I$89,3,0)*0.475*44/12</f>
        <v>1.400871408246063E-11</v>
      </c>
      <c r="BS110" s="22">
        <f t="shared" si="63"/>
        <v>2.8102382069272505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1.064108801074326E-13</v>
      </c>
      <c r="P111" s="13">
        <f t="shared" si="87"/>
        <v>1.5870730813698654E-12</v>
      </c>
      <c r="Q111" s="20">
        <f t="shared" si="107"/>
        <v>2.9494845662396269E-12</v>
      </c>
      <c r="R111" s="59">
        <f t="shared" si="55"/>
        <v>293.33333333333627</v>
      </c>
      <c r="S111" s="59">
        <f ca="1">AVERAGE(OFFSET($R$3,0,0,'Données projet'!$E$9+1,1))-AVERAGE(OFFSET($H$3,0,0,'Données projet'!$E$9+1,1))</f>
        <v>214.51224556840771</v>
      </c>
      <c r="T111" s="59">
        <f t="shared" si="88"/>
        <v>225.78309962707215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0.84718012751781269</v>
      </c>
      <c r="AA111" s="21">
        <f>EXP(-LN(2)/25)*AA110+(1-EXP(-LN(2)/25))/(LN(2)/25)*Calculateur!V111*Calculateur!X111*VLOOKUP('Données projet'!$B$9,Paramètres!$A$1:$I$89,3,0)*0.475*44/12</f>
        <v>2.9550342411821315</v>
      </c>
      <c r="AB111" s="21">
        <f>EXP(-LN(2)/2)*AB110+(1-EXP(-LN(2)/2))/(LN(2)/2)*V111*Y111*VLOOKUP('Données projet'!$B$9,Paramètres!$A$1:$I$89,3,0)*0.475*44/12</f>
        <v>4.4326189874485722E-11</v>
      </c>
      <c r="AC111" s="22">
        <f t="shared" si="57"/>
        <v>3.8022143687442704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4.4000000000000004</v>
      </c>
      <c r="AI111" s="13">
        <f>IF('Données projet'!$A$62&gt;35,AI110+AH111-AQ110,IF(A111&lt;'Données projet'!$A$62,$AF$205^A111,IF(A111='Données projet'!$A$62,'Données projet'!$B$62,AI110+AH111-AQ110)))</f>
        <v>296.20000000000005</v>
      </c>
      <c r="AJ111" s="13">
        <f>AI111*VLOOKUP('Données projet'!$B$10,Paramètres!$A$1:$I$89,3,0)*VLOOKUP('Données projet'!$B$10,Paramètres!$A$1:$I$89,5,0)</f>
        <v>268.00176000000005</v>
      </c>
      <c r="AK111" s="13">
        <f t="shared" si="89"/>
        <v>64.425009159185578</v>
      </c>
      <c r="AL111" s="20">
        <f t="shared" si="58"/>
        <v>578.97662295224825</v>
      </c>
      <c r="AM111" s="59">
        <f t="shared" si="59"/>
        <v>872.30995628558162</v>
      </c>
      <c r="AN111" s="59">
        <f ca="1">AVERAGE(OFFSET($AM$3,0,0,'Données projet'!$E$10+1,1))-AVERAGE(OFFSET($H$3,0,0,'Données projet'!$E$10+1,1))</f>
        <v>237.22177246688199</v>
      </c>
      <c r="AO111" s="59">
        <f t="shared" si="90"/>
        <v>149.27472147904302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0.35725574374120139</v>
      </c>
      <c r="AW111" s="21">
        <f>EXP(-LN(2)/2)*AW110+(1-EXP(-LN(2)/2))/(LN(2)/2)*AQ111*AT111*VLOOKUP('Données projet'!$B$10,Paramètres!$A$1:$I$89,3,0)*0.475*44/12</f>
        <v>1.1258358162064591E-11</v>
      </c>
      <c r="AX111" s="21">
        <f t="shared" si="60"/>
        <v>0.35725574375245978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168.08890945052406</v>
      </c>
      <c r="BJ111" s="59">
        <f t="shared" si="92"/>
        <v>182.52462557642343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1.3255101891588992</v>
      </c>
      <c r="BQ111" s="21">
        <f>EXP(-LN(2)/25)*BQ110+(1-EXP(-LN(2)/25))/(LN(2)/25)*Calculateur!BL111*Calculateur!BN111*VLOOKUP('Données projet'!$B$11,Paramètres!$A$1:$I$89,3,0)*0.475*44/12</f>
        <v>1.4183406961948983</v>
      </c>
      <c r="BR111" s="21">
        <f>EXP(-LN(2)/2)*BR110+(1-EXP(-LN(2)/2))/(LN(2)/2)*BL111*BO111*VLOOKUP('Données projet'!$B$11,Paramètres!$A$1:$I$89,3,0)*0.475*44/12</f>
        <v>9.9056567234113953E-12</v>
      </c>
      <c r="BS111" s="22">
        <f t="shared" si="63"/>
        <v>2.7438508853637034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1.064108801074326E-13</v>
      </c>
      <c r="P112" s="13">
        <f t="shared" si="87"/>
        <v>1.5870730813698654E-12</v>
      </c>
      <c r="Q112" s="20">
        <f t="shared" si="107"/>
        <v>2.9494845662396269E-12</v>
      </c>
      <c r="R112" s="59">
        <f t="shared" si="55"/>
        <v>293.33333333333627</v>
      </c>
      <c r="S112" s="59">
        <f ca="1">AVERAGE(OFFSET($R$3,0,0,'Données projet'!$E$9+1,1))-AVERAGE(OFFSET($H$3,0,0,'Données projet'!$E$9+1,1))</f>
        <v>214.51224556840771</v>
      </c>
      <c r="T112" s="59">
        <f t="shared" si="88"/>
        <v>225.78309962707215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0.83056744194604348</v>
      </c>
      <c r="AA112" s="21">
        <f>EXP(-LN(2)/25)*AA111+(1-EXP(-LN(2)/25))/(LN(2)/25)*Calculateur!V112*Calculateur!X112*VLOOKUP('Données projet'!$B$9,Paramètres!$A$1:$I$89,3,0)*0.475*44/12</f>
        <v>2.874228674458509</v>
      </c>
      <c r="AB112" s="21">
        <f>EXP(-LN(2)/2)*AB111+(1-EXP(-LN(2)/2))/(LN(2)/2)*V112*Y112*VLOOKUP('Données projet'!$B$9,Paramètres!$A$1:$I$89,3,0)*0.475*44/12</f>
        <v>3.1343349444411333E-11</v>
      </c>
      <c r="AC112" s="22">
        <f t="shared" si="57"/>
        <v>3.704796116435896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4.4000000000000004</v>
      </c>
      <c r="AI112" s="13">
        <f>IF('Données projet'!$A$62&gt;35,AI111+AH112-AQ111,IF(A112&lt;'Données projet'!$A$62,$AF$205^A112,IF(A112='Données projet'!$A$62,'Données projet'!$B$62,AI111+AH112-AQ111)))</f>
        <v>300.60000000000002</v>
      </c>
      <c r="AJ112" s="13">
        <f>AI112*VLOOKUP('Données projet'!$B$10,Paramètres!$A$1:$I$89,3,0)*VLOOKUP('Données projet'!$B$10,Paramètres!$A$1:$I$89,5,0)</f>
        <v>271.98288000000002</v>
      </c>
      <c r="AK112" s="13">
        <f t="shared" si="89"/>
        <v>65.269907092018755</v>
      </c>
      <c r="AL112" s="20">
        <f t="shared" si="58"/>
        <v>587.38193751859933</v>
      </c>
      <c r="AM112" s="59">
        <f t="shared" si="59"/>
        <v>880.7152708519327</v>
      </c>
      <c r="AN112" s="59">
        <f ca="1">AVERAGE(OFFSET($AM$3,0,0,'Données projet'!$E$10+1,1))-AVERAGE(OFFSET($H$3,0,0,'Données projet'!$E$10+1,1))</f>
        <v>237.22177246688199</v>
      </c>
      <c r="AO112" s="59">
        <f t="shared" si="90"/>
        <v>149.27472147904302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0.3474865666413352</v>
      </c>
      <c r="AW112" s="21">
        <f>EXP(-LN(2)/2)*AW111+(1-EXP(-LN(2)/2))/(LN(2)/2)*AQ112*AT112*VLOOKUP('Données projet'!$B$10,Paramètres!$A$1:$I$89,3,0)*0.475*44/12</f>
        <v>7.9608614014227883E-12</v>
      </c>
      <c r="AX112" s="21">
        <f t="shared" si="60"/>
        <v>0.34748656664929606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168.08890945052406</v>
      </c>
      <c r="BJ112" s="59">
        <f t="shared" si="92"/>
        <v>182.52462557642343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1.2995177428308777</v>
      </c>
      <c r="BQ112" s="21">
        <f>EXP(-LN(2)/25)*BQ111+(1-EXP(-LN(2)/25))/(LN(2)/25)*Calculateur!BL112*Calculateur!BN112*VLOOKUP('Données projet'!$B$11,Paramètres!$A$1:$I$89,3,0)*0.475*44/12</f>
        <v>1.3795560952701533</v>
      </c>
      <c r="BR112" s="21">
        <f>EXP(-LN(2)/2)*BR111+(1-EXP(-LN(2)/2))/(LN(2)/2)*BL112*BO112*VLOOKUP('Données projet'!$B$11,Paramètres!$A$1:$I$89,3,0)*0.475*44/12</f>
        <v>7.0043570412303149E-12</v>
      </c>
      <c r="BS112" s="22">
        <f t="shared" si="63"/>
        <v>2.6790738381080352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1.064108801074326E-13</v>
      </c>
      <c r="P113" s="13">
        <f t="shared" si="87"/>
        <v>1.5870730813698654E-12</v>
      </c>
      <c r="Q113" s="20">
        <f t="shared" si="107"/>
        <v>2.9494845662396269E-12</v>
      </c>
      <c r="R113" s="59">
        <f t="shared" si="55"/>
        <v>293.33333333333627</v>
      </c>
      <c r="S113" s="59">
        <f ca="1">AVERAGE(OFFSET($R$3,0,0,'Données projet'!$E$9+1,1))-AVERAGE(OFFSET($H$3,0,0,'Données projet'!$E$9+1,1))</f>
        <v>214.51224556840771</v>
      </c>
      <c r="T113" s="59">
        <f t="shared" si="88"/>
        <v>225.78309962707215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0.814280521005599</v>
      </c>
      <c r="AA113" s="21">
        <f>EXP(-LN(2)/25)*AA112+(1-EXP(-LN(2)/25))/(LN(2)/25)*Calculateur!V113*Calculateur!X113*VLOOKUP('Données projet'!$B$9,Paramètres!$A$1:$I$89,3,0)*0.475*44/12</f>
        <v>2.7956327402063241</v>
      </c>
      <c r="AB113" s="21">
        <f>EXP(-LN(2)/2)*AB112+(1-EXP(-LN(2)/2))/(LN(2)/2)*V113*Y113*VLOOKUP('Données projet'!$B$9,Paramètres!$A$1:$I$89,3,0)*0.475*44/12</f>
        <v>2.2163094937242861E-11</v>
      </c>
      <c r="AC113" s="22">
        <f t="shared" si="57"/>
        <v>3.6099132612340861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305</v>
      </c>
      <c r="AG113" s="12">
        <f>VLOOKUP(A113,'Données projet'!$A$61:$I$81,9,0)</f>
        <v>4.4000000000000004</v>
      </c>
      <c r="AH113" s="12">
        <f t="array" ref="AH113">INDEX(AG:AG,MIN(IF(ISNUMBER(AG113:AG309),ROW(AG113:AG309),"")))</f>
        <v>4.4000000000000004</v>
      </c>
      <c r="AI113" s="13">
        <f>IF('Données projet'!$A$62&gt;35,AI112+AH113-AQ112,IF(A113&lt;'Données projet'!$A$62,$AF$205^A113,IF(A113='Données projet'!$A$62,'Données projet'!$B$62,AI112+AH113-AQ112)))</f>
        <v>305</v>
      </c>
      <c r="AJ113" s="13">
        <f>AI113*VLOOKUP('Données projet'!$B$10,Paramètres!$A$1:$I$89,3,0)*VLOOKUP('Données projet'!$B$10,Paramètres!$A$1:$I$89,5,0)</f>
        <v>275.964</v>
      </c>
      <c r="AK113" s="13">
        <f t="shared" si="89"/>
        <v>66.113366665488911</v>
      </c>
      <c r="AL113" s="20">
        <f t="shared" si="58"/>
        <v>595.7847469423931</v>
      </c>
      <c r="AM113" s="59">
        <f t="shared" si="59"/>
        <v>889.11808027572647</v>
      </c>
      <c r="AN113" s="59">
        <f ca="1">AVERAGE(OFFSET($AM$3,0,0,'Données projet'!$E$10+1,1))-AVERAGE(OFFSET($H$3,0,0,'Données projet'!$E$10+1,1))</f>
        <v>237.22177246688199</v>
      </c>
      <c r="AO113" s="59">
        <f t="shared" si="90"/>
        <v>149.27472147904302</v>
      </c>
      <c r="AP113" s="15">
        <f>IF(ISNA(VLOOKUP(A113,'Données projet'!$A$61:$I$81,3,0)),0,VLOOKUP(A113,'Données projet'!$A$61:$I$81,3,0))</f>
        <v>9</v>
      </c>
      <c r="AQ113" s="15">
        <f>IF(ISNA(VLOOKUP(A113,'Données projet'!$A$61:$I$81,4,0)),0,VLOOKUP(A113,'Données projet'!$A$61:$I$81,4,0))</f>
        <v>39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0.33798452820300356</v>
      </c>
      <c r="AW113" s="21">
        <f>EXP(-LN(2)/2)*AW112+(1-EXP(-LN(2)/2))/(LN(2)/2)*AQ113*AT113*VLOOKUP('Données projet'!$B$10,Paramètres!$A$1:$I$89,3,0)*0.475*44/12</f>
        <v>5.6291790810322957E-12</v>
      </c>
      <c r="AX113" s="21">
        <f t="shared" si="60"/>
        <v>0.33798452820863273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168.08890945052406</v>
      </c>
      <c r="BJ113" s="59">
        <f t="shared" si="92"/>
        <v>182.52462557642343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1.274034992521522</v>
      </c>
      <c r="BQ113" s="21">
        <f>EXP(-LN(2)/25)*BQ112+(1-EXP(-LN(2)/25))/(LN(2)/25)*Calculateur!BL113*Calculateur!BN113*VLOOKUP('Données projet'!$B$11,Paramètres!$A$1:$I$89,3,0)*0.475*44/12</f>
        <v>1.3418320612972889</v>
      </c>
      <c r="BR113" s="21">
        <f>EXP(-LN(2)/2)*BR112+(1-EXP(-LN(2)/2))/(LN(2)/2)*BL113*BO113*VLOOKUP('Données projet'!$B$11,Paramètres!$A$1:$I$89,3,0)*0.475*44/12</f>
        <v>4.9528283617056977E-12</v>
      </c>
      <c r="BS113" s="22">
        <f t="shared" si="63"/>
        <v>2.6158670538237638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1.064108801074326E-13</v>
      </c>
      <c r="P114" s="13">
        <f t="shared" si="87"/>
        <v>1.5870730813698654E-12</v>
      </c>
      <c r="Q114" s="20">
        <f t="shared" si="107"/>
        <v>2.9494845662396269E-12</v>
      </c>
      <c r="R114" s="59">
        <f t="shared" si="55"/>
        <v>293.33333333333627</v>
      </c>
      <c r="S114" s="59">
        <f ca="1">AVERAGE(OFFSET($R$3,0,0,'Données projet'!$E$9+1,1))-AVERAGE(OFFSET($H$3,0,0,'Données projet'!$E$9+1,1))</f>
        <v>214.51224556840771</v>
      </c>
      <c r="T114" s="59">
        <f t="shared" si="88"/>
        <v>225.78309962707215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0.79831297665075573</v>
      </c>
      <c r="AA114" s="21">
        <f>EXP(-LN(2)/25)*AA113+(1-EXP(-LN(2)/25))/(LN(2)/25)*Calculateur!V114*Calculateur!X114*VLOOKUP('Données projet'!$B$9,Paramètres!$A$1:$I$89,3,0)*0.475*44/12</f>
        <v>2.7191860159094459</v>
      </c>
      <c r="AB114" s="21">
        <f>EXP(-LN(2)/2)*AB113+(1-EXP(-LN(2)/2))/(LN(2)/2)*V114*Y114*VLOOKUP('Données projet'!$B$9,Paramètres!$A$1:$I$89,3,0)*0.475*44/12</f>
        <v>1.5671674722205667E-11</v>
      </c>
      <c r="AC114" s="22">
        <f t="shared" si="57"/>
        <v>3.5174989925758733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3.7</v>
      </c>
      <c r="AI114" s="13">
        <f>IF('Données projet'!$A$62&gt;35,AI113+AH114-AQ113,IF(A114&lt;'Données projet'!$A$62,$AF$205^A114,IF(A114='Données projet'!$A$62,'Données projet'!$B$62,AI113+AH114-AQ113)))</f>
        <v>269.7</v>
      </c>
      <c r="AJ114" s="13">
        <f>AI114*VLOOKUP('Données projet'!$B$10,Paramètres!$A$1:$I$89,3,0)*VLOOKUP('Données projet'!$B$10,Paramètres!$A$1:$I$89,5,0)</f>
        <v>244.02455999999998</v>
      </c>
      <c r="AK114" s="13">
        <f t="shared" si="89"/>
        <v>59.304594314969279</v>
      </c>
      <c r="AL114" s="20">
        <f t="shared" si="58"/>
        <v>528.29827709857148</v>
      </c>
      <c r="AM114" s="59">
        <f t="shared" si="59"/>
        <v>821.63161043190485</v>
      </c>
      <c r="AN114" s="59">
        <f ca="1">AVERAGE(OFFSET($AM$3,0,0,'Données projet'!$E$10+1,1))-AVERAGE(OFFSET($H$3,0,0,'Données projet'!$E$10+1,1))</f>
        <v>237.22177246688199</v>
      </c>
      <c r="AO114" s="59">
        <f t="shared" si="90"/>
        <v>149.27472147904302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0.32874232350545857</v>
      </c>
      <c r="AW114" s="21">
        <f>EXP(-LN(2)/2)*AW113+(1-EXP(-LN(2)/2))/(LN(2)/2)*AQ114*AT114*VLOOKUP('Données projet'!$B$10,Paramètres!$A$1:$I$89,3,0)*0.475*44/12</f>
        <v>3.9804307007113941E-12</v>
      </c>
      <c r="AX114" s="21">
        <f t="shared" si="60"/>
        <v>0.32874232350943899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168.08890945052406</v>
      </c>
      <c r="BJ114" s="59">
        <f t="shared" si="92"/>
        <v>182.52462557642343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1.2490519434027896</v>
      </c>
      <c r="BQ114" s="21">
        <f>EXP(-LN(2)/25)*BQ113+(1-EXP(-LN(2)/25))/(LN(2)/25)*Calculateur!BL114*Calculateur!BN114*VLOOKUP('Données projet'!$B$11,Paramètres!$A$1:$I$89,3,0)*0.475*44/12</f>
        <v>1.3051395930172334</v>
      </c>
      <c r="BR114" s="21">
        <f>EXP(-LN(2)/2)*BR113+(1-EXP(-LN(2)/2))/(LN(2)/2)*BL114*BO114*VLOOKUP('Données projet'!$B$11,Paramètres!$A$1:$I$89,3,0)*0.475*44/12</f>
        <v>3.5021785206151575E-12</v>
      </c>
      <c r="BS114" s="22">
        <f t="shared" si="63"/>
        <v>2.554191536423525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1.064108801074326E-13</v>
      </c>
      <c r="P115" s="13">
        <f t="shared" si="87"/>
        <v>1.5870730813698654E-12</v>
      </c>
      <c r="Q115" s="20">
        <f t="shared" si="107"/>
        <v>2.9494845662396269E-12</v>
      </c>
      <c r="R115" s="59">
        <f t="shared" si="55"/>
        <v>293.33333333333627</v>
      </c>
      <c r="S115" s="59">
        <f ca="1">AVERAGE(OFFSET($R$3,0,0,'Données projet'!$E$9+1,1))-AVERAGE(OFFSET($H$3,0,0,'Données projet'!$E$9+1,1))</f>
        <v>214.51224556840771</v>
      </c>
      <c r="T115" s="59">
        <f t="shared" si="88"/>
        <v>225.78309962707215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0.78265854610147056</v>
      </c>
      <c r="AA115" s="21">
        <f>EXP(-LN(2)/25)*AA114+(1-EXP(-LN(2)/25))/(LN(2)/25)*Calculateur!V115*Calculateur!X115*VLOOKUP('Données projet'!$B$9,Paramètres!$A$1:$I$89,3,0)*0.475*44/12</f>
        <v>2.6448297313086244</v>
      </c>
      <c r="AB115" s="21">
        <f>EXP(-LN(2)/2)*AB114+(1-EXP(-LN(2)/2))/(LN(2)/2)*V115*Y115*VLOOKUP('Données projet'!$B$9,Paramètres!$A$1:$I$89,3,0)*0.475*44/12</f>
        <v>1.108154746862143E-11</v>
      </c>
      <c r="AC115" s="22">
        <f t="shared" si="57"/>
        <v>3.4274882774211766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3.7</v>
      </c>
      <c r="AI115" s="13">
        <f>IF('Données projet'!$A$62&gt;35,AI114+AH115-AQ114,IF(A115&lt;'Données projet'!$A$62,$AF$205^A115,IF(A115='Données projet'!$A$62,'Données projet'!$B$62,AI114+AH115-AQ114)))</f>
        <v>273.39999999999998</v>
      </c>
      <c r="AJ115" s="13">
        <f>AI115*VLOOKUP('Données projet'!$B$10,Paramètres!$A$1:$I$89,3,0)*VLOOKUP('Données projet'!$B$10,Paramètres!$A$1:$I$89,5,0)</f>
        <v>247.37231999999997</v>
      </c>
      <c r="AK115" s="13">
        <f t="shared" si="89"/>
        <v>60.022917171131049</v>
      </c>
      <c r="AL115" s="20">
        <f t="shared" si="58"/>
        <v>535.38003807305324</v>
      </c>
      <c r="AM115" s="59">
        <f t="shared" si="59"/>
        <v>828.71337140638661</v>
      </c>
      <c r="AN115" s="59">
        <f ca="1">AVERAGE(OFFSET($AM$3,0,0,'Données projet'!$E$10+1,1))-AVERAGE(OFFSET($H$3,0,0,'Données projet'!$E$10+1,1))</f>
        <v>237.22177246688199</v>
      </c>
      <c r="AO115" s="59">
        <f t="shared" si="90"/>
        <v>149.27472147904302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0.31975284738139437</v>
      </c>
      <c r="AW115" s="21">
        <f>EXP(-LN(2)/2)*AW114+(1-EXP(-LN(2)/2))/(LN(2)/2)*AQ115*AT115*VLOOKUP('Données projet'!$B$10,Paramètres!$A$1:$I$89,3,0)*0.475*44/12</f>
        <v>2.8145895405161479E-12</v>
      </c>
      <c r="AX115" s="21">
        <f t="shared" si="60"/>
        <v>0.31975284738420895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168.08890945052406</v>
      </c>
      <c r="BJ115" s="59">
        <f t="shared" si="92"/>
        <v>182.52462557642343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1.2245587966391203</v>
      </c>
      <c r="BQ115" s="21">
        <f>EXP(-LN(2)/25)*BQ114+(1-EXP(-LN(2)/25))/(LN(2)/25)*Calculateur!BL115*Calculateur!BN115*VLOOKUP('Données projet'!$B$11,Paramètres!$A$1:$I$89,3,0)*0.475*44/12</f>
        <v>1.2694504822118688</v>
      </c>
      <c r="BR115" s="21">
        <f>EXP(-LN(2)/2)*BR114+(1-EXP(-LN(2)/2))/(LN(2)/2)*BL115*BO115*VLOOKUP('Données projet'!$B$11,Paramètres!$A$1:$I$89,3,0)*0.475*44/12</f>
        <v>2.4764141808528488E-12</v>
      </c>
      <c r="BS115" s="22">
        <f t="shared" si="63"/>
        <v>2.4940092788534654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1.064108801074326E-13</v>
      </c>
      <c r="P116" s="13">
        <f t="shared" si="87"/>
        <v>1.5870730813698654E-12</v>
      </c>
      <c r="Q116" s="20">
        <f t="shared" si="107"/>
        <v>2.9494845662396269E-12</v>
      </c>
      <c r="R116" s="59">
        <f t="shared" si="55"/>
        <v>293.33333333333627</v>
      </c>
      <c r="S116" s="59">
        <f ca="1">AVERAGE(OFFSET($R$3,0,0,'Données projet'!$E$9+1,1))-AVERAGE(OFFSET($H$3,0,0,'Données projet'!$E$9+1,1))</f>
        <v>214.51224556840771</v>
      </c>
      <c r="T116" s="59">
        <f t="shared" si="88"/>
        <v>225.78309962707215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0.76731108938699699</v>
      </c>
      <c r="AA116" s="21">
        <f>EXP(-LN(2)/25)*AA115+(1-EXP(-LN(2)/25))/(LN(2)/25)*Calculateur!V116*Calculateur!X116*VLOOKUP('Données projet'!$B$9,Paramètres!$A$1:$I$89,3,0)*0.475*44/12</f>
        <v>2.5725067232204393</v>
      </c>
      <c r="AB116" s="21">
        <f>EXP(-LN(2)/2)*AB115+(1-EXP(-LN(2)/2))/(LN(2)/2)*V116*Y116*VLOOKUP('Données projet'!$B$9,Paramètres!$A$1:$I$89,3,0)*0.475*44/12</f>
        <v>7.8358373611028333E-12</v>
      </c>
      <c r="AC116" s="22">
        <f t="shared" si="57"/>
        <v>3.3398178126152724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3.7</v>
      </c>
      <c r="AI116" s="13">
        <f>IF('Données projet'!$A$62&gt;35,AI115+AH116-AQ115,IF(A116&lt;'Données projet'!$A$62,$AF$205^A116,IF(A116='Données projet'!$A$62,'Données projet'!$B$62,AI115+AH116-AQ115)))</f>
        <v>277.09999999999997</v>
      </c>
      <c r="AJ116" s="13">
        <f>AI116*VLOOKUP('Données projet'!$B$10,Paramètres!$A$1:$I$89,3,0)*VLOOKUP('Données projet'!$B$10,Paramètres!$A$1:$I$89,5,0)</f>
        <v>250.72007999999994</v>
      </c>
      <c r="AK116" s="13">
        <f t="shared" si="89"/>
        <v>60.740109326032758</v>
      </c>
      <c r="AL116" s="20">
        <f t="shared" si="58"/>
        <v>542.45982974284027</v>
      </c>
      <c r="AM116" s="59">
        <f t="shared" si="59"/>
        <v>835.79316307617364</v>
      </c>
      <c r="AN116" s="59">
        <f ca="1">AVERAGE(OFFSET($AM$3,0,0,'Données projet'!$E$10+1,1))-AVERAGE(OFFSET($H$3,0,0,'Données projet'!$E$10+1,1))</f>
        <v>237.22177246688199</v>
      </c>
      <c r="AO116" s="59">
        <f t="shared" si="90"/>
        <v>149.27472147904302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0.31100918895467872</v>
      </c>
      <c r="AW116" s="21">
        <f>EXP(-LN(2)/2)*AW115+(1-EXP(-LN(2)/2))/(LN(2)/2)*AQ116*AT116*VLOOKUP('Données projet'!$B$10,Paramètres!$A$1:$I$89,3,0)*0.475*44/12</f>
        <v>1.9902153503556971E-12</v>
      </c>
      <c r="AX116" s="21">
        <f t="shared" si="60"/>
        <v>0.31100918895666896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168.08890945052406</v>
      </c>
      <c r="BJ116" s="59">
        <f t="shared" si="92"/>
        <v>182.52462557642343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1.2005459455441421</v>
      </c>
      <c r="BQ116" s="21">
        <f>EXP(-LN(2)/25)*BQ115+(1-EXP(-LN(2)/25))/(LN(2)/25)*Calculateur!BL116*Calculateur!BN116*VLOOKUP('Données projet'!$B$11,Paramètres!$A$1:$I$89,3,0)*0.475*44/12</f>
        <v>1.2347372920182857</v>
      </c>
      <c r="BR116" s="21">
        <f>EXP(-LN(2)/2)*BR115+(1-EXP(-LN(2)/2))/(LN(2)/2)*BL116*BO116*VLOOKUP('Données projet'!$B$11,Paramètres!$A$1:$I$89,3,0)*0.475*44/12</f>
        <v>1.7510892603075787E-12</v>
      </c>
      <c r="BS116" s="22">
        <f t="shared" si="63"/>
        <v>2.4352832375641786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1.064108801074326E-13</v>
      </c>
      <c r="P117" s="13">
        <f t="shared" si="87"/>
        <v>1.5870730813698654E-12</v>
      </c>
      <c r="Q117" s="20">
        <f t="shared" si="107"/>
        <v>2.9494845662396269E-12</v>
      </c>
      <c r="R117" s="59">
        <f t="shared" si="55"/>
        <v>293.33333333333627</v>
      </c>
      <c r="S117" s="59">
        <f ca="1">AVERAGE(OFFSET($R$3,0,0,'Données projet'!$E$9+1,1))-AVERAGE(OFFSET($H$3,0,0,'Données projet'!$E$9+1,1))</f>
        <v>214.51224556840771</v>
      </c>
      <c r="T117" s="59">
        <f t="shared" si="88"/>
        <v>225.78309962707215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0.75226458693766995</v>
      </c>
      <c r="AA117" s="21">
        <f>EXP(-LN(2)/25)*AA116+(1-EXP(-LN(2)/25))/(LN(2)/25)*Calculateur!V117*Calculateur!X117*VLOOKUP('Données projet'!$B$9,Paramètres!$A$1:$I$89,3,0)*0.475*44/12</f>
        <v>2.5021613915917271</v>
      </c>
      <c r="AB117" s="21">
        <f>EXP(-LN(2)/2)*AB116+(1-EXP(-LN(2)/2))/(LN(2)/2)*V117*Y117*VLOOKUP('Données projet'!$B$9,Paramètres!$A$1:$I$89,3,0)*0.475*44/12</f>
        <v>5.5407737343107152E-12</v>
      </c>
      <c r="AC117" s="22">
        <f t="shared" si="57"/>
        <v>3.2544259785349379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3.7</v>
      </c>
      <c r="AI117" s="13">
        <f>IF('Données projet'!$A$62&gt;35,AI116+AH117-AQ116,IF(A117&lt;'Données projet'!$A$62,$AF$205^A117,IF(A117='Données projet'!$A$62,'Données projet'!$B$62,AI116+AH117-AQ116)))</f>
        <v>280.79999999999995</v>
      </c>
      <c r="AJ117" s="13">
        <f>AI117*VLOOKUP('Données projet'!$B$10,Paramètres!$A$1:$I$89,3,0)*VLOOKUP('Données projet'!$B$10,Paramètres!$A$1:$I$89,5,0)</f>
        <v>254.06783999999996</v>
      </c>
      <c r="AK117" s="13">
        <f t="shared" si="89"/>
        <v>61.456187622750718</v>
      </c>
      <c r="AL117" s="20">
        <f t="shared" si="58"/>
        <v>549.53768144295748</v>
      </c>
      <c r="AM117" s="59">
        <f t="shared" si="59"/>
        <v>842.87101477629085</v>
      </c>
      <c r="AN117" s="59">
        <f ca="1">AVERAGE(OFFSET($AM$3,0,0,'Données projet'!$E$10+1,1))-AVERAGE(OFFSET($H$3,0,0,'Données projet'!$E$10+1,1))</f>
        <v>237.22177246688199</v>
      </c>
      <c r="AO117" s="59">
        <f t="shared" si="90"/>
        <v>149.27472147904302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0.30250462632745062</v>
      </c>
      <c r="AW117" s="21">
        <f>EXP(-LN(2)/2)*AW116+(1-EXP(-LN(2)/2))/(LN(2)/2)*AQ117*AT117*VLOOKUP('Données projet'!$B$10,Paramètres!$A$1:$I$89,3,0)*0.475*44/12</f>
        <v>1.4072947702580739E-12</v>
      </c>
      <c r="AX117" s="21">
        <f t="shared" si="60"/>
        <v>0.30250462632885794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168.08890945052406</v>
      </c>
      <c r="BJ117" s="59">
        <f t="shared" si="92"/>
        <v>182.52462557642343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1.1770039718127434</v>
      </c>
      <c r="BQ117" s="21">
        <f>EXP(-LN(2)/25)*BQ116+(1-EXP(-LN(2)/25))/(LN(2)/25)*Calculateur!BL117*Calculateur!BN117*VLOOKUP('Données projet'!$B$11,Paramètres!$A$1:$I$89,3,0)*0.475*44/12</f>
        <v>1.2009733358360335</v>
      </c>
      <c r="BR117" s="21">
        <f>EXP(-LN(2)/2)*BR116+(1-EXP(-LN(2)/2))/(LN(2)/2)*BL117*BO117*VLOOKUP('Données projet'!$B$11,Paramètres!$A$1:$I$89,3,0)*0.475*44/12</f>
        <v>1.2382070904264244E-12</v>
      </c>
      <c r="BS117" s="22">
        <f t="shared" si="63"/>
        <v>2.3779773076500152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1.064108801074326E-13</v>
      </c>
      <c r="P118" s="13">
        <f t="shared" si="87"/>
        <v>1.5870730813698654E-12</v>
      </c>
      <c r="Q118" s="20">
        <f t="shared" si="107"/>
        <v>2.9494845662396269E-12</v>
      </c>
      <c r="R118" s="59">
        <f t="shared" si="55"/>
        <v>293.33333333333627</v>
      </c>
      <c r="S118" s="59">
        <f ca="1">AVERAGE(OFFSET($R$3,0,0,'Données projet'!$E$9+1,1))-AVERAGE(OFFSET($H$3,0,0,'Données projet'!$E$9+1,1))</f>
        <v>214.51224556840771</v>
      </c>
      <c r="T118" s="59">
        <f t="shared" si="88"/>
        <v>225.78309962707215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0.73751313722391398</v>
      </c>
      <c r="AA118" s="21">
        <f>EXP(-LN(2)/25)*AA117+(1-EXP(-LN(2)/25))/(LN(2)/25)*Calculateur!V118*Calculateur!X118*VLOOKUP('Données projet'!$B$9,Paramètres!$A$1:$I$89,3,0)*0.475*44/12</f>
        <v>2.4337396567557024</v>
      </c>
      <c r="AB118" s="21">
        <f>EXP(-LN(2)/2)*AB117+(1-EXP(-LN(2)/2))/(LN(2)/2)*V118*Y118*VLOOKUP('Données projet'!$B$9,Paramètres!$A$1:$I$89,3,0)*0.475*44/12</f>
        <v>3.9179186805514167E-12</v>
      </c>
      <c r="AC118" s="22">
        <f t="shared" si="57"/>
        <v>3.171252793983534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3.7</v>
      </c>
      <c r="AI118" s="13">
        <f>IF('Données projet'!$A$62&gt;35,AI117+AH118-AQ117,IF(A118&lt;'Données projet'!$A$62,$AF$205^A118,IF(A118='Données projet'!$A$62,'Données projet'!$B$62,AI117+AH118-AQ117)))</f>
        <v>284.49999999999994</v>
      </c>
      <c r="AJ118" s="13">
        <f>AI118*VLOOKUP('Données projet'!$B$10,Paramètres!$A$1:$I$89,3,0)*VLOOKUP('Données projet'!$B$10,Paramètres!$A$1:$I$89,5,0)</f>
        <v>257.41559999999993</v>
      </c>
      <c r="AK118" s="13">
        <f t="shared" si="89"/>
        <v>62.171168434977119</v>
      </c>
      <c r="AL118" s="20">
        <f t="shared" si="58"/>
        <v>556.61362169091831</v>
      </c>
      <c r="AM118" s="59">
        <f t="shared" si="59"/>
        <v>849.94695502425157</v>
      </c>
      <c r="AN118" s="59">
        <f ca="1">AVERAGE(OFFSET($AM$3,0,0,'Données projet'!$E$10+1,1))-AVERAGE(OFFSET($H$3,0,0,'Données projet'!$E$10+1,1))</f>
        <v>237.22177246688199</v>
      </c>
      <c r="AO118" s="59">
        <f t="shared" si="90"/>
        <v>149.27472147904302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0.29423262141249956</v>
      </c>
      <c r="AW118" s="21">
        <f>EXP(-LN(2)/2)*AW117+(1-EXP(-LN(2)/2))/(LN(2)/2)*AQ118*AT118*VLOOKUP('Données projet'!$B$10,Paramètres!$A$1:$I$89,3,0)*0.475*44/12</f>
        <v>9.9510767517784854E-13</v>
      </c>
      <c r="AX118" s="21">
        <f t="shared" si="60"/>
        <v>0.29423262141349465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168.08890945052406</v>
      </c>
      <c r="BJ118" s="59">
        <f t="shared" si="92"/>
        <v>182.52462557642343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1.1539236418270313</v>
      </c>
      <c r="BQ118" s="21">
        <f>EXP(-LN(2)/25)*BQ117+(1-EXP(-LN(2)/25))/(LN(2)/25)*Calculateur!BL118*Calculateur!BN118*VLOOKUP('Données projet'!$B$11,Paramètres!$A$1:$I$89,3,0)*0.475*44/12</f>
        <v>1.1681326568111543</v>
      </c>
      <c r="BR118" s="21">
        <f>EXP(-LN(2)/2)*BR117+(1-EXP(-LN(2)/2))/(LN(2)/2)*BL118*BO118*VLOOKUP('Données projet'!$B$11,Paramètres!$A$1:$I$89,3,0)*0.475*44/12</f>
        <v>8.7554463015378937E-13</v>
      </c>
      <c r="BS118" s="22">
        <f t="shared" si="63"/>
        <v>2.3220562986390614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1.064108801074326E-13</v>
      </c>
      <c r="P119" s="13">
        <f t="shared" si="87"/>
        <v>1.5870730813698654E-12</v>
      </c>
      <c r="Q119" s="20">
        <f t="shared" si="107"/>
        <v>2.9494845662396269E-12</v>
      </c>
      <c r="R119" s="59">
        <f t="shared" si="55"/>
        <v>293.33333333333627</v>
      </c>
      <c r="S119" s="59">
        <f ca="1">AVERAGE(OFFSET($R$3,0,0,'Données projet'!$E$9+1,1))-AVERAGE(OFFSET($H$3,0,0,'Données projet'!$E$9+1,1))</f>
        <v>214.51224556840771</v>
      </c>
      <c r="T119" s="59">
        <f t="shared" si="88"/>
        <v>225.78309962707215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0.72305095444154888</v>
      </c>
      <c r="AA119" s="21">
        <f>EXP(-LN(2)/25)*AA118+(1-EXP(-LN(2)/25))/(LN(2)/25)*Calculateur!V119*Calculateur!X119*VLOOKUP('Données projet'!$B$9,Paramètres!$A$1:$I$89,3,0)*0.475*44/12</f>
        <v>2.3671889178569114</v>
      </c>
      <c r="AB119" s="21">
        <f>EXP(-LN(2)/2)*AB118+(1-EXP(-LN(2)/2))/(LN(2)/2)*V119*Y119*VLOOKUP('Données projet'!$B$9,Paramètres!$A$1:$I$89,3,0)*0.475*44/12</f>
        <v>2.7703868671553576E-12</v>
      </c>
      <c r="AC119" s="22">
        <f t="shared" si="57"/>
        <v>3.0902398723012308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3.7</v>
      </c>
      <c r="AI119" s="13">
        <f>IF('Données projet'!$A$62&gt;35,AI118+AH119-AQ118,IF(A119&lt;'Données projet'!$A$62,$AF$205^A119,IF(A119='Données projet'!$A$62,'Données projet'!$B$62,AI118+AH119-AQ118)))</f>
        <v>288.19999999999993</v>
      </c>
      <c r="AJ119" s="13">
        <f>AI119*VLOOKUP('Données projet'!$B$10,Paramètres!$A$1:$I$89,3,0)*VLOOKUP('Données projet'!$B$10,Paramètres!$A$1:$I$89,5,0)</f>
        <v>260.76335999999992</v>
      </c>
      <c r="AK119" s="13">
        <f t="shared" si="89"/>
        <v>62.885067686031952</v>
      </c>
      <c r="AL119" s="20">
        <f t="shared" si="58"/>
        <v>563.68767821983886</v>
      </c>
      <c r="AM119" s="59">
        <f t="shared" si="59"/>
        <v>857.02101155317223</v>
      </c>
      <c r="AN119" s="59">
        <f ca="1">AVERAGE(OFFSET($AM$3,0,0,'Données projet'!$E$10+1,1))-AVERAGE(OFFSET($H$3,0,0,'Données projet'!$E$10+1,1))</f>
        <v>237.22177246688199</v>
      </c>
      <c r="AO119" s="59">
        <f t="shared" si="90"/>
        <v>149.27472147904302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0.28618681490695369</v>
      </c>
      <c r="AW119" s="21">
        <f>EXP(-LN(2)/2)*AW118+(1-EXP(-LN(2)/2))/(LN(2)/2)*AQ119*AT119*VLOOKUP('Données projet'!$B$10,Paramètres!$A$1:$I$89,3,0)*0.475*44/12</f>
        <v>7.0364738512903697E-13</v>
      </c>
      <c r="AX119" s="21">
        <f t="shared" si="60"/>
        <v>0.28618681490765735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168.08890945052406</v>
      </c>
      <c r="BJ119" s="59">
        <f t="shared" si="92"/>
        <v>182.52462557642343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1.1312959030347278</v>
      </c>
      <c r="BQ119" s="21">
        <f>EXP(-LN(2)/25)*BQ118+(1-EXP(-LN(2)/25))/(LN(2)/25)*Calculateur!BL119*Calculateur!BN119*VLOOKUP('Données projet'!$B$11,Paramètres!$A$1:$I$89,3,0)*0.475*44/12</f>
        <v>1.1361900078812266</v>
      </c>
      <c r="BR119" s="21">
        <f>EXP(-LN(2)/2)*BR118+(1-EXP(-LN(2)/2))/(LN(2)/2)*BL119*BO119*VLOOKUP('Données projet'!$B$11,Paramètres!$A$1:$I$89,3,0)*0.475*44/12</f>
        <v>6.1910354521321221E-13</v>
      </c>
      <c r="BS119" s="22">
        <f t="shared" si="63"/>
        <v>2.2674859109165735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1.064108801074326E-13</v>
      </c>
      <c r="P120" s="13">
        <f t="shared" si="87"/>
        <v>1.5870730813698654E-12</v>
      </c>
      <c r="Q120" s="20">
        <f t="shared" si="107"/>
        <v>2.9494845662396269E-12</v>
      </c>
      <c r="R120" s="59">
        <f t="shared" si="55"/>
        <v>293.33333333333627</v>
      </c>
      <c r="S120" s="59">
        <f ca="1">AVERAGE(OFFSET($R$3,0,0,'Données projet'!$E$9+1,1))-AVERAGE(OFFSET($H$3,0,0,'Données projet'!$E$9+1,1))</f>
        <v>214.51224556840771</v>
      </c>
      <c r="T120" s="59">
        <f t="shared" si="88"/>
        <v>225.78309962707215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0.7088723662424854</v>
      </c>
      <c r="AA120" s="21">
        <f>EXP(-LN(2)/25)*AA119+(1-EXP(-LN(2)/25))/(LN(2)/25)*Calculateur!V120*Calculateur!X120*VLOOKUP('Données projet'!$B$9,Paramètres!$A$1:$I$89,3,0)*0.475*44/12</f>
        <v>2.3024580124130591</v>
      </c>
      <c r="AB120" s="21">
        <f>EXP(-LN(2)/2)*AB119+(1-EXP(-LN(2)/2))/(LN(2)/2)*V120*Y120*VLOOKUP('Données projet'!$B$9,Paramètres!$A$1:$I$89,3,0)*0.475*44/12</f>
        <v>1.9589593402757083E-12</v>
      </c>
      <c r="AC120" s="22">
        <f t="shared" si="57"/>
        <v>3.0113303786575032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3.7</v>
      </c>
      <c r="AI120" s="13">
        <f>IF('Données projet'!$A$62&gt;35,AI119+AH120-AQ119,IF(A120&lt;'Données projet'!$A$62,$AF$205^A120,IF(A120='Données projet'!$A$62,'Données projet'!$B$62,AI119+AH120-AQ119)))</f>
        <v>291.89999999999992</v>
      </c>
      <c r="AJ120" s="13">
        <f>AI120*VLOOKUP('Données projet'!$B$10,Paramètres!$A$1:$I$89,3,0)*VLOOKUP('Données projet'!$B$10,Paramètres!$A$1:$I$89,5,0)</f>
        <v>264.11111999999991</v>
      </c>
      <c r="AK120" s="13">
        <f t="shared" si="89"/>
        <v>63.59790086687066</v>
      </c>
      <c r="AL120" s="20">
        <f t="shared" si="58"/>
        <v>570.75987800979954</v>
      </c>
      <c r="AM120" s="59">
        <f t="shared" si="59"/>
        <v>864.09321134313291</v>
      </c>
      <c r="AN120" s="59">
        <f ca="1">AVERAGE(OFFSET($AM$3,0,0,'Données projet'!$E$10+1,1))-AVERAGE(OFFSET($H$3,0,0,'Données projet'!$E$10+1,1))</f>
        <v>237.22177246688199</v>
      </c>
      <c r="AO120" s="59">
        <f t="shared" si="90"/>
        <v>149.27472147904302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0.27836102140341251</v>
      </c>
      <c r="AW120" s="21">
        <f>EXP(-LN(2)/2)*AW119+(1-EXP(-LN(2)/2))/(LN(2)/2)*AQ120*AT120*VLOOKUP('Données projet'!$B$10,Paramètres!$A$1:$I$89,3,0)*0.475*44/12</f>
        <v>4.9755383758892427E-13</v>
      </c>
      <c r="AX120" s="21">
        <f t="shared" si="60"/>
        <v>0.27836102140391006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168.08890945052406</v>
      </c>
      <c r="BJ120" s="59">
        <f t="shared" si="92"/>
        <v>182.52462557642343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1.1091118803985835</v>
      </c>
      <c r="BQ120" s="21">
        <f>EXP(-LN(2)/25)*BQ119+(1-EXP(-LN(2)/25))/(LN(2)/25)*Calculateur!BL120*Calculateur!BN120*VLOOKUP('Données projet'!$B$11,Paramètres!$A$1:$I$89,3,0)*0.475*44/12</f>
        <v>1.1051208323660788</v>
      </c>
      <c r="BR120" s="21">
        <f>EXP(-LN(2)/2)*BR119+(1-EXP(-LN(2)/2))/(LN(2)/2)*BL120*BO120*VLOOKUP('Données projet'!$B$11,Paramètres!$A$1:$I$89,3,0)*0.475*44/12</f>
        <v>4.3777231507689468E-13</v>
      </c>
      <c r="BS120" s="22">
        <f t="shared" si="63"/>
        <v>2.2142327127651003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1.064108801074326E-13</v>
      </c>
      <c r="P121" s="13">
        <f t="shared" si="87"/>
        <v>1.5870730813698654E-12</v>
      </c>
      <c r="Q121" s="20">
        <f t="shared" si="107"/>
        <v>2.9494845662396269E-12</v>
      </c>
      <c r="R121" s="59">
        <f t="shared" si="55"/>
        <v>293.33333333333627</v>
      </c>
      <c r="S121" s="59">
        <f ca="1">AVERAGE(OFFSET($R$3,0,0,'Données projet'!$E$9+1,1))-AVERAGE(OFFSET($H$3,0,0,'Données projet'!$E$9+1,1))</f>
        <v>214.51224556840771</v>
      </c>
      <c r="T121" s="59">
        <f t="shared" si="88"/>
        <v>225.78309962707215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0.69497181150992071</v>
      </c>
      <c r="AA121" s="21">
        <f>EXP(-LN(2)/25)*AA120+(1-EXP(-LN(2)/25))/(LN(2)/25)*Calculateur!V121*Calculateur!X121*VLOOKUP('Données projet'!$B$9,Paramètres!$A$1:$I$89,3,0)*0.475*44/12</f>
        <v>2.2394971769826193</v>
      </c>
      <c r="AB121" s="21">
        <f>EXP(-LN(2)/2)*AB120+(1-EXP(-LN(2)/2))/(LN(2)/2)*V121*Y121*VLOOKUP('Données projet'!$B$9,Paramètres!$A$1:$I$89,3,0)*0.475*44/12</f>
        <v>1.3851934335776788E-12</v>
      </c>
      <c r="AC121" s="22">
        <f t="shared" si="57"/>
        <v>2.9344689884939252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3.7</v>
      </c>
      <c r="AI121" s="13">
        <f>IF('Données projet'!$A$62&gt;35,AI120+AH121-AQ120,IF(A121&lt;'Données projet'!$A$62,$AF$205^A121,IF(A121='Données projet'!$A$62,'Données projet'!$B$62,AI120+AH121-AQ120)))</f>
        <v>295.59999999999991</v>
      </c>
      <c r="AJ121" s="13">
        <f>AI121*VLOOKUP('Données projet'!$B$10,Paramètres!$A$1:$I$89,3,0)*VLOOKUP('Données projet'!$B$10,Paramètres!$A$1:$I$89,5,0)</f>
        <v>267.45887999999991</v>
      </c>
      <c r="AK121" s="13">
        <f t="shared" si="89"/>
        <v>64.309683053152384</v>
      </c>
      <c r="AL121" s="20">
        <f t="shared" si="58"/>
        <v>577.83024731757359</v>
      </c>
      <c r="AM121" s="59">
        <f t="shared" si="59"/>
        <v>871.16358065090685</v>
      </c>
      <c r="AN121" s="59">
        <f ca="1">AVERAGE(OFFSET($AM$3,0,0,'Données projet'!$E$10+1,1))-AVERAGE(OFFSET($H$3,0,0,'Données projet'!$E$10+1,1))</f>
        <v>237.22177246688199</v>
      </c>
      <c r="AO121" s="59">
        <f t="shared" si="90"/>
        <v>149.27472147904302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0.27074922463476631</v>
      </c>
      <c r="AW121" s="21">
        <f>EXP(-LN(2)/2)*AW120+(1-EXP(-LN(2)/2))/(LN(2)/2)*AQ121*AT121*VLOOKUP('Données projet'!$B$10,Paramètres!$A$1:$I$89,3,0)*0.475*44/12</f>
        <v>3.5182369256451848E-13</v>
      </c>
      <c r="AX121" s="21">
        <f t="shared" si="60"/>
        <v>0.27074922463511814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168.08890945052406</v>
      </c>
      <c r="BJ121" s="59">
        <f t="shared" si="92"/>
        <v>182.52462557642343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1.0873628729154163</v>
      </c>
      <c r="BQ121" s="21">
        <f>EXP(-LN(2)/25)*BQ120+(1-EXP(-LN(2)/25))/(LN(2)/25)*Calculateur!BL121*Calculateur!BN121*VLOOKUP('Données projet'!$B$11,Paramètres!$A$1:$I$89,3,0)*0.475*44/12</f>
        <v>1.0749012450892497</v>
      </c>
      <c r="BR121" s="21">
        <f>EXP(-LN(2)/2)*BR120+(1-EXP(-LN(2)/2))/(LN(2)/2)*BL121*BO121*VLOOKUP('Données projet'!$B$11,Paramètres!$A$1:$I$89,3,0)*0.475*44/12</f>
        <v>3.095517726066061E-13</v>
      </c>
      <c r="BS121" s="22">
        <f t="shared" si="63"/>
        <v>2.1622641180049755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1.064108801074326E-13</v>
      </c>
      <c r="P122" s="13">
        <f t="shared" si="87"/>
        <v>1.5870730813698654E-12</v>
      </c>
      <c r="Q122" s="20">
        <f t="shared" si="107"/>
        <v>2.9494845662396269E-12</v>
      </c>
      <c r="R122" s="59">
        <f t="shared" si="55"/>
        <v>293.33333333333627</v>
      </c>
      <c r="S122" s="59">
        <f ca="1">AVERAGE(OFFSET($R$3,0,0,'Données projet'!$E$9+1,1))-AVERAGE(OFFSET($H$3,0,0,'Données projet'!$E$9+1,1))</f>
        <v>214.51224556840771</v>
      </c>
      <c r="T122" s="59">
        <f t="shared" si="88"/>
        <v>225.78309962707215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0.68134383817716049</v>
      </c>
      <c r="AA122" s="21">
        <f>EXP(-LN(2)/25)*AA121+(1-EXP(-LN(2)/25))/(LN(2)/25)*Calculateur!V122*Calculateur!X122*VLOOKUP('Données projet'!$B$9,Paramètres!$A$1:$I$89,3,0)*0.475*44/12</f>
        <v>2.1782580089079913</v>
      </c>
      <c r="AB122" s="21">
        <f>EXP(-LN(2)/2)*AB121+(1-EXP(-LN(2)/2))/(LN(2)/2)*V122*Y122*VLOOKUP('Données projet'!$B$9,Paramètres!$A$1:$I$89,3,0)*0.475*44/12</f>
        <v>9.7947967013785417E-13</v>
      </c>
      <c r="AC122" s="22">
        <f t="shared" si="57"/>
        <v>2.8596018470861315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3.7</v>
      </c>
      <c r="AI122" s="13">
        <f>IF('Données projet'!$A$62&gt;35,AI121+AH122-AQ121,IF(A122&lt;'Données projet'!$A$62,$AF$205^A122,IF(A122='Données projet'!$A$62,'Données projet'!$B$62,AI121+AH122-AQ121)))</f>
        <v>299.2999999999999</v>
      </c>
      <c r="AJ122" s="13">
        <f>AI122*VLOOKUP('Données projet'!$B$10,Paramètres!$A$1:$I$89,3,0)*VLOOKUP('Données projet'!$B$10,Paramètres!$A$1:$I$89,5,0)</f>
        <v>270.8066399999999</v>
      </c>
      <c r="AK122" s="13">
        <f t="shared" si="89"/>
        <v>65.020428921429911</v>
      </c>
      <c r="AL122" s="20">
        <f t="shared" si="58"/>
        <v>584.89881170482352</v>
      </c>
      <c r="AM122" s="59">
        <f t="shared" si="59"/>
        <v>878.23214503815689</v>
      </c>
      <c r="AN122" s="59">
        <f ca="1">AVERAGE(OFFSET($AM$3,0,0,'Données projet'!$E$10+1,1))-AVERAGE(OFFSET($H$3,0,0,'Données projet'!$E$10+1,1))</f>
        <v>237.22177246688199</v>
      </c>
      <c r="AO122" s="59">
        <f t="shared" si="90"/>
        <v>149.27472147904302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0.26334557284904569</v>
      </c>
      <c r="AW122" s="21">
        <f>EXP(-LN(2)/2)*AW121+(1-EXP(-LN(2)/2))/(LN(2)/2)*AQ122*AT122*VLOOKUP('Données projet'!$B$10,Paramètres!$A$1:$I$89,3,0)*0.475*44/12</f>
        <v>2.4877691879446213E-13</v>
      </c>
      <c r="AX122" s="21">
        <f t="shared" si="60"/>
        <v>0.2633455728492945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168.08890945052406</v>
      </c>
      <c r="BJ122" s="59">
        <f t="shared" si="92"/>
        <v>182.52462557642343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1.0660403502034095</v>
      </c>
      <c r="BQ122" s="21">
        <f>EXP(-LN(2)/25)*BQ121+(1-EXP(-LN(2)/25))/(LN(2)/25)*Calculateur!BL122*Calculateur!BN122*VLOOKUP('Données projet'!$B$11,Paramètres!$A$1:$I$89,3,0)*0.475*44/12</f>
        <v>1.0455080140156843</v>
      </c>
      <c r="BR122" s="21">
        <f>EXP(-LN(2)/2)*BR121+(1-EXP(-LN(2)/2))/(LN(2)/2)*BL122*BO122*VLOOKUP('Données projet'!$B$11,Paramètres!$A$1:$I$89,3,0)*0.475*44/12</f>
        <v>2.1888615753844734E-13</v>
      </c>
      <c r="BS122" s="22">
        <f t="shared" si="63"/>
        <v>2.1115483642193129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1.064108801074326E-13</v>
      </c>
      <c r="P123" s="13">
        <f t="shared" si="87"/>
        <v>1.5870730813698654E-12</v>
      </c>
      <c r="Q123" s="20">
        <f t="shared" si="107"/>
        <v>2.9494845662396269E-12</v>
      </c>
      <c r="R123" s="59">
        <f t="shared" si="55"/>
        <v>293.33333333333627</v>
      </c>
      <c r="S123" s="59">
        <f ca="1">AVERAGE(OFFSET($R$3,0,0,'Données projet'!$E$9+1,1))-AVERAGE(OFFSET($H$3,0,0,'Données projet'!$E$9+1,1))</f>
        <v>214.51224556840771</v>
      </c>
      <c r="T123" s="59">
        <f t="shared" si="88"/>
        <v>225.78309962707215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0.66798310108921266</v>
      </c>
      <c r="AA123" s="21">
        <f>EXP(-LN(2)/25)*AA122+(1-EXP(-LN(2)/25))/(LN(2)/25)*Calculateur!V123*Calculateur!X123*VLOOKUP('Données projet'!$B$9,Paramètres!$A$1:$I$89,3,0)*0.475*44/12</f>
        <v>2.1186934291047921</v>
      </c>
      <c r="AB123" s="21">
        <f>EXP(-LN(2)/2)*AB122+(1-EXP(-LN(2)/2))/(LN(2)/2)*V123*Y123*VLOOKUP('Données projet'!$B$9,Paramètres!$A$1:$I$89,3,0)*0.475*44/12</f>
        <v>6.9259671678883941E-13</v>
      </c>
      <c r="AC123" s="22">
        <f t="shared" si="57"/>
        <v>2.7866765301946974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303</v>
      </c>
      <c r="AG123" s="12">
        <f>VLOOKUP(A123,'Données projet'!$A$61:$I$81,9,0)</f>
        <v>3.7</v>
      </c>
      <c r="AH123" s="12">
        <f t="array" ref="AH123">INDEX(AG:AG,MIN(IF(ISNUMBER(AG123:AG319),ROW(AG123:AG319),"")))</f>
        <v>3.7</v>
      </c>
      <c r="AI123" s="13">
        <f>IF('Données projet'!$A$62&gt;35,AI122+AH123-AQ122,IF(A123&lt;'Données projet'!$A$62,$AF$205^A123,IF(A123='Données projet'!$A$62,'Données projet'!$B$62,AI122+AH123-AQ122)))</f>
        <v>302.99999999999989</v>
      </c>
      <c r="AJ123" s="13">
        <f>AI123*VLOOKUP('Données projet'!$B$10,Paramètres!$A$1:$I$89,3,0)*VLOOKUP('Données projet'!$B$10,Paramètres!$A$1:$I$89,5,0)</f>
        <v>274.1543999999999</v>
      </c>
      <c r="AK123" s="13">
        <f t="shared" si="89"/>
        <v>65.730152764515779</v>
      </c>
      <c r="AL123" s="20">
        <f t="shared" si="58"/>
        <v>591.96559606486471</v>
      </c>
      <c r="AM123" s="59">
        <f t="shared" si="59"/>
        <v>885.29892939819797</v>
      </c>
      <c r="AN123" s="59">
        <f ca="1">AVERAGE(OFFSET($AM$3,0,0,'Données projet'!$E$10+1,1))-AVERAGE(OFFSET($H$3,0,0,'Données projet'!$E$10+1,1))</f>
        <v>237.22177246688199</v>
      </c>
      <c r="AO123" s="59">
        <f t="shared" si="90"/>
        <v>149.27472147904302</v>
      </c>
      <c r="AP123" s="15">
        <f>IF(ISNA(VLOOKUP(A123,'Données projet'!$A$61:$I$81,3,0)),0,VLOOKUP(A123,'Données projet'!$A$61:$I$81,3,0))</f>
        <v>10</v>
      </c>
      <c r="AQ123" s="15">
        <f>IF(ISNA(VLOOKUP(A123,'Données projet'!$A$61:$I$81,4,0)),0,VLOOKUP(A123,'Données projet'!$A$61:$I$81,4,0))</f>
        <v>303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0.25614437431074677</v>
      </c>
      <c r="AW123" s="21">
        <f>EXP(-LN(2)/2)*AW122+(1-EXP(-LN(2)/2))/(LN(2)/2)*AQ123*AT123*VLOOKUP('Données projet'!$B$10,Paramètres!$A$1:$I$89,3,0)*0.475*44/12</f>
        <v>1.7591184628225924E-13</v>
      </c>
      <c r="AX123" s="21">
        <f t="shared" si="60"/>
        <v>0.25614437431092268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168.08890945052406</v>
      </c>
      <c r="BJ123" s="59">
        <f t="shared" si="92"/>
        <v>182.52462557642343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1.0451359491563303</v>
      </c>
      <c r="BQ123" s="21">
        <f>EXP(-LN(2)/25)*BQ122+(1-EXP(-LN(2)/25))/(LN(2)/25)*Calculateur!BL123*Calculateur!BN123*VLOOKUP('Données projet'!$B$11,Paramètres!$A$1:$I$89,3,0)*0.475*44/12</f>
        <v>1.0169185423915486</v>
      </c>
      <c r="BR123" s="21">
        <f>EXP(-LN(2)/2)*BR122+(1-EXP(-LN(2)/2))/(LN(2)/2)*BL123*BO123*VLOOKUP('Données projet'!$B$11,Paramètres!$A$1:$I$89,3,0)*0.475*44/12</f>
        <v>1.5477588630330305E-13</v>
      </c>
      <c r="BS123" s="22">
        <f t="shared" si="63"/>
        <v>2.0620544915480337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1.064108801074326E-13</v>
      </c>
      <c r="P124" s="13">
        <f t="shared" si="87"/>
        <v>1.5870730813698654E-12</v>
      </c>
      <c r="Q124" s="20">
        <f t="shared" si="107"/>
        <v>2.9494845662396269E-12</v>
      </c>
      <c r="R124" s="59">
        <f t="shared" si="55"/>
        <v>293.33333333333627</v>
      </c>
      <c r="S124" s="59">
        <f ca="1">AVERAGE(OFFSET($R$3,0,0,'Données projet'!$E$9+1,1))-AVERAGE(OFFSET($H$3,0,0,'Données projet'!$E$9+1,1))</f>
        <v>214.51224556840771</v>
      </c>
      <c r="T124" s="59">
        <f t="shared" si="88"/>
        <v>225.78309962707215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0.65488435990631455</v>
      </c>
      <c r="AA124" s="21">
        <f>EXP(-LN(2)/25)*AA123+(1-EXP(-LN(2)/25))/(LN(2)/25)*Calculateur!V124*Calculateur!X124*VLOOKUP('Données projet'!$B$9,Paramètres!$A$1:$I$89,3,0)*0.475*44/12</f>
        <v>2.0607576458686765</v>
      </c>
      <c r="AB124" s="21">
        <f>EXP(-LN(2)/2)*AB123+(1-EXP(-LN(2)/2))/(LN(2)/2)*V124*Y124*VLOOKUP('Données projet'!$B$9,Paramètres!$A$1:$I$89,3,0)*0.475*44/12</f>
        <v>4.8973983506892708E-13</v>
      </c>
      <c r="AC124" s="22">
        <f t="shared" si="57"/>
        <v>2.7156420057754809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-1.1368683772161603E-13</v>
      </c>
      <c r="AJ124" s="13">
        <f>AI124*VLOOKUP('Données projet'!$B$10,Paramètres!$A$1:$I$89,3,0)*VLOOKUP('Données projet'!$B$10,Paramètres!$A$1:$I$89,5,0)</f>
        <v>-1.0286385077051818E-13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237.22177246688199</v>
      </c>
      <c r="AO124" s="59">
        <f t="shared" si="90"/>
        <v>149.27472147904302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0.24914009292517217</v>
      </c>
      <c r="AW124" s="21">
        <f>EXP(-LN(2)/2)*AW123+(1-EXP(-LN(2)/2))/(LN(2)/2)*AQ124*AT124*VLOOKUP('Données projet'!$B$10,Paramètres!$A$1:$I$89,3,0)*0.475*44/12</f>
        <v>1.2438845939723107E-13</v>
      </c>
      <c r="AX124" s="21">
        <f t="shared" si="60"/>
        <v>0.24914009292529657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168.08890945052406</v>
      </c>
      <c r="BJ124" s="59">
        <f t="shared" si="92"/>
        <v>182.52462557642343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1.0246414706633589</v>
      </c>
      <c r="BQ124" s="21">
        <f>EXP(-LN(2)/25)*BQ123+(1-EXP(-LN(2)/25))/(LN(2)/25)*Calculateur!BL124*Calculateur!BN124*VLOOKUP('Données projet'!$B$11,Paramètres!$A$1:$I$89,3,0)*0.475*44/12</f>
        <v>0.98911085137242971</v>
      </c>
      <c r="BR124" s="21">
        <f>EXP(-LN(2)/2)*BR123+(1-EXP(-LN(2)/2))/(LN(2)/2)*BL124*BO124*VLOOKUP('Données projet'!$B$11,Paramètres!$A$1:$I$89,3,0)*0.475*44/12</f>
        <v>1.0944307876922367E-13</v>
      </c>
      <c r="BS124" s="22">
        <f t="shared" si="63"/>
        <v>2.0137523220358977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1.064108801074326E-13</v>
      </c>
      <c r="P125" s="13">
        <f t="shared" si="87"/>
        <v>1.5870730813698654E-12</v>
      </c>
      <c r="Q125" s="20">
        <f t="shared" si="107"/>
        <v>2.9494845662396269E-12</v>
      </c>
      <c r="R125" s="59">
        <f t="shared" si="55"/>
        <v>293.33333333333627</v>
      </c>
      <c r="S125" s="59">
        <f ca="1">AVERAGE(OFFSET($R$3,0,0,'Données projet'!$E$9+1,1))-AVERAGE(OFFSET($H$3,0,0,'Données projet'!$E$9+1,1))</f>
        <v>214.51224556840771</v>
      </c>
      <c r="T125" s="59">
        <f t="shared" si="88"/>
        <v>225.78309962707215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0.64204247704856987</v>
      </c>
      <c r="AA125" s="21">
        <f>EXP(-LN(2)/25)*AA124+(1-EXP(-LN(2)/25))/(LN(2)/25)*Calculateur!V125*Calculateur!X125*VLOOKUP('Données projet'!$B$9,Paramètres!$A$1:$I$89,3,0)*0.475*44/12</f>
        <v>2.004406119671863</v>
      </c>
      <c r="AB125" s="21">
        <f>EXP(-LN(2)/2)*AB124+(1-EXP(-LN(2)/2))/(LN(2)/2)*V125*Y125*VLOOKUP('Données projet'!$B$9,Paramètres!$A$1:$I$89,3,0)*0.475*44/12</f>
        <v>3.462983583944197E-13</v>
      </c>
      <c r="AC125" s="22">
        <f t="shared" si="57"/>
        <v>2.6464485967207794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-1.1368683772161603E-13</v>
      </c>
      <c r="AJ125" s="13">
        <f>AI125*VLOOKUP('Données projet'!$B$10,Paramètres!$A$1:$I$89,3,0)*VLOOKUP('Données projet'!$B$10,Paramètres!$A$1:$I$89,5,0)</f>
        <v>-1.0286385077051818E-13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237.22177246688199</v>
      </c>
      <c r="AO125" s="59">
        <f t="shared" si="90"/>
        <v>149.27472147904302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0.24232734398242525</v>
      </c>
      <c r="AW125" s="21">
        <f>EXP(-LN(2)/2)*AW124+(1-EXP(-LN(2)/2))/(LN(2)/2)*AQ125*AT125*VLOOKUP('Données projet'!$B$10,Paramètres!$A$1:$I$89,3,0)*0.475*44/12</f>
        <v>8.7955923141129621E-14</v>
      </c>
      <c r="AX125" s="21">
        <f t="shared" si="60"/>
        <v>0.24232734398251321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168.08890945052406</v>
      </c>
      <c r="BJ125" s="59">
        <f t="shared" si="92"/>
        <v>182.52462557642343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1.0045488763932369</v>
      </c>
      <c r="BQ125" s="21">
        <f>EXP(-LN(2)/25)*BQ124+(1-EXP(-LN(2)/25))/(LN(2)/25)*Calculateur!BL125*Calculateur!BN125*VLOOKUP('Données projet'!$B$11,Paramètres!$A$1:$I$89,3,0)*0.475*44/12</f>
        <v>0.9620635631265716</v>
      </c>
      <c r="BR125" s="21">
        <f>EXP(-LN(2)/2)*BR124+(1-EXP(-LN(2)/2))/(LN(2)/2)*BL125*BO125*VLOOKUP('Données projet'!$B$11,Paramètres!$A$1:$I$89,3,0)*0.475*44/12</f>
        <v>7.7387943151651526E-14</v>
      </c>
      <c r="BS125" s="22">
        <f t="shared" si="63"/>
        <v>1.9666124395198861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1.064108801074326E-13</v>
      </c>
      <c r="P126" s="13">
        <f t="shared" si="87"/>
        <v>1.5870730813698654E-12</v>
      </c>
      <c r="Q126" s="20">
        <f t="shared" si="107"/>
        <v>2.9494845662396269E-12</v>
      </c>
      <c r="R126" s="59">
        <f t="shared" si="55"/>
        <v>293.33333333333627</v>
      </c>
      <c r="S126" s="59">
        <f ca="1">AVERAGE(OFFSET($R$3,0,0,'Données projet'!$E$9+1,1))-AVERAGE(OFFSET($H$3,0,0,'Données projet'!$E$9+1,1))</f>
        <v>214.51224556840771</v>
      </c>
      <c r="T126" s="59">
        <f t="shared" si="88"/>
        <v>225.78309962707215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0.62945241568089039</v>
      </c>
      <c r="AA126" s="21">
        <f>EXP(-LN(2)/25)*AA125+(1-EXP(-LN(2)/25))/(LN(2)/25)*Calculateur!V126*Calculateur!X126*VLOOKUP('Données projet'!$B$9,Paramètres!$A$1:$I$89,3,0)*0.475*44/12</f>
        <v>1.9495955289222993</v>
      </c>
      <c r="AB126" s="21">
        <f>EXP(-LN(2)/2)*AB125+(1-EXP(-LN(2)/2))/(LN(2)/2)*V126*Y126*VLOOKUP('Données projet'!$B$9,Paramètres!$A$1:$I$89,3,0)*0.475*44/12</f>
        <v>2.4486991753446354E-13</v>
      </c>
      <c r="AC126" s="22">
        <f t="shared" si="57"/>
        <v>2.5790479446034342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-1.1368683772161603E-13</v>
      </c>
      <c r="AJ126" s="13">
        <f>AI126*VLOOKUP('Données projet'!$B$10,Paramètres!$A$1:$I$89,3,0)*VLOOKUP('Données projet'!$B$10,Paramètres!$A$1:$I$89,5,0)</f>
        <v>-1.0286385077051818E-13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237.22177246688199</v>
      </c>
      <c r="AO126" s="59">
        <f t="shared" si="90"/>
        <v>149.27472147904302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0.23570089001778466</v>
      </c>
      <c r="AW126" s="21">
        <f>EXP(-LN(2)/2)*AW125+(1-EXP(-LN(2)/2))/(LN(2)/2)*AQ126*AT126*VLOOKUP('Données projet'!$B$10,Paramètres!$A$1:$I$89,3,0)*0.475*44/12</f>
        <v>6.2194229698615533E-14</v>
      </c>
      <c r="AX126" s="21">
        <f t="shared" si="60"/>
        <v>0.23570089001784686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168.08890945052406</v>
      </c>
      <c r="BJ126" s="59">
        <f t="shared" si="92"/>
        <v>182.52462557642343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0.98485028564147958</v>
      </c>
      <c r="BQ126" s="21">
        <f>EXP(-LN(2)/25)*BQ125+(1-EXP(-LN(2)/25))/(LN(2)/25)*Calculateur!BL126*Calculateur!BN126*VLOOKUP('Données projet'!$B$11,Paramètres!$A$1:$I$89,3,0)*0.475*44/12</f>
        <v>0.93575588440015156</v>
      </c>
      <c r="BR126" s="21">
        <f>EXP(-LN(2)/2)*BR125+(1-EXP(-LN(2)/2))/(LN(2)/2)*BL126*BO126*VLOOKUP('Données projet'!$B$11,Paramètres!$A$1:$I$89,3,0)*0.475*44/12</f>
        <v>5.4721539384611835E-14</v>
      </c>
      <c r="BS126" s="22">
        <f t="shared" si="63"/>
        <v>1.9206061700416859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1.064108801074326E-13</v>
      </c>
      <c r="P127" s="13">
        <f t="shared" si="87"/>
        <v>1.5870730813698654E-12</v>
      </c>
      <c r="Q127" s="20">
        <f t="shared" si="107"/>
        <v>2.9494845662396269E-12</v>
      </c>
      <c r="R127" s="59">
        <f t="shared" si="55"/>
        <v>293.33333333333627</v>
      </c>
      <c r="S127" s="59">
        <f ca="1">AVERAGE(OFFSET($R$3,0,0,'Données projet'!$E$9+1,1))-AVERAGE(OFFSET($H$3,0,0,'Données projet'!$E$9+1,1))</f>
        <v>214.51224556840771</v>
      </c>
      <c r="T127" s="59">
        <f t="shared" si="88"/>
        <v>225.78309962707215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0.61710923773745197</v>
      </c>
      <c r="AA127" s="21">
        <f>EXP(-LN(2)/25)*AA126+(1-EXP(-LN(2)/25))/(LN(2)/25)*Calculateur!V127*Calculateur!X127*VLOOKUP('Données projet'!$B$9,Paramètres!$A$1:$I$89,3,0)*0.475*44/12</f>
        <v>1.8962837366591461</v>
      </c>
      <c r="AB127" s="21">
        <f>EXP(-LN(2)/2)*AB126+(1-EXP(-LN(2)/2))/(LN(2)/2)*V127*Y127*VLOOKUP('Données projet'!$B$9,Paramètres!$A$1:$I$89,3,0)*0.475*44/12</f>
        <v>1.7314917919720985E-13</v>
      </c>
      <c r="AC127" s="22">
        <f t="shared" si="57"/>
        <v>2.5133929743967713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-1.1368683772161603E-13</v>
      </c>
      <c r="AJ127" s="13">
        <f>AI127*VLOOKUP('Données projet'!$B$10,Paramètres!$A$1:$I$89,3,0)*VLOOKUP('Données projet'!$B$10,Paramètres!$A$1:$I$89,5,0)</f>
        <v>-1.0286385077051818E-13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237.22177246688199</v>
      </c>
      <c r="AO127" s="59">
        <f t="shared" si="90"/>
        <v>149.27472147904302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0.22925563678527724</v>
      </c>
      <c r="AW127" s="21">
        <f>EXP(-LN(2)/2)*AW126+(1-EXP(-LN(2)/2))/(LN(2)/2)*AQ127*AT127*VLOOKUP('Données projet'!$B$10,Paramètres!$A$1:$I$89,3,0)*0.475*44/12</f>
        <v>4.397796157056481E-14</v>
      </c>
      <c r="AX127" s="21">
        <f t="shared" si="60"/>
        <v>0.22925563678532121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168.08890945052406</v>
      </c>
      <c r="BJ127" s="59">
        <f t="shared" si="92"/>
        <v>182.52462557642343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0.96553797223941029</v>
      </c>
      <c r="BQ127" s="21">
        <f>EXP(-LN(2)/25)*BQ126+(1-EXP(-LN(2)/25))/(LN(2)/25)*Calculateur!BL127*Calculateur!BN127*VLOOKUP('Données projet'!$B$11,Paramètres!$A$1:$I$89,3,0)*0.475*44/12</f>
        <v>0.91016759053196616</v>
      </c>
      <c r="BR127" s="21">
        <f>EXP(-LN(2)/2)*BR126+(1-EXP(-LN(2)/2))/(LN(2)/2)*BL127*BO127*VLOOKUP('Données projet'!$B$11,Paramètres!$A$1:$I$89,3,0)*0.475*44/12</f>
        <v>3.8693971575825763E-14</v>
      </c>
      <c r="BS127" s="22">
        <f t="shared" si="63"/>
        <v>1.8757055627714152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1.064108801074326E-13</v>
      </c>
      <c r="P128" s="13">
        <f t="shared" si="87"/>
        <v>1.5870730813698654E-12</v>
      </c>
      <c r="Q128" s="20">
        <f t="shared" si="107"/>
        <v>2.9494845662396269E-12</v>
      </c>
      <c r="R128" s="59">
        <f t="shared" si="55"/>
        <v>293.33333333333627</v>
      </c>
      <c r="S128" s="59">
        <f ca="1">AVERAGE(OFFSET($R$3,0,0,'Données projet'!$E$9+1,1))-AVERAGE(OFFSET($H$3,0,0,'Données projet'!$E$9+1,1))</f>
        <v>214.51224556840771</v>
      </c>
      <c r="T128" s="59">
        <f t="shared" si="88"/>
        <v>225.78309962707215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0.60500810198488919</v>
      </c>
      <c r="AA128" s="21">
        <f>EXP(-LN(2)/25)*AA127+(1-EXP(-LN(2)/25))/(LN(2)/25)*Calculateur!V128*Calculateur!X128*VLOOKUP('Données projet'!$B$9,Paramètres!$A$1:$I$89,3,0)*0.475*44/12</f>
        <v>1.8444297581589739</v>
      </c>
      <c r="AB128" s="21">
        <f>EXP(-LN(2)/2)*AB127+(1-EXP(-LN(2)/2))/(LN(2)/2)*V128*Y128*VLOOKUP('Données projet'!$B$9,Paramètres!$A$1:$I$89,3,0)*0.475*44/12</f>
        <v>1.2243495876723177E-13</v>
      </c>
      <c r="AC128" s="22">
        <f t="shared" si="57"/>
        <v>2.4494378601439859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-1.1368683772161603E-13</v>
      </c>
      <c r="AJ128" s="13">
        <f>AI128*VLOOKUP('Données projet'!$B$10,Paramètres!$A$1:$I$89,3,0)*VLOOKUP('Données projet'!$B$10,Paramètres!$A$1:$I$89,5,0)</f>
        <v>-1.0286385077051818E-13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237.22177246688199</v>
      </c>
      <c r="AO128" s="59">
        <f t="shared" si="90"/>
        <v>149.27472147904302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0.22298662934135388</v>
      </c>
      <c r="AW128" s="21">
        <f>EXP(-LN(2)/2)*AW127+(1-EXP(-LN(2)/2))/(LN(2)/2)*AQ128*AT128*VLOOKUP('Données projet'!$B$10,Paramètres!$A$1:$I$89,3,0)*0.475*44/12</f>
        <v>3.1097114849307767E-14</v>
      </c>
      <c r="AX128" s="21">
        <f t="shared" si="60"/>
        <v>0.22298662934138497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168.08890945052406</v>
      </c>
      <c r="BJ128" s="59">
        <f t="shared" si="92"/>
        <v>182.52462557642343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0.94660436152380745</v>
      </c>
      <c r="BQ128" s="21">
        <f>EXP(-LN(2)/25)*BQ127+(1-EXP(-LN(2)/25))/(LN(2)/25)*Calculateur!BL128*Calculateur!BN128*VLOOKUP('Données projet'!$B$11,Paramètres!$A$1:$I$89,3,0)*0.475*44/12</f>
        <v>0.88527900990523622</v>
      </c>
      <c r="BR128" s="21">
        <f>EXP(-LN(2)/2)*BR127+(1-EXP(-LN(2)/2))/(LN(2)/2)*BL128*BO128*VLOOKUP('Données projet'!$B$11,Paramètres!$A$1:$I$89,3,0)*0.475*44/12</f>
        <v>2.7360769692305918E-14</v>
      </c>
      <c r="BS128" s="22">
        <f t="shared" si="63"/>
        <v>1.831883371429071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1.064108801074326E-13</v>
      </c>
      <c r="P129" s="13">
        <f t="shared" si="87"/>
        <v>1.5870730813698654E-12</v>
      </c>
      <c r="Q129" s="20">
        <f t="shared" si="107"/>
        <v>2.9494845662396269E-12</v>
      </c>
      <c r="R129" s="59">
        <f t="shared" si="55"/>
        <v>293.33333333333627</v>
      </c>
      <c r="S129" s="59">
        <f ca="1">AVERAGE(OFFSET($R$3,0,0,'Données projet'!$E$9+1,1))-AVERAGE(OFFSET($H$3,0,0,'Données projet'!$E$9+1,1))</f>
        <v>214.51224556840771</v>
      </c>
      <c r="T129" s="59">
        <f t="shared" si="88"/>
        <v>225.78309962707215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0.59314426212347016</v>
      </c>
      <c r="AA129" s="21">
        <f>EXP(-LN(2)/25)*AA128+(1-EXP(-LN(2)/25))/(LN(2)/25)*Calculateur!V129*Calculateur!X129*VLOOKUP('Données projet'!$B$9,Paramètres!$A$1:$I$89,3,0)*0.475*44/12</f>
        <v>1.7939937294277712</v>
      </c>
      <c r="AB129" s="21">
        <f>EXP(-LN(2)/2)*AB128+(1-EXP(-LN(2)/2))/(LN(2)/2)*V129*Y129*VLOOKUP('Données projet'!$B$9,Paramètres!$A$1:$I$89,3,0)*0.475*44/12</f>
        <v>8.6574589598604926E-14</v>
      </c>
      <c r="AC129" s="22">
        <f t="shared" si="57"/>
        <v>2.3871379915513278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-1.1368683772161603E-13</v>
      </c>
      <c r="AJ129" s="13">
        <f>AI129*VLOOKUP('Données projet'!$B$10,Paramètres!$A$1:$I$89,3,0)*VLOOKUP('Données projet'!$B$10,Paramètres!$A$1:$I$89,5,0)</f>
        <v>-1.0286385077051818E-13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237.22177246688199</v>
      </c>
      <c r="AO129" s="59">
        <f t="shared" si="90"/>
        <v>149.27472147904302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0.21688904823565736</v>
      </c>
      <c r="AW129" s="21">
        <f>EXP(-LN(2)/2)*AW128+(1-EXP(-LN(2)/2))/(LN(2)/2)*AQ129*AT129*VLOOKUP('Données projet'!$B$10,Paramètres!$A$1:$I$89,3,0)*0.475*44/12</f>
        <v>2.1988980785282405E-14</v>
      </c>
      <c r="AX129" s="21">
        <f t="shared" si="60"/>
        <v>0.21688904823567934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168.08890945052406</v>
      </c>
      <c r="BJ129" s="59">
        <f t="shared" si="92"/>
        <v>182.52462557642343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0.92804202736597541</v>
      </c>
      <c r="BQ129" s="21">
        <f>EXP(-LN(2)/25)*BQ128+(1-EXP(-LN(2)/25))/(LN(2)/25)*Calculateur!BL129*Calculateur!BN129*VLOOKUP('Données projet'!$B$11,Paramètres!$A$1:$I$89,3,0)*0.475*44/12</f>
        <v>0.86107100882457777</v>
      </c>
      <c r="BR129" s="21">
        <f>EXP(-LN(2)/2)*BR128+(1-EXP(-LN(2)/2))/(LN(2)/2)*BL129*BO129*VLOOKUP('Données projet'!$B$11,Paramètres!$A$1:$I$89,3,0)*0.475*44/12</f>
        <v>1.9346985787912882E-14</v>
      </c>
      <c r="BS129" s="22">
        <f t="shared" si="63"/>
        <v>1.7891130361905725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1.064108801074326E-13</v>
      </c>
      <c r="P130" s="13">
        <f t="shared" si="87"/>
        <v>1.5870730813698654E-12</v>
      </c>
      <c r="Q130" s="20">
        <f t="shared" si="107"/>
        <v>2.9494845662396269E-12</v>
      </c>
      <c r="R130" s="59">
        <f t="shared" si="55"/>
        <v>293.33333333333627</v>
      </c>
      <c r="S130" s="59">
        <f ca="1">AVERAGE(OFFSET($R$3,0,0,'Données projet'!$E$9+1,1))-AVERAGE(OFFSET($H$3,0,0,'Données projet'!$E$9+1,1))</f>
        <v>214.51224556840771</v>
      </c>
      <c r="T130" s="59">
        <f t="shared" si="88"/>
        <v>225.78309962707215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0.58151306492550581</v>
      </c>
      <c r="AA130" s="21">
        <f>EXP(-LN(2)/25)*AA129+(1-EXP(-LN(2)/25))/(LN(2)/25)*Calculateur!V130*Calculateur!X130*VLOOKUP('Données projet'!$B$9,Paramètres!$A$1:$I$89,3,0)*0.475*44/12</f>
        <v>1.7449368765545388</v>
      </c>
      <c r="AB130" s="21">
        <f>EXP(-LN(2)/2)*AB129+(1-EXP(-LN(2)/2))/(LN(2)/2)*V130*Y130*VLOOKUP('Données projet'!$B$9,Paramètres!$A$1:$I$89,3,0)*0.475*44/12</f>
        <v>6.1217479383615885E-14</v>
      </c>
      <c r="AC130" s="22">
        <f t="shared" si="57"/>
        <v>2.3264499414801056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-1.1368683772161603E-13</v>
      </c>
      <c r="AJ130" s="13">
        <f>AI130*VLOOKUP('Données projet'!$B$10,Paramètres!$A$1:$I$89,3,0)*VLOOKUP('Données projet'!$B$10,Paramètres!$A$1:$I$89,5,0)</f>
        <v>-1.0286385077051818E-13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237.22177246688199</v>
      </c>
      <c r="AO130" s="59">
        <f t="shared" si="90"/>
        <v>149.27472147904302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0.21095820580595395</v>
      </c>
      <c r="AW130" s="21">
        <f>EXP(-LN(2)/2)*AW129+(1-EXP(-LN(2)/2))/(LN(2)/2)*AQ130*AT130*VLOOKUP('Données projet'!$B$10,Paramètres!$A$1:$I$89,3,0)*0.475*44/12</f>
        <v>1.5548557424653883E-14</v>
      </c>
      <c r="AX130" s="21">
        <f t="shared" si="60"/>
        <v>0.2109582058059695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168.08890945052406</v>
      </c>
      <c r="BJ130" s="59">
        <f t="shared" si="92"/>
        <v>182.52462557642343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0.90984368925907255</v>
      </c>
      <c r="BQ130" s="21">
        <f>EXP(-LN(2)/25)*BQ129+(1-EXP(-LN(2)/25))/(LN(2)/25)*Calculateur!BL130*Calculateur!BN130*VLOOKUP('Données projet'!$B$11,Paramètres!$A$1:$I$89,3,0)*0.475*44/12</f>
        <v>0.83752497680651339</v>
      </c>
      <c r="BR130" s="21">
        <f>EXP(-LN(2)/2)*BR129+(1-EXP(-LN(2)/2))/(LN(2)/2)*BL130*BO130*VLOOKUP('Données projet'!$B$11,Paramètres!$A$1:$I$89,3,0)*0.475*44/12</f>
        <v>1.3680384846152959E-14</v>
      </c>
      <c r="BS130" s="22">
        <f t="shared" si="63"/>
        <v>1.7473686660655998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1.064108801074326E-13</v>
      </c>
      <c r="P131" s="13">
        <f t="shared" si="87"/>
        <v>1.5870730813698654E-12</v>
      </c>
      <c r="Q131" s="20">
        <f t="shared" ref="Q131:Q153" si="108">(O131+P131)*0.475*44/12</f>
        <v>2.9494845662396269E-12</v>
      </c>
      <c r="R131" s="59">
        <f t="shared" ref="R131:R194" si="109">Q131+(I131+J131)*44/12</f>
        <v>293.33333333333627</v>
      </c>
      <c r="S131" s="59">
        <f ca="1">AVERAGE(OFFSET($R$3,0,0,'Données projet'!$E$9+1,1))-AVERAGE(OFFSET($H$3,0,0,'Données projet'!$E$9+1,1))</f>
        <v>214.51224556840771</v>
      </c>
      <c r="T131" s="59">
        <f t="shared" si="88"/>
        <v>225.78309962707215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0.57010994841026374</v>
      </c>
      <c r="AA131" s="21">
        <f>EXP(-LN(2)/25)*AA130+(1-EXP(-LN(2)/25))/(LN(2)/25)*Calculateur!V131*Calculateur!X131*VLOOKUP('Données projet'!$B$9,Paramètres!$A$1:$I$89,3,0)*0.475*44/12</f>
        <v>1.6972214859029127</v>
      </c>
      <c r="AB131" s="21">
        <f>EXP(-LN(2)/2)*AB130+(1-EXP(-LN(2)/2))/(LN(2)/2)*V131*Y131*VLOOKUP('Données projet'!$B$9,Paramètres!$A$1:$I$89,3,0)*0.475*44/12</f>
        <v>4.3287294799302463E-14</v>
      </c>
      <c r="AC131" s="22">
        <f t="shared" si="57"/>
        <v>2.2673314343132196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-1.1368683772161603E-13</v>
      </c>
      <c r="AJ131" s="13">
        <f>AI131*VLOOKUP('Données projet'!$B$10,Paramètres!$A$1:$I$89,3,0)*VLOOKUP('Données projet'!$B$10,Paramètres!$A$1:$I$89,5,0)</f>
        <v>-1.0286385077051818E-13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237.22177246688199</v>
      </c>
      <c r="AO131" s="59">
        <f t="shared" si="90"/>
        <v>149.27472147904302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0.20518954257438024</v>
      </c>
      <c r="AW131" s="21">
        <f>EXP(-LN(2)/2)*AW130+(1-EXP(-LN(2)/2))/(LN(2)/2)*AQ131*AT131*VLOOKUP('Données projet'!$B$10,Paramètres!$A$1:$I$89,3,0)*0.475*44/12</f>
        <v>1.0994490392641203E-14</v>
      </c>
      <c r="AX131" s="21">
        <f t="shared" si="60"/>
        <v>0.20518954257439123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168.08890945052406</v>
      </c>
      <c r="BJ131" s="59">
        <f t="shared" si="92"/>
        <v>182.52462557642343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0.89200220946255582</v>
      </c>
      <c r="BQ131" s="21">
        <f>EXP(-LN(2)/25)*BQ130+(1-EXP(-LN(2)/25))/(LN(2)/25)*Calculateur!BL131*Calculateur!BN131*VLOOKUP('Données projet'!$B$11,Paramètres!$A$1:$I$89,3,0)*0.475*44/12</f>
        <v>0.81462281227221489</v>
      </c>
      <c r="BR131" s="21">
        <f>EXP(-LN(2)/2)*BR130+(1-EXP(-LN(2)/2))/(LN(2)/2)*BL131*BO131*VLOOKUP('Données projet'!$B$11,Paramètres!$A$1:$I$89,3,0)*0.475*44/12</f>
        <v>9.6734928939564408E-15</v>
      </c>
      <c r="BS131" s="22">
        <f t="shared" si="63"/>
        <v>1.7066250217347805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1.064108801074326E-13</v>
      </c>
      <c r="P132" s="13">
        <f t="shared" si="87"/>
        <v>1.5870730813698654E-12</v>
      </c>
      <c r="Q132" s="20">
        <f t="shared" si="108"/>
        <v>2.9494845662396269E-12</v>
      </c>
      <c r="R132" s="59">
        <f t="shared" si="109"/>
        <v>293.33333333333627</v>
      </c>
      <c r="S132" s="59">
        <f ca="1">AVERAGE(OFFSET($R$3,0,0,'Données projet'!$E$9+1,1))-AVERAGE(OFFSET($H$3,0,0,'Données projet'!$E$9+1,1))</f>
        <v>214.51224556840771</v>
      </c>
      <c r="T132" s="59">
        <f t="shared" si="88"/>
        <v>225.78309962707215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0.5589304400546713</v>
      </c>
      <c r="AA132" s="21">
        <f>EXP(-LN(2)/25)*AA131+(1-EXP(-LN(2)/25))/(LN(2)/25)*Calculateur!V132*Calculateur!X132*VLOOKUP('Données projet'!$B$9,Paramètres!$A$1:$I$89,3,0)*0.475*44/12</f>
        <v>1.6508108751178987</v>
      </c>
      <c r="AB132" s="21">
        <f>EXP(-LN(2)/2)*AB131+(1-EXP(-LN(2)/2))/(LN(2)/2)*V132*Y132*VLOOKUP('Données projet'!$B$9,Paramètres!$A$1:$I$89,3,0)*0.475*44/12</f>
        <v>3.0608739691807943E-14</v>
      </c>
      <c r="AC132" s="22">
        <f t="shared" ref="AC132:AC153" si="111">SUM(Z132:AB132)</f>
        <v>2.2097413151726006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-1.1368683772161603E-13</v>
      </c>
      <c r="AJ132" s="13">
        <f>AI132*VLOOKUP('Données projet'!$B$10,Paramètres!$A$1:$I$89,3,0)*VLOOKUP('Données projet'!$B$10,Paramètres!$A$1:$I$89,5,0)</f>
        <v>-1.0286385077051818E-13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237.22177246688199</v>
      </c>
      <c r="AO132" s="59">
        <f t="shared" si="90"/>
        <v>149.27472147904302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0.19957862374223473</v>
      </c>
      <c r="AW132" s="21">
        <f>EXP(-LN(2)/2)*AW131+(1-EXP(-LN(2)/2))/(LN(2)/2)*AQ132*AT132*VLOOKUP('Données projet'!$B$10,Paramètres!$A$1:$I$89,3,0)*0.475*44/12</f>
        <v>7.7742787123269417E-15</v>
      </c>
      <c r="AX132" s="21">
        <f t="shared" ref="AX132:AX153" si="114">SUM(AU132:AW132)</f>
        <v>0.1995786237422425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168.08890945052406</v>
      </c>
      <c r="BJ132" s="59">
        <f t="shared" si="92"/>
        <v>182.52462557642343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0.87451059020262067</v>
      </c>
      <c r="BQ132" s="21">
        <f>EXP(-LN(2)/25)*BQ131+(1-EXP(-LN(2)/25))/(LN(2)/25)*Calculateur!BL132*Calculateur!BN132*VLOOKUP('Données projet'!$B$11,Paramètres!$A$1:$I$89,3,0)*0.475*44/12</f>
        <v>0.79234690863147927</v>
      </c>
      <c r="BR132" s="21">
        <f>EXP(-LN(2)/2)*BR131+(1-EXP(-LN(2)/2))/(LN(2)/2)*BL132*BO132*VLOOKUP('Données projet'!$B$11,Paramètres!$A$1:$I$89,3,0)*0.475*44/12</f>
        <v>6.8401924230764794E-15</v>
      </c>
      <c r="BS132" s="22">
        <f t="shared" ref="BS132:BS153" si="117">SUM(BP132:BR132)</f>
        <v>1.6668574988341069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1.064108801074326E-13</v>
      </c>
      <c r="P133" s="13">
        <f t="shared" ref="P133:P196" si="141">EXP(-1.0587+0.8836*LN(O133)+0.284)</f>
        <v>1.5870730813698654E-12</v>
      </c>
      <c r="Q133" s="20">
        <f t="shared" si="108"/>
        <v>2.9494845662396269E-12</v>
      </c>
      <c r="R133" s="59">
        <f t="shared" si="109"/>
        <v>293.33333333333627</v>
      </c>
      <c r="S133" s="59">
        <f ca="1">AVERAGE(OFFSET($R$3,0,0,'Données projet'!$E$9+1,1))-AVERAGE(OFFSET($H$3,0,0,'Données projet'!$E$9+1,1))</f>
        <v>214.51224556840771</v>
      </c>
      <c r="T133" s="59">
        <f t="shared" ref="T133:T196" si="142">$T$3</f>
        <v>225.78309962707215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0.54797015503910518</v>
      </c>
      <c r="AA133" s="21">
        <f>EXP(-LN(2)/25)*AA132+(1-EXP(-LN(2)/25))/(LN(2)/25)*Calculateur!V133*Calculateur!X133*VLOOKUP('Données projet'!$B$9,Paramètres!$A$1:$I$89,3,0)*0.475*44/12</f>
        <v>1.6056693649254288</v>
      </c>
      <c r="AB133" s="21">
        <f>EXP(-LN(2)/2)*AB132+(1-EXP(-LN(2)/2))/(LN(2)/2)*V133*Y133*VLOOKUP('Données projet'!$B$9,Paramètres!$A$1:$I$89,3,0)*0.475*44/12</f>
        <v>2.1643647399651231E-14</v>
      </c>
      <c r="AC133" s="22">
        <f t="shared" si="111"/>
        <v>2.1536395199645555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-1.1368683772161603E-13</v>
      </c>
      <c r="AJ133" s="13">
        <f>AI133*VLOOKUP('Données projet'!$B$10,Paramètres!$A$1:$I$89,3,0)*VLOOKUP('Données projet'!$B$10,Paramètres!$A$1:$I$89,5,0)</f>
        <v>-1.0286385077051818E-13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237.22177246688199</v>
      </c>
      <c r="AO133" s="59">
        <f t="shared" ref="AO133:AO196" si="144">$AO$3</f>
        <v>149.27472147904302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0.19412113578061965</v>
      </c>
      <c r="AW133" s="21">
        <f>EXP(-LN(2)/2)*AW132+(1-EXP(-LN(2)/2))/(LN(2)/2)*AQ133*AT133*VLOOKUP('Données projet'!$B$10,Paramètres!$A$1:$I$89,3,0)*0.475*44/12</f>
        <v>5.4972451963206013E-15</v>
      </c>
      <c r="AX133" s="21">
        <f t="shared" si="114"/>
        <v>0.19412113578062515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168.08890945052406</v>
      </c>
      <c r="BJ133" s="59">
        <f t="shared" ref="BJ133:BJ196" si="146">$BJ$3</f>
        <v>182.52462557642343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0.85736197092753852</v>
      </c>
      <c r="BQ133" s="21">
        <f>EXP(-LN(2)/25)*BQ132+(1-EXP(-LN(2)/25))/(LN(2)/25)*Calculateur!BL133*Calculateur!BN133*VLOOKUP('Données projet'!$B$11,Paramètres!$A$1:$I$89,3,0)*0.475*44/12</f>
        <v>0.77068014074723845</v>
      </c>
      <c r="BR133" s="21">
        <f>EXP(-LN(2)/2)*BR132+(1-EXP(-LN(2)/2))/(LN(2)/2)*BL133*BO133*VLOOKUP('Données projet'!$B$11,Paramètres!$A$1:$I$89,3,0)*0.475*44/12</f>
        <v>4.8367464469782204E-15</v>
      </c>
      <c r="BS133" s="22">
        <f t="shared" si="117"/>
        <v>1.6280421116747819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1.064108801074326E-13</v>
      </c>
      <c r="P134" s="13">
        <f t="shared" si="141"/>
        <v>1.5870730813698654E-12</v>
      </c>
      <c r="Q134" s="20">
        <f t="shared" si="108"/>
        <v>2.9494845662396269E-12</v>
      </c>
      <c r="R134" s="59">
        <f t="shared" si="109"/>
        <v>293.33333333333627</v>
      </c>
      <c r="S134" s="59">
        <f ca="1">AVERAGE(OFFSET($R$3,0,0,'Données projet'!$E$9+1,1))-AVERAGE(OFFSET($H$3,0,0,'Données projet'!$E$9+1,1))</f>
        <v>214.51224556840771</v>
      </c>
      <c r="T134" s="59">
        <f t="shared" si="142"/>
        <v>225.78309962707215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0.53722479452758054</v>
      </c>
      <c r="AA134" s="21">
        <f>EXP(-LN(2)/25)*AA133+(1-EXP(-LN(2)/25))/(LN(2)/25)*Calculateur!V134*Calculateur!X134*VLOOKUP('Données projet'!$B$9,Paramètres!$A$1:$I$89,3,0)*0.475*44/12</f>
        <v>1.5617622517030609</v>
      </c>
      <c r="AB134" s="21">
        <f>EXP(-LN(2)/2)*AB133+(1-EXP(-LN(2)/2))/(LN(2)/2)*V134*Y134*VLOOKUP('Données projet'!$B$9,Paramètres!$A$1:$I$89,3,0)*0.475*44/12</f>
        <v>1.5304369845903971E-14</v>
      </c>
      <c r="AC134" s="22">
        <f t="shared" si="111"/>
        <v>2.0989870462306568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-1.1368683772161603E-13</v>
      </c>
      <c r="AJ134" s="13">
        <f>AI134*VLOOKUP('Données projet'!$B$10,Paramètres!$A$1:$I$89,3,0)*VLOOKUP('Données projet'!$B$10,Paramètres!$A$1:$I$89,5,0)</f>
        <v>-1.0286385077051818E-13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237.22177246688199</v>
      </c>
      <c r="AO134" s="59">
        <f t="shared" si="144"/>
        <v>149.27472147904302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0.18881288311431174</v>
      </c>
      <c r="AW134" s="21">
        <f>EXP(-LN(2)/2)*AW133+(1-EXP(-LN(2)/2))/(LN(2)/2)*AQ134*AT134*VLOOKUP('Données projet'!$B$10,Paramètres!$A$1:$I$89,3,0)*0.475*44/12</f>
        <v>3.8871393561634708E-15</v>
      </c>
      <c r="AX134" s="21">
        <f t="shared" si="114"/>
        <v>0.18881288311431563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168.08890945052406</v>
      </c>
      <c r="BJ134" s="59">
        <f t="shared" si="146"/>
        <v>182.52462557642343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0.84054962561681579</v>
      </c>
      <c r="BQ134" s="21">
        <f>EXP(-LN(2)/25)*BQ133+(1-EXP(-LN(2)/25))/(LN(2)/25)*Calculateur!BL134*Calculateur!BN134*VLOOKUP('Données projet'!$B$11,Paramètres!$A$1:$I$89,3,0)*0.475*44/12</f>
        <v>0.74960585177019801</v>
      </c>
      <c r="BR134" s="21">
        <f>EXP(-LN(2)/2)*BR133+(1-EXP(-LN(2)/2))/(LN(2)/2)*BL134*BO134*VLOOKUP('Données projet'!$B$11,Paramètres!$A$1:$I$89,3,0)*0.475*44/12</f>
        <v>3.4200962115382397E-15</v>
      </c>
      <c r="BS134" s="22">
        <f t="shared" si="117"/>
        <v>1.590155477387017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1.064108801074326E-13</v>
      </c>
      <c r="P135" s="13">
        <f t="shared" si="141"/>
        <v>1.5870730813698654E-12</v>
      </c>
      <c r="Q135" s="20">
        <f t="shared" si="108"/>
        <v>2.9494845662396269E-12</v>
      </c>
      <c r="R135" s="59">
        <f t="shared" si="109"/>
        <v>293.33333333333627</v>
      </c>
      <c r="S135" s="59">
        <f ca="1">AVERAGE(OFFSET($R$3,0,0,'Données projet'!$E$9+1,1))-AVERAGE(OFFSET($H$3,0,0,'Données projet'!$E$9+1,1))</f>
        <v>214.51224556840771</v>
      </c>
      <c r="T135" s="59">
        <f t="shared" si="142"/>
        <v>225.78309962707215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0.52669014398166414</v>
      </c>
      <c r="AA135" s="21">
        <f>EXP(-LN(2)/25)*AA134+(1-EXP(-LN(2)/25))/(LN(2)/25)*Calculateur!V135*Calculateur!X135*VLOOKUP('Données projet'!$B$9,Paramètres!$A$1:$I$89,3,0)*0.475*44/12</f>
        <v>1.5190557808007334</v>
      </c>
      <c r="AB135" s="21">
        <f>EXP(-LN(2)/2)*AB134+(1-EXP(-LN(2)/2))/(LN(2)/2)*V135*Y135*VLOOKUP('Données projet'!$B$9,Paramètres!$A$1:$I$89,3,0)*0.475*44/12</f>
        <v>1.0821823699825616E-14</v>
      </c>
      <c r="AC135" s="22">
        <f t="shared" si="111"/>
        <v>2.0457459247824081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-1.1368683772161603E-13</v>
      </c>
      <c r="AJ135" s="13">
        <f>AI135*VLOOKUP('Données projet'!$B$10,Paramètres!$A$1:$I$89,3,0)*VLOOKUP('Données projet'!$B$10,Paramètres!$A$1:$I$89,5,0)</f>
        <v>-1.0286385077051818E-13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237.22177246688199</v>
      </c>
      <c r="AO135" s="59">
        <f t="shared" si="144"/>
        <v>149.27472147904302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0.1836497848963129</v>
      </c>
      <c r="AW135" s="21">
        <f>EXP(-LN(2)/2)*AW134+(1-EXP(-LN(2)/2))/(LN(2)/2)*AQ135*AT135*VLOOKUP('Données projet'!$B$10,Paramètres!$A$1:$I$89,3,0)*0.475*44/12</f>
        <v>2.7486225981603006E-15</v>
      </c>
      <c r="AX135" s="21">
        <f t="shared" si="114"/>
        <v>0.18364978489631564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168.08890945052406</v>
      </c>
      <c r="BJ135" s="59">
        <f t="shared" si="146"/>
        <v>182.52462557642343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0.8240669601431182</v>
      </c>
      <c r="BQ135" s="21">
        <f>EXP(-LN(2)/25)*BQ134+(1-EXP(-LN(2)/25))/(LN(2)/25)*Calculateur!BL135*Calculateur!BN135*VLOOKUP('Données projet'!$B$11,Paramètres!$A$1:$I$89,3,0)*0.475*44/12</f>
        <v>0.72910784033348341</v>
      </c>
      <c r="BR135" s="21">
        <f>EXP(-LN(2)/2)*BR134+(1-EXP(-LN(2)/2))/(LN(2)/2)*BL135*BO135*VLOOKUP('Données projet'!$B$11,Paramètres!$A$1:$I$89,3,0)*0.475*44/12</f>
        <v>2.4183732234891102E-15</v>
      </c>
      <c r="BS135" s="22">
        <f t="shared" si="117"/>
        <v>1.5531748004766042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1.064108801074326E-13</v>
      </c>
      <c r="P136" s="13">
        <f t="shared" si="141"/>
        <v>1.5870730813698654E-12</v>
      </c>
      <c r="Q136" s="20">
        <f t="shared" si="108"/>
        <v>2.9494845662396269E-12</v>
      </c>
      <c r="R136" s="59">
        <f t="shared" si="109"/>
        <v>293.33333333333627</v>
      </c>
      <c r="S136" s="59">
        <f ca="1">AVERAGE(OFFSET($R$3,0,0,'Données projet'!$E$9+1,1))-AVERAGE(OFFSET($H$3,0,0,'Données projet'!$E$9+1,1))</f>
        <v>214.51224556840771</v>
      </c>
      <c r="T136" s="59">
        <f t="shared" si="142"/>
        <v>225.78309962707215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0.51636207150745084</v>
      </c>
      <c r="AA136" s="21">
        <f>EXP(-LN(2)/25)*AA135+(1-EXP(-LN(2)/25))/(LN(2)/25)*Calculateur!V136*Calculateur!X136*VLOOKUP('Données projet'!$B$9,Paramètres!$A$1:$I$89,3,0)*0.475*44/12</f>
        <v>1.4775171205910658</v>
      </c>
      <c r="AB136" s="21">
        <f>EXP(-LN(2)/2)*AB135+(1-EXP(-LN(2)/2))/(LN(2)/2)*V136*Y136*VLOOKUP('Données projet'!$B$9,Paramètres!$A$1:$I$89,3,0)*0.475*44/12</f>
        <v>7.6521849229519857E-15</v>
      </c>
      <c r="AC136" s="22">
        <f t="shared" si="111"/>
        <v>1.9938791920985242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-1.1368683772161603E-13</v>
      </c>
      <c r="AJ136" s="13">
        <f>AI136*VLOOKUP('Données projet'!$B$10,Paramètres!$A$1:$I$89,3,0)*VLOOKUP('Données projet'!$B$10,Paramètres!$A$1:$I$89,5,0)</f>
        <v>-1.0286385077051818E-13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237.22177246688199</v>
      </c>
      <c r="AO136" s="59">
        <f t="shared" si="144"/>
        <v>149.27472147904302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0.17862787187060078</v>
      </c>
      <c r="AW136" s="21">
        <f>EXP(-LN(2)/2)*AW135+(1-EXP(-LN(2)/2))/(LN(2)/2)*AQ136*AT136*VLOOKUP('Données projet'!$B$10,Paramètres!$A$1:$I$89,3,0)*0.475*44/12</f>
        <v>1.9435696780817354E-15</v>
      </c>
      <c r="AX136" s="21">
        <f t="shared" si="114"/>
        <v>0.17862787187060272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168.08890945052406</v>
      </c>
      <c r="BJ136" s="59">
        <f t="shared" si="146"/>
        <v>182.52462557642343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0.80790750968592662</v>
      </c>
      <c r="BQ136" s="21">
        <f>EXP(-LN(2)/25)*BQ135+(1-EXP(-LN(2)/25))/(LN(2)/25)*Calculateur!BL136*Calculateur!BN136*VLOOKUP('Données projet'!$B$11,Paramètres!$A$1:$I$89,3,0)*0.475*44/12</f>
        <v>0.70917034809744939</v>
      </c>
      <c r="BR136" s="21">
        <f>EXP(-LN(2)/2)*BR135+(1-EXP(-LN(2)/2))/(LN(2)/2)*BL136*BO136*VLOOKUP('Données projet'!$B$11,Paramètres!$A$1:$I$89,3,0)*0.475*44/12</f>
        <v>1.7100481057691199E-15</v>
      </c>
      <c r="BS136" s="22">
        <f t="shared" si="117"/>
        <v>1.5170778577833777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1.064108801074326E-13</v>
      </c>
      <c r="P137" s="13">
        <f t="shared" si="141"/>
        <v>1.5870730813698654E-12</v>
      </c>
      <c r="Q137" s="20">
        <f t="shared" si="108"/>
        <v>2.9494845662396269E-12</v>
      </c>
      <c r="R137" s="59">
        <f t="shared" si="109"/>
        <v>293.33333333333627</v>
      </c>
      <c r="S137" s="59">
        <f ca="1">AVERAGE(OFFSET($R$3,0,0,'Données projet'!$E$9+1,1))-AVERAGE(OFFSET($H$3,0,0,'Données projet'!$E$9+1,1))</f>
        <v>214.51224556840771</v>
      </c>
      <c r="T137" s="59">
        <f t="shared" si="142"/>
        <v>225.78309962707215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0.50623652623495463</v>
      </c>
      <c r="AA137" s="21">
        <f>EXP(-LN(2)/25)*AA136+(1-EXP(-LN(2)/25))/(LN(2)/25)*Calculateur!V137*Calculateur!X137*VLOOKUP('Données projet'!$B$9,Paramètres!$A$1:$I$89,3,0)*0.475*44/12</f>
        <v>1.4371143372292545</v>
      </c>
      <c r="AB137" s="21">
        <f>EXP(-LN(2)/2)*AB136+(1-EXP(-LN(2)/2))/(LN(2)/2)*V137*Y137*VLOOKUP('Données projet'!$B$9,Paramètres!$A$1:$I$89,3,0)*0.475*44/12</f>
        <v>5.4109118499128079E-15</v>
      </c>
      <c r="AC137" s="22">
        <f t="shared" si="111"/>
        <v>1.9433508634642145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-1.1368683772161603E-13</v>
      </c>
      <c r="AJ137" s="13">
        <f>AI137*VLOOKUP('Données projet'!$B$10,Paramètres!$A$1:$I$89,3,0)*VLOOKUP('Données projet'!$B$10,Paramètres!$A$1:$I$89,5,0)</f>
        <v>-1.0286385077051818E-13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237.22177246688199</v>
      </c>
      <c r="AO137" s="59">
        <f t="shared" si="144"/>
        <v>149.27472147904302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0.17374328332066769</v>
      </c>
      <c r="AW137" s="21">
        <f>EXP(-LN(2)/2)*AW136+(1-EXP(-LN(2)/2))/(LN(2)/2)*AQ137*AT137*VLOOKUP('Données projet'!$B$10,Paramètres!$A$1:$I$89,3,0)*0.475*44/12</f>
        <v>1.3743112990801503E-15</v>
      </c>
      <c r="AX137" s="21">
        <f t="shared" si="114"/>
        <v>0.17374328332066907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168.08890945052406</v>
      </c>
      <c r="BJ137" s="59">
        <f t="shared" si="146"/>
        <v>182.52462557642343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0.79206493619590901</v>
      </c>
      <c r="BQ137" s="21">
        <f>EXP(-LN(2)/25)*BQ136+(1-EXP(-LN(2)/25))/(LN(2)/25)*Calculateur!BL137*Calculateur!BN137*VLOOKUP('Données projet'!$B$11,Paramètres!$A$1:$I$89,3,0)*0.475*44/12</f>
        <v>0.68977804763507689</v>
      </c>
      <c r="BR137" s="21">
        <f>EXP(-LN(2)/2)*BR136+(1-EXP(-LN(2)/2))/(LN(2)/2)*BL137*BO137*VLOOKUP('Données projet'!$B$11,Paramètres!$A$1:$I$89,3,0)*0.475*44/12</f>
        <v>1.2091866117445551E-15</v>
      </c>
      <c r="BS137" s="22">
        <f t="shared" si="117"/>
        <v>1.481842983830987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1.064108801074326E-13</v>
      </c>
      <c r="P138" s="13">
        <f t="shared" si="141"/>
        <v>1.5870730813698654E-12</v>
      </c>
      <c r="Q138" s="20">
        <f t="shared" si="108"/>
        <v>2.9494845662396269E-12</v>
      </c>
      <c r="R138" s="59">
        <f t="shared" si="109"/>
        <v>293.33333333333627</v>
      </c>
      <c r="S138" s="59">
        <f ca="1">AVERAGE(OFFSET($R$3,0,0,'Données projet'!$E$9+1,1))-AVERAGE(OFFSET($H$3,0,0,'Données projet'!$E$9+1,1))</f>
        <v>214.51224556840771</v>
      </c>
      <c r="T138" s="59">
        <f t="shared" si="142"/>
        <v>225.78309962707215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0.4963095367292793</v>
      </c>
      <c r="AA138" s="21">
        <f>EXP(-LN(2)/25)*AA137+(1-EXP(-LN(2)/25))/(LN(2)/25)*Calculateur!V138*Calculateur!X138*VLOOKUP('Données projet'!$B$9,Paramètres!$A$1:$I$89,3,0)*0.475*44/12</f>
        <v>1.3978163701031621</v>
      </c>
      <c r="AB138" s="21">
        <f>EXP(-LN(2)/2)*AB137+(1-EXP(-LN(2)/2))/(LN(2)/2)*V138*Y138*VLOOKUP('Données projet'!$B$9,Paramètres!$A$1:$I$89,3,0)*0.475*44/12</f>
        <v>3.8260924614759928E-15</v>
      </c>
      <c r="AC138" s="22">
        <f t="shared" si="111"/>
        <v>1.8941259068324452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-1.1368683772161603E-13</v>
      </c>
      <c r="AJ138" s="13">
        <f>AI138*VLOOKUP('Données projet'!$B$10,Paramètres!$A$1:$I$89,3,0)*VLOOKUP('Données projet'!$B$10,Paramètres!$A$1:$I$89,5,0)</f>
        <v>-1.0286385077051818E-13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237.22177246688199</v>
      </c>
      <c r="AO138" s="59">
        <f t="shared" si="144"/>
        <v>149.27472147904302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0.16899226410150187</v>
      </c>
      <c r="AW138" s="21">
        <f>EXP(-LN(2)/2)*AW137+(1-EXP(-LN(2)/2))/(LN(2)/2)*AQ138*AT138*VLOOKUP('Données projet'!$B$10,Paramètres!$A$1:$I$89,3,0)*0.475*44/12</f>
        <v>9.7178483904086771E-16</v>
      </c>
      <c r="AX138" s="21">
        <f t="shared" si="114"/>
        <v>0.16899226410150284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168.08890945052406</v>
      </c>
      <c r="BJ138" s="59">
        <f t="shared" si="146"/>
        <v>182.52462557642343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0.77653302590901496</v>
      </c>
      <c r="BQ138" s="21">
        <f>EXP(-LN(2)/25)*BQ137+(1-EXP(-LN(2)/25))/(LN(2)/25)*Calculateur!BL138*Calculateur!BN138*VLOOKUP('Données projet'!$B$11,Paramètres!$A$1:$I$89,3,0)*0.475*44/12</f>
        <v>0.67091603064864469</v>
      </c>
      <c r="BR138" s="21">
        <f>EXP(-LN(2)/2)*BR137+(1-EXP(-LN(2)/2))/(LN(2)/2)*BL138*BO138*VLOOKUP('Données projet'!$B$11,Paramètres!$A$1:$I$89,3,0)*0.475*44/12</f>
        <v>8.5502405288455993E-16</v>
      </c>
      <c r="BS138" s="22">
        <f t="shared" si="117"/>
        <v>1.4474490565576605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1.064108801074326E-13</v>
      </c>
      <c r="P139" s="13">
        <f t="shared" si="141"/>
        <v>1.5870730813698654E-12</v>
      </c>
      <c r="Q139" s="20">
        <f t="shared" si="108"/>
        <v>2.9494845662396269E-12</v>
      </c>
      <c r="R139" s="59">
        <f t="shared" si="109"/>
        <v>293.33333333333627</v>
      </c>
      <c r="S139" s="59">
        <f ca="1">AVERAGE(OFFSET($R$3,0,0,'Données projet'!$E$9+1,1))-AVERAGE(OFFSET($H$3,0,0,'Données projet'!$E$9+1,1))</f>
        <v>214.51224556840771</v>
      </c>
      <c r="T139" s="59">
        <f t="shared" si="142"/>
        <v>225.78309962707215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0.48657720943294452</v>
      </c>
      <c r="AA139" s="21">
        <f>EXP(-LN(2)/25)*AA138+(1-EXP(-LN(2)/25))/(LN(2)/25)*Calculateur!V139*Calculateur!X139*VLOOKUP('Données projet'!$B$9,Paramètres!$A$1:$I$89,3,0)*0.475*44/12</f>
        <v>1.3595930079547229</v>
      </c>
      <c r="AB139" s="21">
        <f>EXP(-LN(2)/2)*AB138+(1-EXP(-LN(2)/2))/(LN(2)/2)*V139*Y139*VLOOKUP('Données projet'!$B$9,Paramètres!$A$1:$I$89,3,0)*0.475*44/12</f>
        <v>2.7054559249564039E-15</v>
      </c>
      <c r="AC139" s="22">
        <f t="shared" si="111"/>
        <v>1.8461702173876702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-1.1368683772161603E-13</v>
      </c>
      <c r="AJ139" s="13">
        <f>AI139*VLOOKUP('Données projet'!$B$10,Paramètres!$A$1:$I$89,3,0)*VLOOKUP('Données projet'!$B$10,Paramètres!$A$1:$I$89,5,0)</f>
        <v>-1.0286385077051818E-13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237.22177246688199</v>
      </c>
      <c r="AO139" s="59">
        <f t="shared" si="144"/>
        <v>149.27472147904302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0.16437116175272937</v>
      </c>
      <c r="AW139" s="21">
        <f>EXP(-LN(2)/2)*AW138+(1-EXP(-LN(2)/2))/(LN(2)/2)*AQ139*AT139*VLOOKUP('Données projet'!$B$10,Paramètres!$A$1:$I$89,3,0)*0.475*44/12</f>
        <v>6.8715564954007516E-16</v>
      </c>
      <c r="AX139" s="21">
        <f t="shared" si="114"/>
        <v>0.16437116175273006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168.08890945052406</v>
      </c>
      <c r="BJ139" s="59">
        <f t="shared" si="146"/>
        <v>182.52462557642343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0.7613056869093171</v>
      </c>
      <c r="BQ139" s="21">
        <f>EXP(-LN(2)/25)*BQ138+(1-EXP(-LN(2)/25))/(LN(2)/25)*Calculateur!BL139*Calculateur!BN139*VLOOKUP('Données projet'!$B$11,Paramètres!$A$1:$I$89,3,0)*0.475*44/12</f>
        <v>0.6525697965086168</v>
      </c>
      <c r="BR139" s="21">
        <f>EXP(-LN(2)/2)*BR138+(1-EXP(-LN(2)/2))/(LN(2)/2)*BL139*BO139*VLOOKUP('Données projet'!$B$11,Paramètres!$A$1:$I$89,3,0)*0.475*44/12</f>
        <v>6.0459330587227755E-16</v>
      </c>
      <c r="BS139" s="22">
        <f t="shared" si="117"/>
        <v>1.4138754834179346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1.064108801074326E-13</v>
      </c>
      <c r="P140" s="13">
        <f t="shared" si="141"/>
        <v>1.5870730813698654E-12</v>
      </c>
      <c r="Q140" s="20">
        <f t="shared" si="108"/>
        <v>2.9494845662396269E-12</v>
      </c>
      <c r="R140" s="59">
        <f t="shared" si="109"/>
        <v>293.33333333333627</v>
      </c>
      <c r="S140" s="59">
        <f ca="1">AVERAGE(OFFSET($R$3,0,0,'Données projet'!$E$9+1,1))-AVERAGE(OFFSET($H$3,0,0,'Données projet'!$E$9+1,1))</f>
        <v>214.51224556840771</v>
      </c>
      <c r="T140" s="59">
        <f t="shared" si="142"/>
        <v>225.78309962707215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0.47703572713875736</v>
      </c>
      <c r="AA140" s="21">
        <f>EXP(-LN(2)/25)*AA139+(1-EXP(-LN(2)/25))/(LN(2)/25)*Calculateur!V140*Calculateur!X140*VLOOKUP('Données projet'!$B$9,Paramètres!$A$1:$I$89,3,0)*0.475*44/12</f>
        <v>1.3224148656543122</v>
      </c>
      <c r="AB140" s="21">
        <f>EXP(-LN(2)/2)*AB139+(1-EXP(-LN(2)/2))/(LN(2)/2)*V140*Y140*VLOOKUP('Données projet'!$B$9,Paramètres!$A$1:$I$89,3,0)*0.475*44/12</f>
        <v>1.9130462307379964E-15</v>
      </c>
      <c r="AC140" s="22">
        <f t="shared" si="111"/>
        <v>1.7994505927930715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-1.1368683772161603E-13</v>
      </c>
      <c r="AJ140" s="13">
        <f>AI140*VLOOKUP('Données projet'!$B$10,Paramètres!$A$1:$I$89,3,0)*VLOOKUP('Données projet'!$B$10,Paramètres!$A$1:$I$89,5,0)</f>
        <v>-1.0286385077051818E-13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237.22177246688199</v>
      </c>
      <c r="AO140" s="59">
        <f t="shared" si="144"/>
        <v>149.27472147904302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0.15987642369069727</v>
      </c>
      <c r="AW140" s="21">
        <f>EXP(-LN(2)/2)*AW139+(1-EXP(-LN(2)/2))/(LN(2)/2)*AQ140*AT140*VLOOKUP('Données projet'!$B$10,Paramètres!$A$1:$I$89,3,0)*0.475*44/12</f>
        <v>4.8589241952043386E-16</v>
      </c>
      <c r="AX140" s="21">
        <f t="shared" si="114"/>
        <v>0.15987642369069777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168.08890945052406</v>
      </c>
      <c r="BJ140" s="59">
        <f t="shared" si="146"/>
        <v>182.52462557642343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0.74637694673964361</v>
      </c>
      <c r="BQ140" s="21">
        <f>EXP(-LN(2)/25)*BQ139+(1-EXP(-LN(2)/25))/(LN(2)/25)*Calculateur!BL140*Calculateur!BN140*VLOOKUP('Données projet'!$B$11,Paramètres!$A$1:$I$89,3,0)*0.475*44/12</f>
        <v>0.63472524110593453</v>
      </c>
      <c r="BR140" s="21">
        <f>EXP(-LN(2)/2)*BR139+(1-EXP(-LN(2)/2))/(LN(2)/2)*BL140*BO140*VLOOKUP('Données projet'!$B$11,Paramètres!$A$1:$I$89,3,0)*0.475*44/12</f>
        <v>4.2751202644227996E-16</v>
      </c>
      <c r="BS140" s="22">
        <f t="shared" si="117"/>
        <v>1.3811021878455785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1.064108801074326E-13</v>
      </c>
      <c r="P141" s="13">
        <f t="shared" si="141"/>
        <v>1.5870730813698654E-12</v>
      </c>
      <c r="Q141" s="20">
        <f t="shared" si="108"/>
        <v>2.9494845662396269E-12</v>
      </c>
      <c r="R141" s="59">
        <f t="shared" si="109"/>
        <v>293.33333333333627</v>
      </c>
      <c r="S141" s="59">
        <f ca="1">AVERAGE(OFFSET($R$3,0,0,'Données projet'!$E$9+1,1))-AVERAGE(OFFSET($H$3,0,0,'Données projet'!$E$9+1,1))</f>
        <v>214.51224556840771</v>
      </c>
      <c r="T141" s="59">
        <f t="shared" si="142"/>
        <v>225.78309962707215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0.46768134749262968</v>
      </c>
      <c r="AA141" s="21">
        <f>EXP(-LN(2)/25)*AA140+(1-EXP(-LN(2)/25))/(LN(2)/25)*Calculateur!V141*Calculateur!X141*VLOOKUP('Données projet'!$B$9,Paramètres!$A$1:$I$89,3,0)*0.475*44/12</f>
        <v>1.2862533616102196</v>
      </c>
      <c r="AB141" s="21">
        <f>EXP(-LN(2)/2)*AB140+(1-EXP(-LN(2)/2))/(LN(2)/2)*V141*Y141*VLOOKUP('Données projet'!$B$9,Paramètres!$A$1:$I$89,3,0)*0.475*44/12</f>
        <v>1.352727962478202E-15</v>
      </c>
      <c r="AC141" s="22">
        <f t="shared" si="111"/>
        <v>1.7539347091028508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-1.1368683772161603E-13</v>
      </c>
      <c r="AJ141" s="13">
        <f>AI141*VLOOKUP('Données projet'!$B$10,Paramètres!$A$1:$I$89,3,0)*VLOOKUP('Données projet'!$B$10,Paramètres!$A$1:$I$89,5,0)</f>
        <v>-1.0286385077051818E-13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237.22177246688199</v>
      </c>
      <c r="AO141" s="59">
        <f t="shared" si="144"/>
        <v>149.27472147904302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0.15550459447733944</v>
      </c>
      <c r="AW141" s="21">
        <f>EXP(-LN(2)/2)*AW140+(1-EXP(-LN(2)/2))/(LN(2)/2)*AQ141*AT141*VLOOKUP('Données projet'!$B$10,Paramètres!$A$1:$I$89,3,0)*0.475*44/12</f>
        <v>3.4357782477003758E-16</v>
      </c>
      <c r="AX141" s="21">
        <f t="shared" si="114"/>
        <v>0.15550459447733977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168.08890945052406</v>
      </c>
      <c r="BJ141" s="59">
        <f t="shared" si="146"/>
        <v>182.52462557642343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0.73174095005906503</v>
      </c>
      <c r="BQ141" s="21">
        <f>EXP(-LN(2)/25)*BQ140+(1-EXP(-LN(2)/25))/(LN(2)/25)*Calculateur!BL141*Calculateur!BN141*VLOOKUP('Données projet'!$B$11,Paramètres!$A$1:$I$89,3,0)*0.475*44/12</f>
        <v>0.61736864600914299</v>
      </c>
      <c r="BR141" s="21">
        <f>EXP(-LN(2)/2)*BR140+(1-EXP(-LN(2)/2))/(LN(2)/2)*BL141*BO141*VLOOKUP('Données projet'!$B$11,Paramètres!$A$1:$I$89,3,0)*0.475*44/12</f>
        <v>3.0229665293613877E-16</v>
      </c>
      <c r="BS141" s="22">
        <f t="shared" si="117"/>
        <v>1.3491095960682082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1.064108801074326E-13</v>
      </c>
      <c r="P142" s="13">
        <f t="shared" si="141"/>
        <v>1.5870730813698654E-12</v>
      </c>
      <c r="Q142" s="20">
        <f t="shared" si="108"/>
        <v>2.9494845662396269E-12</v>
      </c>
      <c r="R142" s="59">
        <f t="shared" si="109"/>
        <v>293.33333333333627</v>
      </c>
      <c r="S142" s="59">
        <f ca="1">AVERAGE(OFFSET($R$3,0,0,'Données projet'!$E$9+1,1))-AVERAGE(OFFSET($H$3,0,0,'Données projet'!$E$9+1,1))</f>
        <v>214.51224556840771</v>
      </c>
      <c r="T142" s="59">
        <f t="shared" si="142"/>
        <v>225.78309962707215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0.45851040152575434</v>
      </c>
      <c r="AA142" s="21">
        <f>EXP(-LN(2)/25)*AA141+(1-EXP(-LN(2)/25))/(LN(2)/25)*Calculateur!V142*Calculateur!X142*VLOOKUP('Données projet'!$B$9,Paramètres!$A$1:$I$89,3,0)*0.475*44/12</f>
        <v>1.2510806957958636</v>
      </c>
      <c r="AB142" s="21">
        <f>EXP(-LN(2)/2)*AB141+(1-EXP(-LN(2)/2))/(LN(2)/2)*V142*Y142*VLOOKUP('Données projet'!$B$9,Paramètres!$A$1:$I$89,3,0)*0.475*44/12</f>
        <v>9.5652311536899821E-16</v>
      </c>
      <c r="AC142" s="22">
        <f t="shared" si="111"/>
        <v>1.7095910973216188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-1.1368683772161603E-13</v>
      </c>
      <c r="AJ142" s="13">
        <f>AI142*VLOOKUP('Données projet'!$B$10,Paramètres!$A$1:$I$89,3,0)*VLOOKUP('Données projet'!$B$10,Paramètres!$A$1:$I$89,5,0)</f>
        <v>-1.0286385077051818E-13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237.22177246688199</v>
      </c>
      <c r="AO142" s="59">
        <f t="shared" si="144"/>
        <v>149.27472147904302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0.15125231316372539</v>
      </c>
      <c r="AW142" s="21">
        <f>EXP(-LN(2)/2)*AW141+(1-EXP(-LN(2)/2))/(LN(2)/2)*AQ142*AT142*VLOOKUP('Données projet'!$B$10,Paramètres!$A$1:$I$89,3,0)*0.475*44/12</f>
        <v>2.4294620976021693E-16</v>
      </c>
      <c r="AX142" s="21">
        <f t="shared" si="114"/>
        <v>0.15125231316372564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168.08890945052406</v>
      </c>
      <c r="BJ142" s="59">
        <f t="shared" si="146"/>
        <v>182.52462557642343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0.71739195634631603</v>
      </c>
      <c r="BQ142" s="21">
        <f>EXP(-LN(2)/25)*BQ141+(1-EXP(-LN(2)/25))/(LN(2)/25)*Calculateur!BL142*Calculateur!BN142*VLOOKUP('Données projet'!$B$11,Paramètres!$A$1:$I$89,3,0)*0.475*44/12</f>
        <v>0.60048666791801686</v>
      </c>
      <c r="BR142" s="21">
        <f>EXP(-LN(2)/2)*BR141+(1-EXP(-LN(2)/2))/(LN(2)/2)*BL142*BO142*VLOOKUP('Données projet'!$B$11,Paramètres!$A$1:$I$89,3,0)*0.475*44/12</f>
        <v>2.1375601322113998E-16</v>
      </c>
      <c r="BS142" s="22">
        <f t="shared" si="117"/>
        <v>1.3178786242643332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1.064108801074326E-13</v>
      </c>
      <c r="P143" s="13">
        <f t="shared" si="141"/>
        <v>1.5870730813698654E-12</v>
      </c>
      <c r="Q143" s="20">
        <f t="shared" si="108"/>
        <v>2.9494845662396269E-12</v>
      </c>
      <c r="R143" s="59">
        <f t="shared" si="109"/>
        <v>293.33333333333627</v>
      </c>
      <c r="S143" s="59">
        <f ca="1">AVERAGE(OFFSET($R$3,0,0,'Données projet'!$E$9+1,1))-AVERAGE(OFFSET($H$3,0,0,'Données projet'!$E$9+1,1))</f>
        <v>214.51224556840771</v>
      </c>
      <c r="T143" s="59">
        <f t="shared" si="142"/>
        <v>225.78309962707215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0.44951929221556475</v>
      </c>
      <c r="AA143" s="21">
        <f>EXP(-LN(2)/25)*AA142+(1-EXP(-LN(2)/25))/(LN(2)/25)*Calculateur!V143*Calculateur!X143*VLOOKUP('Données projet'!$B$9,Paramètres!$A$1:$I$89,3,0)*0.475*44/12</f>
        <v>1.2168698283778512</v>
      </c>
      <c r="AB143" s="21">
        <f>EXP(-LN(2)/2)*AB142+(1-EXP(-LN(2)/2))/(LN(2)/2)*V143*Y143*VLOOKUP('Données projet'!$B$9,Paramètres!$A$1:$I$89,3,0)*0.475*44/12</f>
        <v>6.7636398123910098E-16</v>
      </c>
      <c r="AC143" s="22">
        <f t="shared" si="111"/>
        <v>1.6663891205934165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-1.1368683772161603E-13</v>
      </c>
      <c r="AJ143" s="13">
        <f>AI143*VLOOKUP('Données projet'!$B$10,Paramètres!$A$1:$I$89,3,0)*VLOOKUP('Données projet'!$B$10,Paramètres!$A$1:$I$89,5,0)</f>
        <v>-1.0286385077051818E-13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237.22177246688199</v>
      </c>
      <c r="AO143" s="59">
        <f t="shared" si="144"/>
        <v>149.27472147904302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0.14711631070624986</v>
      </c>
      <c r="AW143" s="21">
        <f>EXP(-LN(2)/2)*AW142+(1-EXP(-LN(2)/2))/(LN(2)/2)*AQ143*AT143*VLOOKUP('Données projet'!$B$10,Paramètres!$A$1:$I$89,3,0)*0.475*44/12</f>
        <v>1.7178891238501879E-16</v>
      </c>
      <c r="AX143" s="21">
        <f t="shared" si="114"/>
        <v>0.14711631070625003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168.08890945052406</v>
      </c>
      <c r="BJ143" s="59">
        <f t="shared" si="146"/>
        <v>182.52462557642343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0.70332433764825208</v>
      </c>
      <c r="BQ143" s="21">
        <f>EXP(-LN(2)/25)*BQ142+(1-EXP(-LN(2)/25))/(LN(2)/25)*Calculateur!BL143*Calculateur!BN143*VLOOKUP('Données projet'!$B$11,Paramètres!$A$1:$I$89,3,0)*0.475*44/12</f>
        <v>0.58406632840557726</v>
      </c>
      <c r="BR143" s="21">
        <f>EXP(-LN(2)/2)*BR142+(1-EXP(-LN(2)/2))/(LN(2)/2)*BL143*BO143*VLOOKUP('Données projet'!$B$11,Paramètres!$A$1:$I$89,3,0)*0.475*44/12</f>
        <v>1.5114832646806939E-16</v>
      </c>
      <c r="BS143" s="22">
        <f t="shared" si="117"/>
        <v>1.2873906660538295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1.064108801074326E-13</v>
      </c>
      <c r="P144" s="13">
        <f t="shared" si="141"/>
        <v>1.5870730813698654E-12</v>
      </c>
      <c r="Q144" s="20">
        <f t="shared" si="108"/>
        <v>2.9494845662396269E-12</v>
      </c>
      <c r="R144" s="59">
        <f t="shared" si="109"/>
        <v>293.33333333333627</v>
      </c>
      <c r="S144" s="59">
        <f ca="1">AVERAGE(OFFSET($R$3,0,0,'Données projet'!$E$9+1,1))-AVERAGE(OFFSET($H$3,0,0,'Données projet'!$E$9+1,1))</f>
        <v>214.51224556840771</v>
      </c>
      <c r="T144" s="59">
        <f t="shared" si="142"/>
        <v>225.78309962707215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0.44070449307491277</v>
      </c>
      <c r="AA144" s="21">
        <f>EXP(-LN(2)/25)*AA143+(1-EXP(-LN(2)/25))/(LN(2)/25)*Calculateur!V144*Calculateur!X144*VLOOKUP('Données projet'!$B$9,Paramètres!$A$1:$I$89,3,0)*0.475*44/12</f>
        <v>1.1835944589284557</v>
      </c>
      <c r="AB144" s="21">
        <f>EXP(-LN(2)/2)*AB143+(1-EXP(-LN(2)/2))/(LN(2)/2)*V144*Y144*VLOOKUP('Données projet'!$B$9,Paramètres!$A$1:$I$89,3,0)*0.475*44/12</f>
        <v>4.782615576844991E-16</v>
      </c>
      <c r="AC144" s="22">
        <f t="shared" si="111"/>
        <v>1.624298952003369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-1.1368683772161603E-13</v>
      </c>
      <c r="AJ144" s="13">
        <f>AI144*VLOOKUP('Données projet'!$B$10,Paramètres!$A$1:$I$89,3,0)*VLOOKUP('Données projet'!$B$10,Paramètres!$A$1:$I$89,5,0)</f>
        <v>-1.0286385077051818E-13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237.22177246688199</v>
      </c>
      <c r="AO144" s="59">
        <f t="shared" si="144"/>
        <v>149.27472147904302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0.14309340745347693</v>
      </c>
      <c r="AW144" s="21">
        <f>EXP(-LN(2)/2)*AW143+(1-EXP(-LN(2)/2))/(LN(2)/2)*AQ144*AT144*VLOOKUP('Données projet'!$B$10,Paramètres!$A$1:$I$89,3,0)*0.475*44/12</f>
        <v>1.2147310488010846E-16</v>
      </c>
      <c r="AX144" s="21">
        <f t="shared" si="114"/>
        <v>0.14309340745347704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168.08890945052406</v>
      </c>
      <c r="BJ144" s="59">
        <f t="shared" si="146"/>
        <v>182.52462557642343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0.68953257637245702</v>
      </c>
      <c r="BQ144" s="21">
        <f>EXP(-LN(2)/25)*BQ143+(1-EXP(-LN(2)/25))/(LN(2)/25)*Calculateur!BL144*Calculateur!BN144*VLOOKUP('Données projet'!$B$11,Paramètres!$A$1:$I$89,3,0)*0.475*44/12</f>
        <v>0.56809500394061341</v>
      </c>
      <c r="BR144" s="21">
        <f>EXP(-LN(2)/2)*BR143+(1-EXP(-LN(2)/2))/(LN(2)/2)*BL144*BO144*VLOOKUP('Données projet'!$B$11,Paramètres!$A$1:$I$89,3,0)*0.475*44/12</f>
        <v>1.0687800661056999E-16</v>
      </c>
      <c r="BS144" s="22">
        <f t="shared" si="117"/>
        <v>1.2576275803130703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1.064108801074326E-13</v>
      </c>
      <c r="P145" s="13">
        <f t="shared" si="141"/>
        <v>1.5870730813698654E-12</v>
      </c>
      <c r="Q145" s="20">
        <f t="shared" si="108"/>
        <v>2.9494845662396269E-12</v>
      </c>
      <c r="R145" s="59">
        <f t="shared" si="109"/>
        <v>293.33333333333627</v>
      </c>
      <c r="S145" s="59">
        <f ca="1">AVERAGE(OFFSET($R$3,0,0,'Données projet'!$E$9+1,1))-AVERAGE(OFFSET($H$3,0,0,'Données projet'!$E$9+1,1))</f>
        <v>214.51224556840771</v>
      </c>
      <c r="T145" s="59">
        <f t="shared" si="142"/>
        <v>225.78309962707215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0.43206254676891243</v>
      </c>
      <c r="AA145" s="21">
        <f>EXP(-LN(2)/25)*AA144+(1-EXP(-LN(2)/25))/(LN(2)/25)*Calculateur!V145*Calculateur!X145*VLOOKUP('Données projet'!$B$9,Paramètres!$A$1:$I$89,3,0)*0.475*44/12</f>
        <v>1.1512290062065296</v>
      </c>
      <c r="AB145" s="21">
        <f>EXP(-LN(2)/2)*AB144+(1-EXP(-LN(2)/2))/(LN(2)/2)*V145*Y145*VLOOKUP('Données projet'!$B$9,Paramètres!$A$1:$I$89,3,0)*0.475*44/12</f>
        <v>3.3818199061955049E-16</v>
      </c>
      <c r="AC145" s="22">
        <f t="shared" si="111"/>
        <v>1.5832915529754423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-1.1368683772161603E-13</v>
      </c>
      <c r="AJ145" s="13">
        <f>AI145*VLOOKUP('Données projet'!$B$10,Paramètres!$A$1:$I$89,3,0)*VLOOKUP('Données projet'!$B$10,Paramètres!$A$1:$I$89,5,0)</f>
        <v>-1.0286385077051818E-13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237.22177246688199</v>
      </c>
      <c r="AO145" s="59">
        <f t="shared" si="144"/>
        <v>149.27472147904302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0.13918051070170634</v>
      </c>
      <c r="AW145" s="21">
        <f>EXP(-LN(2)/2)*AW144+(1-EXP(-LN(2)/2))/(LN(2)/2)*AQ145*AT145*VLOOKUP('Données projet'!$B$10,Paramètres!$A$1:$I$89,3,0)*0.475*44/12</f>
        <v>8.5894456192509395E-17</v>
      </c>
      <c r="AX145" s="21">
        <f t="shared" si="114"/>
        <v>0.13918051070170642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168.08890945052406</v>
      </c>
      <c r="BJ145" s="59">
        <f t="shared" si="146"/>
        <v>182.52462557642343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0.67601126312313653</v>
      </c>
      <c r="BQ145" s="21">
        <f>EXP(-LN(2)/25)*BQ144+(1-EXP(-LN(2)/25))/(LN(2)/25)*Calculateur!BL145*Calculateur!BN145*VLOOKUP('Données projet'!$B$11,Paramètres!$A$1:$I$89,3,0)*0.475*44/12</f>
        <v>0.55256041618303953</v>
      </c>
      <c r="BR145" s="21">
        <f>EXP(-LN(2)/2)*BR144+(1-EXP(-LN(2)/2))/(LN(2)/2)*BL145*BO145*VLOOKUP('Données projet'!$B$11,Paramètres!$A$1:$I$89,3,0)*0.475*44/12</f>
        <v>7.5574163234034693E-17</v>
      </c>
      <c r="BS145" s="22">
        <f t="shared" si="117"/>
        <v>1.2285716793061761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1.064108801074326E-13</v>
      </c>
      <c r="P146" s="13">
        <f t="shared" si="141"/>
        <v>1.5870730813698654E-12</v>
      </c>
      <c r="Q146" s="20">
        <f t="shared" si="108"/>
        <v>2.9494845662396269E-12</v>
      </c>
      <c r="R146" s="59">
        <f t="shared" si="109"/>
        <v>293.33333333333627</v>
      </c>
      <c r="S146" s="59">
        <f ca="1">AVERAGE(OFFSET($R$3,0,0,'Données projet'!$E$9+1,1))-AVERAGE(OFFSET($H$3,0,0,'Données projet'!$E$9+1,1))</f>
        <v>214.51224556840771</v>
      </c>
      <c r="T146" s="59">
        <f t="shared" si="142"/>
        <v>225.78309962707215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0.42359006375890595</v>
      </c>
      <c r="AA146" s="21">
        <f>EXP(-LN(2)/25)*AA145+(1-EXP(-LN(2)/25))/(LN(2)/25)*Calculateur!V146*Calculateur!X146*VLOOKUP('Données projet'!$B$9,Paramètres!$A$1:$I$89,3,0)*0.475*44/12</f>
        <v>1.1197485884913096</v>
      </c>
      <c r="AB146" s="21">
        <f>EXP(-LN(2)/2)*AB145+(1-EXP(-LN(2)/2))/(LN(2)/2)*V146*Y146*VLOOKUP('Données projet'!$B$9,Paramètres!$A$1:$I$89,3,0)*0.475*44/12</f>
        <v>2.3913077884224955E-16</v>
      </c>
      <c r="AC146" s="22">
        <f t="shared" si="111"/>
        <v>1.5433386522502157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-1.1368683772161603E-13</v>
      </c>
      <c r="AJ146" s="13">
        <f>AI146*VLOOKUP('Données projet'!$B$10,Paramètres!$A$1:$I$89,3,0)*VLOOKUP('Données projet'!$B$10,Paramètres!$A$1:$I$89,5,0)</f>
        <v>-1.0286385077051818E-13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237.22177246688199</v>
      </c>
      <c r="AO146" s="59">
        <f t="shared" si="144"/>
        <v>149.27472147904302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0.13537461231738324</v>
      </c>
      <c r="AW146" s="21">
        <f>EXP(-LN(2)/2)*AW145+(1-EXP(-LN(2)/2))/(LN(2)/2)*AQ146*AT146*VLOOKUP('Données projet'!$B$10,Paramètres!$A$1:$I$89,3,0)*0.475*44/12</f>
        <v>6.0736552440054232E-17</v>
      </c>
      <c r="AX146" s="21">
        <f t="shared" si="114"/>
        <v>0.13537461231738329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168.08890945052406</v>
      </c>
      <c r="BJ146" s="59">
        <f t="shared" si="146"/>
        <v>182.52462557642343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0.66275509457944848</v>
      </c>
      <c r="BQ146" s="21">
        <f>EXP(-LN(2)/25)*BQ145+(1-EXP(-LN(2)/25))/(LN(2)/25)*Calculateur!BL146*Calculateur!BN146*VLOOKUP('Données projet'!$B$11,Paramètres!$A$1:$I$89,3,0)*0.475*44/12</f>
        <v>0.53745062254462495</v>
      </c>
      <c r="BR146" s="21">
        <f>EXP(-LN(2)/2)*BR145+(1-EXP(-LN(2)/2))/(LN(2)/2)*BL146*BO146*VLOOKUP('Données projet'!$B$11,Paramètres!$A$1:$I$89,3,0)*0.475*44/12</f>
        <v>5.3439003305284995E-17</v>
      </c>
      <c r="BS146" s="22">
        <f t="shared" si="117"/>
        <v>1.2002057171240734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1.064108801074326E-13</v>
      </c>
      <c r="P147" s="13">
        <f t="shared" si="141"/>
        <v>1.5870730813698654E-12</v>
      </c>
      <c r="Q147" s="20">
        <f t="shared" si="108"/>
        <v>2.9494845662396269E-12</v>
      </c>
      <c r="R147" s="59">
        <f t="shared" si="109"/>
        <v>293.33333333333627</v>
      </c>
      <c r="S147" s="59">
        <f ca="1">AVERAGE(OFFSET($R$3,0,0,'Données projet'!$E$9+1,1))-AVERAGE(OFFSET($H$3,0,0,'Données projet'!$E$9+1,1))</f>
        <v>214.51224556840771</v>
      </c>
      <c r="T147" s="59">
        <f t="shared" si="142"/>
        <v>225.78309962707215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0.41528372097302135</v>
      </c>
      <c r="AA147" s="21">
        <f>EXP(-LN(2)/25)*AA146+(1-EXP(-LN(2)/25))/(LN(2)/25)*Calculateur!V147*Calculateur!X147*VLOOKUP('Données projet'!$B$9,Paramètres!$A$1:$I$89,3,0)*0.475*44/12</f>
        <v>1.0891290044539956</v>
      </c>
      <c r="AB147" s="21">
        <f>EXP(-LN(2)/2)*AB146+(1-EXP(-LN(2)/2))/(LN(2)/2)*V147*Y147*VLOOKUP('Données projet'!$B$9,Paramètres!$A$1:$I$89,3,0)*0.475*44/12</f>
        <v>1.6909099530977525E-16</v>
      </c>
      <c r="AC147" s="22">
        <f t="shared" si="111"/>
        <v>1.5044127254270172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-1.1368683772161603E-13</v>
      </c>
      <c r="AJ147" s="13">
        <f>AI147*VLOOKUP('Données projet'!$B$10,Paramètres!$A$1:$I$89,3,0)*VLOOKUP('Données projet'!$B$10,Paramètres!$A$1:$I$89,5,0)</f>
        <v>-1.0286385077051818E-13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237.22177246688199</v>
      </c>
      <c r="AO147" s="59">
        <f t="shared" si="144"/>
        <v>149.27472147904302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0.13167278642452293</v>
      </c>
      <c r="AW147" s="21">
        <f>EXP(-LN(2)/2)*AW146+(1-EXP(-LN(2)/2))/(LN(2)/2)*AQ147*AT147*VLOOKUP('Données projet'!$B$10,Paramètres!$A$1:$I$89,3,0)*0.475*44/12</f>
        <v>4.2947228096254698E-17</v>
      </c>
      <c r="AX147" s="21">
        <f t="shared" si="114"/>
        <v>0.13167278642452299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168.08890945052406</v>
      </c>
      <c r="BJ147" s="59">
        <f t="shared" si="146"/>
        <v>182.52462557642343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0.64975887141543776</v>
      </c>
      <c r="BQ147" s="21">
        <f>EXP(-LN(2)/25)*BQ146+(1-EXP(-LN(2)/25))/(LN(2)/25)*Calculateur!BL147*Calculateur!BN147*VLOOKUP('Données projet'!$B$11,Paramètres!$A$1:$I$89,3,0)*0.475*44/12</f>
        <v>0.52275400700784225</v>
      </c>
      <c r="BR147" s="21">
        <f>EXP(-LN(2)/2)*BR146+(1-EXP(-LN(2)/2))/(LN(2)/2)*BL147*BO147*VLOOKUP('Données projet'!$B$11,Paramètres!$A$1:$I$89,3,0)*0.475*44/12</f>
        <v>3.7787081617017347E-17</v>
      </c>
      <c r="BS147" s="22">
        <f t="shared" si="117"/>
        <v>1.1725128784232801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1.064108801074326E-13</v>
      </c>
      <c r="P148" s="13">
        <f t="shared" si="141"/>
        <v>1.5870730813698654E-12</v>
      </c>
      <c r="Q148" s="20">
        <f t="shared" si="108"/>
        <v>2.9494845662396269E-12</v>
      </c>
      <c r="R148" s="59">
        <f t="shared" si="109"/>
        <v>293.33333333333627</v>
      </c>
      <c r="S148" s="59">
        <f ca="1">AVERAGE(OFFSET($R$3,0,0,'Données projet'!$E$9+1,1))-AVERAGE(OFFSET($H$3,0,0,'Données projet'!$E$9+1,1))</f>
        <v>214.51224556840771</v>
      </c>
      <c r="T148" s="59">
        <f t="shared" si="142"/>
        <v>225.78309962707215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0.40714026050279911</v>
      </c>
      <c r="AA148" s="21">
        <f>EXP(-LN(2)/25)*AA147+(1-EXP(-LN(2)/25))/(LN(2)/25)*Calculateur!V148*Calculateur!X148*VLOOKUP('Données projet'!$B$9,Paramètres!$A$1:$I$89,3,0)*0.475*44/12</f>
        <v>1.059346714552396</v>
      </c>
      <c r="AB148" s="21">
        <f>EXP(-LN(2)/2)*AB147+(1-EXP(-LN(2)/2))/(LN(2)/2)*V148*Y148*VLOOKUP('Données projet'!$B$9,Paramètres!$A$1:$I$89,3,0)*0.475*44/12</f>
        <v>1.1956538942112478E-16</v>
      </c>
      <c r="AC148" s="22">
        <f t="shared" si="111"/>
        <v>1.4664869750551954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-1.1368683772161603E-13</v>
      </c>
      <c r="AJ148" s="13">
        <f>AI148*VLOOKUP('Données projet'!$B$10,Paramètres!$A$1:$I$89,3,0)*VLOOKUP('Données projet'!$B$10,Paramètres!$A$1:$I$89,5,0)</f>
        <v>-1.0286385077051818E-13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237.22177246688199</v>
      </c>
      <c r="AO148" s="59">
        <f t="shared" si="144"/>
        <v>149.27472147904302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0.12807218715537347</v>
      </c>
      <c r="AW148" s="21">
        <f>EXP(-LN(2)/2)*AW147+(1-EXP(-LN(2)/2))/(LN(2)/2)*AQ148*AT148*VLOOKUP('Données projet'!$B$10,Paramètres!$A$1:$I$89,3,0)*0.475*44/12</f>
        <v>3.0368276220027116E-17</v>
      </c>
      <c r="AX148" s="21">
        <f t="shared" si="114"/>
        <v>0.1280721871553735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168.08890945052406</v>
      </c>
      <c r="BJ148" s="59">
        <f t="shared" si="146"/>
        <v>182.52462557642343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0.63701749626075987</v>
      </c>
      <c r="BQ148" s="21">
        <f>EXP(-LN(2)/25)*BQ147+(1-EXP(-LN(2)/25))/(LN(2)/25)*Calculateur!BL148*Calculateur!BN148*VLOOKUP('Données projet'!$B$11,Paramètres!$A$1:$I$89,3,0)*0.475*44/12</f>
        <v>0.50845927119577439</v>
      </c>
      <c r="BR148" s="21">
        <f>EXP(-LN(2)/2)*BR147+(1-EXP(-LN(2)/2))/(LN(2)/2)*BL148*BO148*VLOOKUP('Données projet'!$B$11,Paramètres!$A$1:$I$89,3,0)*0.475*44/12</f>
        <v>2.6719501652642498E-17</v>
      </c>
      <c r="BS148" s="22">
        <f t="shared" si="117"/>
        <v>1.1454767674565343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1.064108801074326E-13</v>
      </c>
      <c r="P149" s="13">
        <f t="shared" si="141"/>
        <v>1.5870730813698654E-12</v>
      </c>
      <c r="Q149" s="20">
        <f t="shared" si="108"/>
        <v>2.9494845662396269E-12</v>
      </c>
      <c r="R149" s="59">
        <f t="shared" si="109"/>
        <v>293.33333333333627</v>
      </c>
      <c r="S149" s="59">
        <f ca="1">AVERAGE(OFFSET($R$3,0,0,'Données projet'!$E$9+1,1))-AVERAGE(OFFSET($H$3,0,0,'Données projet'!$E$9+1,1))</f>
        <v>214.51224556840771</v>
      </c>
      <c r="T149" s="59">
        <f t="shared" si="142"/>
        <v>225.78309962707215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0.39915648832537748</v>
      </c>
      <c r="AA149" s="21">
        <f>EXP(-LN(2)/25)*AA148+(1-EXP(-LN(2)/25))/(LN(2)/25)*Calculateur!V149*Calculateur!X149*VLOOKUP('Données projet'!$B$9,Paramètres!$A$1:$I$89,3,0)*0.475*44/12</f>
        <v>1.0303788229343382</v>
      </c>
      <c r="AB149" s="21">
        <f>EXP(-LN(2)/2)*AB148+(1-EXP(-LN(2)/2))/(LN(2)/2)*V149*Y149*VLOOKUP('Données projet'!$B$9,Paramètres!$A$1:$I$89,3,0)*0.475*44/12</f>
        <v>8.4545497654887623E-17</v>
      </c>
      <c r="AC149" s="22">
        <f t="shared" si="111"/>
        <v>1.4295353112597158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-1.1368683772161603E-13</v>
      </c>
      <c r="AJ149" s="13">
        <f>AI149*VLOOKUP('Données projet'!$B$10,Paramètres!$A$1:$I$89,3,0)*VLOOKUP('Données projet'!$B$10,Paramètres!$A$1:$I$89,5,0)</f>
        <v>-1.0286385077051818E-13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237.22177246688199</v>
      </c>
      <c r="AO149" s="59">
        <f t="shared" si="144"/>
        <v>149.27472147904302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0.12457004646258617</v>
      </c>
      <c r="AW149" s="21">
        <f>EXP(-LN(2)/2)*AW148+(1-EXP(-LN(2)/2))/(LN(2)/2)*AQ149*AT149*VLOOKUP('Données projet'!$B$10,Paramètres!$A$1:$I$89,3,0)*0.475*44/12</f>
        <v>2.1473614048127349E-17</v>
      </c>
      <c r="AX149" s="21">
        <f t="shared" si="114"/>
        <v>0.1245700464625862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168.08890945052406</v>
      </c>
      <c r="BJ149" s="59">
        <f t="shared" si="146"/>
        <v>182.52462557642343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0.62452597170139368</v>
      </c>
      <c r="BQ149" s="21">
        <f>EXP(-LN(2)/25)*BQ148+(1-EXP(-LN(2)/25))/(LN(2)/25)*Calculateur!BL149*Calculateur!BN149*VLOOKUP('Données projet'!$B$11,Paramètres!$A$1:$I$89,3,0)*0.475*44/12</f>
        <v>0.49455542568621497</v>
      </c>
      <c r="BR149" s="21">
        <f>EXP(-LN(2)/2)*BR148+(1-EXP(-LN(2)/2))/(LN(2)/2)*BL149*BO149*VLOOKUP('Données projet'!$B$11,Paramètres!$A$1:$I$89,3,0)*0.475*44/12</f>
        <v>1.8893540808508673E-17</v>
      </c>
      <c r="BS149" s="22">
        <f t="shared" si="117"/>
        <v>1.1190813973876086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1.064108801074326E-13</v>
      </c>
      <c r="P150" s="13">
        <f t="shared" si="141"/>
        <v>1.5870730813698654E-12</v>
      </c>
      <c r="Q150" s="20">
        <f t="shared" si="108"/>
        <v>2.9494845662396269E-12</v>
      </c>
      <c r="R150" s="59">
        <f t="shared" si="109"/>
        <v>293.33333333333627</v>
      </c>
      <c r="S150" s="59">
        <f ca="1">AVERAGE(OFFSET($R$3,0,0,'Données projet'!$E$9+1,1))-AVERAGE(OFFSET($H$3,0,0,'Données projet'!$E$9+1,1))</f>
        <v>214.51224556840771</v>
      </c>
      <c r="T150" s="59">
        <f t="shared" si="142"/>
        <v>225.78309962707215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0.39132927305073489</v>
      </c>
      <c r="AA150" s="21">
        <f>EXP(-LN(2)/25)*AA149+(1-EXP(-LN(2)/25))/(LN(2)/25)*Calculateur!V150*Calculateur!X150*VLOOKUP('Données projet'!$B$9,Paramètres!$A$1:$I$89,3,0)*0.475*44/12</f>
        <v>1.0022030598359315</v>
      </c>
      <c r="AB150" s="21">
        <f>EXP(-LN(2)/2)*AB149+(1-EXP(-LN(2)/2))/(LN(2)/2)*V150*Y150*VLOOKUP('Données projet'!$B$9,Paramètres!$A$1:$I$89,3,0)*0.475*44/12</f>
        <v>5.9782694710562388E-17</v>
      </c>
      <c r="AC150" s="22">
        <f t="shared" si="111"/>
        <v>1.3935323328866664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-1.1368683772161603E-13</v>
      </c>
      <c r="AJ150" s="13">
        <f>AI150*VLOOKUP('Données projet'!$B$10,Paramètres!$A$1:$I$89,3,0)*VLOOKUP('Données projet'!$B$10,Paramètres!$A$1:$I$89,5,0)</f>
        <v>-1.0286385077051818E-13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237.22177246688199</v>
      </c>
      <c r="AO150" s="59">
        <f t="shared" si="144"/>
        <v>149.27472147904302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0.12116367199121271</v>
      </c>
      <c r="AW150" s="21">
        <f>EXP(-LN(2)/2)*AW149+(1-EXP(-LN(2)/2))/(LN(2)/2)*AQ150*AT150*VLOOKUP('Données projet'!$B$10,Paramètres!$A$1:$I$89,3,0)*0.475*44/12</f>
        <v>1.5184138110013558E-17</v>
      </c>
      <c r="AX150" s="21">
        <f t="shared" si="114"/>
        <v>0.12116367199121272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168.08890945052406</v>
      </c>
      <c r="BJ150" s="59">
        <f t="shared" si="146"/>
        <v>182.52462557642343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0.61227939831955902</v>
      </c>
      <c r="BQ150" s="21">
        <f>EXP(-LN(2)/25)*BQ149+(1-EXP(-LN(2)/25))/(LN(2)/25)*Calculateur!BL150*Calculateur!BN150*VLOOKUP('Données projet'!$B$11,Paramètres!$A$1:$I$89,3,0)*0.475*44/12</f>
        <v>0.48103178156328591</v>
      </c>
      <c r="BR150" s="21">
        <f>EXP(-LN(2)/2)*BR149+(1-EXP(-LN(2)/2))/(LN(2)/2)*BL150*BO150*VLOOKUP('Données projet'!$B$11,Paramètres!$A$1:$I$89,3,0)*0.475*44/12</f>
        <v>1.3359750826321249E-17</v>
      </c>
      <c r="BS150" s="22">
        <f t="shared" si="117"/>
        <v>1.093311179882845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1.064108801074326E-13</v>
      </c>
      <c r="P151" s="13">
        <f t="shared" si="141"/>
        <v>1.5870730813698654E-12</v>
      </c>
      <c r="Q151" s="20">
        <f t="shared" si="108"/>
        <v>2.9494845662396269E-12</v>
      </c>
      <c r="R151" s="59">
        <f t="shared" si="109"/>
        <v>293.33333333333627</v>
      </c>
      <c r="S151" s="59">
        <f ca="1">AVERAGE(OFFSET($R$3,0,0,'Données projet'!$E$9+1,1))-AVERAGE(OFFSET($H$3,0,0,'Données projet'!$E$9+1,1))</f>
        <v>214.51224556840771</v>
      </c>
      <c r="T151" s="59">
        <f t="shared" si="142"/>
        <v>225.78309962707215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0.38365554469349811</v>
      </c>
      <c r="AA151" s="21">
        <f>EXP(-LN(2)/25)*AA150+(1-EXP(-LN(2)/25))/(LN(2)/25)*Calculateur!V151*Calculateur!X151*VLOOKUP('Données projet'!$B$9,Paramètres!$A$1:$I$89,3,0)*0.475*44/12</f>
        <v>0.97479776446114963</v>
      </c>
      <c r="AB151" s="21">
        <f>EXP(-LN(2)/2)*AB150+(1-EXP(-LN(2)/2))/(LN(2)/2)*V151*Y151*VLOOKUP('Données projet'!$B$9,Paramètres!$A$1:$I$89,3,0)*0.475*44/12</f>
        <v>4.2272748827443811E-17</v>
      </c>
      <c r="AC151" s="22">
        <f t="shared" si="111"/>
        <v>1.3584533091546478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-1.1368683772161603E-13</v>
      </c>
      <c r="AJ151" s="13">
        <f>AI151*VLOOKUP('Données projet'!$B$10,Paramètres!$A$1:$I$89,3,0)*VLOOKUP('Données projet'!$B$10,Paramètres!$A$1:$I$89,5,0)</f>
        <v>-1.0286385077051818E-13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237.22177246688199</v>
      </c>
      <c r="AO151" s="59">
        <f t="shared" si="144"/>
        <v>149.27472147904302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0.11785044500889241</v>
      </c>
      <c r="AW151" s="21">
        <f>EXP(-LN(2)/2)*AW150+(1-EXP(-LN(2)/2))/(LN(2)/2)*AQ151*AT151*VLOOKUP('Données projet'!$B$10,Paramètres!$A$1:$I$89,3,0)*0.475*44/12</f>
        <v>1.0736807024063674E-17</v>
      </c>
      <c r="AX151" s="21">
        <f t="shared" si="114"/>
        <v>0.11785044500889243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168.08890945052406</v>
      </c>
      <c r="BJ151" s="59">
        <f t="shared" si="146"/>
        <v>182.52462557642343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0.60027297277206992</v>
      </c>
      <c r="BQ151" s="21">
        <f>EXP(-LN(2)/25)*BQ150+(1-EXP(-LN(2)/25))/(LN(2)/25)*Calculateur!BL151*Calculateur!BN151*VLOOKUP('Données projet'!$B$11,Paramètres!$A$1:$I$89,3,0)*0.475*44/12</f>
        <v>0.46787794220007589</v>
      </c>
      <c r="BR151" s="21">
        <f>EXP(-LN(2)/2)*BR150+(1-EXP(-LN(2)/2))/(LN(2)/2)*BL151*BO151*VLOOKUP('Données projet'!$B$11,Paramètres!$A$1:$I$89,3,0)*0.475*44/12</f>
        <v>9.4467704042543367E-18</v>
      </c>
      <c r="BS151" s="22">
        <f t="shared" si="117"/>
        <v>1.0681509149721458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1.064108801074326E-13</v>
      </c>
      <c r="P152" s="13">
        <f t="shared" si="141"/>
        <v>1.5870730813698654E-12</v>
      </c>
      <c r="Q152" s="20">
        <f t="shared" si="108"/>
        <v>2.9494845662396269E-12</v>
      </c>
      <c r="R152" s="59">
        <f t="shared" si="109"/>
        <v>293.33333333333627</v>
      </c>
      <c r="S152" s="59">
        <f ca="1">AVERAGE(OFFSET($R$3,0,0,'Données projet'!$E$9+1,1))-AVERAGE(OFFSET($H$3,0,0,'Données projet'!$E$9+1,1))</f>
        <v>214.51224556840771</v>
      </c>
      <c r="T152" s="59">
        <f t="shared" si="142"/>
        <v>225.78309962707215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0.37613229346883464</v>
      </c>
      <c r="AA152" s="21">
        <f>EXP(-LN(2)/25)*AA151+(1-EXP(-LN(2)/25))/(LN(2)/25)*Calculateur!V152*Calculateur!X152*VLOOKUP('Données projet'!$B$9,Paramètres!$A$1:$I$89,3,0)*0.475*44/12</f>
        <v>0.94814186832957303</v>
      </c>
      <c r="AB152" s="21">
        <f>EXP(-LN(2)/2)*AB151+(1-EXP(-LN(2)/2))/(LN(2)/2)*V152*Y152*VLOOKUP('Données projet'!$B$9,Paramètres!$A$1:$I$89,3,0)*0.475*44/12</f>
        <v>2.9891347355281194E-17</v>
      </c>
      <c r="AC152" s="22">
        <f t="shared" si="111"/>
        <v>1.3242741617984077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-1.1368683772161603E-13</v>
      </c>
      <c r="AJ152" s="13">
        <f>AI152*VLOOKUP('Données projet'!$B$10,Paramètres!$A$1:$I$89,3,0)*VLOOKUP('Données projet'!$B$10,Paramètres!$A$1:$I$89,5,0)</f>
        <v>-1.0286385077051818E-13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237.22177246688199</v>
      </c>
      <c r="AO152" s="59">
        <f t="shared" si="144"/>
        <v>149.27472147904302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0.11462781839263869</v>
      </c>
      <c r="AW152" s="21">
        <f>EXP(-LN(2)/2)*AW151+(1-EXP(-LN(2)/2))/(LN(2)/2)*AQ152*AT152*VLOOKUP('Données projet'!$B$10,Paramètres!$A$1:$I$89,3,0)*0.475*44/12</f>
        <v>7.592069055006779E-18</v>
      </c>
      <c r="AX152" s="21">
        <f t="shared" si="114"/>
        <v>0.11462781839263871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168.08890945052406</v>
      </c>
      <c r="BJ152" s="59">
        <f t="shared" si="146"/>
        <v>182.52462557642343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0.58850198590637071</v>
      </c>
      <c r="BQ152" s="21">
        <f>EXP(-LN(2)/25)*BQ151+(1-EXP(-LN(2)/25))/(LN(2)/25)*Calculateur!BL152*Calculateur!BN152*VLOOKUP('Données projet'!$B$11,Paramètres!$A$1:$I$89,3,0)*0.475*44/12</f>
        <v>0.45508379526598319</v>
      </c>
      <c r="BR152" s="21">
        <f>EXP(-LN(2)/2)*BR151+(1-EXP(-LN(2)/2))/(LN(2)/2)*BL152*BO152*VLOOKUP('Données projet'!$B$11,Paramètres!$A$1:$I$89,3,0)*0.475*44/12</f>
        <v>6.6798754131606244E-18</v>
      </c>
      <c r="BS152" s="22">
        <f t="shared" si="117"/>
        <v>1.0435857811723539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1.064108801074326E-13</v>
      </c>
      <c r="P153" s="13">
        <f t="shared" si="141"/>
        <v>1.5870730813698654E-12</v>
      </c>
      <c r="Q153" s="20">
        <f t="shared" si="108"/>
        <v>2.9494845662396269E-12</v>
      </c>
      <c r="R153" s="59">
        <f t="shared" si="109"/>
        <v>293.33333333333627</v>
      </c>
      <c r="S153" s="59">
        <f ca="1">AVERAGE(OFFSET($R$3,0,0,'Données projet'!$E$9+1,1))-AVERAGE(OFFSET($H$3,0,0,'Données projet'!$E$9+1,1))</f>
        <v>214.51224556840771</v>
      </c>
      <c r="T153" s="59">
        <f t="shared" si="142"/>
        <v>225.78309962707215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0.36875656861195666</v>
      </c>
      <c r="AA153" s="21">
        <f>EXP(-LN(2)/25)*AA152+(1-EXP(-LN(2)/25))/(LN(2)/25)*Calculateur!V153*Calculateur!X153*VLOOKUP('Données projet'!$B$9,Paramètres!$A$1:$I$89,3,0)*0.475*44/12</f>
        <v>0.92221487907948696</v>
      </c>
      <c r="AB153" s="21">
        <f>EXP(-LN(2)/2)*AB152+(1-EXP(-LN(2)/2))/(LN(2)/2)*V153*Y153*VLOOKUP('Données projet'!$B$9,Paramètres!$A$1:$I$89,3,0)*0.475*44/12</f>
        <v>2.1136374413721906E-17</v>
      </c>
      <c r="AC153" s="22">
        <f t="shared" si="111"/>
        <v>1.2909714476914436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-1.1368683772161603E-13</v>
      </c>
      <c r="AJ153" s="13">
        <f>AI153*VLOOKUP('Données projet'!$B$10,Paramètres!$A$1:$I$89,3,0)*VLOOKUP('Données projet'!$B$10,Paramètres!$A$1:$I$89,5,0)</f>
        <v>-1.0286385077051818E-13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237.22177246688199</v>
      </c>
      <c r="AO153" s="59">
        <f t="shared" si="144"/>
        <v>149.27472147904302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0.111493314670677</v>
      </c>
      <c r="AW153" s="21">
        <f>EXP(-LN(2)/2)*AW152+(1-EXP(-LN(2)/2))/(LN(2)/2)*AQ153*AT153*VLOOKUP('Données projet'!$B$10,Paramètres!$A$1:$I$89,3,0)*0.475*44/12</f>
        <v>5.3684035120318372E-18</v>
      </c>
      <c r="AX153" s="21">
        <f t="shared" si="114"/>
        <v>0.111493314670677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168.08890945052406</v>
      </c>
      <c r="BJ153" s="59">
        <f t="shared" si="146"/>
        <v>182.52462557642343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0.57696182091351478</v>
      </c>
      <c r="BQ153" s="21">
        <f>EXP(-LN(2)/25)*BQ152+(1-EXP(-LN(2)/25))/(LN(2)/25)*Calculateur!BL153*Calculateur!BN153*VLOOKUP('Données projet'!$B$11,Paramètres!$A$1:$I$89,3,0)*0.475*44/12</f>
        <v>0.44263950495261822</v>
      </c>
      <c r="BR153" s="21">
        <f>EXP(-LN(2)/2)*BR152+(1-EXP(-LN(2)/2))/(LN(2)/2)*BL153*BO153*VLOOKUP('Données projet'!$B$11,Paramètres!$A$1:$I$89,3,0)*0.475*44/12</f>
        <v>4.7233852021271683E-18</v>
      </c>
      <c r="BS153" s="22">
        <f t="shared" si="117"/>
        <v>1.0196013258661329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1.064108801074326E-13</v>
      </c>
      <c r="P154" s="13">
        <f t="shared" si="141"/>
        <v>1.5870730813698654E-12</v>
      </c>
      <c r="Q154" s="20">
        <f t="shared" ref="Q154:Q203" si="162">(O154+P154)*0.475*44/12</f>
        <v>2.9494845662396269E-12</v>
      </c>
      <c r="R154" s="59">
        <f t="shared" si="109"/>
        <v>293.33333333333627</v>
      </c>
      <c r="S154" s="59">
        <f ca="1">AVERAGE(OFFSET($R$3,0,0,'Données projet'!$E$9+1,1))-AVERAGE(OFFSET($H$3,0,0,'Données projet'!$E$9+1,1))</f>
        <v>214.51224556840771</v>
      </c>
      <c r="T154" s="59">
        <f t="shared" si="142"/>
        <v>225.78309962707215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0.36152547722077411</v>
      </c>
      <c r="AA154" s="21">
        <f>EXP(-LN(2)/25)*AA153+(1-EXP(-LN(2)/25))/(LN(2)/25)*Calculateur!V154*Calculateur!X154*VLOOKUP('Données projet'!$B$9,Paramètres!$A$1:$I$89,3,0)*0.475*44/12</f>
        <v>0.89699686471388562</v>
      </c>
      <c r="AB154" s="21">
        <f>EXP(-LN(2)/2)*AB153+(1-EXP(-LN(2)/2))/(LN(2)/2)*V154*Y154*VLOOKUP('Données projet'!$B$9,Paramètres!$A$1:$I$89,3,0)*0.475*44/12</f>
        <v>1.4945673677640597E-17</v>
      </c>
      <c r="AC154" s="22">
        <f t="shared" ref="AC154:AC203" si="163">SUM(Z154:AB154)</f>
        <v>1.2585223419346598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-1.1368683772161603E-13</v>
      </c>
      <c r="AJ154" s="13">
        <f>AI154*VLOOKUP('Données projet'!$B$10,Paramètres!$A$1:$I$89,3,0)*VLOOKUP('Données projet'!$B$10,Paramètres!$A$1:$I$89,5,0)</f>
        <v>-1.0286385077051818E-13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237.22177246688199</v>
      </c>
      <c r="AO154" s="59">
        <f t="shared" si="144"/>
        <v>149.27472147904302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0.10844452411782873</v>
      </c>
      <c r="AW154" s="21">
        <f>EXP(-LN(2)/2)*AW153+(1-EXP(-LN(2)/2))/(LN(2)/2)*AQ154*AT154*VLOOKUP('Données projet'!$B$10,Paramètres!$A$1:$I$89,3,0)*0.475*44/12</f>
        <v>3.7960345275033895E-18</v>
      </c>
      <c r="AX154" s="21">
        <f t="shared" ref="AX154:AX203" si="166">SUM(AU154:AW154)</f>
        <v>0.10844452411782873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168.08890945052406</v>
      </c>
      <c r="BJ154" s="59">
        <f t="shared" si="146"/>
        <v>182.52462557642343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0.56564795151736313</v>
      </c>
      <c r="BQ154" s="21">
        <f>EXP(-LN(2)/25)*BQ153+(1-EXP(-LN(2)/25))/(LN(2)/25)*Calculateur!BL154*Calculateur!BN154*VLOOKUP('Données projet'!$B$11,Paramètres!$A$1:$I$89,3,0)*0.475*44/12</f>
        <v>0.43053550441228899</v>
      </c>
      <c r="BR154" s="21">
        <f>EXP(-LN(2)/2)*BR153+(1-EXP(-LN(2)/2))/(LN(2)/2)*BL154*BO154*VLOOKUP('Données projet'!$B$11,Paramètres!$A$1:$I$89,3,0)*0.475*44/12</f>
        <v>3.3399377065803122E-18</v>
      </c>
      <c r="BS154" s="22">
        <f t="shared" ref="BS154:BS203" si="169">SUM(BP154:BR154)</f>
        <v>0.99618345592965207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1.064108801074326E-13</v>
      </c>
      <c r="P155" s="13">
        <f t="shared" si="141"/>
        <v>1.5870730813698654E-12</v>
      </c>
      <c r="Q155" s="20">
        <f t="shared" si="162"/>
        <v>2.9494845662396269E-12</v>
      </c>
      <c r="R155" s="59">
        <f t="shared" si="109"/>
        <v>293.33333333333627</v>
      </c>
      <c r="S155" s="59">
        <f ca="1">AVERAGE(OFFSET($R$3,0,0,'Données projet'!$E$9+1,1))-AVERAGE(OFFSET($H$3,0,0,'Données projet'!$E$9+1,1))</f>
        <v>214.51224556840771</v>
      </c>
      <c r="T155" s="59">
        <f t="shared" si="142"/>
        <v>225.78309962707215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0.35443618312124242</v>
      </c>
      <c r="AA155" s="21">
        <f>EXP(-LN(2)/25)*AA154+(1-EXP(-LN(2)/25))/(LN(2)/25)*Calculateur!V155*Calculateur!X155*VLOOKUP('Données projet'!$B$9,Paramètres!$A$1:$I$89,3,0)*0.475*44/12</f>
        <v>0.87246843827726939</v>
      </c>
      <c r="AB155" s="21">
        <f>EXP(-LN(2)/2)*AB154+(1-EXP(-LN(2)/2))/(LN(2)/2)*V155*Y155*VLOOKUP('Données projet'!$B$9,Paramètres!$A$1:$I$89,3,0)*0.475*44/12</f>
        <v>1.0568187206860953E-17</v>
      </c>
      <c r="AC155" s="22">
        <f t="shared" si="163"/>
        <v>1.2269046213985118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-1.1368683772161603E-13</v>
      </c>
      <c r="AJ155" s="13">
        <f>AI155*VLOOKUP('Données projet'!$B$10,Paramètres!$A$1:$I$89,3,0)*VLOOKUP('Données projet'!$B$10,Paramètres!$A$1:$I$89,5,0)</f>
        <v>-1.0286385077051818E-13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237.22177246688199</v>
      </c>
      <c r="AO155" s="59">
        <f t="shared" si="144"/>
        <v>149.27472147904302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0.10547910290297703</v>
      </c>
      <c r="AW155" s="21">
        <f>EXP(-LN(2)/2)*AW154+(1-EXP(-LN(2)/2))/(LN(2)/2)*AQ155*AT155*VLOOKUP('Données projet'!$B$10,Paramètres!$A$1:$I$89,3,0)*0.475*44/12</f>
        <v>2.6842017560159186E-18</v>
      </c>
      <c r="AX155" s="21">
        <f t="shared" si="166"/>
        <v>0.10547910290297703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168.08890945052406</v>
      </c>
      <c r="BJ155" s="59">
        <f t="shared" si="146"/>
        <v>182.52462557642343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0.554555940199291</v>
      </c>
      <c r="BQ155" s="21">
        <f>EXP(-LN(2)/25)*BQ154+(1-EXP(-LN(2)/25))/(LN(2)/25)*Calculateur!BL155*Calculateur!BN155*VLOOKUP('Données projet'!$B$11,Paramètres!$A$1:$I$89,3,0)*0.475*44/12</f>
        <v>0.41876248840325675</v>
      </c>
      <c r="BR155" s="21">
        <f>EXP(-LN(2)/2)*BR154+(1-EXP(-LN(2)/2))/(LN(2)/2)*BL155*BO155*VLOOKUP('Données projet'!$B$11,Paramètres!$A$1:$I$89,3,0)*0.475*44/12</f>
        <v>2.3616926010635842E-18</v>
      </c>
      <c r="BS155" s="22">
        <f t="shared" si="169"/>
        <v>0.9733184286025478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1.064108801074326E-13</v>
      </c>
      <c r="P156" s="13">
        <f t="shared" si="141"/>
        <v>1.5870730813698654E-12</v>
      </c>
      <c r="Q156" s="20">
        <f t="shared" si="162"/>
        <v>2.9494845662396269E-12</v>
      </c>
      <c r="R156" s="59">
        <f t="shared" si="109"/>
        <v>293.33333333333627</v>
      </c>
      <c r="S156" s="59">
        <f ca="1">AVERAGE(OFFSET($R$3,0,0,'Données projet'!$E$9+1,1))-AVERAGE(OFFSET($H$3,0,0,'Données projet'!$E$9+1,1))</f>
        <v>214.51224556840771</v>
      </c>
      <c r="T156" s="59">
        <f t="shared" si="142"/>
        <v>225.78309962707215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0.34748590575496008</v>
      </c>
      <c r="AA156" s="21">
        <f>EXP(-LN(2)/25)*AA155+(1-EXP(-LN(2)/25))/(LN(2)/25)*Calculateur!V156*Calculateur!X156*VLOOKUP('Données projet'!$B$9,Paramètres!$A$1:$I$89,3,0)*0.475*44/12</f>
        <v>0.84861074295145633</v>
      </c>
      <c r="AB156" s="21">
        <f>EXP(-LN(2)/2)*AB155+(1-EXP(-LN(2)/2))/(LN(2)/2)*V156*Y156*VLOOKUP('Données projet'!$B$9,Paramètres!$A$1:$I$89,3,0)*0.475*44/12</f>
        <v>7.4728368388202985E-18</v>
      </c>
      <c r="AC156" s="22">
        <f t="shared" si="163"/>
        <v>1.1960966487064164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-1.1368683772161603E-13</v>
      </c>
      <c r="AJ156" s="13">
        <f>AI156*VLOOKUP('Données projet'!$B$10,Paramètres!$A$1:$I$89,3,0)*VLOOKUP('Données projet'!$B$10,Paramètres!$A$1:$I$89,5,0)</f>
        <v>-1.0286385077051818E-13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237.22177246688199</v>
      </c>
      <c r="AO156" s="59">
        <f t="shared" si="144"/>
        <v>149.27472147904302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0.10259477128719018</v>
      </c>
      <c r="AW156" s="21">
        <f>EXP(-LN(2)/2)*AW155+(1-EXP(-LN(2)/2))/(LN(2)/2)*AQ156*AT156*VLOOKUP('Données projet'!$B$10,Paramètres!$A$1:$I$89,3,0)*0.475*44/12</f>
        <v>1.8980172637516947E-18</v>
      </c>
      <c r="AX156" s="21">
        <f t="shared" si="166"/>
        <v>0.10259477128719018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168.08890945052406</v>
      </c>
      <c r="BJ156" s="59">
        <f t="shared" si="146"/>
        <v>182.52462557642343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0.54368143645770739</v>
      </c>
      <c r="BQ156" s="21">
        <f>EXP(-LN(2)/25)*BQ155+(1-EXP(-LN(2)/25))/(LN(2)/25)*Calculateur!BL156*Calculateur!BN156*VLOOKUP('Données projet'!$B$11,Paramètres!$A$1:$I$89,3,0)*0.475*44/12</f>
        <v>0.4073114061361075</v>
      </c>
      <c r="BR156" s="21">
        <f>EXP(-LN(2)/2)*BR155+(1-EXP(-LN(2)/2))/(LN(2)/2)*BL156*BO156*VLOOKUP('Données projet'!$B$11,Paramètres!$A$1:$I$89,3,0)*0.475*44/12</f>
        <v>1.6699688532901561E-18</v>
      </c>
      <c r="BS156" s="22">
        <f t="shared" si="169"/>
        <v>0.95099284259381489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1.064108801074326E-13</v>
      </c>
      <c r="P157" s="13">
        <f t="shared" si="141"/>
        <v>1.5870730813698654E-12</v>
      </c>
      <c r="Q157" s="20">
        <f t="shared" si="162"/>
        <v>2.9494845662396269E-12</v>
      </c>
      <c r="R157" s="59">
        <f t="shared" si="109"/>
        <v>293.33333333333627</v>
      </c>
      <c r="S157" s="59">
        <f ca="1">AVERAGE(OFFSET($R$3,0,0,'Données projet'!$E$9+1,1))-AVERAGE(OFFSET($H$3,0,0,'Données projet'!$E$9+1,1))</f>
        <v>214.51224556840771</v>
      </c>
      <c r="T157" s="59">
        <f t="shared" si="142"/>
        <v>225.78309962707215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0.34067191908857997</v>
      </c>
      <c r="AA157" s="21">
        <f>EXP(-LN(2)/25)*AA156+(1-EXP(-LN(2)/25))/(LN(2)/25)*Calculateur!V157*Calculateur!X157*VLOOKUP('Données projet'!$B$9,Paramètres!$A$1:$I$89,3,0)*0.475*44/12</f>
        <v>0.82540543755894935</v>
      </c>
      <c r="AB157" s="21">
        <f>EXP(-LN(2)/2)*AB156+(1-EXP(-LN(2)/2))/(LN(2)/2)*V157*Y157*VLOOKUP('Données projet'!$B$9,Paramètres!$A$1:$I$89,3,0)*0.475*44/12</f>
        <v>5.2840936034304764E-18</v>
      </c>
      <c r="AC157" s="22">
        <f t="shared" si="163"/>
        <v>1.1660773566475293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-1.1368683772161603E-13</v>
      </c>
      <c r="AJ157" s="13">
        <f>AI157*VLOOKUP('Données projet'!$B$10,Paramètres!$A$1:$I$89,3,0)*VLOOKUP('Données projet'!$B$10,Paramètres!$A$1:$I$89,5,0)</f>
        <v>-1.0286385077051818E-13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237.22177246688199</v>
      </c>
      <c r="AO157" s="59">
        <f t="shared" si="144"/>
        <v>149.27472147904302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9.978931187111742E-2</v>
      </c>
      <c r="AW157" s="21">
        <f>EXP(-LN(2)/2)*AW156+(1-EXP(-LN(2)/2))/(LN(2)/2)*AQ157*AT157*VLOOKUP('Données projet'!$B$10,Paramètres!$A$1:$I$89,3,0)*0.475*44/12</f>
        <v>1.3421008780079593E-18</v>
      </c>
      <c r="AX157" s="21">
        <f t="shared" si="166"/>
        <v>9.978931187111742E-2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168.08890945052406</v>
      </c>
      <c r="BJ157" s="59">
        <f t="shared" si="146"/>
        <v>182.52462557642343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0.53302017510170396</v>
      </c>
      <c r="BQ157" s="21">
        <f>EXP(-LN(2)/25)*BQ156+(1-EXP(-LN(2)/25))/(LN(2)/25)*Calculateur!BL157*Calculateur!BN157*VLOOKUP('Données projet'!$B$11,Paramètres!$A$1:$I$89,3,0)*0.475*44/12</f>
        <v>0.39617345431573969</v>
      </c>
      <c r="BR157" s="21">
        <f>EXP(-LN(2)/2)*BR156+(1-EXP(-LN(2)/2))/(LN(2)/2)*BL157*BO157*VLOOKUP('Données projet'!$B$11,Paramètres!$A$1:$I$89,3,0)*0.475*44/12</f>
        <v>1.1808463005317921E-18</v>
      </c>
      <c r="BS157" s="22">
        <f t="shared" si="169"/>
        <v>0.92919362941744366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1.064108801074326E-13</v>
      </c>
      <c r="P158" s="13">
        <f t="shared" si="141"/>
        <v>1.5870730813698654E-12</v>
      </c>
      <c r="Q158" s="20">
        <f t="shared" si="162"/>
        <v>2.9494845662396269E-12</v>
      </c>
      <c r="R158" s="59">
        <f t="shared" si="109"/>
        <v>293.33333333333627</v>
      </c>
      <c r="S158" s="59">
        <f ca="1">AVERAGE(OFFSET($R$3,0,0,'Données projet'!$E$9+1,1))-AVERAGE(OFFSET($H$3,0,0,'Données projet'!$E$9+1,1))</f>
        <v>214.51224556840771</v>
      </c>
      <c r="T158" s="59">
        <f t="shared" si="142"/>
        <v>225.78309962707215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0.33399155054460605</v>
      </c>
      <c r="AA158" s="21">
        <f>EXP(-LN(2)/25)*AA157+(1-EXP(-LN(2)/25))/(LN(2)/25)*Calculateur!V158*Calculateur!X158*VLOOKUP('Données projet'!$B$9,Paramètres!$A$1:$I$89,3,0)*0.475*44/12</f>
        <v>0.80283468246271439</v>
      </c>
      <c r="AB158" s="21">
        <f>EXP(-LN(2)/2)*AB157+(1-EXP(-LN(2)/2))/(LN(2)/2)*V158*Y158*VLOOKUP('Données projet'!$B$9,Paramètres!$A$1:$I$89,3,0)*0.475*44/12</f>
        <v>3.7364184194101493E-18</v>
      </c>
      <c r="AC158" s="22">
        <f t="shared" si="163"/>
        <v>1.1368262330073204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-1.1368683772161603E-13</v>
      </c>
      <c r="AJ158" s="13">
        <f>AI158*VLOOKUP('Données projet'!$B$10,Paramètres!$A$1:$I$89,3,0)*VLOOKUP('Données projet'!$B$10,Paramètres!$A$1:$I$89,5,0)</f>
        <v>-1.0286385077051818E-13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237.22177246688199</v>
      </c>
      <c r="AO158" s="59">
        <f t="shared" si="144"/>
        <v>149.27472147904302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9.7060567890309868E-2</v>
      </c>
      <c r="AW158" s="21">
        <f>EXP(-LN(2)/2)*AW157+(1-EXP(-LN(2)/2))/(LN(2)/2)*AQ158*AT158*VLOOKUP('Données projet'!$B$10,Paramètres!$A$1:$I$89,3,0)*0.475*44/12</f>
        <v>9.4900863187584737E-19</v>
      </c>
      <c r="AX158" s="21">
        <f t="shared" si="166"/>
        <v>9.7060567890309868E-2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168.08890945052406</v>
      </c>
      <c r="BJ158" s="59">
        <f t="shared" si="146"/>
        <v>182.52462557642343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0.5225679745781644</v>
      </c>
      <c r="BQ158" s="21">
        <f>EXP(-LN(2)/25)*BQ157+(1-EXP(-LN(2)/25))/(LN(2)/25)*Calculateur!BL158*Calculateur!BN158*VLOOKUP('Données projet'!$B$11,Paramètres!$A$1:$I$89,3,0)*0.475*44/12</f>
        <v>0.38534007037361928</v>
      </c>
      <c r="BR158" s="21">
        <f>EXP(-LN(2)/2)*BR157+(1-EXP(-LN(2)/2))/(LN(2)/2)*BL158*BO158*VLOOKUP('Données projet'!$B$11,Paramètres!$A$1:$I$89,3,0)*0.475*44/12</f>
        <v>8.3498442664507805E-19</v>
      </c>
      <c r="BS158" s="22">
        <f t="shared" si="169"/>
        <v>0.90790804495178368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1.064108801074326E-13</v>
      </c>
      <c r="P159" s="13">
        <f t="shared" si="141"/>
        <v>1.5870730813698654E-12</v>
      </c>
      <c r="Q159" s="20">
        <f t="shared" si="162"/>
        <v>2.9494845662396269E-12</v>
      </c>
      <c r="R159" s="59">
        <f t="shared" si="109"/>
        <v>293.33333333333627</v>
      </c>
      <c r="S159" s="59">
        <f ca="1">AVERAGE(OFFSET($R$3,0,0,'Données projet'!$E$9+1,1))-AVERAGE(OFFSET($H$3,0,0,'Données projet'!$E$9+1,1))</f>
        <v>214.51224556840771</v>
      </c>
      <c r="T159" s="59">
        <f t="shared" si="142"/>
        <v>225.78309962707215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0.327442179953157</v>
      </c>
      <c r="AA159" s="21">
        <f>EXP(-LN(2)/25)*AA158+(1-EXP(-LN(2)/25))/(LN(2)/25)*Calculateur!V159*Calculateur!X159*VLOOKUP('Données projet'!$B$9,Paramètres!$A$1:$I$89,3,0)*0.475*44/12</f>
        <v>0.78088112585153047</v>
      </c>
      <c r="AB159" s="21">
        <f>EXP(-LN(2)/2)*AB158+(1-EXP(-LN(2)/2))/(LN(2)/2)*V159*Y159*VLOOKUP('Données projet'!$B$9,Paramètres!$A$1:$I$89,3,0)*0.475*44/12</f>
        <v>2.6420468017152382E-18</v>
      </c>
      <c r="AC159" s="22">
        <f t="shared" si="163"/>
        <v>1.1083233058046875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-1.1368683772161603E-13</v>
      </c>
      <c r="AJ159" s="13">
        <f>AI159*VLOOKUP('Données projet'!$B$10,Paramètres!$A$1:$I$89,3,0)*VLOOKUP('Données projet'!$B$10,Paramètres!$A$1:$I$89,5,0)</f>
        <v>-1.0286385077051818E-13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237.22177246688199</v>
      </c>
      <c r="AO159" s="59">
        <f t="shared" si="144"/>
        <v>149.27472147904302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9.4406441557155912E-2</v>
      </c>
      <c r="AW159" s="21">
        <f>EXP(-LN(2)/2)*AW158+(1-EXP(-LN(2)/2))/(LN(2)/2)*AQ159*AT159*VLOOKUP('Données projet'!$B$10,Paramètres!$A$1:$I$89,3,0)*0.475*44/12</f>
        <v>6.7105043900397965E-19</v>
      </c>
      <c r="AX159" s="21">
        <f t="shared" si="166"/>
        <v>9.4406441557155912E-2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168.08890945052406</v>
      </c>
      <c r="BJ159" s="59">
        <f t="shared" si="146"/>
        <v>182.52462557642343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0.51232073533167866</v>
      </c>
      <c r="BQ159" s="21">
        <f>EXP(-LN(2)/25)*BQ158+(1-EXP(-LN(2)/25))/(LN(2)/25)*Calculateur!BL159*Calculateur!BN159*VLOOKUP('Données projet'!$B$11,Paramètres!$A$1:$I$89,3,0)*0.475*44/12</f>
        <v>0.37480292588509906</v>
      </c>
      <c r="BR159" s="21">
        <f>EXP(-LN(2)/2)*BR158+(1-EXP(-LN(2)/2))/(LN(2)/2)*BL159*BO159*VLOOKUP('Données projet'!$B$11,Paramètres!$A$1:$I$89,3,0)*0.475*44/12</f>
        <v>5.9042315026589604E-19</v>
      </c>
      <c r="BS159" s="22">
        <f t="shared" si="169"/>
        <v>0.88712366121677766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1.064108801074326E-13</v>
      </c>
      <c r="P160" s="13">
        <f t="shared" si="141"/>
        <v>1.5870730813698654E-12</v>
      </c>
      <c r="Q160" s="20">
        <f t="shared" si="162"/>
        <v>2.9494845662396269E-12</v>
      </c>
      <c r="R160" s="59">
        <f t="shared" si="109"/>
        <v>293.33333333333627</v>
      </c>
      <c r="S160" s="59">
        <f ca="1">AVERAGE(OFFSET($R$3,0,0,'Données projet'!$E$9+1,1))-AVERAGE(OFFSET($H$3,0,0,'Données projet'!$E$9+1,1))</f>
        <v>214.51224556840771</v>
      </c>
      <c r="T160" s="59">
        <f t="shared" si="142"/>
        <v>225.78309962707215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0.32102123852428466</v>
      </c>
      <c r="AA160" s="21">
        <f>EXP(-LN(2)/25)*AA159+(1-EXP(-LN(2)/25))/(LN(2)/25)*Calculateur!V160*Calculateur!X160*VLOOKUP('Données projet'!$B$9,Paramètres!$A$1:$I$89,3,0)*0.475*44/12</f>
        <v>0.75952789040036672</v>
      </c>
      <c r="AB160" s="21">
        <f>EXP(-LN(2)/2)*AB159+(1-EXP(-LN(2)/2))/(LN(2)/2)*V160*Y160*VLOOKUP('Données projet'!$B$9,Paramètres!$A$1:$I$89,3,0)*0.475*44/12</f>
        <v>1.8682092097050746E-18</v>
      </c>
      <c r="AC160" s="22">
        <f t="shared" si="163"/>
        <v>1.0805491289246514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-1.1368683772161603E-13</v>
      </c>
      <c r="AJ160" s="13">
        <f>AI160*VLOOKUP('Données projet'!$B$10,Paramètres!$A$1:$I$89,3,0)*VLOOKUP('Données projet'!$B$10,Paramètres!$A$1:$I$89,5,0)</f>
        <v>-1.0286385077051818E-13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237.22177246688199</v>
      </c>
      <c r="AO160" s="59">
        <f t="shared" si="144"/>
        <v>149.27472147904302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9.1824892448156489E-2</v>
      </c>
      <c r="AW160" s="21">
        <f>EXP(-LN(2)/2)*AW159+(1-EXP(-LN(2)/2))/(LN(2)/2)*AQ160*AT160*VLOOKUP('Données projet'!$B$10,Paramètres!$A$1:$I$89,3,0)*0.475*44/12</f>
        <v>4.7450431593792369E-19</v>
      </c>
      <c r="AX160" s="21">
        <f t="shared" si="166"/>
        <v>9.1824892448156489E-2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168.08890945052406</v>
      </c>
      <c r="BJ160" s="59">
        <f t="shared" si="146"/>
        <v>182.52462557642343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0.50227443819661766</v>
      </c>
      <c r="BQ160" s="21">
        <f>EXP(-LN(2)/25)*BQ159+(1-EXP(-LN(2)/25))/(LN(2)/25)*Calculateur!BL160*Calculateur!BN160*VLOOKUP('Données projet'!$B$11,Paramètres!$A$1:$I$89,3,0)*0.475*44/12</f>
        <v>0.36455392016674176</v>
      </c>
      <c r="BR160" s="21">
        <f>EXP(-LN(2)/2)*BR159+(1-EXP(-LN(2)/2))/(LN(2)/2)*BL160*BO160*VLOOKUP('Données projet'!$B$11,Paramètres!$A$1:$I$89,3,0)*0.475*44/12</f>
        <v>4.1749221332253903E-19</v>
      </c>
      <c r="BS160" s="22">
        <f t="shared" si="169"/>
        <v>0.86682835836335936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1.064108801074326E-13</v>
      </c>
      <c r="P161" s="13">
        <f t="shared" si="141"/>
        <v>1.5870730813698654E-12</v>
      </c>
      <c r="Q161" s="20">
        <f t="shared" si="162"/>
        <v>2.9494845662396269E-12</v>
      </c>
      <c r="R161" s="59">
        <f t="shared" si="109"/>
        <v>293.33333333333627</v>
      </c>
      <c r="S161" s="59">
        <f ca="1">AVERAGE(OFFSET($R$3,0,0,'Données projet'!$E$9+1,1))-AVERAGE(OFFSET($H$3,0,0,'Données projet'!$E$9+1,1))</f>
        <v>214.51224556840771</v>
      </c>
      <c r="T161" s="59">
        <f t="shared" si="142"/>
        <v>225.78309962707215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0.31472620784044492</v>
      </c>
      <c r="AA161" s="21">
        <f>EXP(-LN(2)/25)*AA160+(1-EXP(-LN(2)/25))/(LN(2)/25)*Calculateur!V161*Calculateur!X161*VLOOKUP('Données projet'!$B$9,Paramètres!$A$1:$I$89,3,0)*0.475*44/12</f>
        <v>0.73875856029553288</v>
      </c>
      <c r="AB161" s="21">
        <f>EXP(-LN(2)/2)*AB160+(1-EXP(-LN(2)/2))/(LN(2)/2)*V161*Y161*VLOOKUP('Données projet'!$B$9,Paramètres!$A$1:$I$89,3,0)*0.475*44/12</f>
        <v>1.3210234008576191E-18</v>
      </c>
      <c r="AC161" s="22">
        <f t="shared" si="163"/>
        <v>1.0534847681359778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-1.1368683772161603E-13</v>
      </c>
      <c r="AJ161" s="13">
        <f>AI161*VLOOKUP('Données projet'!$B$10,Paramètres!$A$1:$I$89,3,0)*VLOOKUP('Données projet'!$B$10,Paramètres!$A$1:$I$89,5,0)</f>
        <v>-1.0286385077051818E-13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237.22177246688199</v>
      </c>
      <c r="AO161" s="59">
        <f t="shared" si="144"/>
        <v>149.27472147904302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8.9313935935300431E-2</v>
      </c>
      <c r="AW161" s="21">
        <f>EXP(-LN(2)/2)*AW160+(1-EXP(-LN(2)/2))/(LN(2)/2)*AQ161*AT161*VLOOKUP('Données projet'!$B$10,Paramètres!$A$1:$I$89,3,0)*0.475*44/12</f>
        <v>3.3552521950198982E-19</v>
      </c>
      <c r="AX161" s="21">
        <f t="shared" si="166"/>
        <v>8.9313935935300431E-2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168.08890945052406</v>
      </c>
      <c r="BJ161" s="59">
        <f t="shared" si="146"/>
        <v>182.52462557642343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0.49242514282073901</v>
      </c>
      <c r="BQ161" s="21">
        <f>EXP(-LN(2)/25)*BQ160+(1-EXP(-LN(2)/25))/(LN(2)/25)*Calculateur!BL161*Calculateur!BN161*VLOOKUP('Données projet'!$B$11,Paramètres!$A$1:$I$89,3,0)*0.475*44/12</f>
        <v>0.35458517404872475</v>
      </c>
      <c r="BR161" s="21">
        <f>EXP(-LN(2)/2)*BR160+(1-EXP(-LN(2)/2))/(LN(2)/2)*BL161*BO161*VLOOKUP('Données projet'!$B$11,Paramètres!$A$1:$I$89,3,0)*0.475*44/12</f>
        <v>2.9521157513294802E-19</v>
      </c>
      <c r="BS161" s="22">
        <f t="shared" si="169"/>
        <v>0.84701031686946382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1.064108801074326E-13</v>
      </c>
      <c r="P162" s="13">
        <f t="shared" si="141"/>
        <v>1.5870730813698654E-12</v>
      </c>
      <c r="Q162" s="20">
        <f t="shared" si="162"/>
        <v>2.9494845662396269E-12</v>
      </c>
      <c r="R162" s="59">
        <f t="shared" si="109"/>
        <v>293.33333333333627</v>
      </c>
      <c r="S162" s="59">
        <f ca="1">AVERAGE(OFFSET($R$3,0,0,'Données projet'!$E$9+1,1))-AVERAGE(OFFSET($H$3,0,0,'Données projet'!$E$9+1,1))</f>
        <v>214.51224556840771</v>
      </c>
      <c r="T162" s="59">
        <f t="shared" si="142"/>
        <v>225.78309962707215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0.30855461886872571</v>
      </c>
      <c r="AA162" s="21">
        <f>EXP(-LN(2)/25)*AA161+(1-EXP(-LN(2)/25))/(LN(2)/25)*Calculateur!V162*Calculateur!X162*VLOOKUP('Données projet'!$B$9,Paramètres!$A$1:$I$89,3,0)*0.475*44/12</f>
        <v>0.71855716861462726</v>
      </c>
      <c r="AB162" s="21">
        <f>EXP(-LN(2)/2)*AB161+(1-EXP(-LN(2)/2))/(LN(2)/2)*V162*Y162*VLOOKUP('Données projet'!$B$9,Paramètres!$A$1:$I$89,3,0)*0.475*44/12</f>
        <v>9.3410460485253731E-19</v>
      </c>
      <c r="AC162" s="22">
        <f t="shared" si="163"/>
        <v>1.0271117874833529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-1.1368683772161603E-13</v>
      </c>
      <c r="AJ162" s="13">
        <f>AI162*VLOOKUP('Données projet'!$B$10,Paramètres!$A$1:$I$89,3,0)*VLOOKUP('Données projet'!$B$10,Paramètres!$A$1:$I$89,5,0)</f>
        <v>-1.0286385077051818E-13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237.22177246688199</v>
      </c>
      <c r="AO162" s="59">
        <f t="shared" si="144"/>
        <v>149.27472147904302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8.6871641660333884E-2</v>
      </c>
      <c r="AW162" s="21">
        <f>EXP(-LN(2)/2)*AW161+(1-EXP(-LN(2)/2))/(LN(2)/2)*AQ162*AT162*VLOOKUP('Données projet'!$B$10,Paramètres!$A$1:$I$89,3,0)*0.475*44/12</f>
        <v>2.3725215796896184E-19</v>
      </c>
      <c r="AX162" s="21">
        <f t="shared" si="166"/>
        <v>8.6871641660333884E-2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168.08890945052406</v>
      </c>
      <c r="BJ162" s="59">
        <f t="shared" si="146"/>
        <v>182.52462557642343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0.48276898611970437</v>
      </c>
      <c r="BQ162" s="21">
        <f>EXP(-LN(2)/25)*BQ161+(1-EXP(-LN(2)/25))/(LN(2)/25)*Calculateur!BL162*Calculateur!BN162*VLOOKUP('Données projet'!$B$11,Paramètres!$A$1:$I$89,3,0)*0.475*44/12</f>
        <v>0.3448890238175385</v>
      </c>
      <c r="BR162" s="21">
        <f>EXP(-LN(2)/2)*BR161+(1-EXP(-LN(2)/2))/(LN(2)/2)*BL162*BO162*VLOOKUP('Données projet'!$B$11,Paramètres!$A$1:$I$89,3,0)*0.475*44/12</f>
        <v>2.0874610666126951E-19</v>
      </c>
      <c r="BS162" s="22">
        <f t="shared" si="169"/>
        <v>0.82765800993724281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1.064108801074326E-13</v>
      </c>
      <c r="P163" s="13">
        <f t="shared" si="141"/>
        <v>1.5870730813698654E-12</v>
      </c>
      <c r="Q163" s="20">
        <f t="shared" si="162"/>
        <v>2.9494845662396269E-12</v>
      </c>
      <c r="R163" s="59">
        <f t="shared" si="109"/>
        <v>293.33333333333627</v>
      </c>
      <c r="S163" s="59">
        <f ca="1">AVERAGE(OFFSET($R$3,0,0,'Données projet'!$E$9+1,1))-AVERAGE(OFFSET($H$3,0,0,'Données projet'!$E$9+1,1))</f>
        <v>214.51224556840771</v>
      </c>
      <c r="T163" s="59">
        <f t="shared" si="142"/>
        <v>225.78309962707215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0.30250405099244432</v>
      </c>
      <c r="AA163" s="21">
        <f>EXP(-LN(2)/25)*AA162+(1-EXP(-LN(2)/25))/(LN(2)/25)*Calculateur!V163*Calculateur!X163*VLOOKUP('Données projet'!$B$9,Paramètres!$A$1:$I$89,3,0)*0.475*44/12</f>
        <v>0.69890818505158103</v>
      </c>
      <c r="AB163" s="21">
        <f>EXP(-LN(2)/2)*AB162+(1-EXP(-LN(2)/2))/(LN(2)/2)*V163*Y163*VLOOKUP('Données projet'!$B$9,Paramètres!$A$1:$I$89,3,0)*0.475*44/12</f>
        <v>6.6051170042880955E-19</v>
      </c>
      <c r="AC163" s="22">
        <f t="shared" si="163"/>
        <v>1.0014122360440254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-1.1368683772161603E-13</v>
      </c>
      <c r="AJ163" s="13">
        <f>AI163*VLOOKUP('Données projet'!$B$10,Paramètres!$A$1:$I$89,3,0)*VLOOKUP('Données projet'!$B$10,Paramètres!$A$1:$I$89,5,0)</f>
        <v>-1.0286385077051818E-13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237.22177246688199</v>
      </c>
      <c r="AO163" s="59">
        <f t="shared" si="144"/>
        <v>149.27472147904302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8.4496132050750961E-2</v>
      </c>
      <c r="AW163" s="21">
        <f>EXP(-LN(2)/2)*AW162+(1-EXP(-LN(2)/2))/(LN(2)/2)*AQ163*AT163*VLOOKUP('Données projet'!$B$10,Paramètres!$A$1:$I$89,3,0)*0.475*44/12</f>
        <v>1.6776260975099491E-19</v>
      </c>
      <c r="AX163" s="21">
        <f t="shared" si="166"/>
        <v>8.4496132050750961E-2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168.08890945052406</v>
      </c>
      <c r="BJ163" s="59">
        <f t="shared" si="146"/>
        <v>182.52462557642343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0.473302180761903</v>
      </c>
      <c r="BQ163" s="21">
        <f>EXP(-LN(2)/25)*BQ162+(1-EXP(-LN(2)/25))/(LN(2)/25)*Calculateur!BL163*Calculateur!BN163*VLOOKUP('Données projet'!$B$11,Paramètres!$A$1:$I$89,3,0)*0.475*44/12</f>
        <v>0.3354580153243224</v>
      </c>
      <c r="BR163" s="21">
        <f>EXP(-LN(2)/2)*BR162+(1-EXP(-LN(2)/2))/(LN(2)/2)*BL163*BO163*VLOOKUP('Données projet'!$B$11,Paramètres!$A$1:$I$89,3,0)*0.475*44/12</f>
        <v>1.4760578756647401E-19</v>
      </c>
      <c r="BS163" s="22">
        <f t="shared" si="169"/>
        <v>0.8087601960862254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1.064108801074326E-13</v>
      </c>
      <c r="P164" s="13">
        <f t="shared" si="141"/>
        <v>1.5870730813698654E-12</v>
      </c>
      <c r="Q164" s="20">
        <f t="shared" si="162"/>
        <v>2.9494845662396269E-12</v>
      </c>
      <c r="R164" s="59">
        <f t="shared" si="109"/>
        <v>293.33333333333627</v>
      </c>
      <c r="S164" s="59">
        <f ca="1">AVERAGE(OFFSET($R$3,0,0,'Données projet'!$E$9+1,1))-AVERAGE(OFFSET($H$3,0,0,'Données projet'!$E$9+1,1))</f>
        <v>214.51224556840771</v>
      </c>
      <c r="T164" s="59">
        <f t="shared" si="142"/>
        <v>225.78309962707215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0.2965721310617348</v>
      </c>
      <c r="AA164" s="21">
        <f>EXP(-LN(2)/25)*AA163+(1-EXP(-LN(2)/25))/(LN(2)/25)*Calculateur!V164*Calculateur!X164*VLOOKUP('Données projet'!$B$9,Paramètres!$A$1:$I$89,3,0)*0.475*44/12</f>
        <v>0.67979650397736147</v>
      </c>
      <c r="AB164" s="21">
        <f>EXP(-LN(2)/2)*AB163+(1-EXP(-LN(2)/2))/(LN(2)/2)*V164*Y164*VLOOKUP('Données projet'!$B$9,Paramètres!$A$1:$I$89,3,0)*0.475*44/12</f>
        <v>4.6705230242626866E-19</v>
      </c>
      <c r="AC164" s="22">
        <f t="shared" si="163"/>
        <v>0.97636863503909632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-1.1368683772161603E-13</v>
      </c>
      <c r="AJ164" s="13">
        <f>AI164*VLOOKUP('Données projet'!$B$10,Paramètres!$A$1:$I$89,3,0)*VLOOKUP('Données projet'!$B$10,Paramètres!$A$1:$I$89,5,0)</f>
        <v>-1.0286385077051818E-13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237.22177246688199</v>
      </c>
      <c r="AO164" s="59">
        <f t="shared" si="144"/>
        <v>149.27472147904302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8.2185580876364711E-2</v>
      </c>
      <c r="AW164" s="21">
        <f>EXP(-LN(2)/2)*AW163+(1-EXP(-LN(2)/2))/(LN(2)/2)*AQ164*AT164*VLOOKUP('Données projet'!$B$10,Paramètres!$A$1:$I$89,3,0)*0.475*44/12</f>
        <v>1.1862607898448092E-19</v>
      </c>
      <c r="AX164" s="21">
        <f t="shared" si="166"/>
        <v>8.2185580876364711E-2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168.08890945052406</v>
      </c>
      <c r="BJ164" s="59">
        <f t="shared" si="146"/>
        <v>182.52462557642343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0.46402101368298698</v>
      </c>
      <c r="BQ164" s="21">
        <f>EXP(-LN(2)/25)*BQ163+(1-EXP(-LN(2)/25))/(LN(2)/25)*Calculateur!BL164*Calculateur!BN164*VLOOKUP('Données projet'!$B$11,Paramètres!$A$1:$I$89,3,0)*0.475*44/12</f>
        <v>0.32628489825430845</v>
      </c>
      <c r="BR164" s="21">
        <f>EXP(-LN(2)/2)*BR163+(1-EXP(-LN(2)/2))/(LN(2)/2)*BL164*BO164*VLOOKUP('Données projet'!$B$11,Paramètres!$A$1:$I$89,3,0)*0.475*44/12</f>
        <v>1.0437305333063476E-19</v>
      </c>
      <c r="BS164" s="22">
        <f t="shared" si="169"/>
        <v>0.79030591193729549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1.064108801074326E-13</v>
      </c>
      <c r="P165" s="13">
        <f t="shared" si="141"/>
        <v>1.5870730813698654E-12</v>
      </c>
      <c r="Q165" s="20">
        <f t="shared" si="162"/>
        <v>2.9494845662396269E-12</v>
      </c>
      <c r="R165" s="59">
        <f t="shared" si="109"/>
        <v>293.33333333333627</v>
      </c>
      <c r="S165" s="59">
        <f ca="1">AVERAGE(OFFSET($R$3,0,0,'Données projet'!$E$9+1,1))-AVERAGE(OFFSET($H$3,0,0,'Données projet'!$E$9+1,1))</f>
        <v>214.51224556840771</v>
      </c>
      <c r="T165" s="59">
        <f t="shared" si="142"/>
        <v>225.78309962707215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0.29075653246275263</v>
      </c>
      <c r="AA165" s="21">
        <f>EXP(-LN(2)/25)*AA164+(1-EXP(-LN(2)/25))/(LN(2)/25)*Calculateur!V165*Calculateur!X165*VLOOKUP('Données projet'!$B$9,Paramètres!$A$1:$I$89,3,0)*0.475*44/12</f>
        <v>0.66120743282715611</v>
      </c>
      <c r="AB165" s="21">
        <f>EXP(-LN(2)/2)*AB164+(1-EXP(-LN(2)/2))/(LN(2)/2)*V165*Y165*VLOOKUP('Données projet'!$B$9,Paramètres!$A$1:$I$89,3,0)*0.475*44/12</f>
        <v>3.3025585021440478E-19</v>
      </c>
      <c r="AC165" s="22">
        <f t="shared" si="163"/>
        <v>0.95196396528990879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-1.1368683772161603E-13</v>
      </c>
      <c r="AJ165" s="13">
        <f>AI165*VLOOKUP('Données projet'!$B$10,Paramètres!$A$1:$I$89,3,0)*VLOOKUP('Données projet'!$B$10,Paramètres!$A$1:$I$89,5,0)</f>
        <v>-1.0286385077051818E-13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237.22177246688199</v>
      </c>
      <c r="AO165" s="59">
        <f t="shared" si="144"/>
        <v>149.27472147904302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7.9938211845348661E-2</v>
      </c>
      <c r="AW165" s="21">
        <f>EXP(-LN(2)/2)*AW164+(1-EXP(-LN(2)/2))/(LN(2)/2)*AQ165*AT165*VLOOKUP('Données projet'!$B$10,Paramètres!$A$1:$I$89,3,0)*0.475*44/12</f>
        <v>8.3881304875497456E-20</v>
      </c>
      <c r="AX165" s="21">
        <f t="shared" si="166"/>
        <v>7.9938211845348661E-2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168.08890945052406</v>
      </c>
      <c r="BJ165" s="59">
        <f t="shared" si="146"/>
        <v>182.52462557642343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0.45492184462953555</v>
      </c>
      <c r="BQ165" s="21">
        <f>EXP(-LN(2)/25)*BQ164+(1-EXP(-LN(2)/25))/(LN(2)/25)*Calculateur!BL165*Calculateur!BN165*VLOOKUP('Données projet'!$B$11,Paramètres!$A$1:$I$89,3,0)*0.475*44/12</f>
        <v>0.31736262055296732</v>
      </c>
      <c r="BR165" s="21">
        <f>EXP(-LN(2)/2)*BR164+(1-EXP(-LN(2)/2))/(LN(2)/2)*BL165*BO165*VLOOKUP('Données projet'!$B$11,Paramètres!$A$1:$I$89,3,0)*0.475*44/12</f>
        <v>7.3802893783237005E-20</v>
      </c>
      <c r="BS165" s="22">
        <f t="shared" si="169"/>
        <v>0.77228446518250293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1.064108801074326E-13</v>
      </c>
      <c r="P166" s="13">
        <f t="shared" si="141"/>
        <v>1.5870730813698654E-12</v>
      </c>
      <c r="Q166" s="20">
        <f t="shared" si="162"/>
        <v>2.9494845662396269E-12</v>
      </c>
      <c r="R166" s="59">
        <f t="shared" si="109"/>
        <v>293.33333333333627</v>
      </c>
      <c r="S166" s="59">
        <f ca="1">AVERAGE(OFFSET($R$3,0,0,'Données projet'!$E$9+1,1))-AVERAGE(OFFSET($H$3,0,0,'Données projet'!$E$9+1,1))</f>
        <v>214.51224556840771</v>
      </c>
      <c r="T166" s="59">
        <f t="shared" si="142"/>
        <v>225.78309962707215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0.28505497420513159</v>
      </c>
      <c r="AA166" s="21">
        <f>EXP(-LN(2)/25)*AA165+(1-EXP(-LN(2)/25))/(LN(2)/25)*Calculateur!V166*Calculateur!X166*VLOOKUP('Données projet'!$B$9,Paramètres!$A$1:$I$89,3,0)*0.475*44/12</f>
        <v>0.64312668080510982</v>
      </c>
      <c r="AB166" s="21">
        <f>EXP(-LN(2)/2)*AB165+(1-EXP(-LN(2)/2))/(LN(2)/2)*V166*Y166*VLOOKUP('Données projet'!$B$9,Paramètres!$A$1:$I$89,3,0)*0.475*44/12</f>
        <v>2.3352615121313433E-19</v>
      </c>
      <c r="AC166" s="22">
        <f t="shared" si="163"/>
        <v>0.92818165501024141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-1.1368683772161603E-13</v>
      </c>
      <c r="AJ166" s="13">
        <f>AI166*VLOOKUP('Données projet'!$B$10,Paramètres!$A$1:$I$89,3,0)*VLOOKUP('Données projet'!$B$10,Paramètres!$A$1:$I$89,5,0)</f>
        <v>-1.0286385077051818E-13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237.22177246688199</v>
      </c>
      <c r="AO166" s="59">
        <f t="shared" si="144"/>
        <v>149.27472147904302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7.7752297238669749E-2</v>
      </c>
      <c r="AW166" s="21">
        <f>EXP(-LN(2)/2)*AW165+(1-EXP(-LN(2)/2))/(LN(2)/2)*AQ166*AT166*VLOOKUP('Données projet'!$B$10,Paramètres!$A$1:$I$89,3,0)*0.475*44/12</f>
        <v>5.9313039492240461E-20</v>
      </c>
      <c r="AX166" s="21">
        <f t="shared" si="166"/>
        <v>7.7752297238669749E-2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168.08890945052406</v>
      </c>
      <c r="BJ166" s="59">
        <f t="shared" si="146"/>
        <v>182.52462557642343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0.44600110473127719</v>
      </c>
      <c r="BQ166" s="21">
        <f>EXP(-LN(2)/25)*BQ165+(1-EXP(-LN(2)/25))/(LN(2)/25)*Calculateur!BL166*Calculateur!BN166*VLOOKUP('Données projet'!$B$11,Paramètres!$A$1:$I$89,3,0)*0.475*44/12</f>
        <v>0.30868432300457155</v>
      </c>
      <c r="BR166" s="21">
        <f>EXP(-LN(2)/2)*BR165+(1-EXP(-LN(2)/2))/(LN(2)/2)*BL166*BO166*VLOOKUP('Données projet'!$B$11,Paramètres!$A$1:$I$89,3,0)*0.475*44/12</f>
        <v>5.2186526665317378E-20</v>
      </c>
      <c r="BS166" s="22">
        <f t="shared" si="169"/>
        <v>0.75468542773584879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1.064108801074326E-13</v>
      </c>
      <c r="P167" s="13">
        <f t="shared" si="141"/>
        <v>1.5870730813698654E-12</v>
      </c>
      <c r="Q167" s="20">
        <f t="shared" si="162"/>
        <v>2.9494845662396269E-12</v>
      </c>
      <c r="R167" s="59">
        <f t="shared" si="109"/>
        <v>293.33333333333627</v>
      </c>
      <c r="S167" s="59">
        <f ca="1">AVERAGE(OFFSET($R$3,0,0,'Données projet'!$E$9+1,1))-AVERAGE(OFFSET($H$3,0,0,'Données projet'!$E$9+1,1))</f>
        <v>214.51224556840771</v>
      </c>
      <c r="T167" s="59">
        <f t="shared" si="142"/>
        <v>225.78309962707215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0.27946522002733537</v>
      </c>
      <c r="AA167" s="21">
        <f>EXP(-LN(2)/25)*AA166+(1-EXP(-LN(2)/25))/(LN(2)/25)*Calculateur!V167*Calculateur!X167*VLOOKUP('Données projet'!$B$9,Paramètres!$A$1:$I$89,3,0)*0.475*44/12</f>
        <v>0.62554034789793178</v>
      </c>
      <c r="AB167" s="21">
        <f>EXP(-LN(2)/2)*AB166+(1-EXP(-LN(2)/2))/(LN(2)/2)*V167*Y167*VLOOKUP('Données projet'!$B$9,Paramètres!$A$1:$I$89,3,0)*0.475*44/12</f>
        <v>1.6512792510720239E-19</v>
      </c>
      <c r="AC167" s="22">
        <f t="shared" si="163"/>
        <v>0.9050055679252671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-1.1368683772161603E-13</v>
      </c>
      <c r="AJ167" s="13">
        <f>AI167*VLOOKUP('Données projet'!$B$10,Paramètres!$A$1:$I$89,3,0)*VLOOKUP('Données projet'!$B$10,Paramètres!$A$1:$I$89,5,0)</f>
        <v>-1.0286385077051818E-13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237.22177246688199</v>
      </c>
      <c r="AO167" s="59">
        <f t="shared" si="144"/>
        <v>149.27472147904302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7.5626156581862725E-2</v>
      </c>
      <c r="AW167" s="21">
        <f>EXP(-LN(2)/2)*AW166+(1-EXP(-LN(2)/2))/(LN(2)/2)*AQ167*AT167*VLOOKUP('Données projet'!$B$10,Paramètres!$A$1:$I$89,3,0)*0.475*44/12</f>
        <v>4.1940652437748728E-20</v>
      </c>
      <c r="AX167" s="21">
        <f t="shared" si="166"/>
        <v>7.5626156581862725E-2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168.08890945052406</v>
      </c>
      <c r="BJ167" s="59">
        <f t="shared" si="146"/>
        <v>182.52462557642343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0.43725529510130962</v>
      </c>
      <c r="BQ167" s="21">
        <f>EXP(-LN(2)/25)*BQ166+(1-EXP(-LN(2)/25))/(LN(2)/25)*Calculateur!BL167*Calculateur!BN167*VLOOKUP('Données projet'!$B$11,Paramètres!$A$1:$I$89,3,0)*0.475*44/12</f>
        <v>0.30024333395900848</v>
      </c>
      <c r="BR167" s="21">
        <f>EXP(-LN(2)/2)*BR166+(1-EXP(-LN(2)/2))/(LN(2)/2)*BL167*BO167*VLOOKUP('Données projet'!$B$11,Paramètres!$A$1:$I$89,3,0)*0.475*44/12</f>
        <v>3.6901446891618503E-20</v>
      </c>
      <c r="BS167" s="22">
        <f t="shared" si="169"/>
        <v>0.73749862906031804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1.064108801074326E-13</v>
      </c>
      <c r="P168" s="13">
        <f t="shared" si="141"/>
        <v>1.5870730813698654E-12</v>
      </c>
      <c r="Q168" s="20">
        <f t="shared" si="162"/>
        <v>2.9494845662396269E-12</v>
      </c>
      <c r="R168" s="59">
        <f t="shared" si="109"/>
        <v>293.33333333333627</v>
      </c>
      <c r="S168" s="59">
        <f ca="1">AVERAGE(OFFSET($R$3,0,0,'Données projet'!$E$9+1,1))-AVERAGE(OFFSET($H$3,0,0,'Données projet'!$E$9+1,1))</f>
        <v>214.51224556840771</v>
      </c>
      <c r="T168" s="59">
        <f t="shared" si="142"/>
        <v>225.78309962707215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0.27398507751955231</v>
      </c>
      <c r="AA168" s="21">
        <f>EXP(-LN(2)/25)*AA167+(1-EXP(-LN(2)/25))/(LN(2)/25)*Calculateur!V168*Calculateur!X168*VLOOKUP('Données projet'!$B$9,Paramètres!$A$1:$I$89,3,0)*0.475*44/12</f>
        <v>0.60843491418892559</v>
      </c>
      <c r="AB168" s="21">
        <f>EXP(-LN(2)/2)*AB167+(1-EXP(-LN(2)/2))/(LN(2)/2)*V168*Y168*VLOOKUP('Données projet'!$B$9,Paramètres!$A$1:$I$89,3,0)*0.475*44/12</f>
        <v>1.1676307560656716E-19</v>
      </c>
      <c r="AC168" s="22">
        <f t="shared" si="163"/>
        <v>0.88241999170847785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-1.1368683772161603E-13</v>
      </c>
      <c r="AJ168" s="13">
        <f>AI168*VLOOKUP('Données projet'!$B$10,Paramètres!$A$1:$I$89,3,0)*VLOOKUP('Données projet'!$B$10,Paramètres!$A$1:$I$89,5,0)</f>
        <v>-1.0286385077051818E-13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237.22177246688199</v>
      </c>
      <c r="AO168" s="59">
        <f t="shared" si="144"/>
        <v>149.27472147904302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7.355815535312496E-2</v>
      </c>
      <c r="AW168" s="21">
        <f>EXP(-LN(2)/2)*AW167+(1-EXP(-LN(2)/2))/(LN(2)/2)*AQ168*AT168*VLOOKUP('Données projet'!$B$10,Paramètres!$A$1:$I$89,3,0)*0.475*44/12</f>
        <v>2.965651974612023E-20</v>
      </c>
      <c r="AX168" s="21">
        <f t="shared" si="166"/>
        <v>7.355815535312496E-2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168.08890945052406</v>
      </c>
      <c r="BJ168" s="59">
        <f t="shared" si="146"/>
        <v>182.52462557642343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0.42868098546376859</v>
      </c>
      <c r="BQ168" s="21">
        <f>EXP(-LN(2)/25)*BQ167+(1-EXP(-LN(2)/25))/(LN(2)/25)*Calculateur!BL168*Calculateur!BN168*VLOOKUP('Données projet'!$B$11,Paramètres!$A$1:$I$89,3,0)*0.475*44/12</f>
        <v>0.29203316420278869</v>
      </c>
      <c r="BR168" s="21">
        <f>EXP(-LN(2)/2)*BR167+(1-EXP(-LN(2)/2))/(LN(2)/2)*BL168*BO168*VLOOKUP('Données projet'!$B$11,Paramètres!$A$1:$I$89,3,0)*0.475*44/12</f>
        <v>2.6093263332658689E-20</v>
      </c>
      <c r="BS168" s="22">
        <f t="shared" si="169"/>
        <v>0.72071414966655722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1.064108801074326E-13</v>
      </c>
      <c r="P169" s="13">
        <f t="shared" si="141"/>
        <v>1.5870730813698654E-12</v>
      </c>
      <c r="Q169" s="20">
        <f t="shared" si="162"/>
        <v>2.9494845662396269E-12</v>
      </c>
      <c r="R169" s="59">
        <f t="shared" si="109"/>
        <v>293.33333333333627</v>
      </c>
      <c r="S169" s="59">
        <f ca="1">AVERAGE(OFFSET($R$3,0,0,'Données projet'!$E$9+1,1))-AVERAGE(OFFSET($H$3,0,0,'Données projet'!$E$9+1,1))</f>
        <v>214.51224556840771</v>
      </c>
      <c r="T169" s="59">
        <f t="shared" si="142"/>
        <v>225.78309962707215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0.26861239726378999</v>
      </c>
      <c r="AA169" s="21">
        <f>EXP(-LN(2)/25)*AA168+(1-EXP(-LN(2)/25))/(LN(2)/25)*Calculateur!V169*Calculateur!X169*VLOOKUP('Données projet'!$B$9,Paramètres!$A$1:$I$89,3,0)*0.475*44/12</f>
        <v>0.59179722946422786</v>
      </c>
      <c r="AB169" s="21">
        <f>EXP(-LN(2)/2)*AB168+(1-EXP(-LN(2)/2))/(LN(2)/2)*V169*Y169*VLOOKUP('Données projet'!$B$9,Paramètres!$A$1:$I$89,3,0)*0.475*44/12</f>
        <v>8.2563962553601194E-20</v>
      </c>
      <c r="AC169" s="22">
        <f t="shared" si="163"/>
        <v>0.86040962672801791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-1.1368683772161603E-13</v>
      </c>
      <c r="AJ169" s="13">
        <f>AI169*VLOOKUP('Données projet'!$B$10,Paramètres!$A$1:$I$89,3,0)*VLOOKUP('Données projet'!$B$10,Paramètres!$A$1:$I$89,5,0)</f>
        <v>-1.0286385077051818E-13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237.22177246688199</v>
      </c>
      <c r="AO169" s="59">
        <f t="shared" si="144"/>
        <v>149.27472147904302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7.1546703726738492E-2</v>
      </c>
      <c r="AW169" s="21">
        <f>EXP(-LN(2)/2)*AW168+(1-EXP(-LN(2)/2))/(LN(2)/2)*AQ169*AT169*VLOOKUP('Données projet'!$B$10,Paramètres!$A$1:$I$89,3,0)*0.475*44/12</f>
        <v>2.0970326218874364E-20</v>
      </c>
      <c r="AX169" s="21">
        <f t="shared" si="166"/>
        <v>7.1546703726738492E-2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168.08890945052406</v>
      </c>
      <c r="BJ169" s="59">
        <f t="shared" si="146"/>
        <v>182.52462557642343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0.42027481280840723</v>
      </c>
      <c r="BQ169" s="21">
        <f>EXP(-LN(2)/25)*BQ168+(1-EXP(-LN(2)/25))/(LN(2)/25)*Calculateur!BL169*Calculateur!BN169*VLOOKUP('Données projet'!$B$11,Paramètres!$A$1:$I$89,3,0)*0.475*44/12</f>
        <v>0.28404750197030676</v>
      </c>
      <c r="BR169" s="21">
        <f>EXP(-LN(2)/2)*BR168+(1-EXP(-LN(2)/2))/(LN(2)/2)*BL169*BO169*VLOOKUP('Données projet'!$B$11,Paramètres!$A$1:$I$89,3,0)*0.475*44/12</f>
        <v>1.8450723445809251E-20</v>
      </c>
      <c r="BS169" s="22">
        <f t="shared" si="169"/>
        <v>0.70432231477871399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1.064108801074326E-13</v>
      </c>
      <c r="P170" s="13">
        <f t="shared" si="141"/>
        <v>1.5870730813698654E-12</v>
      </c>
      <c r="Q170" s="20">
        <f t="shared" si="162"/>
        <v>2.9494845662396269E-12</v>
      </c>
      <c r="R170" s="59">
        <f t="shared" si="109"/>
        <v>293.33333333333627</v>
      </c>
      <c r="S170" s="59">
        <f ca="1">AVERAGE(OFFSET($R$3,0,0,'Données projet'!$E$9+1,1))-AVERAGE(OFFSET($H$3,0,0,'Données projet'!$E$9+1,1))</f>
        <v>214.51224556840771</v>
      </c>
      <c r="T170" s="59">
        <f t="shared" si="142"/>
        <v>225.78309962707215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0.26334507199083179</v>
      </c>
      <c r="AA170" s="21">
        <f>EXP(-LN(2)/25)*AA169+(1-EXP(-LN(2)/25))/(LN(2)/25)*Calculateur!V170*Calculateur!X170*VLOOKUP('Données projet'!$B$9,Paramètres!$A$1:$I$89,3,0)*0.475*44/12</f>
        <v>0.57561450310326479</v>
      </c>
      <c r="AB170" s="21">
        <f>EXP(-LN(2)/2)*AB169+(1-EXP(-LN(2)/2))/(LN(2)/2)*V170*Y170*VLOOKUP('Données projet'!$B$9,Paramètres!$A$1:$I$89,3,0)*0.475*44/12</f>
        <v>5.8381537803283582E-20</v>
      </c>
      <c r="AC170" s="22">
        <f t="shared" si="163"/>
        <v>0.83895957509409658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-1.1368683772161603E-13</v>
      </c>
      <c r="AJ170" s="13">
        <f>AI170*VLOOKUP('Données projet'!$B$10,Paramètres!$A$1:$I$89,3,0)*VLOOKUP('Données projet'!$B$10,Paramètres!$A$1:$I$89,5,0)</f>
        <v>-1.0286385077051818E-13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237.22177246688199</v>
      </c>
      <c r="AO170" s="59">
        <f t="shared" si="144"/>
        <v>149.27472147904302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6.9590255350853197E-2</v>
      </c>
      <c r="AW170" s="21">
        <f>EXP(-LN(2)/2)*AW169+(1-EXP(-LN(2)/2))/(LN(2)/2)*AQ170*AT170*VLOOKUP('Données projet'!$B$10,Paramètres!$A$1:$I$89,3,0)*0.475*44/12</f>
        <v>1.4828259873060115E-20</v>
      </c>
      <c r="AX170" s="21">
        <f t="shared" si="166"/>
        <v>6.9590255350853197E-2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168.08890945052406</v>
      </c>
      <c r="BJ170" s="59">
        <f t="shared" si="146"/>
        <v>182.52462557642343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0.41203348007155849</v>
      </c>
      <c r="BQ170" s="21">
        <f>EXP(-LN(2)/25)*BQ169+(1-EXP(-LN(2)/25))/(LN(2)/25)*Calculateur!BL170*Calculateur!BN170*VLOOKUP('Données projet'!$B$11,Paramètres!$A$1:$I$89,3,0)*0.475*44/12</f>
        <v>0.27628020809151982</v>
      </c>
      <c r="BR170" s="21">
        <f>EXP(-LN(2)/2)*BR169+(1-EXP(-LN(2)/2))/(LN(2)/2)*BL170*BO170*VLOOKUP('Données projet'!$B$11,Paramètres!$A$1:$I$89,3,0)*0.475*44/12</f>
        <v>1.3046631666329345E-20</v>
      </c>
      <c r="BS170" s="22">
        <f t="shared" si="169"/>
        <v>0.68831368816307825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1.064108801074326E-13</v>
      </c>
      <c r="P171" s="13">
        <f t="shared" si="141"/>
        <v>1.5870730813698654E-12</v>
      </c>
      <c r="Q171" s="20">
        <f t="shared" si="162"/>
        <v>2.9494845662396269E-12</v>
      </c>
      <c r="R171" s="59">
        <f t="shared" si="109"/>
        <v>293.33333333333627</v>
      </c>
      <c r="S171" s="59">
        <f ca="1">AVERAGE(OFFSET($R$3,0,0,'Données projet'!$E$9+1,1))-AVERAGE(OFFSET($H$3,0,0,'Données projet'!$E$9+1,1))</f>
        <v>214.51224556840771</v>
      </c>
      <c r="T171" s="59">
        <f t="shared" si="142"/>
        <v>225.78309962707215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0.25818103575372514</v>
      </c>
      <c r="AA171" s="21">
        <f>EXP(-LN(2)/25)*AA170+(1-EXP(-LN(2)/25))/(LN(2)/25)*Calculateur!V171*Calculateur!X171*VLOOKUP('Données projet'!$B$9,Paramètres!$A$1:$I$89,3,0)*0.475*44/12</f>
        <v>0.55987429424565482</v>
      </c>
      <c r="AB171" s="21">
        <f>EXP(-LN(2)/2)*AB170+(1-EXP(-LN(2)/2))/(LN(2)/2)*V171*Y171*VLOOKUP('Données projet'!$B$9,Paramètres!$A$1:$I$89,3,0)*0.475*44/12</f>
        <v>4.1281981276800597E-20</v>
      </c>
      <c r="AC171" s="22">
        <f t="shared" si="163"/>
        <v>0.81805532999938002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-1.1368683772161603E-13</v>
      </c>
      <c r="AJ171" s="13">
        <f>AI171*VLOOKUP('Données projet'!$B$10,Paramètres!$A$1:$I$89,3,0)*VLOOKUP('Données projet'!$B$10,Paramètres!$A$1:$I$89,5,0)</f>
        <v>-1.0286385077051818E-13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237.22177246688199</v>
      </c>
      <c r="AO171" s="59">
        <f t="shared" si="144"/>
        <v>149.27472147904302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6.7687306158691632E-2</v>
      </c>
      <c r="AW171" s="21">
        <f>EXP(-LN(2)/2)*AW170+(1-EXP(-LN(2)/2))/(LN(2)/2)*AQ171*AT171*VLOOKUP('Données projet'!$B$10,Paramètres!$A$1:$I$89,3,0)*0.475*44/12</f>
        <v>1.0485163109437182E-20</v>
      </c>
      <c r="AX171" s="21">
        <f t="shared" si="166"/>
        <v>6.7687306158691632E-2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168.08890945052406</v>
      </c>
      <c r="BJ171" s="59">
        <f t="shared" si="146"/>
        <v>182.52462557642343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0.4039537548429627</v>
      </c>
      <c r="BQ171" s="21">
        <f>EXP(-LN(2)/25)*BQ170+(1-EXP(-LN(2)/25))/(LN(2)/25)*Calculateur!BL171*Calculateur!BN171*VLOOKUP('Données projet'!$B$11,Paramètres!$A$1:$I$89,3,0)*0.475*44/12</f>
        <v>0.26872531127231253</v>
      </c>
      <c r="BR171" s="21">
        <f>EXP(-LN(2)/2)*BR170+(1-EXP(-LN(2)/2))/(LN(2)/2)*BL171*BO171*VLOOKUP('Données projet'!$B$11,Paramètres!$A$1:$I$89,3,0)*0.475*44/12</f>
        <v>9.2253617229046257E-21</v>
      </c>
      <c r="BS171" s="22">
        <f t="shared" si="169"/>
        <v>0.67267906611527528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1.064108801074326E-13</v>
      </c>
      <c r="P172" s="13">
        <f t="shared" si="141"/>
        <v>1.5870730813698654E-12</v>
      </c>
      <c r="Q172" s="20">
        <f t="shared" si="162"/>
        <v>2.9494845662396269E-12</v>
      </c>
      <c r="R172" s="59">
        <f t="shared" si="109"/>
        <v>293.33333333333627</v>
      </c>
      <c r="S172" s="59">
        <f ca="1">AVERAGE(OFFSET($R$3,0,0,'Données projet'!$E$9+1,1))-AVERAGE(OFFSET($H$3,0,0,'Données projet'!$E$9+1,1))</f>
        <v>214.51224556840771</v>
      </c>
      <c r="T172" s="59">
        <f t="shared" si="142"/>
        <v>225.78309962707215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0.25311826311747704</v>
      </c>
      <c r="AA172" s="21">
        <f>EXP(-LN(2)/25)*AA171+(1-EXP(-LN(2)/25))/(LN(2)/25)*Calculateur!V172*Calculateur!X172*VLOOKUP('Données projet'!$B$9,Paramètres!$A$1:$I$89,3,0)*0.475*44/12</f>
        <v>0.54456450222699782</v>
      </c>
      <c r="AB172" s="21">
        <f>EXP(-LN(2)/2)*AB171+(1-EXP(-LN(2)/2))/(LN(2)/2)*V172*Y172*VLOOKUP('Données projet'!$B$9,Paramètres!$A$1:$I$89,3,0)*0.475*44/12</f>
        <v>2.9190768901641791E-20</v>
      </c>
      <c r="AC172" s="22">
        <f t="shared" si="163"/>
        <v>0.79768276534447491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-1.1368683772161603E-13</v>
      </c>
      <c r="AJ172" s="13">
        <f>AI172*VLOOKUP('Données projet'!$B$10,Paramètres!$A$1:$I$89,3,0)*VLOOKUP('Données projet'!$B$10,Paramètres!$A$1:$I$89,5,0)</f>
        <v>-1.0286385077051818E-13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237.22177246688199</v>
      </c>
      <c r="AO172" s="59">
        <f t="shared" si="144"/>
        <v>149.27472147904302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6.5836393212261479E-2</v>
      </c>
      <c r="AW172" s="21">
        <f>EXP(-LN(2)/2)*AW171+(1-EXP(-LN(2)/2))/(LN(2)/2)*AQ172*AT172*VLOOKUP('Données projet'!$B$10,Paramètres!$A$1:$I$89,3,0)*0.475*44/12</f>
        <v>7.4141299365300576E-21</v>
      </c>
      <c r="AX172" s="21">
        <f t="shared" si="166"/>
        <v>6.5836393212261479E-2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168.08890945052406</v>
      </c>
      <c r="BJ172" s="59">
        <f t="shared" si="146"/>
        <v>182.52462557642343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0.39603246809795389</v>
      </c>
      <c r="BQ172" s="21">
        <f>EXP(-LN(2)/25)*BQ171+(1-EXP(-LN(2)/25))/(LN(2)/25)*Calculateur!BL172*Calculateur!BN172*VLOOKUP('Données projet'!$B$11,Paramètres!$A$1:$I$89,3,0)*0.475*44/12</f>
        <v>0.26137700350392118</v>
      </c>
      <c r="BR172" s="21">
        <f>EXP(-LN(2)/2)*BR171+(1-EXP(-LN(2)/2))/(LN(2)/2)*BL172*BO172*VLOOKUP('Données projet'!$B$11,Paramètres!$A$1:$I$89,3,0)*0.475*44/12</f>
        <v>6.5233158331646723E-21</v>
      </c>
      <c r="BS172" s="22">
        <f t="shared" si="169"/>
        <v>0.65740947160187502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1.064108801074326E-13</v>
      </c>
      <c r="P173" s="13">
        <f t="shared" si="141"/>
        <v>1.5870730813698654E-12</v>
      </c>
      <c r="Q173" s="20">
        <f t="shared" si="162"/>
        <v>2.9494845662396269E-12</v>
      </c>
      <c r="R173" s="59">
        <f t="shared" si="109"/>
        <v>293.33333333333627</v>
      </c>
      <c r="S173" s="59">
        <f ca="1">AVERAGE(OFFSET($R$3,0,0,'Données projet'!$E$9+1,1))-AVERAGE(OFFSET($H$3,0,0,'Données projet'!$E$9+1,1))</f>
        <v>214.51224556840771</v>
      </c>
      <c r="T173" s="59">
        <f t="shared" si="142"/>
        <v>225.78309962707215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0.24815476836463937</v>
      </c>
      <c r="AA173" s="21">
        <f>EXP(-LN(2)/25)*AA172+(1-EXP(-LN(2)/25))/(LN(2)/25)*Calculateur!V173*Calculateur!X173*VLOOKUP('Données projet'!$B$9,Paramètres!$A$1:$I$89,3,0)*0.475*44/12</f>
        <v>0.52967335727619802</v>
      </c>
      <c r="AB173" s="21">
        <f>EXP(-LN(2)/2)*AB172+(1-EXP(-LN(2)/2))/(LN(2)/2)*V173*Y173*VLOOKUP('Données projet'!$B$9,Paramètres!$A$1:$I$89,3,0)*0.475*44/12</f>
        <v>2.0640990638400299E-20</v>
      </c>
      <c r="AC173" s="22">
        <f t="shared" si="163"/>
        <v>0.77782812564083736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-1.1368683772161603E-13</v>
      </c>
      <c r="AJ173" s="13">
        <f>AI173*VLOOKUP('Données projet'!$B$10,Paramètres!$A$1:$I$89,3,0)*VLOOKUP('Données projet'!$B$10,Paramètres!$A$1:$I$89,5,0)</f>
        <v>-1.0286385077051818E-13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237.22177246688199</v>
      </c>
      <c r="AO173" s="59">
        <f t="shared" si="144"/>
        <v>149.27472147904302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6.4036093577686748E-2</v>
      </c>
      <c r="AW173" s="21">
        <f>EXP(-LN(2)/2)*AW172+(1-EXP(-LN(2)/2))/(LN(2)/2)*AQ173*AT173*VLOOKUP('Données projet'!$B$10,Paramètres!$A$1:$I$89,3,0)*0.475*44/12</f>
        <v>5.242581554718591E-21</v>
      </c>
      <c r="AX173" s="21">
        <f t="shared" si="166"/>
        <v>6.4036093577686748E-2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168.08890945052406</v>
      </c>
      <c r="BJ173" s="59">
        <f t="shared" si="146"/>
        <v>182.52462557642343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0.38826651295450687</v>
      </c>
      <c r="BQ173" s="21">
        <f>EXP(-LN(2)/25)*BQ172+(1-EXP(-LN(2)/25))/(LN(2)/25)*Calculateur!BL173*Calculateur!BN173*VLOOKUP('Données projet'!$B$11,Paramètres!$A$1:$I$89,3,0)*0.475*44/12</f>
        <v>0.25422963559788725</v>
      </c>
      <c r="BR173" s="21">
        <f>EXP(-LN(2)/2)*BR172+(1-EXP(-LN(2)/2))/(LN(2)/2)*BL173*BO173*VLOOKUP('Données projet'!$B$11,Paramètres!$A$1:$I$89,3,0)*0.475*44/12</f>
        <v>4.6126808614523128E-21</v>
      </c>
      <c r="BS173" s="22">
        <f t="shared" si="169"/>
        <v>0.64249614855239412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1.064108801074326E-13</v>
      </c>
      <c r="P174" s="13">
        <f t="shared" si="141"/>
        <v>1.5870730813698654E-12</v>
      </c>
      <c r="Q174" s="20">
        <f t="shared" si="162"/>
        <v>2.9494845662396269E-12</v>
      </c>
      <c r="R174" s="59">
        <f t="shared" si="109"/>
        <v>293.33333333333627</v>
      </c>
      <c r="S174" s="59">
        <f ca="1">AVERAGE(OFFSET($R$3,0,0,'Données projet'!$E$9+1,1))-AVERAGE(OFFSET($H$3,0,0,'Données projet'!$E$9+1,1))</f>
        <v>214.51224556840771</v>
      </c>
      <c r="T174" s="59">
        <f t="shared" si="142"/>
        <v>225.78309962707215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0.24328860471647198</v>
      </c>
      <c r="AA174" s="21">
        <f>EXP(-LN(2)/25)*AA173+(1-EXP(-LN(2)/25))/(LN(2)/25)*Calculateur!V174*Calculateur!X174*VLOOKUP('Données projet'!$B$9,Paramètres!$A$1:$I$89,3,0)*0.475*44/12</f>
        <v>0.51518941146716912</v>
      </c>
      <c r="AB174" s="21">
        <f>EXP(-LN(2)/2)*AB173+(1-EXP(-LN(2)/2))/(LN(2)/2)*V174*Y174*VLOOKUP('Données projet'!$B$9,Paramètres!$A$1:$I$89,3,0)*0.475*44/12</f>
        <v>1.4595384450820896E-20</v>
      </c>
      <c r="AC174" s="22">
        <f t="shared" si="163"/>
        <v>0.75847801618364108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-1.1368683772161603E-13</v>
      </c>
      <c r="AJ174" s="13">
        <f>AI174*VLOOKUP('Données projet'!$B$10,Paramètres!$A$1:$I$89,3,0)*VLOOKUP('Données projet'!$B$10,Paramètres!$A$1:$I$89,5,0)</f>
        <v>-1.0286385077051818E-13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237.22177246688199</v>
      </c>
      <c r="AO174" s="59">
        <f t="shared" si="144"/>
        <v>149.27472147904302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6.2285023231293098E-2</v>
      </c>
      <c r="AW174" s="21">
        <f>EXP(-LN(2)/2)*AW173+(1-EXP(-LN(2)/2))/(LN(2)/2)*AQ174*AT174*VLOOKUP('Données projet'!$B$10,Paramètres!$A$1:$I$89,3,0)*0.475*44/12</f>
        <v>3.7070649682650288E-21</v>
      </c>
      <c r="AX174" s="21">
        <f t="shared" si="166"/>
        <v>6.2285023231293098E-2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168.08890945052406</v>
      </c>
      <c r="BJ174" s="59">
        <f t="shared" si="146"/>
        <v>182.52462557642343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0.38065284345465794</v>
      </c>
      <c r="BQ174" s="21">
        <f>EXP(-LN(2)/25)*BQ173+(1-EXP(-LN(2)/25))/(LN(2)/25)*Calculateur!BL174*Calculateur!BN174*VLOOKUP('Données projet'!$B$11,Paramètres!$A$1:$I$89,3,0)*0.475*44/12</f>
        <v>0.24727771284310754</v>
      </c>
      <c r="BR174" s="21">
        <f>EXP(-LN(2)/2)*BR173+(1-EXP(-LN(2)/2))/(LN(2)/2)*BL174*BO174*VLOOKUP('Données projet'!$B$11,Paramètres!$A$1:$I$89,3,0)*0.475*44/12</f>
        <v>3.2616579165823361E-21</v>
      </c>
      <c r="BS174" s="22">
        <f t="shared" si="169"/>
        <v>0.62793055629776551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1.064108801074326E-13</v>
      </c>
      <c r="P175" s="13">
        <f t="shared" si="141"/>
        <v>1.5870730813698654E-12</v>
      </c>
      <c r="Q175" s="20">
        <f t="shared" si="162"/>
        <v>2.9494845662396269E-12</v>
      </c>
      <c r="R175" s="59">
        <f t="shared" si="109"/>
        <v>293.33333333333627</v>
      </c>
      <c r="S175" s="59">
        <f ca="1">AVERAGE(OFFSET($R$3,0,0,'Données projet'!$E$9+1,1))-AVERAGE(OFFSET($H$3,0,0,'Données projet'!$E$9+1,1))</f>
        <v>214.51224556840771</v>
      </c>
      <c r="T175" s="59">
        <f t="shared" si="142"/>
        <v>225.78309962707215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0.2385178635693784</v>
      </c>
      <c r="AA175" s="21">
        <f>EXP(-LN(2)/25)*AA174+(1-EXP(-LN(2)/25))/(LN(2)/25)*Calculateur!V175*Calculateur!X175*VLOOKUP('Données projet'!$B$9,Paramètres!$A$1:$I$89,3,0)*0.475*44/12</f>
        <v>0.50110152991796575</v>
      </c>
      <c r="AB175" s="21">
        <f>EXP(-LN(2)/2)*AB174+(1-EXP(-LN(2)/2))/(LN(2)/2)*V175*Y175*VLOOKUP('Données projet'!$B$9,Paramètres!$A$1:$I$89,3,0)*0.475*44/12</f>
        <v>1.0320495319200149E-20</v>
      </c>
      <c r="AC175" s="22">
        <f t="shared" si="163"/>
        <v>0.73961939348734418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-1.1368683772161603E-13</v>
      </c>
      <c r="AJ175" s="13">
        <f>AI175*VLOOKUP('Données projet'!$B$10,Paramètres!$A$1:$I$89,3,0)*VLOOKUP('Données projet'!$B$10,Paramètres!$A$1:$I$89,5,0)</f>
        <v>-1.0286385077051818E-13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237.22177246688199</v>
      </c>
      <c r="AO175" s="59">
        <f t="shared" si="144"/>
        <v>149.27472147904302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6.0581835995606369E-2</v>
      </c>
      <c r="AW175" s="21">
        <f>EXP(-LN(2)/2)*AW174+(1-EXP(-LN(2)/2))/(LN(2)/2)*AQ175*AT175*VLOOKUP('Données projet'!$B$10,Paramètres!$A$1:$I$89,3,0)*0.475*44/12</f>
        <v>2.6212907773592955E-21</v>
      </c>
      <c r="AX175" s="21">
        <f t="shared" si="166"/>
        <v>6.0581835995606369E-2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168.08890945052406</v>
      </c>
      <c r="BJ175" s="59">
        <f t="shared" si="146"/>
        <v>182.52462557642343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0.37318847336982119</v>
      </c>
      <c r="BQ175" s="21">
        <f>EXP(-LN(2)/25)*BQ174+(1-EXP(-LN(2)/25))/(LN(2)/25)*Calculateur!BL175*Calculateur!BN175*VLOOKUP('Données projet'!$B$11,Paramètres!$A$1:$I$89,3,0)*0.475*44/12</f>
        <v>0.24051589078164301</v>
      </c>
      <c r="BR175" s="21">
        <f>EXP(-LN(2)/2)*BR174+(1-EXP(-LN(2)/2))/(LN(2)/2)*BL175*BO175*VLOOKUP('Données projet'!$B$11,Paramètres!$A$1:$I$89,3,0)*0.475*44/12</f>
        <v>2.3063404307261564E-21</v>
      </c>
      <c r="BS175" s="22">
        <f t="shared" si="169"/>
        <v>0.61370436415146423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1.064108801074326E-13</v>
      </c>
      <c r="P176" s="13">
        <f t="shared" si="141"/>
        <v>1.5870730813698654E-12</v>
      </c>
      <c r="Q176" s="20">
        <f t="shared" si="162"/>
        <v>2.9494845662396269E-12</v>
      </c>
      <c r="R176" s="59">
        <f t="shared" si="109"/>
        <v>293.33333333333627</v>
      </c>
      <c r="S176" s="59">
        <f ca="1">AVERAGE(OFFSET($R$3,0,0,'Données projet'!$E$9+1,1))-AVERAGE(OFFSET($H$3,0,0,'Données projet'!$E$9+1,1))</f>
        <v>214.51224556840771</v>
      </c>
      <c r="T176" s="59">
        <f t="shared" si="142"/>
        <v>225.78309962707215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0.23384067374631456</v>
      </c>
      <c r="AA176" s="21">
        <f>EXP(-LN(2)/25)*AA175+(1-EXP(-LN(2)/25))/(LN(2)/25)*Calculateur!V176*Calculateur!X176*VLOOKUP('Données projet'!$B$9,Paramètres!$A$1:$I$89,3,0)*0.475*44/12</f>
        <v>0.48739888223057481</v>
      </c>
      <c r="AB176" s="21">
        <f>EXP(-LN(2)/2)*AB175+(1-EXP(-LN(2)/2))/(LN(2)/2)*V176*Y176*VLOOKUP('Données projet'!$B$9,Paramètres!$A$1:$I$89,3,0)*0.475*44/12</f>
        <v>7.2976922254104478E-21</v>
      </c>
      <c r="AC176" s="22">
        <f t="shared" si="163"/>
        <v>0.72123955597688938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-1.1368683772161603E-13</v>
      </c>
      <c r="AJ176" s="13">
        <f>AI176*VLOOKUP('Données projet'!$B$10,Paramètres!$A$1:$I$89,3,0)*VLOOKUP('Données projet'!$B$10,Paramètres!$A$1:$I$89,5,0)</f>
        <v>-1.0286385077051818E-13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237.22177246688199</v>
      </c>
      <c r="AO176" s="59">
        <f t="shared" si="144"/>
        <v>149.27472147904302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5.892522250444622E-2</v>
      </c>
      <c r="AW176" s="21">
        <f>EXP(-LN(2)/2)*AW175+(1-EXP(-LN(2)/2))/(LN(2)/2)*AQ176*AT176*VLOOKUP('Données projet'!$B$10,Paramètres!$A$1:$I$89,3,0)*0.475*44/12</f>
        <v>1.8535324841325144E-21</v>
      </c>
      <c r="AX176" s="21">
        <f t="shared" si="166"/>
        <v>5.892522250444622E-2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168.08890945052406</v>
      </c>
      <c r="BJ176" s="59">
        <f t="shared" si="146"/>
        <v>182.52462557642343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0.36587047502953191</v>
      </c>
      <c r="BQ176" s="21">
        <f>EXP(-LN(2)/25)*BQ175+(1-EXP(-LN(2)/25))/(LN(2)/25)*Calculateur!BL176*Calculateur!BN176*VLOOKUP('Données projet'!$B$11,Paramètres!$A$1:$I$89,3,0)*0.475*44/12</f>
        <v>0.233938971100038</v>
      </c>
      <c r="BR176" s="21">
        <f>EXP(-LN(2)/2)*BR175+(1-EXP(-LN(2)/2))/(LN(2)/2)*BL176*BO176*VLOOKUP('Données projet'!$B$11,Paramètres!$A$1:$I$89,3,0)*0.475*44/12</f>
        <v>1.6308289582911681E-21</v>
      </c>
      <c r="BS176" s="22">
        <f t="shared" si="169"/>
        <v>0.59980944612956988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1.064108801074326E-13</v>
      </c>
      <c r="P177" s="13">
        <f t="shared" si="141"/>
        <v>1.5870730813698654E-12</v>
      </c>
      <c r="Q177" s="20">
        <f t="shared" si="162"/>
        <v>2.9494845662396269E-12</v>
      </c>
      <c r="R177" s="59">
        <f t="shared" si="109"/>
        <v>293.33333333333627</v>
      </c>
      <c r="S177" s="59">
        <f ca="1">AVERAGE(OFFSET($R$3,0,0,'Données projet'!$E$9+1,1))-AVERAGE(OFFSET($H$3,0,0,'Données projet'!$E$9+1,1))</f>
        <v>214.51224556840771</v>
      </c>
      <c r="T177" s="59">
        <f t="shared" si="142"/>
        <v>225.78309962707215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0.22925520076287689</v>
      </c>
      <c r="AA177" s="21">
        <f>EXP(-LN(2)/25)*AA176+(1-EXP(-LN(2)/25))/(LN(2)/25)*Calculateur!V177*Calculateur!X177*VLOOKUP('Données projet'!$B$9,Paramètres!$A$1:$I$89,3,0)*0.475*44/12</f>
        <v>0.47407093416478652</v>
      </c>
      <c r="AB177" s="21">
        <f>EXP(-LN(2)/2)*AB176+(1-EXP(-LN(2)/2))/(LN(2)/2)*V177*Y177*VLOOKUP('Données projet'!$B$9,Paramètres!$A$1:$I$89,3,0)*0.475*44/12</f>
        <v>5.1602476596000746E-21</v>
      </c>
      <c r="AC177" s="22">
        <f t="shared" si="163"/>
        <v>0.70332613492766338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-1.1368683772161603E-13</v>
      </c>
      <c r="AJ177" s="13">
        <f>AI177*VLOOKUP('Données projet'!$B$10,Paramètres!$A$1:$I$89,3,0)*VLOOKUP('Données projet'!$B$10,Paramètres!$A$1:$I$89,5,0)</f>
        <v>-1.0286385077051818E-13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237.22177246688199</v>
      </c>
      <c r="AO177" s="59">
        <f t="shared" si="144"/>
        <v>149.27472147904302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5.731390919631936E-2</v>
      </c>
      <c r="AW177" s="21">
        <f>EXP(-LN(2)/2)*AW176+(1-EXP(-LN(2)/2))/(LN(2)/2)*AQ177*AT177*VLOOKUP('Données projet'!$B$10,Paramètres!$A$1:$I$89,3,0)*0.475*44/12</f>
        <v>1.3106453886796478E-21</v>
      </c>
      <c r="AX177" s="21">
        <f t="shared" si="166"/>
        <v>5.731390919631936E-2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168.08890945052406</v>
      </c>
      <c r="BJ177" s="59">
        <f t="shared" si="146"/>
        <v>182.52462557642343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0.35869597817315746</v>
      </c>
      <c r="BQ177" s="21">
        <f>EXP(-LN(2)/25)*BQ176+(1-EXP(-LN(2)/25))/(LN(2)/25)*Calculateur!BL177*Calculateur!BN177*VLOOKUP('Données projet'!$B$11,Paramètres!$A$1:$I$89,3,0)*0.475*44/12</f>
        <v>0.22754189763299165</v>
      </c>
      <c r="BR177" s="21">
        <f>EXP(-LN(2)/2)*BR176+(1-EXP(-LN(2)/2))/(LN(2)/2)*BL177*BO177*VLOOKUP('Données projet'!$B$11,Paramètres!$A$1:$I$89,3,0)*0.475*44/12</f>
        <v>1.1531702153630782E-21</v>
      </c>
      <c r="BS177" s="22">
        <f t="shared" si="169"/>
        <v>0.58623787580614906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1.064108801074326E-13</v>
      </c>
      <c r="P178" s="13">
        <f t="shared" si="141"/>
        <v>1.5870730813698654E-12</v>
      </c>
      <c r="Q178" s="20">
        <f t="shared" si="162"/>
        <v>2.9494845662396269E-12</v>
      </c>
      <c r="R178" s="59">
        <f t="shared" si="109"/>
        <v>293.33333333333627</v>
      </c>
      <c r="S178" s="59">
        <f ca="1">AVERAGE(OFFSET($R$3,0,0,'Données projet'!$E$9+1,1))-AVERAGE(OFFSET($H$3,0,0,'Données projet'!$E$9+1,1))</f>
        <v>214.51224556840771</v>
      </c>
      <c r="T178" s="59">
        <f t="shared" si="142"/>
        <v>225.78309962707215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0.2247596461077821</v>
      </c>
      <c r="AA178" s="21">
        <f>EXP(-LN(2)/25)*AA177+(1-EXP(-LN(2)/25))/(LN(2)/25)*Calculateur!V178*Calculateur!X178*VLOOKUP('Données projet'!$B$9,Paramètres!$A$1:$I$89,3,0)*0.475*44/12</f>
        <v>0.46110743953974348</v>
      </c>
      <c r="AB178" s="21">
        <f>EXP(-LN(2)/2)*AB177+(1-EXP(-LN(2)/2))/(LN(2)/2)*V178*Y178*VLOOKUP('Données projet'!$B$9,Paramètres!$A$1:$I$89,3,0)*0.475*44/12</f>
        <v>3.6488461127052239E-21</v>
      </c>
      <c r="AC178" s="22">
        <f t="shared" si="163"/>
        <v>0.68586708564752552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-1.1368683772161603E-13</v>
      </c>
      <c r="AJ178" s="13">
        <f>AI178*VLOOKUP('Données projet'!$B$10,Paramètres!$A$1:$I$89,3,0)*VLOOKUP('Données projet'!$B$10,Paramètres!$A$1:$I$89,5,0)</f>
        <v>-1.0286385077051818E-13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237.22177246688199</v>
      </c>
      <c r="AO178" s="59">
        <f t="shared" si="144"/>
        <v>149.27472147904302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5.5746657335338512E-2</v>
      </c>
      <c r="AW178" s="21">
        <f>EXP(-LN(2)/2)*AW177+(1-EXP(-LN(2)/2))/(LN(2)/2)*AQ178*AT178*VLOOKUP('Données projet'!$B$10,Paramètres!$A$1:$I$89,3,0)*0.475*44/12</f>
        <v>9.267662420662572E-22</v>
      </c>
      <c r="AX178" s="21">
        <f t="shared" si="166"/>
        <v>5.5746657335338512E-2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168.08890945052406</v>
      </c>
      <c r="BJ178" s="59">
        <f t="shared" si="146"/>
        <v>182.52462557642343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0.35166216882412549</v>
      </c>
      <c r="BQ178" s="21">
        <f>EXP(-LN(2)/25)*BQ177+(1-EXP(-LN(2)/25))/(LN(2)/25)*Calculateur!BL178*Calculateur!BN178*VLOOKUP('Données projet'!$B$11,Paramètres!$A$1:$I$89,3,0)*0.475*44/12</f>
        <v>0.22131975247630914</v>
      </c>
      <c r="BR178" s="21">
        <f>EXP(-LN(2)/2)*BR177+(1-EXP(-LN(2)/2))/(LN(2)/2)*BL178*BO178*VLOOKUP('Données projet'!$B$11,Paramètres!$A$1:$I$89,3,0)*0.475*44/12</f>
        <v>8.1541447914558404E-22</v>
      </c>
      <c r="BS178" s="22">
        <f t="shared" si="169"/>
        <v>0.57298192130043457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1.064108801074326E-13</v>
      </c>
      <c r="P179" s="13">
        <f t="shared" si="141"/>
        <v>1.5870730813698654E-12</v>
      </c>
      <c r="Q179" s="20">
        <f t="shared" si="162"/>
        <v>2.9494845662396269E-12</v>
      </c>
      <c r="R179" s="59">
        <f t="shared" si="109"/>
        <v>293.33333333333627</v>
      </c>
      <c r="S179" s="59">
        <f ca="1">AVERAGE(OFFSET($R$3,0,0,'Données projet'!$E$9+1,1))-AVERAGE(OFFSET($H$3,0,0,'Données projet'!$E$9+1,1))</f>
        <v>214.51224556840771</v>
      </c>
      <c r="T179" s="59">
        <f t="shared" si="142"/>
        <v>225.78309962707215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0.22035224653745611</v>
      </c>
      <c r="AA179" s="21">
        <f>EXP(-LN(2)/25)*AA178+(1-EXP(-LN(2)/25))/(LN(2)/25)*Calculateur!V179*Calculateur!X179*VLOOKUP('Données projet'!$B$9,Paramètres!$A$1:$I$89,3,0)*0.475*44/12</f>
        <v>0.44849843235694281</v>
      </c>
      <c r="AB179" s="21">
        <f>EXP(-LN(2)/2)*AB178+(1-EXP(-LN(2)/2))/(LN(2)/2)*V179*Y179*VLOOKUP('Données projet'!$B$9,Paramètres!$A$1:$I$89,3,0)*0.475*44/12</f>
        <v>2.5801238298000373E-21</v>
      </c>
      <c r="AC179" s="22">
        <f t="shared" si="163"/>
        <v>0.66885067889439886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-1.1368683772161603E-13</v>
      </c>
      <c r="AJ179" s="13">
        <f>AI179*VLOOKUP('Données projet'!$B$10,Paramètres!$A$1:$I$89,3,0)*VLOOKUP('Données projet'!$B$10,Paramètres!$A$1:$I$89,5,0)</f>
        <v>-1.0286385077051818E-13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237.22177246688199</v>
      </c>
      <c r="AO179" s="59">
        <f t="shared" si="144"/>
        <v>149.27472147904302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5.4222262058914381E-2</v>
      </c>
      <c r="AW179" s="21">
        <f>EXP(-LN(2)/2)*AW178+(1-EXP(-LN(2)/2))/(LN(2)/2)*AQ179*AT179*VLOOKUP('Données projet'!$B$10,Paramètres!$A$1:$I$89,3,0)*0.475*44/12</f>
        <v>6.5532269433982388E-22</v>
      </c>
      <c r="AX179" s="21">
        <f t="shared" si="166"/>
        <v>5.4222262058914381E-2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168.08890945052406</v>
      </c>
      <c r="BJ179" s="59">
        <f t="shared" si="146"/>
        <v>182.52462557642343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0.34476628818622795</v>
      </c>
      <c r="BQ179" s="21">
        <f>EXP(-LN(2)/25)*BQ178+(1-EXP(-LN(2)/25))/(LN(2)/25)*Calculateur!BL179*Calculateur!BN179*VLOOKUP('Données projet'!$B$11,Paramètres!$A$1:$I$89,3,0)*0.475*44/12</f>
        <v>0.21526775220614452</v>
      </c>
      <c r="BR179" s="21">
        <f>EXP(-LN(2)/2)*BR178+(1-EXP(-LN(2)/2))/(LN(2)/2)*BL179*BO179*VLOOKUP('Données projet'!$B$11,Paramètres!$A$1:$I$89,3,0)*0.475*44/12</f>
        <v>5.765851076815391E-22</v>
      </c>
      <c r="BS179" s="22">
        <f t="shared" si="169"/>
        <v>0.56003404039237248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1.064108801074326E-13</v>
      </c>
      <c r="P180" s="13">
        <f t="shared" si="141"/>
        <v>1.5870730813698654E-12</v>
      </c>
      <c r="Q180" s="20">
        <f t="shared" si="162"/>
        <v>2.9494845662396269E-12</v>
      </c>
      <c r="R180" s="59">
        <f t="shared" si="109"/>
        <v>293.33333333333627</v>
      </c>
      <c r="S180" s="59">
        <f ca="1">AVERAGE(OFFSET($R$3,0,0,'Données projet'!$E$9+1,1))-AVERAGE(OFFSET($H$3,0,0,'Données projet'!$E$9+1,1))</f>
        <v>214.51224556840771</v>
      </c>
      <c r="T180" s="59">
        <f t="shared" si="142"/>
        <v>225.78309962707215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0.21603127338445594</v>
      </c>
      <c r="AA180" s="21">
        <f>EXP(-LN(2)/25)*AA179+(1-EXP(-LN(2)/25))/(LN(2)/25)*Calculateur!V180*Calculateur!X180*VLOOKUP('Données projet'!$B$9,Paramètres!$A$1:$I$89,3,0)*0.475*44/12</f>
        <v>0.43623421913863469</v>
      </c>
      <c r="AB180" s="21">
        <f>EXP(-LN(2)/2)*AB179+(1-EXP(-LN(2)/2))/(LN(2)/2)*V180*Y180*VLOOKUP('Données projet'!$B$9,Paramètres!$A$1:$I$89,3,0)*0.475*44/12</f>
        <v>1.8244230563526119E-21</v>
      </c>
      <c r="AC180" s="22">
        <f t="shared" si="163"/>
        <v>0.65226549252309063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-1.1368683772161603E-13</v>
      </c>
      <c r="AJ180" s="13">
        <f>AI180*VLOOKUP('Données projet'!$B$10,Paramètres!$A$1:$I$89,3,0)*VLOOKUP('Données projet'!$B$10,Paramètres!$A$1:$I$89,5,0)</f>
        <v>-1.0286385077051818E-13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237.22177246688199</v>
      </c>
      <c r="AO180" s="59">
        <f t="shared" si="144"/>
        <v>149.27472147904302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5.273955145148853E-2</v>
      </c>
      <c r="AW180" s="21">
        <f>EXP(-LN(2)/2)*AW179+(1-EXP(-LN(2)/2))/(LN(2)/2)*AQ180*AT180*VLOOKUP('Données projet'!$B$10,Paramètres!$A$1:$I$89,3,0)*0.475*44/12</f>
        <v>4.633831210331286E-22</v>
      </c>
      <c r="AX180" s="21">
        <f t="shared" si="166"/>
        <v>5.273955145148853E-2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168.08890945052406</v>
      </c>
      <c r="BJ180" s="59">
        <f t="shared" si="146"/>
        <v>182.52462557642343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0.33800563156156771</v>
      </c>
      <c r="BQ180" s="21">
        <f>EXP(-LN(2)/25)*BQ179+(1-EXP(-LN(2)/25))/(LN(2)/25)*Calculateur!BL180*Calculateur!BN180*VLOOKUP('Données projet'!$B$11,Paramètres!$A$1:$I$89,3,0)*0.475*44/12</f>
        <v>0.2093812442016284</v>
      </c>
      <c r="BR180" s="21">
        <f>EXP(-LN(2)/2)*BR179+(1-EXP(-LN(2)/2))/(LN(2)/2)*BL180*BO180*VLOOKUP('Données projet'!$B$11,Paramètres!$A$1:$I$89,3,0)*0.475*44/12</f>
        <v>4.0770723957279202E-22</v>
      </c>
      <c r="BS180" s="22">
        <f t="shared" si="169"/>
        <v>0.54738687576319611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1.064108801074326E-13</v>
      </c>
      <c r="P181" s="13">
        <f t="shared" si="141"/>
        <v>1.5870730813698654E-12</v>
      </c>
      <c r="Q181" s="20">
        <f t="shared" si="162"/>
        <v>2.9494845662396269E-12</v>
      </c>
      <c r="R181" s="59">
        <f t="shared" si="109"/>
        <v>293.33333333333627</v>
      </c>
      <c r="S181" s="59">
        <f ca="1">AVERAGE(OFFSET($R$3,0,0,'Données projet'!$E$9+1,1))-AVERAGE(OFFSET($H$3,0,0,'Données projet'!$E$9+1,1))</f>
        <v>214.51224556840771</v>
      </c>
      <c r="T181" s="59">
        <f t="shared" si="142"/>
        <v>225.78309962707215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0.2117950318794527</v>
      </c>
      <c r="AA181" s="21">
        <f>EXP(-LN(2)/25)*AA180+(1-EXP(-LN(2)/25))/(LN(2)/25)*Calculateur!V181*Calculateur!X181*VLOOKUP('Données projet'!$B$9,Paramètres!$A$1:$I$89,3,0)*0.475*44/12</f>
        <v>0.42430537147572817</v>
      </c>
      <c r="AB181" s="21">
        <f>EXP(-LN(2)/2)*AB180+(1-EXP(-LN(2)/2))/(LN(2)/2)*V181*Y181*VLOOKUP('Données projet'!$B$9,Paramètres!$A$1:$I$89,3,0)*0.475*44/12</f>
        <v>1.2900619149000187E-21</v>
      </c>
      <c r="AC181" s="22">
        <f t="shared" si="163"/>
        <v>0.63610040335518092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-1.1368683772161603E-13</v>
      </c>
      <c r="AJ181" s="13">
        <f>AI181*VLOOKUP('Données projet'!$B$10,Paramètres!$A$1:$I$89,3,0)*VLOOKUP('Données projet'!$B$10,Paramètres!$A$1:$I$89,5,0)</f>
        <v>-1.0286385077051818E-13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237.22177246688199</v>
      </c>
      <c r="AO181" s="59">
        <f t="shared" si="144"/>
        <v>149.27472147904302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5.1297385643595102E-2</v>
      </c>
      <c r="AW181" s="21">
        <f>EXP(-LN(2)/2)*AW180+(1-EXP(-LN(2)/2))/(LN(2)/2)*AQ181*AT181*VLOOKUP('Données projet'!$B$10,Paramètres!$A$1:$I$89,3,0)*0.475*44/12</f>
        <v>3.2766134716991194E-22</v>
      </c>
      <c r="AX181" s="21">
        <f t="shared" si="166"/>
        <v>5.1297385643595102E-2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168.08890945052406</v>
      </c>
      <c r="BJ181" s="59">
        <f t="shared" si="146"/>
        <v>182.52462557642343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0.33137754728972368</v>
      </c>
      <c r="BQ181" s="21">
        <f>EXP(-LN(2)/25)*BQ180+(1-EXP(-LN(2)/25))/(LN(2)/25)*Calculateur!BL181*Calculateur!BN181*VLOOKUP('Données projet'!$B$11,Paramètres!$A$1:$I$89,3,0)*0.475*44/12</f>
        <v>0.20365570306805378</v>
      </c>
      <c r="BR181" s="21">
        <f>EXP(-LN(2)/2)*BR180+(1-EXP(-LN(2)/2))/(LN(2)/2)*BL181*BO181*VLOOKUP('Données projet'!$B$11,Paramètres!$A$1:$I$89,3,0)*0.475*44/12</f>
        <v>2.8829255384076955E-22</v>
      </c>
      <c r="BS181" s="22">
        <f t="shared" si="169"/>
        <v>0.53503325035777749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1.064108801074326E-13</v>
      </c>
      <c r="P182" s="13">
        <f t="shared" si="141"/>
        <v>1.5870730813698654E-12</v>
      </c>
      <c r="Q182" s="20">
        <f t="shared" si="162"/>
        <v>2.9494845662396269E-12</v>
      </c>
      <c r="R182" s="59">
        <f t="shared" si="109"/>
        <v>293.33333333333627</v>
      </c>
      <c r="S182" s="59">
        <f ca="1">AVERAGE(OFFSET($R$3,0,0,'Données projet'!$E$9+1,1))-AVERAGE(OFFSET($H$3,0,0,'Données projet'!$E$9+1,1))</f>
        <v>214.51224556840771</v>
      </c>
      <c r="T182" s="59">
        <f t="shared" si="142"/>
        <v>225.78309962707215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0.2076418604865104</v>
      </c>
      <c r="AA182" s="21">
        <f>EXP(-LN(2)/25)*AA181+(1-EXP(-LN(2)/25))/(LN(2)/25)*Calculateur!V182*Calculateur!X182*VLOOKUP('Données projet'!$B$9,Paramètres!$A$1:$I$89,3,0)*0.475*44/12</f>
        <v>0.41270271877947468</v>
      </c>
      <c r="AB182" s="21">
        <f>EXP(-LN(2)/2)*AB181+(1-EXP(-LN(2)/2))/(LN(2)/2)*V182*Y182*VLOOKUP('Données projet'!$B$9,Paramètres!$A$1:$I$89,3,0)*0.475*44/12</f>
        <v>9.1221152817630597E-22</v>
      </c>
      <c r="AC182" s="22">
        <f t="shared" si="163"/>
        <v>0.62034457926598507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-1.1368683772161603E-13</v>
      </c>
      <c r="AJ182" s="13">
        <f>AI182*VLOOKUP('Données projet'!$B$10,Paramètres!$A$1:$I$89,3,0)*VLOOKUP('Données projet'!$B$10,Paramètres!$A$1:$I$89,5,0)</f>
        <v>-1.0286385077051818E-13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237.22177246688199</v>
      </c>
      <c r="AO182" s="59">
        <f t="shared" si="144"/>
        <v>149.27472147904302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4.9894655935558724E-2</v>
      </c>
      <c r="AW182" s="21">
        <f>EXP(-LN(2)/2)*AW181+(1-EXP(-LN(2)/2))/(LN(2)/2)*AQ182*AT182*VLOOKUP('Données projet'!$B$10,Paramètres!$A$1:$I$89,3,0)*0.475*44/12</f>
        <v>2.316915605165643E-22</v>
      </c>
      <c r="AX182" s="21">
        <f t="shared" si="166"/>
        <v>4.9894655935558724E-2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168.08890945052406</v>
      </c>
      <c r="BJ182" s="59">
        <f t="shared" si="146"/>
        <v>182.52462557642343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0.32487943570771832</v>
      </c>
      <c r="BQ182" s="21">
        <f>EXP(-LN(2)/25)*BQ181+(1-EXP(-LN(2)/25))/(LN(2)/25)*Calculateur!BL182*Calculateur!BN182*VLOOKUP('Données projet'!$B$11,Paramètres!$A$1:$I$89,3,0)*0.475*44/12</f>
        <v>0.19808672715786987</v>
      </c>
      <c r="BR182" s="21">
        <f>EXP(-LN(2)/2)*BR181+(1-EXP(-LN(2)/2))/(LN(2)/2)*BL182*BO182*VLOOKUP('Données projet'!$B$11,Paramètres!$A$1:$I$89,3,0)*0.475*44/12</f>
        <v>2.0385361978639601E-22</v>
      </c>
      <c r="BS182" s="22">
        <f t="shared" si="169"/>
        <v>0.52296616286558817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1.064108801074326E-13</v>
      </c>
      <c r="P183" s="13">
        <f t="shared" si="141"/>
        <v>1.5870730813698654E-12</v>
      </c>
      <c r="Q183" s="20">
        <f t="shared" si="162"/>
        <v>2.9494845662396269E-12</v>
      </c>
      <c r="R183" s="59">
        <f t="shared" si="109"/>
        <v>293.33333333333627</v>
      </c>
      <c r="S183" s="59">
        <f ca="1">AVERAGE(OFFSET($R$3,0,0,'Données projet'!$E$9+1,1))-AVERAGE(OFFSET($H$3,0,0,'Données projet'!$E$9+1,1))</f>
        <v>214.51224556840771</v>
      </c>
      <c r="T183" s="59">
        <f t="shared" si="142"/>
        <v>225.78309962707215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0.20357013025139928</v>
      </c>
      <c r="AA183" s="21">
        <f>EXP(-LN(2)/25)*AA182+(1-EXP(-LN(2)/25))/(LN(2)/25)*Calculateur!V183*Calculateur!X183*VLOOKUP('Données projet'!$B$9,Paramètres!$A$1:$I$89,3,0)*0.475*44/12</f>
        <v>0.40141734123135719</v>
      </c>
      <c r="AB183" s="21">
        <f>EXP(-LN(2)/2)*AB182+(1-EXP(-LN(2)/2))/(LN(2)/2)*V183*Y183*VLOOKUP('Données projet'!$B$9,Paramètres!$A$1:$I$89,3,0)*0.475*44/12</f>
        <v>6.4503095745000933E-22</v>
      </c>
      <c r="AC183" s="22">
        <f t="shared" si="163"/>
        <v>0.60498747148275644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-1.1368683772161603E-13</v>
      </c>
      <c r="AJ183" s="13">
        <f>AI183*VLOOKUP('Données projet'!$B$10,Paramètres!$A$1:$I$89,3,0)*VLOOKUP('Données projet'!$B$10,Paramètres!$A$1:$I$89,5,0)</f>
        <v>-1.0286385077051818E-13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237.22177246688199</v>
      </c>
      <c r="AO183" s="59">
        <f t="shared" si="144"/>
        <v>149.27472147904302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4.8530283945154948E-2</v>
      </c>
      <c r="AW183" s="21">
        <f>EXP(-LN(2)/2)*AW182+(1-EXP(-LN(2)/2))/(LN(2)/2)*AQ183*AT183*VLOOKUP('Données projet'!$B$10,Paramètres!$A$1:$I$89,3,0)*0.475*44/12</f>
        <v>1.6383067358495597E-22</v>
      </c>
      <c r="AX183" s="21">
        <f t="shared" si="166"/>
        <v>4.8530283945154948E-2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168.08890945052406</v>
      </c>
      <c r="BJ183" s="59">
        <f t="shared" si="146"/>
        <v>182.52462557642343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0.31850874813037938</v>
      </c>
      <c r="BQ183" s="21">
        <f>EXP(-LN(2)/25)*BQ182+(1-EXP(-LN(2)/25))/(LN(2)/25)*Calculateur!BL183*Calculateur!BN183*VLOOKUP('Données projet'!$B$11,Paramètres!$A$1:$I$89,3,0)*0.475*44/12</f>
        <v>0.19267003518680967</v>
      </c>
      <c r="BR183" s="21">
        <f>EXP(-LN(2)/2)*BR182+(1-EXP(-LN(2)/2))/(LN(2)/2)*BL183*BO183*VLOOKUP('Données projet'!$B$11,Paramètres!$A$1:$I$89,3,0)*0.475*44/12</f>
        <v>1.4414627692038478E-22</v>
      </c>
      <c r="BS183" s="22">
        <f t="shared" si="169"/>
        <v>0.51117878331718902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1.064108801074326E-13</v>
      </c>
      <c r="P184" s="13">
        <f t="shared" si="141"/>
        <v>1.5870730813698654E-12</v>
      </c>
      <c r="Q184" s="20">
        <f t="shared" si="162"/>
        <v>2.9494845662396269E-12</v>
      </c>
      <c r="R184" s="59">
        <f t="shared" si="109"/>
        <v>293.33333333333627</v>
      </c>
      <c r="S184" s="59">
        <f ca="1">AVERAGE(OFFSET($R$3,0,0,'Données projet'!$E$9+1,1))-AVERAGE(OFFSET($H$3,0,0,'Données projet'!$E$9+1,1))</f>
        <v>214.51224556840771</v>
      </c>
      <c r="T184" s="59">
        <f t="shared" si="142"/>
        <v>225.78309962707215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0.19957824416268846</v>
      </c>
      <c r="AA184" s="21">
        <f>EXP(-LN(2)/25)*AA183+(1-EXP(-LN(2)/25))/(LN(2)/25)*Calculateur!V184*Calculateur!X184*VLOOKUP('Données projet'!$B$9,Paramètres!$A$1:$I$89,3,0)*0.475*44/12</f>
        <v>0.39044056292576523</v>
      </c>
      <c r="AB184" s="21">
        <f>EXP(-LN(2)/2)*AB183+(1-EXP(-LN(2)/2))/(LN(2)/2)*V184*Y184*VLOOKUP('Données projet'!$B$9,Paramètres!$A$1:$I$89,3,0)*0.475*44/12</f>
        <v>4.5610576408815299E-22</v>
      </c>
      <c r="AC184" s="22">
        <f t="shared" si="163"/>
        <v>0.59001880708845367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-1.1368683772161603E-13</v>
      </c>
      <c r="AJ184" s="13">
        <f>AI184*VLOOKUP('Données projet'!$B$10,Paramètres!$A$1:$I$89,3,0)*VLOOKUP('Données projet'!$B$10,Paramètres!$A$1:$I$89,5,0)</f>
        <v>-1.0286385077051818E-13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237.22177246688199</v>
      </c>
      <c r="AO184" s="59">
        <f t="shared" si="144"/>
        <v>149.27472147904302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4.720322077857797E-2</v>
      </c>
      <c r="AW184" s="21">
        <f>EXP(-LN(2)/2)*AW183+(1-EXP(-LN(2)/2))/(LN(2)/2)*AQ184*AT184*VLOOKUP('Données projet'!$B$10,Paramètres!$A$1:$I$89,3,0)*0.475*44/12</f>
        <v>1.1584578025828215E-22</v>
      </c>
      <c r="AX184" s="21">
        <f t="shared" si="166"/>
        <v>4.720322077857797E-2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168.08890945052406</v>
      </c>
      <c r="BJ184" s="59">
        <f t="shared" si="146"/>
        <v>182.52462557642343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0.31226298585069634</v>
      </c>
      <c r="BQ184" s="21">
        <f>EXP(-LN(2)/25)*BQ183+(1-EXP(-LN(2)/25))/(LN(2)/25)*Calculateur!BL184*Calculateur!BN184*VLOOKUP('Données projet'!$B$11,Paramètres!$A$1:$I$89,3,0)*0.475*44/12</f>
        <v>0.18740146294254956</v>
      </c>
      <c r="BR184" s="21">
        <f>EXP(-LN(2)/2)*BR183+(1-EXP(-LN(2)/2))/(LN(2)/2)*BL184*BO184*VLOOKUP('Données projet'!$B$11,Paramètres!$A$1:$I$89,3,0)*0.475*44/12</f>
        <v>1.01926809893198E-22</v>
      </c>
      <c r="BS184" s="22">
        <f t="shared" si="169"/>
        <v>0.4996644487932459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1.064108801074326E-13</v>
      </c>
      <c r="P185" s="13">
        <f t="shared" si="141"/>
        <v>1.5870730813698654E-12</v>
      </c>
      <c r="Q185" s="20">
        <f t="shared" si="162"/>
        <v>2.9494845662396269E-12</v>
      </c>
      <c r="R185" s="59">
        <f t="shared" si="109"/>
        <v>293.33333333333627</v>
      </c>
      <c r="S185" s="59">
        <f ca="1">AVERAGE(OFFSET($R$3,0,0,'Données projet'!$E$9+1,1))-AVERAGE(OFFSET($H$3,0,0,'Données projet'!$E$9+1,1))</f>
        <v>214.51224556840771</v>
      </c>
      <c r="T185" s="59">
        <f t="shared" si="142"/>
        <v>225.78309962707215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0.19566463652536717</v>
      </c>
      <c r="AA185" s="21">
        <f>EXP(-LN(2)/25)*AA184+(1-EXP(-LN(2)/25))/(LN(2)/25)*Calculateur!V185*Calculateur!X185*VLOOKUP('Données projet'!$B$9,Paramètres!$A$1:$I$89,3,0)*0.475*44/12</f>
        <v>0.37976394520018336</v>
      </c>
      <c r="AB185" s="21">
        <f>EXP(-LN(2)/2)*AB184+(1-EXP(-LN(2)/2))/(LN(2)/2)*V185*Y185*VLOOKUP('Données projet'!$B$9,Paramètres!$A$1:$I$89,3,0)*0.475*44/12</f>
        <v>3.2251547872500466E-22</v>
      </c>
      <c r="AC185" s="22">
        <f t="shared" si="163"/>
        <v>0.57542858172555056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-1.1368683772161603E-13</v>
      </c>
      <c r="AJ185" s="13">
        <f>AI185*VLOOKUP('Données projet'!$B$10,Paramètres!$A$1:$I$89,3,0)*VLOOKUP('Données projet'!$B$10,Paramètres!$A$1:$I$89,5,0)</f>
        <v>-1.0286385077051818E-13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237.22177246688199</v>
      </c>
      <c r="AO185" s="59">
        <f t="shared" si="144"/>
        <v>149.27472147904302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4.5912446224078259E-2</v>
      </c>
      <c r="AW185" s="21">
        <f>EXP(-LN(2)/2)*AW184+(1-EXP(-LN(2)/2))/(LN(2)/2)*AQ185*AT185*VLOOKUP('Données projet'!$B$10,Paramètres!$A$1:$I$89,3,0)*0.475*44/12</f>
        <v>8.1915336792477985E-23</v>
      </c>
      <c r="AX185" s="21">
        <f t="shared" si="166"/>
        <v>4.5912446224078259E-2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168.08890945052406</v>
      </c>
      <c r="BJ185" s="59">
        <f t="shared" si="146"/>
        <v>182.52462557642343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0.30613969915977901</v>
      </c>
      <c r="BQ185" s="21">
        <f>EXP(-LN(2)/25)*BQ184+(1-EXP(-LN(2)/25))/(LN(2)/25)*Calculateur!BL185*Calculateur!BN185*VLOOKUP('Données projet'!$B$11,Paramètres!$A$1:$I$89,3,0)*0.475*44/12</f>
        <v>0.18227696008337091</v>
      </c>
      <c r="BR185" s="21">
        <f>EXP(-LN(2)/2)*BR184+(1-EXP(-LN(2)/2))/(LN(2)/2)*BL185*BO185*VLOOKUP('Données projet'!$B$11,Paramètres!$A$1:$I$89,3,0)*0.475*44/12</f>
        <v>7.2073138460192388E-23</v>
      </c>
      <c r="BS185" s="22">
        <f t="shared" si="169"/>
        <v>0.48841665924314992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1.064108801074326E-13</v>
      </c>
      <c r="P186" s="13">
        <f t="shared" si="141"/>
        <v>1.5870730813698654E-12</v>
      </c>
      <c r="Q186" s="20">
        <f t="shared" si="162"/>
        <v>2.9494845662396269E-12</v>
      </c>
      <c r="R186" s="59">
        <f t="shared" si="109"/>
        <v>293.33333333333627</v>
      </c>
      <c r="S186" s="59">
        <f ca="1">AVERAGE(OFFSET($R$3,0,0,'Données projet'!$E$9+1,1))-AVERAGE(OFFSET($H$3,0,0,'Données projet'!$E$9+1,1))</f>
        <v>214.51224556840771</v>
      </c>
      <c r="T186" s="59">
        <f t="shared" si="142"/>
        <v>225.78309962707215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0.1918277723467488</v>
      </c>
      <c r="AA186" s="21">
        <f>EXP(-LN(2)/25)*AA185+(1-EXP(-LN(2)/25))/(LN(2)/25)*Calculateur!V186*Calculateur!X186*VLOOKUP('Données projet'!$B$9,Paramètres!$A$1:$I$89,3,0)*0.475*44/12</f>
        <v>0.36937928014776644</v>
      </c>
      <c r="AB186" s="21">
        <f>EXP(-LN(2)/2)*AB185+(1-EXP(-LN(2)/2))/(LN(2)/2)*V186*Y186*VLOOKUP('Données projet'!$B$9,Paramètres!$A$1:$I$89,3,0)*0.475*44/12</f>
        <v>2.2805288204407649E-22</v>
      </c>
      <c r="AC186" s="22">
        <f t="shared" si="163"/>
        <v>0.56120705249451519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-1.1368683772161603E-13</v>
      </c>
      <c r="AJ186" s="13">
        <f>AI186*VLOOKUP('Données projet'!$B$10,Paramètres!$A$1:$I$89,3,0)*VLOOKUP('Données projet'!$B$10,Paramètres!$A$1:$I$89,5,0)</f>
        <v>-1.0286385077051818E-13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237.22177246688199</v>
      </c>
      <c r="AO186" s="59">
        <f t="shared" si="144"/>
        <v>149.27472147904302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4.4656967967650223E-2</v>
      </c>
      <c r="AW186" s="21">
        <f>EXP(-LN(2)/2)*AW185+(1-EXP(-LN(2)/2))/(LN(2)/2)*AQ186*AT186*VLOOKUP('Données projet'!$B$10,Paramètres!$A$1:$I$89,3,0)*0.475*44/12</f>
        <v>5.7922890129141075E-23</v>
      </c>
      <c r="AX186" s="21">
        <f t="shared" si="166"/>
        <v>4.4656967967650223E-2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168.08890945052406</v>
      </c>
      <c r="BJ186" s="59">
        <f t="shared" si="146"/>
        <v>182.52462557642343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0.30013648638603452</v>
      </c>
      <c r="BQ186" s="21">
        <f>EXP(-LN(2)/25)*BQ185+(1-EXP(-LN(2)/25))/(LN(2)/25)*Calculateur!BL186*Calculateur!BN186*VLOOKUP('Données projet'!$B$11,Paramètres!$A$1:$I$89,3,0)*0.475*44/12</f>
        <v>0.1772925870243624</v>
      </c>
      <c r="BR186" s="21">
        <f>EXP(-LN(2)/2)*BR185+(1-EXP(-LN(2)/2))/(LN(2)/2)*BL186*BO186*VLOOKUP('Données projet'!$B$11,Paramètres!$A$1:$I$89,3,0)*0.475*44/12</f>
        <v>5.0963404946599002E-23</v>
      </c>
      <c r="BS186" s="22">
        <f t="shared" si="169"/>
        <v>0.47742907341039692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1.064108801074326E-13</v>
      </c>
      <c r="P187" s="13">
        <f t="shared" si="141"/>
        <v>1.5870730813698654E-12</v>
      </c>
      <c r="Q187" s="20">
        <f t="shared" si="162"/>
        <v>2.9494845662396269E-12</v>
      </c>
      <c r="R187" s="59">
        <f t="shared" si="109"/>
        <v>293.33333333333627</v>
      </c>
      <c r="S187" s="59">
        <f ca="1">AVERAGE(OFFSET($R$3,0,0,'Données projet'!$E$9+1,1))-AVERAGE(OFFSET($H$3,0,0,'Données projet'!$E$9+1,1))</f>
        <v>214.51224556840771</v>
      </c>
      <c r="T187" s="59">
        <f t="shared" si="142"/>
        <v>225.78309962707215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0.18806614673441707</v>
      </c>
      <c r="AA187" s="21">
        <f>EXP(-LN(2)/25)*AA186+(1-EXP(-LN(2)/25))/(LN(2)/25)*Calculateur!V187*Calculateur!X187*VLOOKUP('Données projet'!$B$9,Paramètres!$A$1:$I$89,3,0)*0.475*44/12</f>
        <v>0.35927858430731363</v>
      </c>
      <c r="AB187" s="21">
        <f>EXP(-LN(2)/2)*AB186+(1-EXP(-LN(2)/2))/(LN(2)/2)*V187*Y187*VLOOKUP('Données projet'!$B$9,Paramètres!$A$1:$I$89,3,0)*0.475*44/12</f>
        <v>1.6125773936250233E-22</v>
      </c>
      <c r="AC187" s="22">
        <f t="shared" si="163"/>
        <v>0.54734473104173076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-1.1368683772161603E-13</v>
      </c>
      <c r="AJ187" s="13">
        <f>AI187*VLOOKUP('Données projet'!$B$10,Paramètres!$A$1:$I$89,3,0)*VLOOKUP('Données projet'!$B$10,Paramètres!$A$1:$I$89,5,0)</f>
        <v>-1.0286385077051818E-13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237.22177246688199</v>
      </c>
      <c r="AO187" s="59">
        <f t="shared" si="144"/>
        <v>149.27472147904302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4.3435820830166949E-2</v>
      </c>
      <c r="AW187" s="21">
        <f>EXP(-LN(2)/2)*AW186+(1-EXP(-LN(2)/2))/(LN(2)/2)*AQ187*AT187*VLOOKUP('Données projet'!$B$10,Paramètres!$A$1:$I$89,3,0)*0.475*44/12</f>
        <v>4.0957668396238992E-23</v>
      </c>
      <c r="AX187" s="21">
        <f t="shared" si="166"/>
        <v>4.3435820830166949E-2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168.08890945052406</v>
      </c>
      <c r="BJ187" s="59">
        <f t="shared" si="146"/>
        <v>182.52462557642343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0.29425099295318491</v>
      </c>
      <c r="BQ187" s="21">
        <f>EXP(-LN(2)/25)*BQ186+(1-EXP(-LN(2)/25))/(LN(2)/25)*Calculateur!BL187*Calculateur!BN187*VLOOKUP('Données projet'!$B$11,Paramètres!$A$1:$I$89,3,0)*0.475*44/12</f>
        <v>0.17244451190876928</v>
      </c>
      <c r="BR187" s="21">
        <f>EXP(-LN(2)/2)*BR186+(1-EXP(-LN(2)/2))/(LN(2)/2)*BL187*BO187*VLOOKUP('Données projet'!$B$11,Paramètres!$A$1:$I$89,3,0)*0.475*44/12</f>
        <v>3.6036569230096194E-23</v>
      </c>
      <c r="BS187" s="22">
        <f t="shared" si="169"/>
        <v>0.46669550486195421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1.064108801074326E-13</v>
      </c>
      <c r="P188" s="13">
        <f t="shared" si="141"/>
        <v>1.5870730813698654E-12</v>
      </c>
      <c r="Q188" s="20">
        <f t="shared" si="162"/>
        <v>2.9494845662396269E-12</v>
      </c>
      <c r="R188" s="59">
        <f t="shared" si="109"/>
        <v>293.33333333333627</v>
      </c>
      <c r="S188" s="59">
        <f ca="1">AVERAGE(OFFSET($R$3,0,0,'Données projet'!$E$9+1,1))-AVERAGE(OFFSET($H$3,0,0,'Données projet'!$E$9+1,1))</f>
        <v>214.51224556840771</v>
      </c>
      <c r="T188" s="59">
        <f t="shared" si="142"/>
        <v>225.78309962707215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0.18437828430597808</v>
      </c>
      <c r="AA188" s="21">
        <f>EXP(-LN(2)/25)*AA187+(1-EXP(-LN(2)/25))/(LN(2)/25)*Calculateur!V188*Calculateur!X188*VLOOKUP('Données projet'!$B$9,Paramètres!$A$1:$I$89,3,0)*0.475*44/12</f>
        <v>0.34945409252579052</v>
      </c>
      <c r="AB188" s="21">
        <f>EXP(-LN(2)/2)*AB187+(1-EXP(-LN(2)/2))/(LN(2)/2)*V188*Y188*VLOOKUP('Données projet'!$B$9,Paramètres!$A$1:$I$89,3,0)*0.475*44/12</f>
        <v>1.1402644102203825E-22</v>
      </c>
      <c r="AC188" s="22">
        <f t="shared" si="163"/>
        <v>0.53383237683176854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-1.1368683772161603E-13</v>
      </c>
      <c r="AJ188" s="13">
        <f>AI188*VLOOKUP('Données projet'!$B$10,Paramètres!$A$1:$I$89,3,0)*VLOOKUP('Données projet'!$B$10,Paramètres!$A$1:$I$89,5,0)</f>
        <v>-1.0286385077051818E-13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237.22177246688199</v>
      </c>
      <c r="AO188" s="59">
        <f t="shared" si="144"/>
        <v>149.27472147904302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4.2248066025375487E-2</v>
      </c>
      <c r="AW188" s="21">
        <f>EXP(-LN(2)/2)*AW187+(1-EXP(-LN(2)/2))/(LN(2)/2)*AQ188*AT188*VLOOKUP('Données projet'!$B$10,Paramètres!$A$1:$I$89,3,0)*0.475*44/12</f>
        <v>2.8961445064570538E-23</v>
      </c>
      <c r="AX188" s="21">
        <f t="shared" si="166"/>
        <v>4.2248066025375487E-2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168.08890945052406</v>
      </c>
      <c r="BJ188" s="59">
        <f t="shared" si="146"/>
        <v>182.52462557642343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0.28848091045675694</v>
      </c>
      <c r="BQ188" s="21">
        <f>EXP(-LN(2)/25)*BQ187+(1-EXP(-LN(2)/25))/(LN(2)/25)*Calculateur!BL188*Calculateur!BN188*VLOOKUP('Données projet'!$B$11,Paramètres!$A$1:$I$89,3,0)*0.475*44/12</f>
        <v>0.16772900766216123</v>
      </c>
      <c r="BR188" s="21">
        <f>EXP(-LN(2)/2)*BR187+(1-EXP(-LN(2)/2))/(LN(2)/2)*BL188*BO188*VLOOKUP('Données projet'!$B$11,Paramètres!$A$1:$I$89,3,0)*0.475*44/12</f>
        <v>2.5481702473299501E-23</v>
      </c>
      <c r="BS188" s="22">
        <f t="shared" si="169"/>
        <v>0.4562099181189182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1.064108801074326E-13</v>
      </c>
      <c r="P189" s="13">
        <f t="shared" si="141"/>
        <v>1.5870730813698654E-12</v>
      </c>
      <c r="Q189" s="20">
        <f t="shared" si="162"/>
        <v>2.9494845662396269E-12</v>
      </c>
      <c r="R189" s="59">
        <f t="shared" si="109"/>
        <v>293.33333333333627</v>
      </c>
      <c r="S189" s="59">
        <f ca="1">AVERAGE(OFFSET($R$3,0,0,'Données projet'!$E$9+1,1))-AVERAGE(OFFSET($H$3,0,0,'Données projet'!$E$9+1,1))</f>
        <v>214.51224556840771</v>
      </c>
      <c r="T189" s="59">
        <f t="shared" si="142"/>
        <v>225.78309962707215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0.1807627386103868</v>
      </c>
      <c r="AA189" s="21">
        <f>EXP(-LN(2)/25)*AA188+(1-EXP(-LN(2)/25))/(LN(2)/25)*Calculateur!V189*Calculateur!X189*VLOOKUP('Données projet'!$B$9,Paramètres!$A$1:$I$89,3,0)*0.475*44/12</f>
        <v>0.33989825198868073</v>
      </c>
      <c r="AB189" s="21">
        <f>EXP(-LN(2)/2)*AB188+(1-EXP(-LN(2)/2))/(LN(2)/2)*V189*Y189*VLOOKUP('Données projet'!$B$9,Paramètres!$A$1:$I$89,3,0)*0.475*44/12</f>
        <v>8.0628869681251166E-23</v>
      </c>
      <c r="AC189" s="22">
        <f t="shared" si="163"/>
        <v>0.52066099059906756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-1.1368683772161603E-13</v>
      </c>
      <c r="AJ189" s="13">
        <f>AI189*VLOOKUP('Données projet'!$B$10,Paramètres!$A$1:$I$89,3,0)*VLOOKUP('Données projet'!$B$10,Paramètres!$A$1:$I$89,5,0)</f>
        <v>-1.0286385077051818E-13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237.22177246688199</v>
      </c>
      <c r="AO189" s="59">
        <f t="shared" si="144"/>
        <v>149.27472147904302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4.1092790438182362E-2</v>
      </c>
      <c r="AW189" s="21">
        <f>EXP(-LN(2)/2)*AW188+(1-EXP(-LN(2)/2))/(LN(2)/2)*AQ189*AT189*VLOOKUP('Données projet'!$B$10,Paramètres!$A$1:$I$89,3,0)*0.475*44/12</f>
        <v>2.0478834198119496E-23</v>
      </c>
      <c r="AX189" s="21">
        <f t="shared" si="166"/>
        <v>4.1092790438182362E-2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168.08890945052406</v>
      </c>
      <c r="BJ189" s="59">
        <f t="shared" si="146"/>
        <v>182.52462557642343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0.28282397575868112</v>
      </c>
      <c r="BQ189" s="21">
        <f>EXP(-LN(2)/25)*BQ188+(1-EXP(-LN(2)/25))/(LN(2)/25)*Calculateur!BL189*Calculateur!BN189*VLOOKUP('Données projet'!$B$11,Paramètres!$A$1:$I$89,3,0)*0.475*44/12</f>
        <v>0.16314244912715425</v>
      </c>
      <c r="BR189" s="21">
        <f>EXP(-LN(2)/2)*BR188+(1-EXP(-LN(2)/2))/(LN(2)/2)*BL189*BO189*VLOOKUP('Données projet'!$B$11,Paramètres!$A$1:$I$89,3,0)*0.475*44/12</f>
        <v>1.8018284615048097E-23</v>
      </c>
      <c r="BS189" s="22">
        <f t="shared" si="169"/>
        <v>0.44596642488583538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1.064108801074326E-13</v>
      </c>
      <c r="P190" s="13">
        <f t="shared" si="141"/>
        <v>1.5870730813698654E-12</v>
      </c>
      <c r="Q190" s="20">
        <f t="shared" si="162"/>
        <v>2.9494845662396269E-12</v>
      </c>
      <c r="R190" s="59">
        <f t="shared" si="109"/>
        <v>293.33333333333627</v>
      </c>
      <c r="S190" s="59">
        <f ca="1">AVERAGE(OFFSET($R$3,0,0,'Données projet'!$E$9+1,1))-AVERAGE(OFFSET($H$3,0,0,'Données projet'!$E$9+1,1))</f>
        <v>214.51224556840771</v>
      </c>
      <c r="T190" s="59">
        <f t="shared" si="142"/>
        <v>225.78309962707215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0.17721809156062096</v>
      </c>
      <c r="AA190" s="21">
        <f>EXP(-LN(2)/25)*AA189+(1-EXP(-LN(2)/25))/(LN(2)/25)*Calculateur!V190*Calculateur!X190*VLOOKUP('Données projet'!$B$9,Paramètres!$A$1:$I$89,3,0)*0.475*44/12</f>
        <v>0.33060371641357805</v>
      </c>
      <c r="AB190" s="21">
        <f>EXP(-LN(2)/2)*AB189+(1-EXP(-LN(2)/2))/(LN(2)/2)*V190*Y190*VLOOKUP('Données projet'!$B$9,Paramètres!$A$1:$I$89,3,0)*0.475*44/12</f>
        <v>5.7013220511019123E-23</v>
      </c>
      <c r="AC190" s="22">
        <f t="shared" si="163"/>
        <v>0.50782180797419896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-1.1368683772161603E-13</v>
      </c>
      <c r="AJ190" s="13">
        <f>AI190*VLOOKUP('Données projet'!$B$10,Paramètres!$A$1:$I$89,3,0)*VLOOKUP('Données projet'!$B$10,Paramètres!$A$1:$I$89,5,0)</f>
        <v>-1.0286385077051818E-13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237.22177246688199</v>
      </c>
      <c r="AO190" s="59">
        <f t="shared" si="144"/>
        <v>149.27472147904302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3.9969105922674338E-2</v>
      </c>
      <c r="AW190" s="21">
        <f>EXP(-LN(2)/2)*AW189+(1-EXP(-LN(2)/2))/(LN(2)/2)*AQ190*AT190*VLOOKUP('Données projet'!$B$10,Paramètres!$A$1:$I$89,3,0)*0.475*44/12</f>
        <v>1.4480722532285269E-23</v>
      </c>
      <c r="AX190" s="21">
        <f t="shared" si="166"/>
        <v>3.9969105922674338E-2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168.08890945052406</v>
      </c>
      <c r="BJ190" s="59">
        <f t="shared" si="146"/>
        <v>182.52462557642343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0.27727797009964511</v>
      </c>
      <c r="BQ190" s="21">
        <f>EXP(-LN(2)/25)*BQ189+(1-EXP(-LN(2)/25))/(LN(2)/25)*Calculateur!BL190*Calculateur!BN190*VLOOKUP('Données projet'!$B$11,Paramètres!$A$1:$I$89,3,0)*0.475*44/12</f>
        <v>0.15868131027648369</v>
      </c>
      <c r="BR190" s="21">
        <f>EXP(-LN(2)/2)*BR189+(1-EXP(-LN(2)/2))/(LN(2)/2)*BL190*BO190*VLOOKUP('Données projet'!$B$11,Paramètres!$A$1:$I$89,3,0)*0.475*44/12</f>
        <v>1.2740851236649751E-23</v>
      </c>
      <c r="BS190" s="22">
        <f t="shared" si="169"/>
        <v>0.4359592803761288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1.064108801074326E-13</v>
      </c>
      <c r="P191" s="13">
        <f t="shared" si="141"/>
        <v>1.5870730813698654E-12</v>
      </c>
      <c r="Q191" s="20">
        <f t="shared" si="162"/>
        <v>2.9494845662396269E-12</v>
      </c>
      <c r="R191" s="59">
        <f t="shared" si="109"/>
        <v>293.33333333333627</v>
      </c>
      <c r="S191" s="59">
        <f ca="1">AVERAGE(OFFSET($R$3,0,0,'Données projet'!$E$9+1,1))-AVERAGE(OFFSET($H$3,0,0,'Données projet'!$E$9+1,1))</f>
        <v>214.51224556840771</v>
      </c>
      <c r="T191" s="59">
        <f t="shared" si="142"/>
        <v>225.78309962707215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0.17374295287747979</v>
      </c>
      <c r="AA191" s="21">
        <f>EXP(-LN(2)/25)*AA190+(1-EXP(-LN(2)/25))/(LN(2)/25)*Calculateur!V191*Calculateur!X191*VLOOKUP('Données projet'!$B$9,Paramètres!$A$1:$I$89,3,0)*0.475*44/12</f>
        <v>0.32156334040255491</v>
      </c>
      <c r="AB191" s="21">
        <f>EXP(-LN(2)/2)*AB190+(1-EXP(-LN(2)/2))/(LN(2)/2)*V191*Y191*VLOOKUP('Données projet'!$B$9,Paramètres!$A$1:$I$89,3,0)*0.475*44/12</f>
        <v>4.0314434840625583E-23</v>
      </c>
      <c r="AC191" s="22">
        <f t="shared" si="163"/>
        <v>0.49530629328003473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-1.1368683772161603E-13</v>
      </c>
      <c r="AJ191" s="13">
        <f>AI191*VLOOKUP('Données projet'!$B$10,Paramètres!$A$1:$I$89,3,0)*VLOOKUP('Données projet'!$B$10,Paramètres!$A$1:$I$89,5,0)</f>
        <v>-1.0286385077051818E-13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237.22177246688199</v>
      </c>
      <c r="AO191" s="59">
        <f t="shared" si="144"/>
        <v>149.27472147904302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3.8876148619334881E-2</v>
      </c>
      <c r="AW191" s="21">
        <f>EXP(-LN(2)/2)*AW190+(1-EXP(-LN(2)/2))/(LN(2)/2)*AQ191*AT191*VLOOKUP('Données projet'!$B$10,Paramètres!$A$1:$I$89,3,0)*0.475*44/12</f>
        <v>1.0239417099059748E-23</v>
      </c>
      <c r="AX191" s="21">
        <f t="shared" si="166"/>
        <v>3.8876148619334881E-2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168.08890945052406</v>
      </c>
      <c r="BJ191" s="59">
        <f t="shared" si="146"/>
        <v>182.52462557642343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0.27184071822885336</v>
      </c>
      <c r="BQ191" s="21">
        <f>EXP(-LN(2)/25)*BQ190+(1-EXP(-LN(2)/25))/(LN(2)/25)*Calculateur!BL191*Calculateur!BN191*VLOOKUP('Données projet'!$B$11,Paramètres!$A$1:$I$89,3,0)*0.475*44/12</f>
        <v>0.1543421615022858</v>
      </c>
      <c r="BR191" s="21">
        <f>EXP(-LN(2)/2)*BR190+(1-EXP(-LN(2)/2))/(LN(2)/2)*BL191*BO191*VLOOKUP('Données projet'!$B$11,Paramètres!$A$1:$I$89,3,0)*0.475*44/12</f>
        <v>9.0091423075240485E-24</v>
      </c>
      <c r="BS191" s="22">
        <f t="shared" si="169"/>
        <v>0.42618287973113916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1.064108801074326E-13</v>
      </c>
      <c r="P192" s="13">
        <f t="shared" si="141"/>
        <v>1.5870730813698654E-12</v>
      </c>
      <c r="Q192" s="20">
        <f t="shared" si="162"/>
        <v>2.9494845662396269E-12</v>
      </c>
      <c r="R192" s="59">
        <f t="shared" si="109"/>
        <v>293.33333333333627</v>
      </c>
      <c r="S192" s="59">
        <f ca="1">AVERAGE(OFFSET($R$3,0,0,'Données projet'!$E$9+1,1))-AVERAGE(OFFSET($H$3,0,0,'Données projet'!$E$9+1,1))</f>
        <v>214.51224556840771</v>
      </c>
      <c r="T192" s="59">
        <f t="shared" si="142"/>
        <v>225.78309962707215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0.17033595954428973</v>
      </c>
      <c r="AA192" s="21">
        <f>EXP(-LN(2)/25)*AA191+(1-EXP(-LN(2)/25))/(LN(2)/25)*Calculateur!V192*Calculateur!X192*VLOOKUP('Données projet'!$B$9,Paramètres!$A$1:$I$89,3,0)*0.475*44/12</f>
        <v>0.31277017394896589</v>
      </c>
      <c r="AB192" s="21">
        <f>EXP(-LN(2)/2)*AB191+(1-EXP(-LN(2)/2))/(LN(2)/2)*V192*Y192*VLOOKUP('Données projet'!$B$9,Paramètres!$A$1:$I$89,3,0)*0.475*44/12</f>
        <v>2.8506610255509562E-23</v>
      </c>
      <c r="AC192" s="22">
        <f t="shared" si="163"/>
        <v>0.4831061334932556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-1.1368683772161603E-13</v>
      </c>
      <c r="AJ192" s="13">
        <f>AI192*VLOOKUP('Données projet'!$B$10,Paramètres!$A$1:$I$89,3,0)*VLOOKUP('Données projet'!$B$10,Paramètres!$A$1:$I$89,5,0)</f>
        <v>-1.0286385077051818E-13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237.22177246688199</v>
      </c>
      <c r="AO192" s="59">
        <f t="shared" si="144"/>
        <v>149.27472147904302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3.7813078290931362E-2</v>
      </c>
      <c r="AW192" s="21">
        <f>EXP(-LN(2)/2)*AW191+(1-EXP(-LN(2)/2))/(LN(2)/2)*AQ192*AT192*VLOOKUP('Données projet'!$B$10,Paramètres!$A$1:$I$89,3,0)*0.475*44/12</f>
        <v>7.2403612661426344E-24</v>
      </c>
      <c r="AX192" s="21">
        <f t="shared" si="166"/>
        <v>3.7813078290931362E-2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168.08890945052406</v>
      </c>
      <c r="BJ192" s="59">
        <f t="shared" si="146"/>
        <v>182.52462557642343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0.26651008755085165</v>
      </c>
      <c r="BQ192" s="21">
        <f>EXP(-LN(2)/25)*BQ191+(1-EXP(-LN(2)/25))/(LN(2)/25)*Calculateur!BL192*Calculateur!BN192*VLOOKUP('Données projet'!$B$11,Paramètres!$A$1:$I$89,3,0)*0.475*44/12</f>
        <v>0.15012166697950427</v>
      </c>
      <c r="BR192" s="21">
        <f>EXP(-LN(2)/2)*BR191+(1-EXP(-LN(2)/2))/(LN(2)/2)*BL192*BO192*VLOOKUP('Données projet'!$B$11,Paramètres!$A$1:$I$89,3,0)*0.475*44/12</f>
        <v>6.3704256183248753E-24</v>
      </c>
      <c r="BS192" s="22">
        <f t="shared" si="169"/>
        <v>0.41663175453035595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1.064108801074326E-13</v>
      </c>
      <c r="P193" s="13">
        <f t="shared" si="141"/>
        <v>1.5870730813698654E-12</v>
      </c>
      <c r="Q193" s="20">
        <f t="shared" si="162"/>
        <v>2.9494845662396269E-12</v>
      </c>
      <c r="R193" s="59">
        <f t="shared" si="109"/>
        <v>293.33333333333627</v>
      </c>
      <c r="S193" s="59">
        <f ca="1">AVERAGE(OFFSET($R$3,0,0,'Données projet'!$E$9+1,1))-AVERAGE(OFFSET($H$3,0,0,'Données projet'!$E$9+1,1))</f>
        <v>214.51224556840771</v>
      </c>
      <c r="T193" s="59">
        <f t="shared" si="142"/>
        <v>225.78309962707215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0.16699577527230278</v>
      </c>
      <c r="AA193" s="21">
        <f>EXP(-LN(2)/25)*AA192+(1-EXP(-LN(2)/25))/(LN(2)/25)*Calculateur!V193*Calculateur!X193*VLOOKUP('Données projet'!$B$9,Paramètres!$A$1:$I$89,3,0)*0.475*44/12</f>
        <v>0.3042174570944628</v>
      </c>
      <c r="AB193" s="21">
        <f>EXP(-LN(2)/2)*AB192+(1-EXP(-LN(2)/2))/(LN(2)/2)*V193*Y193*VLOOKUP('Données projet'!$B$9,Paramètres!$A$1:$I$89,3,0)*0.475*44/12</f>
        <v>2.0157217420312792E-23</v>
      </c>
      <c r="AC193" s="22">
        <f t="shared" si="163"/>
        <v>0.4712132323667656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-1.1368683772161603E-13</v>
      </c>
      <c r="AJ193" s="13">
        <f>AI193*VLOOKUP('Données projet'!$B$10,Paramètres!$A$1:$I$89,3,0)*VLOOKUP('Données projet'!$B$10,Paramètres!$A$1:$I$89,5,0)</f>
        <v>-1.0286385077051818E-13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237.22177246688199</v>
      </c>
      <c r="AO193" s="59">
        <f t="shared" si="144"/>
        <v>149.27472147904302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3.677907767656248E-2</v>
      </c>
      <c r="AW193" s="21">
        <f>EXP(-LN(2)/2)*AW192+(1-EXP(-LN(2)/2))/(LN(2)/2)*AQ193*AT193*VLOOKUP('Données projet'!$B$10,Paramètres!$A$1:$I$89,3,0)*0.475*44/12</f>
        <v>5.119708549529874E-24</v>
      </c>
      <c r="AX193" s="21">
        <f t="shared" si="166"/>
        <v>3.677907767656248E-2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168.08890945052406</v>
      </c>
      <c r="BJ193" s="59">
        <f t="shared" si="146"/>
        <v>182.52462557642343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0.26128398728908186</v>
      </c>
      <c r="BQ193" s="21">
        <f>EXP(-LN(2)/25)*BQ192+(1-EXP(-LN(2)/25))/(LN(2)/25)*Calculateur!BL193*Calculateur!BN193*VLOOKUP('Données projet'!$B$11,Paramètres!$A$1:$I$89,3,0)*0.475*44/12</f>
        <v>0.14601658210139437</v>
      </c>
      <c r="BR193" s="21">
        <f>EXP(-LN(2)/2)*BR192+(1-EXP(-LN(2)/2))/(LN(2)/2)*BL193*BO193*VLOOKUP('Données projet'!$B$11,Paramètres!$A$1:$I$89,3,0)*0.475*44/12</f>
        <v>4.5045711537620243E-24</v>
      </c>
      <c r="BS193" s="22">
        <f t="shared" si="169"/>
        <v>0.40730056939047621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1.064108801074326E-13</v>
      </c>
      <c r="P194" s="13">
        <f t="shared" si="141"/>
        <v>1.5870730813698654E-12</v>
      </c>
      <c r="Q194" s="20">
        <f t="shared" si="162"/>
        <v>2.9494845662396269E-12</v>
      </c>
      <c r="R194" s="59">
        <f t="shared" si="109"/>
        <v>293.33333333333627</v>
      </c>
      <c r="S194" s="59">
        <f ca="1">AVERAGE(OFFSET($R$3,0,0,'Données projet'!$E$9+1,1))-AVERAGE(OFFSET($H$3,0,0,'Données projet'!$E$9+1,1))</f>
        <v>214.51224556840771</v>
      </c>
      <c r="T194" s="59">
        <f t="shared" si="142"/>
        <v>225.78309962707215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0.16372108997657825</v>
      </c>
      <c r="AA194" s="21">
        <f>EXP(-LN(2)/25)*AA193+(1-EXP(-LN(2)/25))/(LN(2)/25)*Calculateur!V194*Calculateur!X194*VLOOKUP('Données projet'!$B$9,Paramètres!$A$1:$I$89,3,0)*0.475*44/12</f>
        <v>0.29589861473211393</v>
      </c>
      <c r="AB194" s="21">
        <f>EXP(-LN(2)/2)*AB193+(1-EXP(-LN(2)/2))/(LN(2)/2)*V194*Y194*VLOOKUP('Données projet'!$B$9,Paramètres!$A$1:$I$89,3,0)*0.475*44/12</f>
        <v>1.4253305127754781E-23</v>
      </c>
      <c r="AC194" s="22">
        <f t="shared" si="163"/>
        <v>0.45961970470869218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-1.1368683772161603E-13</v>
      </c>
      <c r="AJ194" s="13">
        <f>AI194*VLOOKUP('Données projet'!$B$10,Paramètres!$A$1:$I$89,3,0)*VLOOKUP('Données projet'!$B$10,Paramètres!$A$1:$I$89,5,0)</f>
        <v>-1.0286385077051818E-13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237.22177246688199</v>
      </c>
      <c r="AO194" s="59">
        <f t="shared" si="144"/>
        <v>149.27472147904302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3.5773351863369246E-2</v>
      </c>
      <c r="AW194" s="21">
        <f>EXP(-LN(2)/2)*AW193+(1-EXP(-LN(2)/2))/(LN(2)/2)*AQ194*AT194*VLOOKUP('Données projet'!$B$10,Paramètres!$A$1:$I$89,3,0)*0.475*44/12</f>
        <v>3.6201806330713172E-24</v>
      </c>
      <c r="AX194" s="21">
        <f t="shared" si="166"/>
        <v>3.5773351863369246E-2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168.08890945052406</v>
      </c>
      <c r="BJ194" s="59">
        <f t="shared" si="146"/>
        <v>182.52462557642343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0.25616036766583899</v>
      </c>
      <c r="BQ194" s="21">
        <f>EXP(-LN(2)/25)*BQ193+(1-EXP(-LN(2)/25))/(LN(2)/25)*Calculateur!BL194*Calculateur!BN194*VLOOKUP('Données projet'!$B$11,Paramètres!$A$1:$I$89,3,0)*0.475*44/12</f>
        <v>0.14202375098515341</v>
      </c>
      <c r="BR194" s="21">
        <f>EXP(-LN(2)/2)*BR193+(1-EXP(-LN(2)/2))/(LN(2)/2)*BL194*BO194*VLOOKUP('Données projet'!$B$11,Paramètres!$A$1:$I$89,3,0)*0.475*44/12</f>
        <v>3.1852128091624376E-24</v>
      </c>
      <c r="BS194" s="22">
        <f t="shared" si="169"/>
        <v>0.3981841186509924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1.064108801074326E-13</v>
      </c>
      <c r="P195" s="13">
        <f t="shared" si="141"/>
        <v>1.5870730813698654E-12</v>
      </c>
      <c r="Q195" s="20">
        <f t="shared" si="162"/>
        <v>2.9494845662396269E-12</v>
      </c>
      <c r="R195" s="59">
        <f t="shared" ref="R195:R203" si="191">Q195+(I195+J195)*44/12</f>
        <v>293.33333333333627</v>
      </c>
      <c r="S195" s="59">
        <f ca="1">AVERAGE(OFFSET($R$3,0,0,'Données projet'!$E$9+1,1))-AVERAGE(OFFSET($H$3,0,0,'Données projet'!$E$9+1,1))</f>
        <v>214.51224556840771</v>
      </c>
      <c r="T195" s="59">
        <f t="shared" si="142"/>
        <v>225.78309962707215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0.16051061926214208</v>
      </c>
      <c r="AA195" s="21">
        <f>EXP(-LN(2)/25)*AA194+(1-EXP(-LN(2)/25))/(LN(2)/25)*Calculateur!V195*Calculateur!X195*VLOOKUP('Données projet'!$B$9,Paramètres!$A$1:$I$89,3,0)*0.475*44/12</f>
        <v>0.28780725155163239</v>
      </c>
      <c r="AB195" s="21">
        <f>EXP(-LN(2)/2)*AB194+(1-EXP(-LN(2)/2))/(LN(2)/2)*V195*Y195*VLOOKUP('Données projet'!$B$9,Paramètres!$A$1:$I$89,3,0)*0.475*44/12</f>
        <v>1.0078608710156396E-23</v>
      </c>
      <c r="AC195" s="22">
        <f t="shared" si="163"/>
        <v>0.4483178708137745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-1.1368683772161603E-13</v>
      </c>
      <c r="AJ195" s="13">
        <f>AI195*VLOOKUP('Données projet'!$B$10,Paramètres!$A$1:$I$89,3,0)*VLOOKUP('Données projet'!$B$10,Paramètres!$A$1:$I$89,5,0)</f>
        <v>-1.0286385077051818E-13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237.22177246688199</v>
      </c>
      <c r="AO195" s="59">
        <f t="shared" si="144"/>
        <v>149.27472147904302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3.4795127675426599E-2</v>
      </c>
      <c r="AW195" s="21">
        <f>EXP(-LN(2)/2)*AW194+(1-EXP(-LN(2)/2))/(LN(2)/2)*AQ195*AT195*VLOOKUP('Données projet'!$B$10,Paramètres!$A$1:$I$89,3,0)*0.475*44/12</f>
        <v>2.559854274764937E-24</v>
      </c>
      <c r="AX195" s="21">
        <f t="shared" si="166"/>
        <v>3.4795127675426599E-2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168.08890945052406</v>
      </c>
      <c r="BJ195" s="59">
        <f t="shared" si="146"/>
        <v>182.52462557642343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0.2511372190983085</v>
      </c>
      <c r="BQ195" s="21">
        <f>EXP(-LN(2)/25)*BQ194+(1-EXP(-LN(2)/25))/(LN(2)/25)*Calculateur!BL195*Calculateur!BN195*VLOOKUP('Données projet'!$B$11,Paramètres!$A$1:$I$89,3,0)*0.475*44/12</f>
        <v>0.13814010404575991</v>
      </c>
      <c r="BR195" s="21">
        <f>EXP(-LN(2)/2)*BR194+(1-EXP(-LN(2)/2))/(LN(2)/2)*BL195*BO195*VLOOKUP('Données projet'!$B$11,Paramètres!$A$1:$I$89,3,0)*0.475*44/12</f>
        <v>2.2522855768810121E-24</v>
      </c>
      <c r="BS195" s="22">
        <f t="shared" si="169"/>
        <v>0.38927732314406838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1.064108801074326E-13</v>
      </c>
      <c r="P196" s="13">
        <f t="shared" si="141"/>
        <v>1.5870730813698654E-12</v>
      </c>
      <c r="Q196" s="20">
        <f t="shared" si="162"/>
        <v>2.9494845662396269E-12</v>
      </c>
      <c r="R196" s="59">
        <f t="shared" si="191"/>
        <v>293.33333333333627</v>
      </c>
      <c r="S196" s="59">
        <f ca="1">AVERAGE(OFFSET($R$3,0,0,'Données projet'!$E$9+1,1))-AVERAGE(OFFSET($H$3,0,0,'Données projet'!$E$9+1,1))</f>
        <v>214.51224556840771</v>
      </c>
      <c r="T196" s="59">
        <f t="shared" si="142"/>
        <v>225.78309962707215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0.15736310392022221</v>
      </c>
      <c r="AA196" s="21">
        <f>EXP(-LN(2)/25)*AA195+(1-EXP(-LN(2)/25))/(LN(2)/25)*Calculateur!V196*Calculateur!X196*VLOOKUP('Données projet'!$B$9,Paramètres!$A$1:$I$89,3,0)*0.475*44/12</f>
        <v>0.27993714712282741</v>
      </c>
      <c r="AB196" s="21">
        <f>EXP(-LN(2)/2)*AB195+(1-EXP(-LN(2)/2))/(LN(2)/2)*V196*Y196*VLOOKUP('Données projet'!$B$9,Paramètres!$A$1:$I$89,3,0)*0.475*44/12</f>
        <v>7.1266525638773904E-24</v>
      </c>
      <c r="AC196" s="22">
        <f t="shared" si="163"/>
        <v>0.43730025104304959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-1.1368683772161603E-13</v>
      </c>
      <c r="AJ196" s="13">
        <f>AI196*VLOOKUP('Données projet'!$B$10,Paramètres!$A$1:$I$89,3,0)*VLOOKUP('Données projet'!$B$10,Paramètres!$A$1:$I$89,5,0)</f>
        <v>-1.0286385077051818E-13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237.22177246688199</v>
      </c>
      <c r="AO196" s="59">
        <f t="shared" si="144"/>
        <v>149.27472147904302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3.3843653079345816E-2</v>
      </c>
      <c r="AW196" s="21">
        <f>EXP(-LN(2)/2)*AW195+(1-EXP(-LN(2)/2))/(LN(2)/2)*AQ196*AT196*VLOOKUP('Données projet'!$B$10,Paramètres!$A$1:$I$89,3,0)*0.475*44/12</f>
        <v>1.8100903165356586E-24</v>
      </c>
      <c r="AX196" s="21">
        <f t="shared" si="166"/>
        <v>3.3843653079345816E-2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168.08890945052406</v>
      </c>
      <c r="BJ196" s="59">
        <f t="shared" si="146"/>
        <v>182.52462557642343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0.24621257141036917</v>
      </c>
      <c r="BQ196" s="21">
        <f>EXP(-LN(2)/25)*BQ195+(1-EXP(-LN(2)/25))/(LN(2)/25)*Calculateur!BL196*Calculateur!BN196*VLOOKUP('Données projet'!$B$11,Paramètres!$A$1:$I$89,3,0)*0.475*44/12</f>
        <v>0.13436265563615626</v>
      </c>
      <c r="BR196" s="21">
        <f>EXP(-LN(2)/2)*BR195+(1-EXP(-LN(2)/2))/(LN(2)/2)*BL196*BO196*VLOOKUP('Données projet'!$B$11,Paramètres!$A$1:$I$89,3,0)*0.475*44/12</f>
        <v>1.5926064045812188E-24</v>
      </c>
      <c r="BS196" s="22">
        <f t="shared" si="169"/>
        <v>0.38057522704652547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1.064108801074326E-13</v>
      </c>
      <c r="P197" s="13">
        <f t="shared" ref="P197:P203" si="203">EXP(-1.0587+0.8836*LN(O197)+0.284)</f>
        <v>1.5870730813698654E-12</v>
      </c>
      <c r="Q197" s="20">
        <f t="shared" si="162"/>
        <v>2.9494845662396269E-12</v>
      </c>
      <c r="R197" s="59">
        <f t="shared" si="191"/>
        <v>293.33333333333627</v>
      </c>
      <c r="S197" s="59">
        <f ca="1">AVERAGE(OFFSET($R$3,0,0,'Données projet'!$E$9+1,1))-AVERAGE(OFFSET($H$3,0,0,'Données projet'!$E$9+1,1))</f>
        <v>214.51224556840771</v>
      </c>
      <c r="T197" s="59">
        <f t="shared" ref="T197:T203" si="204">$T$3</f>
        <v>225.78309962707215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0.1542773094343626</v>
      </c>
      <c r="AA197" s="21">
        <f>EXP(-LN(2)/25)*AA196+(1-EXP(-LN(2)/25))/(LN(2)/25)*Calculateur!V197*Calculateur!X197*VLOOKUP('Données projet'!$B$9,Paramètres!$A$1:$I$89,3,0)*0.475*44/12</f>
        <v>0.27228225111349891</v>
      </c>
      <c r="AB197" s="21">
        <f>EXP(-LN(2)/2)*AB196+(1-EXP(-LN(2)/2))/(LN(2)/2)*V197*Y197*VLOOKUP('Données projet'!$B$9,Paramètres!$A$1:$I$89,3,0)*0.475*44/12</f>
        <v>5.0393043550781979E-24</v>
      </c>
      <c r="AC197" s="22">
        <f t="shared" si="163"/>
        <v>0.42655956054786148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-1.1368683772161603E-13</v>
      </c>
      <c r="AJ197" s="13">
        <f>AI197*VLOOKUP('Données projet'!$B$10,Paramètres!$A$1:$I$89,3,0)*VLOOKUP('Données projet'!$B$10,Paramètres!$A$1:$I$89,5,0)</f>
        <v>-1.0286385077051818E-13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237.22177246688199</v>
      </c>
      <c r="AO197" s="59">
        <f t="shared" ref="AO197:AO203" si="205">$AO$3</f>
        <v>149.27472147904302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3.291819660613074E-2</v>
      </c>
      <c r="AW197" s="21">
        <f>EXP(-LN(2)/2)*AW196+(1-EXP(-LN(2)/2))/(LN(2)/2)*AQ197*AT197*VLOOKUP('Données projet'!$B$10,Paramètres!$A$1:$I$89,3,0)*0.475*44/12</f>
        <v>1.2799271373824685E-24</v>
      </c>
      <c r="AX197" s="21">
        <f t="shared" si="166"/>
        <v>3.291819660613074E-2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168.08890945052406</v>
      </c>
      <c r="BJ197" s="59">
        <f t="shared" ref="BJ197:BJ203" si="206">$BJ$3</f>
        <v>182.52462557642343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0.24138449305985185</v>
      </c>
      <c r="BQ197" s="21">
        <f>EXP(-LN(2)/25)*BQ196+(1-EXP(-LN(2)/25))/(LN(2)/25)*Calculateur!BL197*Calculateur!BN197*VLOOKUP('Données projet'!$B$11,Paramètres!$A$1:$I$89,3,0)*0.475*44/12</f>
        <v>0.13068850175196059</v>
      </c>
      <c r="BR197" s="21">
        <f>EXP(-LN(2)/2)*BR196+(1-EXP(-LN(2)/2))/(LN(2)/2)*BL197*BO197*VLOOKUP('Données projet'!$B$11,Paramètres!$A$1:$I$89,3,0)*0.475*44/12</f>
        <v>1.1261427884405061E-24</v>
      </c>
      <c r="BS197" s="22">
        <f t="shared" si="169"/>
        <v>0.37207299481181244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1.064108801074326E-13</v>
      </c>
      <c r="P198" s="13">
        <f t="shared" si="203"/>
        <v>1.5870730813698654E-12</v>
      </c>
      <c r="Q198" s="20">
        <f t="shared" si="162"/>
        <v>2.9494845662396269E-12</v>
      </c>
      <c r="R198" s="59">
        <f t="shared" si="191"/>
        <v>293.33333333333627</v>
      </c>
      <c r="S198" s="59">
        <f ca="1">AVERAGE(OFFSET($R$3,0,0,'Données projet'!$E$9+1,1))-AVERAGE(OFFSET($H$3,0,0,'Données projet'!$E$9+1,1))</f>
        <v>214.51224556840771</v>
      </c>
      <c r="T198" s="59">
        <f t="shared" si="204"/>
        <v>225.78309962707215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0.15125202549622191</v>
      </c>
      <c r="AA198" s="21">
        <f>EXP(-LN(2)/25)*AA197+(1-EXP(-LN(2)/25))/(LN(2)/25)*Calculateur!V198*Calculateur!X198*VLOOKUP('Données projet'!$B$9,Paramètres!$A$1:$I$89,3,0)*0.475*44/12</f>
        <v>0.26483667863809901</v>
      </c>
      <c r="AB198" s="21">
        <f>EXP(-LN(2)/2)*AB197+(1-EXP(-LN(2)/2))/(LN(2)/2)*V198*Y198*VLOOKUP('Données projet'!$B$9,Paramètres!$A$1:$I$89,3,0)*0.475*44/12</f>
        <v>3.5633262819386952E-24</v>
      </c>
      <c r="AC198" s="22">
        <f t="shared" si="163"/>
        <v>0.41608870413432092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-1.1368683772161603E-13</v>
      </c>
      <c r="AJ198" s="13">
        <f>AI198*VLOOKUP('Données projet'!$B$10,Paramètres!$A$1:$I$89,3,0)*VLOOKUP('Données projet'!$B$10,Paramètres!$A$1:$I$89,5,0)</f>
        <v>-1.0286385077051818E-13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237.22177246688199</v>
      </c>
      <c r="AO198" s="59">
        <f t="shared" si="205"/>
        <v>149.27472147904302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3.2018046788843374E-2</v>
      </c>
      <c r="AW198" s="21">
        <f>EXP(-LN(2)/2)*AW197+(1-EXP(-LN(2)/2))/(LN(2)/2)*AQ198*AT198*VLOOKUP('Données projet'!$B$10,Paramètres!$A$1:$I$89,3,0)*0.475*44/12</f>
        <v>9.050451582678293E-25</v>
      </c>
      <c r="AX198" s="21">
        <f t="shared" si="166"/>
        <v>3.2018046788843374E-2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168.08890945052406</v>
      </c>
      <c r="BJ198" s="59">
        <f t="shared" si="206"/>
        <v>182.52462557642343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0.23665109038095117</v>
      </c>
      <c r="BQ198" s="21">
        <f>EXP(-LN(2)/25)*BQ197+(1-EXP(-LN(2)/25))/(LN(2)/25)*Calculateur!BL198*Calculateur!BN198*VLOOKUP('Données projet'!$B$11,Paramètres!$A$1:$I$89,3,0)*0.475*44/12</f>
        <v>0.12711481779894362</v>
      </c>
      <c r="BR198" s="21">
        <f>EXP(-LN(2)/2)*BR197+(1-EXP(-LN(2)/2))/(LN(2)/2)*BL198*BO198*VLOOKUP('Données projet'!$B$11,Paramètres!$A$1:$I$89,3,0)*0.475*44/12</f>
        <v>7.9630320229060941E-25</v>
      </c>
      <c r="BS198" s="22">
        <f t="shared" si="169"/>
        <v>0.36376590817989479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1.064108801074326E-13</v>
      </c>
      <c r="P199" s="13">
        <f t="shared" si="203"/>
        <v>1.5870730813698654E-12</v>
      </c>
      <c r="Q199" s="20">
        <f t="shared" si="162"/>
        <v>2.9494845662396269E-12</v>
      </c>
      <c r="R199" s="59">
        <f t="shared" si="191"/>
        <v>293.33333333333627</v>
      </c>
      <c r="S199" s="59">
        <f ca="1">AVERAGE(OFFSET($R$3,0,0,'Données projet'!$E$9+1,1))-AVERAGE(OFFSET($H$3,0,0,'Données projet'!$E$9+1,1))</f>
        <v>214.51224556840771</v>
      </c>
      <c r="T199" s="59">
        <f t="shared" si="204"/>
        <v>225.78309962707215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0.14828606553086715</v>
      </c>
      <c r="AA199" s="21">
        <f>EXP(-LN(2)/25)*AA198+(1-EXP(-LN(2)/25))/(LN(2)/25)*Calculateur!V199*Calculateur!X199*VLOOKUP('Données projet'!$B$9,Paramètres!$A$1:$I$89,3,0)*0.475*44/12</f>
        <v>0.25759470573358456</v>
      </c>
      <c r="AB199" s="21">
        <f>EXP(-LN(2)/2)*AB198+(1-EXP(-LN(2)/2))/(LN(2)/2)*V199*Y199*VLOOKUP('Données projet'!$B$9,Paramètres!$A$1:$I$89,3,0)*0.475*44/12</f>
        <v>2.5196521775390989E-24</v>
      </c>
      <c r="AC199" s="22">
        <f t="shared" si="163"/>
        <v>0.40588077126445171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-1.1368683772161603E-13</v>
      </c>
      <c r="AJ199" s="13">
        <f>AI199*VLOOKUP('Données projet'!$B$10,Paramètres!$A$1:$I$89,3,0)*VLOOKUP('Données projet'!$B$10,Paramètres!$A$1:$I$89,5,0)</f>
        <v>-1.0286385077051818E-13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237.22177246688199</v>
      </c>
      <c r="AO199" s="59">
        <f t="shared" si="205"/>
        <v>149.27472147904302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3.1142511615646549E-2</v>
      </c>
      <c r="AW199" s="21">
        <f>EXP(-LN(2)/2)*AW198+(1-EXP(-LN(2)/2))/(LN(2)/2)*AQ199*AT199*VLOOKUP('Données projet'!$B$10,Paramètres!$A$1:$I$89,3,0)*0.475*44/12</f>
        <v>6.3996356869123425E-25</v>
      </c>
      <c r="AX199" s="21">
        <f t="shared" si="166"/>
        <v>3.1142511615646549E-2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168.08890945052406</v>
      </c>
      <c r="BJ199" s="59">
        <f t="shared" si="206"/>
        <v>182.52462557642343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0.23201050684149316</v>
      </c>
      <c r="BQ199" s="21">
        <f>EXP(-LN(2)/25)*BQ198+(1-EXP(-LN(2)/25))/(LN(2)/25)*Calculateur!BL199*Calculateur!BN199*VLOOKUP('Données projet'!$B$11,Paramètres!$A$1:$I$89,3,0)*0.475*44/12</f>
        <v>0.12363885642155377</v>
      </c>
      <c r="BR199" s="21">
        <f>EXP(-LN(2)/2)*BR198+(1-EXP(-LN(2)/2))/(LN(2)/2)*BL199*BO199*VLOOKUP('Données projet'!$B$11,Paramètres!$A$1:$I$89,3,0)*0.475*44/12</f>
        <v>5.6307139422025303E-25</v>
      </c>
      <c r="BS199" s="22">
        <f t="shared" si="169"/>
        <v>0.35564936326304691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1.064108801074326E-13</v>
      </c>
      <c r="P200" s="13">
        <f t="shared" si="203"/>
        <v>1.5870730813698654E-12</v>
      </c>
      <c r="Q200" s="20">
        <f t="shared" si="162"/>
        <v>2.9494845662396269E-12</v>
      </c>
      <c r="R200" s="59">
        <f t="shared" si="191"/>
        <v>293.33333333333627</v>
      </c>
      <c r="S200" s="59">
        <f ca="1">AVERAGE(OFFSET($R$3,0,0,'Données projet'!$E$9+1,1))-AVERAGE(OFFSET($H$3,0,0,'Données projet'!$E$9+1,1))</f>
        <v>214.51224556840771</v>
      </c>
      <c r="T200" s="59">
        <f t="shared" si="204"/>
        <v>225.78309962707215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0.14537826623137606</v>
      </c>
      <c r="AA200" s="21">
        <f>EXP(-LN(2)/25)*AA199+(1-EXP(-LN(2)/25))/(LN(2)/25)*Calculateur!V200*Calculateur!X200*VLOOKUP('Données projet'!$B$9,Paramètres!$A$1:$I$89,3,0)*0.475*44/12</f>
        <v>0.25055076495898287</v>
      </c>
      <c r="AB200" s="21">
        <f>EXP(-LN(2)/2)*AB199+(1-EXP(-LN(2)/2))/(LN(2)/2)*V200*Y200*VLOOKUP('Données projet'!$B$9,Paramètres!$A$1:$I$89,3,0)*0.475*44/12</f>
        <v>1.7816631409693476E-24</v>
      </c>
      <c r="AC200" s="22">
        <f t="shared" si="163"/>
        <v>0.39592903119035894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-1.1368683772161603E-13</v>
      </c>
      <c r="AJ200" s="13">
        <f>AI200*VLOOKUP('Données projet'!$B$10,Paramètres!$A$1:$I$89,3,0)*VLOOKUP('Données projet'!$B$10,Paramètres!$A$1:$I$89,5,0)</f>
        <v>-1.0286385077051818E-13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237.22177246688199</v>
      </c>
      <c r="AO200" s="59">
        <f t="shared" si="205"/>
        <v>149.27472147904302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3.0290917997803184E-2</v>
      </c>
      <c r="AW200" s="21">
        <f>EXP(-LN(2)/2)*AW199+(1-EXP(-LN(2)/2))/(LN(2)/2)*AQ200*AT200*VLOOKUP('Données projet'!$B$10,Paramètres!$A$1:$I$89,3,0)*0.475*44/12</f>
        <v>4.5252257913391465E-25</v>
      </c>
      <c r="AX200" s="21">
        <f t="shared" si="166"/>
        <v>3.0290917997803184E-2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168.08890945052406</v>
      </c>
      <c r="BJ200" s="59">
        <f t="shared" si="206"/>
        <v>182.52462557642343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0.22746092231476747</v>
      </c>
      <c r="BQ200" s="21">
        <f>EXP(-LN(2)/25)*BQ199+(1-EXP(-LN(2)/25))/(LN(2)/25)*Calculateur!BL200*Calculateur!BN200*VLOOKUP('Données projet'!$B$11,Paramètres!$A$1:$I$89,3,0)*0.475*44/12</f>
        <v>0.12025794539082151</v>
      </c>
      <c r="BR200" s="21">
        <f>EXP(-LN(2)/2)*BR199+(1-EXP(-LN(2)/2))/(LN(2)/2)*BL200*BO200*VLOOKUP('Données projet'!$B$11,Paramètres!$A$1:$I$89,3,0)*0.475*44/12</f>
        <v>3.9815160114530471E-25</v>
      </c>
      <c r="BS200" s="22">
        <f t="shared" si="169"/>
        <v>0.34771886770558896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1.064108801074326E-13</v>
      </c>
      <c r="P201" s="13">
        <f t="shared" si="203"/>
        <v>1.5870730813698654E-12</v>
      </c>
      <c r="Q201" s="20">
        <f t="shared" si="162"/>
        <v>2.9494845662396269E-12</v>
      </c>
      <c r="R201" s="59">
        <f t="shared" si="191"/>
        <v>293.33333333333627</v>
      </c>
      <c r="S201" s="59">
        <f ca="1">AVERAGE(OFFSET($R$3,0,0,'Données projet'!$E$9+1,1))-AVERAGE(OFFSET($H$3,0,0,'Données projet'!$E$9+1,1))</f>
        <v>214.51224556840771</v>
      </c>
      <c r="T201" s="59">
        <f t="shared" si="204"/>
        <v>225.78309962707215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0.14252748710256555</v>
      </c>
      <c r="AA201" s="21">
        <f>EXP(-LN(2)/25)*AA200+(1-EXP(-LN(2)/25))/(LN(2)/25)*Calculateur!V201*Calculateur!X201*VLOOKUP('Données projet'!$B$9,Paramètres!$A$1:$I$89,3,0)*0.475*44/12</f>
        <v>0.24369944111528741</v>
      </c>
      <c r="AB201" s="21">
        <f>EXP(-LN(2)/2)*AB200+(1-EXP(-LN(2)/2))/(LN(2)/2)*V201*Y201*VLOOKUP('Données projet'!$B$9,Paramètres!$A$1:$I$89,3,0)*0.475*44/12</f>
        <v>1.2598260887695495E-24</v>
      </c>
      <c r="AC201" s="22">
        <f t="shared" si="163"/>
        <v>0.38622692821785298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-1.1368683772161603E-13</v>
      </c>
      <c r="AJ201" s="13">
        <f>AI201*VLOOKUP('Données projet'!$B$10,Paramètres!$A$1:$I$89,3,0)*VLOOKUP('Données projet'!$B$10,Paramètres!$A$1:$I$89,5,0)</f>
        <v>-1.0286385077051818E-13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237.22177246688199</v>
      </c>
      <c r="AO201" s="59">
        <f t="shared" si="205"/>
        <v>149.27472147904302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2.946261125222311E-2</v>
      </c>
      <c r="AW201" s="21">
        <f>EXP(-LN(2)/2)*AW200+(1-EXP(-LN(2)/2))/(LN(2)/2)*AQ201*AT201*VLOOKUP('Données projet'!$B$10,Paramètres!$A$1:$I$89,3,0)*0.475*44/12</f>
        <v>3.1998178434561713E-25</v>
      </c>
      <c r="AX201" s="21">
        <f t="shared" si="166"/>
        <v>2.946261125222311E-2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168.08890945052406</v>
      </c>
      <c r="BJ201" s="59">
        <f t="shared" si="206"/>
        <v>182.52462557642343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0.22300055236563832</v>
      </c>
      <c r="BQ201" s="21">
        <f>EXP(-LN(2)/25)*BQ200+(1-EXP(-LN(2)/25))/(LN(2)/25)*Calculateur!BL201*Calculateur!BN201*VLOOKUP('Données projet'!$B$11,Paramètres!$A$1:$I$89,3,0)*0.475*44/12</f>
        <v>0.116969485550019</v>
      </c>
      <c r="BR201" s="21">
        <f>EXP(-LN(2)/2)*BR200+(1-EXP(-LN(2)/2))/(LN(2)/2)*BL201*BO201*VLOOKUP('Données projet'!$B$11,Paramètres!$A$1:$I$89,3,0)*0.475*44/12</f>
        <v>2.8153569711012652E-25</v>
      </c>
      <c r="BS201" s="22">
        <f t="shared" si="169"/>
        <v>0.33997003791565733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1.064108801074326E-13</v>
      </c>
      <c r="P202" s="13">
        <f t="shared" si="203"/>
        <v>1.5870730813698654E-12</v>
      </c>
      <c r="Q202" s="20">
        <f t="shared" si="162"/>
        <v>2.9494845662396269E-12</v>
      </c>
      <c r="R202" s="59">
        <f t="shared" si="191"/>
        <v>293.33333333333627</v>
      </c>
      <c r="S202" s="59">
        <f ca="1">AVERAGE(OFFSET($R$3,0,0,'Données projet'!$E$9+1,1))-AVERAGE(OFFSET($H$3,0,0,'Données projet'!$E$9+1,1))</f>
        <v>214.51224556840771</v>
      </c>
      <c r="T202" s="59">
        <f t="shared" si="204"/>
        <v>225.78309962707215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0.13973261001366744</v>
      </c>
      <c r="AA202" s="21">
        <f>EXP(-LN(2)/25)*AA201+(1-EXP(-LN(2)/25))/(LN(2)/25)*Calculateur!V202*Calculateur!X202*VLOOKUP('Données projet'!$B$9,Paramètres!$A$1:$I$89,3,0)*0.475*44/12</f>
        <v>0.23703546708239326</v>
      </c>
      <c r="AB202" s="21">
        <f>EXP(-LN(2)/2)*AB201+(1-EXP(-LN(2)/2))/(LN(2)/2)*V202*Y202*VLOOKUP('Données projet'!$B$9,Paramètres!$A$1:$I$89,3,0)*0.475*44/12</f>
        <v>8.908315704846738E-25</v>
      </c>
      <c r="AC202" s="22">
        <f t="shared" si="163"/>
        <v>0.37676807709606069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-1.1368683772161603E-13</v>
      </c>
      <c r="AJ202" s="13">
        <f>AI202*VLOOKUP('Données projet'!$B$10,Paramètres!$A$1:$I$89,3,0)*VLOOKUP('Données projet'!$B$10,Paramètres!$A$1:$I$89,5,0)</f>
        <v>-1.0286385077051818E-13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237.22177246688199</v>
      </c>
      <c r="AO202" s="59">
        <f t="shared" si="205"/>
        <v>149.27472147904302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2.865695459815968E-2</v>
      </c>
      <c r="AW202" s="21">
        <f>EXP(-LN(2)/2)*AW201+(1-EXP(-LN(2)/2))/(LN(2)/2)*AQ202*AT202*VLOOKUP('Données projet'!$B$10,Paramètres!$A$1:$I$89,3,0)*0.475*44/12</f>
        <v>2.2626128956695732E-25</v>
      </c>
      <c r="AX202" s="21">
        <f t="shared" si="166"/>
        <v>2.865695459815968E-2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168.08890945052406</v>
      </c>
      <c r="BJ202" s="59">
        <f t="shared" si="206"/>
        <v>182.52462557642343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0.21862764755065453</v>
      </c>
      <c r="BQ202" s="21">
        <f>EXP(-LN(2)/25)*BQ201+(1-EXP(-LN(2)/25))/(LN(2)/25)*Calculateur!BL202*Calculateur!BN202*VLOOKUP('Données projet'!$B$11,Paramètres!$A$1:$I$89,3,0)*0.475*44/12</f>
        <v>0.11377094881649583</v>
      </c>
      <c r="BR202" s="21">
        <f>EXP(-LN(2)/2)*BR201+(1-EXP(-LN(2)/2))/(LN(2)/2)*BL202*BO202*VLOOKUP('Données projet'!$B$11,Paramètres!$A$1:$I$89,3,0)*0.475*44/12</f>
        <v>1.9907580057265235E-25</v>
      </c>
      <c r="BS202" s="22">
        <f t="shared" si="169"/>
        <v>0.33239859636715036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1.064108801074326E-13</v>
      </c>
      <c r="P203" s="13">
        <f t="shared" si="203"/>
        <v>1.5870730813698654E-12</v>
      </c>
      <c r="Q203" s="20">
        <f t="shared" si="162"/>
        <v>2.9494845662396269E-12</v>
      </c>
      <c r="R203" s="59">
        <f t="shared" si="191"/>
        <v>293.33333333333627</v>
      </c>
      <c r="S203" s="59">
        <f ca="1">AVERAGE(OFFSET($R$3,0,0,'Données projet'!$E$9+1,1))-AVERAGE(OFFSET($H$3,0,0,'Données projet'!$E$9+1,1))</f>
        <v>214.51224556840771</v>
      </c>
      <c r="T203" s="59">
        <f t="shared" si="204"/>
        <v>225.78309962707215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0.13699253875977591</v>
      </c>
      <c r="AA203" s="21">
        <f>EXP(-LN(2)/25)*AA202+(1-EXP(-LN(2)/25))/(LN(2)/25)*Calculateur!V203*Calculateur!X203*VLOOKUP('Données projet'!$B$9,Paramètres!$A$1:$I$89,3,0)*0.475*44/12</f>
        <v>0.23055371976987174</v>
      </c>
      <c r="AB203" s="21">
        <f>EXP(-LN(2)/2)*AB202+(1-EXP(-LN(2)/2))/(LN(2)/2)*V203*Y203*VLOOKUP('Données projet'!$B$9,Paramètres!$A$1:$I$89,3,0)*0.475*44/12</f>
        <v>6.2991304438477474E-25</v>
      </c>
      <c r="AC203" s="22">
        <f t="shared" si="163"/>
        <v>0.36754625852964762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-1.1368683772161603E-13</v>
      </c>
      <c r="AJ203" s="13">
        <f>AI203*VLOOKUP('Données projet'!$B$10,Paramètres!$A$1:$I$89,3,0)*VLOOKUP('Données projet'!$B$10,Paramètres!$A$1:$I$89,5,0)</f>
        <v>-1.0286385077051818E-13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237.22177246688199</v>
      </c>
      <c r="AO203" s="59">
        <f t="shared" si="205"/>
        <v>149.27472147904302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2.7873328667669256E-2</v>
      </c>
      <c r="AW203" s="21">
        <f>EXP(-LN(2)/2)*AW202+(1-EXP(-LN(2)/2))/(LN(2)/2)*AQ203*AT203*VLOOKUP('Données projet'!$B$10,Paramètres!$A$1:$I$89,3,0)*0.475*44/12</f>
        <v>1.5999089217280856E-25</v>
      </c>
      <c r="AX203" s="21">
        <f t="shared" si="166"/>
        <v>2.7873328667669256E-2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168.08890945052406</v>
      </c>
      <c r="BJ203" s="59">
        <f t="shared" si="206"/>
        <v>182.52462557642343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0.21434049273188402</v>
      </c>
      <c r="BQ203" s="21">
        <f>EXP(-LN(2)/25)*BQ202+(1-EXP(-LN(2)/25))/(LN(2)/25)*Calculateur!BL203*Calculateur!BN203*VLOOKUP('Données projet'!$B$11,Paramètres!$A$1:$I$89,3,0)*0.475*44/12</f>
        <v>0.11065987623815457</v>
      </c>
      <c r="BR203" s="21">
        <f>EXP(-LN(2)/2)*BR202+(1-EXP(-LN(2)/2))/(LN(2)/2)*BL203*BO203*VLOOKUP('Données projet'!$B$11,Paramètres!$A$1:$I$89,3,0)*0.475*44/12</f>
        <v>1.4076784855506326E-25</v>
      </c>
      <c r="BS203" s="22">
        <f t="shared" si="169"/>
        <v>0.32500036897003859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1.2485684178796581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1.2054868146447177</v>
      </c>
      <c r="BA205" s="82">
        <f>EXP(LN('Données projet'!B88)/'Données projet'!A88)</f>
        <v>1.3480061545972777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N5" sqref="N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Epicéa de Sitka</v>
      </c>
      <c r="B6" s="146">
        <f>'Données projet'!D9</f>
        <v>3.3115000000000001</v>
      </c>
      <c r="C6" s="147">
        <f ca="1">IF(OR('Données projet'!B9="",'Données projet'!C9="",'Données projet'!C9=0%),0,Calculateur!S3)</f>
        <v>214.51224556840771</v>
      </c>
      <c r="D6" s="147">
        <f>IF(OR('Données projet'!B9="",'Données projet'!C9="",'Données projet'!C9=0%),0,Calculateur!T3)</f>
        <v>225.78309962707215</v>
      </c>
      <c r="E6" s="147">
        <f ca="1">MIN(C6,D6)</f>
        <v>214.51224556840771</v>
      </c>
      <c r="F6" s="147">
        <f ca="1">E6*B6</f>
        <v>710.35730119978211</v>
      </c>
      <c r="G6" s="147">
        <f ca="1">F6*(100%-'Données projet'!$C$24)*(100%-'Données projet'!$C$25)*(100%-'Données projet'!$C$26)*(100%-'Données projet'!$C$27)</f>
        <v>639.3215710798039</v>
      </c>
      <c r="H6" s="148">
        <f>IF(OR('Données projet'!B9="",'Données projet'!C9="",'Données projet'!C9=0%),0,AVERAGE(Calculateur!$AC$3:$AC$33)*B6)</f>
        <v>21.352180750139972</v>
      </c>
      <c r="I6" s="149">
        <f>H6*(100%-'Données projet'!$C$24)*(100%-'Données projet'!$C$25)*(100%-'Données projet'!$C$26)*(100%-'Données projet'!$C$27)</f>
        <v>19.216962675125977</v>
      </c>
      <c r="J6" s="150">
        <f>IF(OR('Données projet'!B9="",'Données projet'!C9="",'Données projet'!C9=0%),0,SUM(Calculateur!$V$3:$V$33)*VLOOKUP('Données projet'!$B$9,Paramètres!$A$1:$I$89,9,0)*B6)</f>
        <v>169.449455</v>
      </c>
      <c r="K6" s="151">
        <f>J6*(100%-'Données projet'!$C$24)*(100%-'Données projet'!$C$25)*(100%-'Données projet'!$C$26)*(100%-'Données projet'!$C$27)</f>
        <v>152.50450950000001</v>
      </c>
      <c r="L6" s="152">
        <f ca="1">G6+I6+K6</f>
        <v>811.0430432549299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Chêne sessile</v>
      </c>
      <c r="B7" s="154">
        <f>'Données projet'!D10</f>
        <v>0.66230000000000011</v>
      </c>
      <c r="C7" s="147">
        <f ca="1">IF(OR('Données projet'!B10="",'Données projet'!C10="",'Données projet'!C10=0%),0,Calculateur!AN3)</f>
        <v>237.22177246688199</v>
      </c>
      <c r="D7" s="147">
        <f>IF(OR('Données projet'!B10="",'Données projet'!C10="",'Données projet'!C10=0%),0,Calculateur!AO3)</f>
        <v>149.27472147904302</v>
      </c>
      <c r="E7" s="147">
        <f t="shared" ref="E7:E15" ca="1" si="0">MIN(C7,D7)</f>
        <v>149.27472147904302</v>
      </c>
      <c r="F7" s="147">
        <f t="shared" ref="F7:F15" ca="1" si="1">E7*B7</f>
        <v>98.864648035570212</v>
      </c>
      <c r="G7" s="147">
        <f ca="1">F7*(100%-'Données projet'!$C$24)*(100%-'Données projet'!$C$25)*(100%-'Données projet'!$C$26)*(100%-'Données projet'!$C$27)</f>
        <v>88.978183232013194</v>
      </c>
      <c r="H7" s="155">
        <f>IF(OR('Données projet'!B10="",'Données projet'!C10="",'Données projet'!C10=0%),0,AVERAGE(Calculateur!$AX$3:$AX$33)*B7)</f>
        <v>0.19858928824606495</v>
      </c>
      <c r="I7" s="149">
        <f>H7*(100%-'Données projet'!$C$24)*(100%-'Données projet'!$C$25)*(100%-'Données projet'!$C$26)*(100%-'Données projet'!$C$27)</f>
        <v>0.17873035942145846</v>
      </c>
      <c r="J7" s="150">
        <f>IF(OR('Données projet'!B10="",'Données projet'!C10="",'Données projet'!C10=0%),0,SUM(Calculateur!$AQ$3:$AQ$33)*VLOOKUP('Données projet'!$B$10,Paramètres!$A$1:$I$89,9,0)*B7)</f>
        <v>4.8016750000000012</v>
      </c>
      <c r="K7" s="151">
        <f>J7*(100%-'Données projet'!$C$24)*(100%-'Données projet'!$C$25)*(100%-'Données projet'!$C$26)*(100%-'Données projet'!$C$27)</f>
        <v>4.3215075000000009</v>
      </c>
      <c r="L7" s="152">
        <f t="shared" ref="L7:L15" ca="1" si="2">G7+I7+K7</f>
        <v>93.478421091434654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Pin maritime</v>
      </c>
      <c r="B8" s="154">
        <f>'Données projet'!D11</f>
        <v>2.6492000000000004</v>
      </c>
      <c r="C8" s="147">
        <f ca="1">IF(OR('Données projet'!B11="",'Données projet'!C11="",'Données projet'!C11=0%),0,Calculateur!BI3)</f>
        <v>168.08890945052406</v>
      </c>
      <c r="D8" s="147">
        <f>IF(OR('Données projet'!B11="",'Données projet'!C11="",'Données projet'!C11=0%),0,Calculateur!BJ3)</f>
        <v>182.52462557642343</v>
      </c>
      <c r="E8" s="147">
        <f t="shared" ca="1" si="0"/>
        <v>168.08890945052406</v>
      </c>
      <c r="F8" s="147">
        <f t="shared" ca="1" si="1"/>
        <v>445.3011389163284</v>
      </c>
      <c r="G8" s="147">
        <f ca="1">F8*(100%-'Données projet'!$C$24)*(100%-'Données projet'!$C$25)*(100%-'Données projet'!$C$26)*(100%-'Données projet'!$C$27)</f>
        <v>400.77102502469558</v>
      </c>
      <c r="H8" s="155">
        <f>IF(OR('Données projet'!B11="",'Données projet'!C11="",'Données projet'!C11=0%),0,AVERAGE(Calculateur!$BS$3:$BS$33)*B8)</f>
        <v>19.28906236791126</v>
      </c>
      <c r="I8" s="149">
        <f>H8*(100%-'Données projet'!$C$24)*(100%-'Données projet'!$C$25)*(100%-'Données projet'!$C$26)*(100%-'Données projet'!$C$27)</f>
        <v>17.360156131120135</v>
      </c>
      <c r="J8" s="150">
        <f>IF(OR('Données projet'!B11="",'Données projet'!C11="",'Données projet'!C11=0%),0,SUM(Calculateur!$BL$3:$BL$33)*VLOOKUP('Données projet'!$B$11,Paramètres!$A$1:$I$89,9,0)*B8)</f>
        <v>160.99188400000003</v>
      </c>
      <c r="K8" s="151">
        <f>J8*(100%-'Données projet'!$C$24)*(100%-'Données projet'!$C$25)*(100%-'Données projet'!$C$26)*(100%-'Données projet'!$C$27)</f>
        <v>144.89269560000002</v>
      </c>
      <c r="L8" s="152">
        <f t="shared" ca="1" si="2"/>
        <v>563.02387675581576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1254.5230881516807</v>
      </c>
      <c r="G16" s="166">
        <f t="shared" ca="1" si="3"/>
        <v>1129.0707793365127</v>
      </c>
      <c r="H16" s="167">
        <f t="shared" si="3"/>
        <v>40.839832406297297</v>
      </c>
      <c r="I16" s="167">
        <f t="shared" si="3"/>
        <v>36.75584916566757</v>
      </c>
      <c r="J16" s="168">
        <f t="shared" si="3"/>
        <v>335.24301400000002</v>
      </c>
      <c r="K16" s="168">
        <f t="shared" si="3"/>
        <v>301.7187126</v>
      </c>
      <c r="L16" s="169">
        <f t="shared" ca="1" si="3"/>
        <v>1467.5453411021804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Epicéa de Sitka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17" zoomScale="80" zoomScaleNormal="80" workbookViewId="0">
      <selection activeCell="N19" sqref="N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Epicéa de Sitka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5243.9382746458305</v>
      </c>
      <c r="U10" s="178">
        <f>'Données projet'!D9</f>
        <v>3.3115000000000001</v>
      </c>
      <c r="V10" s="177">
        <f>U10*T10</f>
        <v>17365.301596489669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-7109.1792043225587</v>
      </c>
      <c r="U11" s="178">
        <f>'Données projet'!D10</f>
        <v>0.66230000000000011</v>
      </c>
      <c r="V11" s="177">
        <f t="shared" ref="V11" si="0">U11*T11</f>
        <v>-4708.4093870228317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182.54671090226884</v>
      </c>
      <c r="U12" s="178">
        <f>'Données projet'!D11</f>
        <v>2.6492000000000004</v>
      </c>
      <c r="V12" s="177">
        <f t="shared" ref="V12:V19" si="1">U12*T12</f>
        <v>483.60274652229072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Epicéa de Sitka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1760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3200.0000000000045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350+1640</f>
        <v>1990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300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23</v>
      </c>
      <c r="B23" s="181">
        <f>'Données projet'!D36</f>
        <v>55</v>
      </c>
      <c r="C23" s="193">
        <v>12</v>
      </c>
      <c r="D23" s="182">
        <f>B23*C23</f>
        <v>660</v>
      </c>
      <c r="E23" s="193"/>
      <c r="F23" s="230"/>
      <c r="H23" s="190">
        <v>5</v>
      </c>
      <c r="I23" s="191">
        <v>300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-7887.7890477134897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27</v>
      </c>
      <c r="B24" s="181">
        <f>'Données projet'!D37</f>
        <v>64</v>
      </c>
      <c r="C24" s="193">
        <v>12</v>
      </c>
      <c r="D24" s="182">
        <f t="shared" ref="D24:D42" si="2">B24*C24</f>
        <v>768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626.47175840035709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31</v>
      </c>
      <c r="B25" s="181">
        <f>'Données projet'!D38</f>
        <v>57</v>
      </c>
      <c r="C25" s="193">
        <v>35</v>
      </c>
      <c r="D25" s="182">
        <f t="shared" si="2"/>
        <v>1995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-8514.2608061138471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35</v>
      </c>
      <c r="B26" s="181">
        <f>'Données projet'!D39</f>
        <v>64</v>
      </c>
      <c r="C26" s="193">
        <v>45</v>
      </c>
      <c r="D26" s="182">
        <f t="shared" si="2"/>
        <v>2880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39</v>
      </c>
      <c r="B27" s="181">
        <f>'Données projet'!D40</f>
        <v>50</v>
      </c>
      <c r="C27" s="193">
        <v>50</v>
      </c>
      <c r="D27" s="182">
        <f t="shared" si="2"/>
        <v>2500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44</v>
      </c>
      <c r="B28" s="181">
        <f>'Données projet'!D41</f>
        <v>57</v>
      </c>
      <c r="C28" s="193">
        <v>55</v>
      </c>
      <c r="D28" s="182">
        <f t="shared" si="2"/>
        <v>3135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50</v>
      </c>
      <c r="B29" s="181">
        <f>'Données projet'!D42</f>
        <v>67</v>
      </c>
      <c r="C29" s="193">
        <v>60</v>
      </c>
      <c r="D29" s="182">
        <f t="shared" si="2"/>
        <v>4020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53</v>
      </c>
      <c r="B30" s="181">
        <f>'Données projet'!D43</f>
        <v>697</v>
      </c>
      <c r="C30" s="193">
        <v>60</v>
      </c>
      <c r="D30" s="182">
        <f t="shared" si="2"/>
        <v>41820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7840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29</v>
      </c>
      <c r="C55" s="191">
        <v>12</v>
      </c>
      <c r="D55" s="179">
        <f t="shared" ref="D55:D73" si="4">B55*C55</f>
        <v>348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42</v>
      </c>
      <c r="C56" s="191">
        <v>15</v>
      </c>
      <c r="D56" s="179">
        <f t="shared" si="4"/>
        <v>630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42</v>
      </c>
      <c r="C57" s="191">
        <v>20</v>
      </c>
      <c r="D57" s="179">
        <f t="shared" si="4"/>
        <v>840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42</v>
      </c>
      <c r="C58" s="191">
        <v>25</v>
      </c>
      <c r="D58" s="179">
        <f t="shared" si="4"/>
        <v>1050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42</v>
      </c>
      <c r="C59" s="191">
        <v>30</v>
      </c>
      <c r="D59" s="179">
        <f t="shared" si="4"/>
        <v>1260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42</v>
      </c>
      <c r="C60" s="191">
        <v>35</v>
      </c>
      <c r="D60" s="179">
        <f t="shared" si="4"/>
        <v>1470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90</v>
      </c>
      <c r="B61" s="181">
        <f>'Données projet'!D69</f>
        <v>42</v>
      </c>
      <c r="C61" s="191">
        <v>40</v>
      </c>
      <c r="D61" s="179">
        <f t="shared" si="4"/>
        <v>1680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100</v>
      </c>
      <c r="B62" s="181">
        <f>'Données projet'!D70</f>
        <v>42</v>
      </c>
      <c r="C62" s="191">
        <v>50</v>
      </c>
      <c r="D62" s="179">
        <f t="shared" si="4"/>
        <v>2100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110</v>
      </c>
      <c r="B63" s="181">
        <f>'Données projet'!D71</f>
        <v>39</v>
      </c>
      <c r="C63" s="191">
        <v>60</v>
      </c>
      <c r="D63" s="179">
        <f t="shared" si="4"/>
        <v>2340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120</v>
      </c>
      <c r="B64" s="181">
        <f>'Données projet'!D72</f>
        <v>303</v>
      </c>
      <c r="C64" s="191">
        <v>180</v>
      </c>
      <c r="D64" s="179">
        <f t="shared" si="4"/>
        <v>54540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1552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12</v>
      </c>
      <c r="B85" s="181">
        <f>'Données projet'!D88</f>
        <v>0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16</v>
      </c>
      <c r="B86" s="181">
        <f>'Données projet'!D89</f>
        <v>15</v>
      </c>
      <c r="C86" s="191">
        <v>8</v>
      </c>
      <c r="D86" s="179">
        <f t="shared" ref="D86:D104" si="6">B86*C86</f>
        <v>120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20</v>
      </c>
      <c r="B87" s="181">
        <f>'Données projet'!D90</f>
        <v>22</v>
      </c>
      <c r="C87" s="191">
        <v>8</v>
      </c>
      <c r="D87" s="179">
        <f t="shared" si="6"/>
        <v>176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str">
        <f>IF(O86+1&lt;=MIN('Données projet'!$E$9:$E$18),O86+1,"STOP")</f>
        <v>STOP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24</v>
      </c>
      <c r="B88" s="181">
        <f>'Données projet'!D91</f>
        <v>31</v>
      </c>
      <c r="C88" s="191">
        <v>15</v>
      </c>
      <c r="D88" s="179">
        <f t="shared" si="6"/>
        <v>465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28</v>
      </c>
      <c r="B89" s="181">
        <f>'Données projet'!D92</f>
        <v>35</v>
      </c>
      <c r="C89" s="191">
        <v>15</v>
      </c>
      <c r="D89" s="179">
        <f t="shared" si="6"/>
        <v>525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34</v>
      </c>
      <c r="B90" s="181">
        <f>'Données projet'!D93</f>
        <v>46</v>
      </c>
      <c r="C90" s="191">
        <v>15</v>
      </c>
      <c r="D90" s="179">
        <f t="shared" si="6"/>
        <v>690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40</v>
      </c>
      <c r="B91" s="181">
        <f>'Données projet'!D94</f>
        <v>41</v>
      </c>
      <c r="C91" s="191">
        <v>20</v>
      </c>
      <c r="D91" s="179">
        <f t="shared" si="6"/>
        <v>820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46</v>
      </c>
      <c r="B92" s="181">
        <f>'Données projet'!D95</f>
        <v>29</v>
      </c>
      <c r="C92" s="191">
        <v>30</v>
      </c>
      <c r="D92" s="179">
        <f t="shared" si="6"/>
        <v>870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54</v>
      </c>
      <c r="B93" s="181">
        <f>'Données projet'!D96</f>
        <v>16</v>
      </c>
      <c r="C93" s="191">
        <v>35</v>
      </c>
      <c r="D93" s="179">
        <f t="shared" si="6"/>
        <v>560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62</v>
      </c>
      <c r="B94" s="181">
        <f>'Données projet'!D97</f>
        <v>316</v>
      </c>
      <c r="C94" s="191">
        <v>40</v>
      </c>
      <c r="D94" s="179">
        <f t="shared" si="6"/>
        <v>12640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Cécile De Coincy</cp:lastModifiedBy>
  <dcterms:created xsi:type="dcterms:W3CDTF">2021-02-01T08:22:39Z</dcterms:created>
  <dcterms:modified xsi:type="dcterms:W3CDTF">2022-12-13T22:36:14Z</dcterms:modified>
</cp:coreProperties>
</file>